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Office Files\Arizona Foundations of RE Finance for PPP 2017\"/>
    </mc:Choice>
  </mc:AlternateContent>
  <bookViews>
    <workbookView xWindow="0" yWindow="690" windowWidth="28800" windowHeight="12090" tabRatio="815"/>
  </bookViews>
  <sheets>
    <sheet name="Cover" sheetId="59" r:id="rId1"/>
    <sheet name="Quick Start Guide" sheetId="15" r:id="rId2"/>
    <sheet name="Glossary" sheetId="49" r:id="rId3"/>
    <sheet name="Residential For Sale" sheetId="41" r:id="rId4"/>
    <sheet name="Residential Rental" sheetId="42" r:id="rId5"/>
    <sheet name="Office" sheetId="55" r:id="rId6"/>
    <sheet name="Retail &amp; Restaurant" sheetId="53" r:id="rId7"/>
    <sheet name="Hotel" sheetId="51" r:id="rId8"/>
    <sheet name="Industrial" sheetId="56" r:id="rId9"/>
    <sheet name="Parking" sheetId="57" r:id="rId10"/>
    <sheet name="Mixed-Use Summary" sheetId="47" r:id="rId11"/>
    <sheet name="DV-IDENTITY-0" sheetId="27" state="hidden" r:id="rId12"/>
    <sheet name="Leveraging Tools" sheetId="58" r:id="rId13"/>
  </sheets>
  <definedNames>
    <definedName name="acres" localSheetId="7">#REF!</definedName>
    <definedName name="acres" localSheetId="8">#REF!</definedName>
    <definedName name="acres" localSheetId="5">#REF!</definedName>
    <definedName name="acres" localSheetId="9">#REF!</definedName>
    <definedName name="acres" localSheetId="6">#REF!</definedName>
    <definedName name="acres">#REF!</definedName>
    <definedName name="Building_Lot_Coverage" localSheetId="7">#REF!</definedName>
    <definedName name="Building_Lot_Coverage" localSheetId="8">#REF!</definedName>
    <definedName name="Building_Lot_Coverage" localSheetId="5">#REF!</definedName>
    <definedName name="Building_Lot_Coverage" localSheetId="9">#REF!</definedName>
    <definedName name="Building_Lot_Coverage" localSheetId="6">#REF!</definedName>
    <definedName name="Building_Lot_Coverage">#REF!</definedName>
    <definedName name="FAR" localSheetId="7">#REF!</definedName>
    <definedName name="FAR" localSheetId="8">#REF!</definedName>
    <definedName name="FAR" localSheetId="5">#REF!</definedName>
    <definedName name="FAR" localSheetId="9">#REF!</definedName>
    <definedName name="FAR" localSheetId="6">#REF!</definedName>
    <definedName name="FAR">#REF!</definedName>
    <definedName name="Height" localSheetId="7">#REF!</definedName>
    <definedName name="Height" localSheetId="8">#REF!</definedName>
    <definedName name="Height" localSheetId="5">#REF!</definedName>
    <definedName name="Height" localSheetId="9">#REF!</definedName>
    <definedName name="Height" localSheetId="6">#REF!</definedName>
    <definedName name="Height">#REF!</definedName>
    <definedName name="HousingType" localSheetId="7">#REF!</definedName>
    <definedName name="HousingType" localSheetId="8">#REF!</definedName>
    <definedName name="HousingType" localSheetId="5">#REF!</definedName>
    <definedName name="HousingType" localSheetId="9">#REF!</definedName>
    <definedName name="HousingType" localSheetId="6">#REF!</definedName>
    <definedName name="HousingType">#REF!</definedName>
    <definedName name="IndPct" localSheetId="7">#REF!</definedName>
    <definedName name="IndPct" localSheetId="8">#REF!</definedName>
    <definedName name="IndPct" localSheetId="5">#REF!</definedName>
    <definedName name="IndPct" localSheetId="9">#REF!</definedName>
    <definedName name="IndPct" localSheetId="6">#REF!</definedName>
    <definedName name="IndPct">#REF!</definedName>
    <definedName name="IndSpace" localSheetId="7">#REF!</definedName>
    <definedName name="IndSpace" localSheetId="8">#REF!</definedName>
    <definedName name="IndSpace" localSheetId="5">#REF!</definedName>
    <definedName name="IndSpace" localSheetId="9">#REF!</definedName>
    <definedName name="IndSpace" localSheetId="6">#REF!</definedName>
    <definedName name="IndSpace">#REF!</definedName>
    <definedName name="LandCost" localSheetId="7">#REF!</definedName>
    <definedName name="LandCost" localSheetId="8">#REF!</definedName>
    <definedName name="LandCost" localSheetId="5">#REF!</definedName>
    <definedName name="LandCost" localSheetId="9">#REF!</definedName>
    <definedName name="LandCost" localSheetId="6">#REF!</definedName>
    <definedName name="LandCost">#REF!</definedName>
    <definedName name="Landscaping_Coverage" localSheetId="7">#REF!</definedName>
    <definedName name="Landscaping_Coverage" localSheetId="8">#REF!</definedName>
    <definedName name="Landscaping_Coverage" localSheetId="5">#REF!</definedName>
    <definedName name="Landscaping_Coverage" localSheetId="9">#REF!</definedName>
    <definedName name="Landscaping_Coverage" localSheetId="6">#REF!</definedName>
    <definedName name="Landscaping_Coverage">#REF!</definedName>
    <definedName name="lot_size" localSheetId="7">#REF!</definedName>
    <definedName name="lot_size" localSheetId="8">#REF!</definedName>
    <definedName name="lot_size" localSheetId="5">#REF!</definedName>
    <definedName name="lot_size" localSheetId="9">#REF!</definedName>
    <definedName name="lot_size" localSheetId="6">#REF!</definedName>
    <definedName name="lot_size">#REF!</definedName>
    <definedName name="name" localSheetId="7">#REF!</definedName>
    <definedName name="name" localSheetId="8">#REF!</definedName>
    <definedName name="name" localSheetId="5">#REF!</definedName>
    <definedName name="name" localSheetId="9">#REF!</definedName>
    <definedName name="name" localSheetId="6">#REF!</definedName>
    <definedName name="name">#REF!</definedName>
    <definedName name="NetUnitSize" localSheetId="7">#REF!</definedName>
    <definedName name="NetUnitSize" localSheetId="8">#REF!</definedName>
    <definedName name="NetUnitSize" localSheetId="5">#REF!</definedName>
    <definedName name="NetUnitSize" localSheetId="9">#REF!</definedName>
    <definedName name="NetUnitSize" localSheetId="6">#REF!</definedName>
    <definedName name="NetUnitSize">#REF!</definedName>
    <definedName name="OffPct" localSheetId="7">#REF!</definedName>
    <definedName name="OffPct" localSheetId="8">#REF!</definedName>
    <definedName name="OffPct" localSheetId="5">#REF!</definedName>
    <definedName name="OffPct" localSheetId="9">#REF!</definedName>
    <definedName name="OffPct" localSheetId="6">#REF!</definedName>
    <definedName name="OffPct">#REF!</definedName>
    <definedName name="OffSpace" localSheetId="7">#REF!</definedName>
    <definedName name="OffSpace" localSheetId="8">#REF!</definedName>
    <definedName name="OffSpace" localSheetId="5">#REF!</definedName>
    <definedName name="OffSpace" localSheetId="9">#REF!</definedName>
    <definedName name="OffSpace" localSheetId="6">#REF!</definedName>
    <definedName name="OffSpace">#REF!</definedName>
    <definedName name="Parking_Coverage" localSheetId="7">#REF!</definedName>
    <definedName name="Parking_Coverage" localSheetId="8">#REF!</definedName>
    <definedName name="Parking_Coverage" localSheetId="5">#REF!</definedName>
    <definedName name="Parking_Coverage" localSheetId="9">#REF!</definedName>
    <definedName name="Parking_Coverage" localSheetId="6">#REF!</definedName>
    <definedName name="Parking_Coverage">#REF!</definedName>
    <definedName name="ParkingArea" localSheetId="7">#REF!</definedName>
    <definedName name="ParkingArea" localSheetId="8">#REF!</definedName>
    <definedName name="ParkingArea" localSheetId="5">#REF!</definedName>
    <definedName name="ParkingArea" localSheetId="9">#REF!</definedName>
    <definedName name="ParkingArea" localSheetId="6">#REF!</definedName>
    <definedName name="ParkingArea">#REF!</definedName>
    <definedName name="ParkingCost" localSheetId="7">#REF!</definedName>
    <definedName name="ParkingCost" localSheetId="8">#REF!</definedName>
    <definedName name="ParkingCost" localSheetId="5">#REF!</definedName>
    <definedName name="ParkingCost" localSheetId="9">#REF!</definedName>
    <definedName name="ParkingCost" localSheetId="6">#REF!</definedName>
    <definedName name="ParkingCost">#REF!</definedName>
    <definedName name="ParkingSpaces" localSheetId="7">#REF!</definedName>
    <definedName name="ParkingSpaces" localSheetId="8">#REF!</definedName>
    <definedName name="ParkingSpaces" localSheetId="5">#REF!</definedName>
    <definedName name="ParkingSpaces" localSheetId="9">#REF!</definedName>
    <definedName name="ParkingSpaces" localSheetId="6">#REF!</definedName>
    <definedName name="ParkingSpaces">#REF!</definedName>
    <definedName name="ProjectValue" localSheetId="7">#REF!</definedName>
    <definedName name="ProjectValue" localSheetId="8">#REF!</definedName>
    <definedName name="ProjectValue" localSheetId="5">#REF!</definedName>
    <definedName name="ProjectValue" localSheetId="9">#REF!</definedName>
    <definedName name="ProjectValue" localSheetId="6">#REF!</definedName>
    <definedName name="ProjectValue">#REF!</definedName>
    <definedName name="Rent" localSheetId="7">#REF!</definedName>
    <definedName name="Rent" localSheetId="8">#REF!</definedName>
    <definedName name="Rent" localSheetId="5">#REF!</definedName>
    <definedName name="Rent" localSheetId="9">#REF!</definedName>
    <definedName name="Rent" localSheetId="6">#REF!</definedName>
    <definedName name="Rent">#REF!</definedName>
    <definedName name="RentalPct" localSheetId="7">#REF!</definedName>
    <definedName name="RentalPct" localSheetId="8">#REF!</definedName>
    <definedName name="RentalPct" localSheetId="5">#REF!</definedName>
    <definedName name="RentalPct" localSheetId="9">#REF!</definedName>
    <definedName name="RentalPct" localSheetId="6">#REF!</definedName>
    <definedName name="RentalPct">#REF!</definedName>
    <definedName name="ResPct" localSheetId="7">#REF!</definedName>
    <definedName name="ResPct" localSheetId="8">#REF!</definedName>
    <definedName name="ResPct" localSheetId="5">#REF!</definedName>
    <definedName name="ResPct" localSheetId="9">#REF!</definedName>
    <definedName name="ResPct" localSheetId="6">#REF!</definedName>
    <definedName name="ResPct">#REF!</definedName>
    <definedName name="RetPct" localSheetId="7">#REF!</definedName>
    <definedName name="RetPct" localSheetId="8">#REF!</definedName>
    <definedName name="RetPct" localSheetId="5">#REF!</definedName>
    <definedName name="RetPct" localSheetId="9">#REF!</definedName>
    <definedName name="RetPct" localSheetId="6">#REF!</definedName>
    <definedName name="RetPct">#REF!</definedName>
    <definedName name="RetSpace" localSheetId="7">#REF!</definedName>
    <definedName name="RetSpace" localSheetId="8">#REF!</definedName>
    <definedName name="RetSpace" localSheetId="5">#REF!</definedName>
    <definedName name="RetSpace" localSheetId="9">#REF!</definedName>
    <definedName name="RetSpace" localSheetId="6">#REF!</definedName>
    <definedName name="RetSpace">#REF!</definedName>
    <definedName name="Sales_Price" localSheetId="7">#REF!</definedName>
    <definedName name="Sales_Price" localSheetId="8">#REF!</definedName>
    <definedName name="Sales_Price" localSheetId="5">#REF!</definedName>
    <definedName name="Sales_Price" localSheetId="9">#REF!</definedName>
    <definedName name="Sales_Price" localSheetId="6">#REF!</definedName>
    <definedName name="Sales_Price">#REF!</definedName>
    <definedName name="solver_adj" localSheetId="7" hidden="1">#REF!</definedName>
    <definedName name="solver_adj" localSheetId="8" hidden="1">#REF!</definedName>
    <definedName name="solver_adj" localSheetId="5" hidden="1">#REF!</definedName>
    <definedName name="solver_adj" localSheetId="9" hidden="1">#REF!</definedName>
    <definedName name="solver_adj" localSheetId="6"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7" hidden="1">#REF!</definedName>
    <definedName name="solver_lhs1" localSheetId="8" hidden="1">#REF!</definedName>
    <definedName name="solver_lhs1" localSheetId="5" hidden="1">#REF!</definedName>
    <definedName name="solver_lhs1" localSheetId="9" hidden="1">#REF!</definedName>
    <definedName name="solver_lhs1" localSheetId="6"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7" hidden="1">#REF!</definedName>
    <definedName name="solver_opt" localSheetId="8" hidden="1">#REF!</definedName>
    <definedName name="solver_opt" localSheetId="5" hidden="1">#REF!</definedName>
    <definedName name="solver_opt" localSheetId="9" hidden="1">#REF!</definedName>
    <definedName name="solver_opt" localSheetId="6" hidden="1">#REF!</definedName>
    <definedName name="solver_opt" hidden="1">#REF!</definedName>
    <definedName name="solver_pre" hidden="1">0.000001</definedName>
    <definedName name="solver_rel1" hidden="1">1</definedName>
    <definedName name="solver_rhs1" hidden="1">0.2</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0.15</definedName>
    <definedName name="Subsidy" localSheetId="7">#REF!</definedName>
    <definedName name="Subsidy" localSheetId="8">#REF!</definedName>
    <definedName name="Subsidy" localSheetId="5">#REF!</definedName>
    <definedName name="Subsidy" localSheetId="9">#REF!</definedName>
    <definedName name="Subsidy" localSheetId="6">#REF!</definedName>
    <definedName name="Subsidy">#REF!</definedName>
    <definedName name="UnitSize" localSheetId="7">#REF!</definedName>
    <definedName name="UnitSize" localSheetId="8">#REF!</definedName>
    <definedName name="UnitSize" localSheetId="5">#REF!</definedName>
    <definedName name="UnitSize" localSheetId="9">#REF!</definedName>
    <definedName name="UnitSize" localSheetId="6">#REF!</definedName>
    <definedName name="UnitSize">#REF!</definedName>
    <definedName name="Z_CF0A86FC_B6FE_43D0_A471_EE6D5313E423_.wvu.Cols" localSheetId="7" hidden="1">Hotel!$T:$T</definedName>
    <definedName name="Z_CF0A86FC_B6FE_43D0_A471_EE6D5313E423_.wvu.Cols" localSheetId="8" hidden="1">Industrial!$T:$T</definedName>
    <definedName name="Z_CF0A86FC_B6FE_43D0_A471_EE6D5313E423_.wvu.Cols" localSheetId="5" hidden="1">Office!$T:$T</definedName>
    <definedName name="Z_CF0A86FC_B6FE_43D0_A471_EE6D5313E423_.wvu.Cols" localSheetId="9" hidden="1">Parking!$T:$T</definedName>
    <definedName name="Z_CF0A86FC_B6FE_43D0_A471_EE6D5313E423_.wvu.Cols" localSheetId="4" hidden="1">'Residential Rental'!$T:$T</definedName>
    <definedName name="Z_CF0A86FC_B6FE_43D0_A471_EE6D5313E423_.wvu.Cols" localSheetId="6" hidden="1">'Retail &amp; Restaurant'!$T:$T</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B5" i="41" l="1"/>
  <c r="B14" i="41" s="1"/>
  <c r="B21" i="41" s="1"/>
  <c r="H7" i="41"/>
  <c r="H6" i="41"/>
  <c r="H5" i="41"/>
  <c r="H4" i="41"/>
  <c r="B12" i="41"/>
  <c r="H8" i="41" l="1"/>
  <c r="E4" i="41"/>
  <c r="H9" i="41"/>
  <c r="B23" i="41"/>
  <c r="G29" i="47"/>
  <c r="E29" i="47"/>
  <c r="D29" i="47"/>
  <c r="C27" i="57"/>
  <c r="C46" i="56"/>
  <c r="C32" i="56"/>
  <c r="C33" i="56" s="1"/>
  <c r="C25" i="51"/>
  <c r="C23" i="56"/>
  <c r="C25" i="56" s="1"/>
  <c r="L4" i="56" s="1"/>
  <c r="C48" i="51"/>
  <c r="C34" i="51"/>
  <c r="C32" i="51"/>
  <c r="C23" i="51"/>
  <c r="D50" i="53"/>
  <c r="C48" i="53"/>
  <c r="D49" i="53" s="1"/>
  <c r="D51" i="53" s="1"/>
  <c r="C32" i="53"/>
  <c r="C33" i="53" s="1"/>
  <c r="C23" i="53"/>
  <c r="C25" i="53" s="1"/>
  <c r="C46" i="55"/>
  <c r="C32" i="55"/>
  <c r="C33" i="55" s="1"/>
  <c r="C48" i="42"/>
  <c r="C34" i="42"/>
  <c r="C32" i="42"/>
  <c r="C23" i="55"/>
  <c r="C25" i="55" s="1"/>
  <c r="B25" i="41" l="1"/>
  <c r="B26" i="41"/>
  <c r="L4" i="53"/>
  <c r="L4" i="51"/>
  <c r="D52" i="53"/>
  <c r="L4" i="55"/>
  <c r="C56" i="42" l="1"/>
  <c r="H80" i="55"/>
  <c r="C82" i="55" s="1"/>
  <c r="C53" i="55"/>
  <c r="E117" i="55"/>
  <c r="F117" i="55"/>
  <c r="G117" i="55"/>
  <c r="H117" i="55"/>
  <c r="I117" i="55"/>
  <c r="J117" i="55"/>
  <c r="K117" i="55"/>
  <c r="L117" i="55"/>
  <c r="M117" i="55"/>
  <c r="N117" i="55"/>
  <c r="O117" i="55"/>
  <c r="P117" i="55"/>
  <c r="Q117" i="55"/>
  <c r="R117" i="55"/>
  <c r="S117" i="55"/>
  <c r="T117" i="55"/>
  <c r="U117" i="55"/>
  <c r="V117" i="55"/>
  <c r="W117" i="55"/>
  <c r="X117" i="55"/>
  <c r="Y117" i="55"/>
  <c r="Z117" i="55"/>
  <c r="AA117" i="55"/>
  <c r="AB117" i="55"/>
  <c r="AC117" i="55"/>
  <c r="AD117" i="55"/>
  <c r="AE117" i="55"/>
  <c r="AF117" i="55"/>
  <c r="AG117" i="55"/>
  <c r="AH117" i="55"/>
  <c r="D38" i="41"/>
  <c r="E7" i="41" s="1"/>
  <c r="D18" i="41"/>
  <c r="D12" i="41"/>
  <c r="J7" i="47"/>
  <c r="L7" i="47"/>
  <c r="J8" i="47"/>
  <c r="L8" i="47"/>
  <c r="J9" i="47"/>
  <c r="L9" i="47"/>
  <c r="L6" i="47"/>
  <c r="J6" i="47"/>
  <c r="H7" i="47"/>
  <c r="H8" i="47"/>
  <c r="H9" i="47"/>
  <c r="H6" i="47"/>
  <c r="F7" i="47"/>
  <c r="F8" i="47"/>
  <c r="F9" i="47"/>
  <c r="F6" i="47"/>
  <c r="D7" i="47"/>
  <c r="D8" i="47"/>
  <c r="D9" i="47"/>
  <c r="D6" i="47"/>
  <c r="AE113" i="47"/>
  <c r="AD113" i="47"/>
  <c r="AC113" i="47"/>
  <c r="AB113" i="47"/>
  <c r="AA115" i="57"/>
  <c r="AA116" i="57"/>
  <c r="AA117" i="57"/>
  <c r="G77" i="47"/>
  <c r="G76" i="47"/>
  <c r="G75" i="47"/>
  <c r="G74" i="47"/>
  <c r="G73" i="47"/>
  <c r="F77" i="47"/>
  <c r="F76" i="47"/>
  <c r="F75" i="47"/>
  <c r="F74" i="47"/>
  <c r="F73" i="47"/>
  <c r="E77" i="47"/>
  <c r="E76" i="47"/>
  <c r="E75" i="47"/>
  <c r="E74" i="47"/>
  <c r="E73" i="47"/>
  <c r="D77" i="47"/>
  <c r="D76" i="47"/>
  <c r="D75" i="47"/>
  <c r="D74" i="47"/>
  <c r="D73" i="47"/>
  <c r="C77" i="47"/>
  <c r="C76" i="47"/>
  <c r="C75" i="47"/>
  <c r="B75" i="47"/>
  <c r="C74" i="47"/>
  <c r="C73" i="47"/>
  <c r="E98" i="51"/>
  <c r="E102" i="53"/>
  <c r="D63" i="47" s="1"/>
  <c r="E101" i="53"/>
  <c r="D62" i="47" s="1"/>
  <c r="E94" i="51"/>
  <c r="E58" i="47" s="1"/>
  <c r="E93" i="51"/>
  <c r="E57" i="47" s="1"/>
  <c r="D92" i="51"/>
  <c r="E55" i="47" s="1"/>
  <c r="E97" i="53"/>
  <c r="D58" i="47" s="1"/>
  <c r="E96" i="53"/>
  <c r="D57" i="47" s="1"/>
  <c r="D95" i="53"/>
  <c r="D55" i="47" s="1"/>
  <c r="B77" i="47"/>
  <c r="B76" i="47"/>
  <c r="B74" i="47"/>
  <c r="B73" i="47"/>
  <c r="G48" i="47"/>
  <c r="F48" i="47"/>
  <c r="E48" i="47"/>
  <c r="D48" i="47"/>
  <c r="C48" i="47"/>
  <c r="F29" i="47"/>
  <c r="I14" i="47"/>
  <c r="H47" i="51"/>
  <c r="L6" i="51" s="1"/>
  <c r="E16" i="47" s="1"/>
  <c r="H47" i="53"/>
  <c r="L6" i="53" s="1"/>
  <c r="AH113" i="57"/>
  <c r="AF91" i="47" s="1"/>
  <c r="AG113" i="57"/>
  <c r="AE91" i="47" s="1"/>
  <c r="AF113" i="57"/>
  <c r="AD91" i="47" s="1"/>
  <c r="AE113" i="57"/>
  <c r="AC91" i="47" s="1"/>
  <c r="AD113" i="57"/>
  <c r="AB91" i="47" s="1"/>
  <c r="AC113" i="57"/>
  <c r="AA91" i="47" s="1"/>
  <c r="AB113" i="57"/>
  <c r="Z91" i="47" s="1"/>
  <c r="AA113" i="57"/>
  <c r="Y91" i="47" s="1"/>
  <c r="Z113" i="57"/>
  <c r="X91" i="47" s="1"/>
  <c r="Y113" i="57"/>
  <c r="W91" i="47" s="1"/>
  <c r="X113" i="57"/>
  <c r="V91" i="47" s="1"/>
  <c r="W113" i="57"/>
  <c r="U91" i="47" s="1"/>
  <c r="V113" i="57"/>
  <c r="T91" i="47" s="1"/>
  <c r="U113" i="57"/>
  <c r="S91" i="47" s="1"/>
  <c r="T113" i="57"/>
  <c r="R91" i="47" s="1"/>
  <c r="S113" i="57"/>
  <c r="Q91" i="47" s="1"/>
  <c r="R113" i="57"/>
  <c r="P91" i="47" s="1"/>
  <c r="Q113" i="57"/>
  <c r="O91" i="47" s="1"/>
  <c r="P113" i="57"/>
  <c r="N91" i="47" s="1"/>
  <c r="O113" i="57"/>
  <c r="M91" i="47" s="1"/>
  <c r="N113" i="57"/>
  <c r="L91" i="47" s="1"/>
  <c r="M113" i="57"/>
  <c r="K91" i="47" s="1"/>
  <c r="L113" i="57"/>
  <c r="J91" i="47" s="1"/>
  <c r="K113" i="57"/>
  <c r="I91" i="47" s="1"/>
  <c r="J113" i="57"/>
  <c r="H91" i="47" s="1"/>
  <c r="I113" i="57"/>
  <c r="G91" i="47" s="1"/>
  <c r="H113" i="57"/>
  <c r="F91" i="47" s="1"/>
  <c r="G113" i="57"/>
  <c r="E91" i="47" s="1"/>
  <c r="F113" i="57"/>
  <c r="D91" i="47" s="1"/>
  <c r="F114" i="57"/>
  <c r="D92" i="47" s="1"/>
  <c r="G114" i="57"/>
  <c r="E92" i="47" s="1"/>
  <c r="H114" i="57"/>
  <c r="F92" i="47" s="1"/>
  <c r="I114" i="57"/>
  <c r="G92" i="47" s="1"/>
  <c r="J114" i="57"/>
  <c r="H92" i="47" s="1"/>
  <c r="K114" i="57"/>
  <c r="I92" i="47" s="1"/>
  <c r="L114" i="57"/>
  <c r="J92" i="47" s="1"/>
  <c r="M114" i="57"/>
  <c r="K92" i="47" s="1"/>
  <c r="N114" i="57"/>
  <c r="L92" i="47" s="1"/>
  <c r="O114" i="57"/>
  <c r="M92" i="47" s="1"/>
  <c r="P114" i="57"/>
  <c r="N92" i="47" s="1"/>
  <c r="Q114" i="57"/>
  <c r="O92" i="47" s="1"/>
  <c r="R114" i="57"/>
  <c r="P92" i="47" s="1"/>
  <c r="S114" i="57"/>
  <c r="Q92" i="47" s="1"/>
  <c r="T114" i="57"/>
  <c r="R92" i="47" s="1"/>
  <c r="U114" i="57"/>
  <c r="S92" i="47" s="1"/>
  <c r="V114" i="57"/>
  <c r="T92" i="47" s="1"/>
  <c r="W114" i="57"/>
  <c r="U92" i="47" s="1"/>
  <c r="X114" i="57"/>
  <c r="V92" i="47" s="1"/>
  <c r="Y114" i="57"/>
  <c r="W92" i="47" s="1"/>
  <c r="Z114" i="57"/>
  <c r="X92" i="47" s="1"/>
  <c r="AA114" i="57"/>
  <c r="Y92" i="47" s="1"/>
  <c r="AB114" i="57"/>
  <c r="Z92" i="47" s="1"/>
  <c r="AC114" i="57"/>
  <c r="AA92" i="47" s="1"/>
  <c r="AD114" i="57"/>
  <c r="AB92" i="47" s="1"/>
  <c r="AE114" i="57"/>
  <c r="AC92" i="47" s="1"/>
  <c r="AF114" i="57"/>
  <c r="AD92" i="47" s="1"/>
  <c r="AG114" i="57"/>
  <c r="AE92" i="47" s="1"/>
  <c r="AH114" i="57"/>
  <c r="AF92" i="47" s="1"/>
  <c r="E114" i="57"/>
  <c r="C92" i="47" s="1"/>
  <c r="E113" i="57"/>
  <c r="C91" i="47" s="1"/>
  <c r="O21" i="57"/>
  <c r="J112" i="57" s="1"/>
  <c r="H90" i="47" s="1"/>
  <c r="L4" i="57"/>
  <c r="C50" i="57"/>
  <c r="C42" i="57"/>
  <c r="G27" i="47" s="1"/>
  <c r="O45" i="57"/>
  <c r="AH112" i="57" s="1"/>
  <c r="AF90" i="47" s="1"/>
  <c r="O17" i="57"/>
  <c r="F112" i="57" s="1"/>
  <c r="D90" i="47" s="1"/>
  <c r="O18" i="57"/>
  <c r="G112" i="57" s="1"/>
  <c r="E90" i="47" s="1"/>
  <c r="O19" i="57"/>
  <c r="H112" i="57" s="1"/>
  <c r="F90" i="47" s="1"/>
  <c r="O20" i="57"/>
  <c r="I112" i="57" s="1"/>
  <c r="G90" i="47" s="1"/>
  <c r="O22" i="57"/>
  <c r="K112" i="57" s="1"/>
  <c r="I90" i="47" s="1"/>
  <c r="O23" i="57"/>
  <c r="L112" i="57" s="1"/>
  <c r="J90" i="47" s="1"/>
  <c r="O24" i="57"/>
  <c r="M112" i="57" s="1"/>
  <c r="K90" i="47" s="1"/>
  <c r="O25" i="57"/>
  <c r="N112" i="57" s="1"/>
  <c r="L90" i="47" s="1"/>
  <c r="O26" i="57"/>
  <c r="O112" i="57" s="1"/>
  <c r="M90" i="47" s="1"/>
  <c r="O27" i="57"/>
  <c r="P112" i="57" s="1"/>
  <c r="N90" i="47" s="1"/>
  <c r="O28" i="57"/>
  <c r="Q112" i="57" s="1"/>
  <c r="O90" i="47" s="1"/>
  <c r="O29" i="57"/>
  <c r="R112" i="57" s="1"/>
  <c r="P90" i="47" s="1"/>
  <c r="O30" i="57"/>
  <c r="S112" i="57" s="1"/>
  <c r="Q90" i="47" s="1"/>
  <c r="O31" i="57"/>
  <c r="T112" i="57" s="1"/>
  <c r="R90" i="47" s="1"/>
  <c r="O32" i="57"/>
  <c r="U112" i="57" s="1"/>
  <c r="S90" i="47" s="1"/>
  <c r="O33" i="57"/>
  <c r="V112" i="57" s="1"/>
  <c r="T90" i="47" s="1"/>
  <c r="O34" i="57"/>
  <c r="W112" i="57" s="1"/>
  <c r="U90" i="47" s="1"/>
  <c r="O35" i="57"/>
  <c r="X112" i="57" s="1"/>
  <c r="V90" i="47" s="1"/>
  <c r="O36" i="57"/>
  <c r="Y112" i="57" s="1"/>
  <c r="W90" i="47" s="1"/>
  <c r="O37" i="57"/>
  <c r="Z112" i="57" s="1"/>
  <c r="X90" i="47" s="1"/>
  <c r="O38" i="57"/>
  <c r="AA112" i="57" s="1"/>
  <c r="Y90" i="47" s="1"/>
  <c r="O39" i="57"/>
  <c r="AB112" i="57" s="1"/>
  <c r="Z90" i="47" s="1"/>
  <c r="O40" i="57"/>
  <c r="AC112" i="57" s="1"/>
  <c r="AA90" i="47" s="1"/>
  <c r="O41" i="57"/>
  <c r="AD112" i="57" s="1"/>
  <c r="AB90" i="47" s="1"/>
  <c r="O42" i="57"/>
  <c r="AE112" i="57" s="1"/>
  <c r="AC90" i="47" s="1"/>
  <c r="O43" i="57"/>
  <c r="AF112" i="57" s="1"/>
  <c r="AD90" i="47" s="1"/>
  <c r="O44" i="57"/>
  <c r="AG112" i="57" s="1"/>
  <c r="AE90" i="47" s="1"/>
  <c r="O16" i="57"/>
  <c r="E112" i="57" s="1"/>
  <c r="C90" i="47" s="1"/>
  <c r="K167" i="57"/>
  <c r="K168" i="57" s="1"/>
  <c r="K169" i="57" s="1"/>
  <c r="K170" i="57" s="1"/>
  <c r="K171" i="57" s="1"/>
  <c r="K172" i="57" s="1"/>
  <c r="K173" i="57" s="1"/>
  <c r="K174" i="57" s="1"/>
  <c r="K175" i="57" s="1"/>
  <c r="K176" i="57" s="1"/>
  <c r="K177" i="57" s="1"/>
  <c r="K178" i="57" s="1"/>
  <c r="K179" i="57" s="1"/>
  <c r="K180" i="57" s="1"/>
  <c r="K181" i="57" s="1"/>
  <c r="K182" i="57" s="1"/>
  <c r="K183" i="57" s="1"/>
  <c r="K184" i="57" s="1"/>
  <c r="K185" i="57" s="1"/>
  <c r="K186" i="57" s="1"/>
  <c r="K187" i="57" s="1"/>
  <c r="K188" i="57" s="1"/>
  <c r="K189" i="57" s="1"/>
  <c r="K190" i="57" s="1"/>
  <c r="K191" i="57" s="1"/>
  <c r="K192" i="57" s="1"/>
  <c r="K193" i="57" s="1"/>
  <c r="K194" i="57" s="1"/>
  <c r="K195" i="57" s="1"/>
  <c r="K196" i="57" s="1"/>
  <c r="K197" i="57" s="1"/>
  <c r="K198" i="57" s="1"/>
  <c r="K199" i="57" s="1"/>
  <c r="K200" i="57" s="1"/>
  <c r="K201" i="57" s="1"/>
  <c r="K202" i="57" s="1"/>
  <c r="K203" i="57" s="1"/>
  <c r="K204" i="57" s="1"/>
  <c r="K205" i="57" s="1"/>
  <c r="K206" i="57" s="1"/>
  <c r="K207" i="57" s="1"/>
  <c r="K208" i="57" s="1"/>
  <c r="K209" i="57" s="1"/>
  <c r="K210" i="57" s="1"/>
  <c r="K211" i="57" s="1"/>
  <c r="K212" i="57" s="1"/>
  <c r="K213" i="57" s="1"/>
  <c r="K214" i="57" s="1"/>
  <c r="K215" i="57" s="1"/>
  <c r="K216" i="57" s="1"/>
  <c r="K217" i="57" s="1"/>
  <c r="K218" i="57" s="1"/>
  <c r="K219" i="57" s="1"/>
  <c r="K220" i="57" s="1"/>
  <c r="K221" i="57" s="1"/>
  <c r="K222" i="57" s="1"/>
  <c r="K223" i="57" s="1"/>
  <c r="K224" i="57" s="1"/>
  <c r="K225" i="57" s="1"/>
  <c r="K226" i="57" s="1"/>
  <c r="K227" i="57" s="1"/>
  <c r="K228" i="57" s="1"/>
  <c r="K229" i="57" s="1"/>
  <c r="K230" i="57" s="1"/>
  <c r="K231" i="57" s="1"/>
  <c r="K232" i="57" s="1"/>
  <c r="K233" i="57" s="1"/>
  <c r="K234" i="57" s="1"/>
  <c r="K235" i="57" s="1"/>
  <c r="K236" i="57" s="1"/>
  <c r="K237" i="57" s="1"/>
  <c r="K238" i="57" s="1"/>
  <c r="K239" i="57" s="1"/>
  <c r="K240" i="57" s="1"/>
  <c r="K241" i="57" s="1"/>
  <c r="K242" i="57" s="1"/>
  <c r="K243" i="57" s="1"/>
  <c r="K244" i="57" s="1"/>
  <c r="K245" i="57" s="1"/>
  <c r="K246" i="57" s="1"/>
  <c r="K247" i="57" s="1"/>
  <c r="K248" i="57" s="1"/>
  <c r="K249" i="57" s="1"/>
  <c r="K250" i="57" s="1"/>
  <c r="K251" i="57" s="1"/>
  <c r="K252" i="57" s="1"/>
  <c r="K253" i="57" s="1"/>
  <c r="K254" i="57" s="1"/>
  <c r="K255" i="57" s="1"/>
  <c r="K256" i="57" s="1"/>
  <c r="K257" i="57" s="1"/>
  <c r="K258" i="57" s="1"/>
  <c r="K259" i="57" s="1"/>
  <c r="K260" i="57" s="1"/>
  <c r="K261" i="57" s="1"/>
  <c r="K262" i="57" s="1"/>
  <c r="K263" i="57" s="1"/>
  <c r="K264" i="57" s="1"/>
  <c r="K265" i="57" s="1"/>
  <c r="K266" i="57" s="1"/>
  <c r="K267" i="57" s="1"/>
  <c r="K268" i="57" s="1"/>
  <c r="K269" i="57" s="1"/>
  <c r="K270" i="57" s="1"/>
  <c r="K271" i="57" s="1"/>
  <c r="K272" i="57" s="1"/>
  <c r="K273" i="57" s="1"/>
  <c r="K274" i="57" s="1"/>
  <c r="K275" i="57" s="1"/>
  <c r="K276" i="57" s="1"/>
  <c r="K277" i="57" s="1"/>
  <c r="K278" i="57" s="1"/>
  <c r="K279" i="57" s="1"/>
  <c r="K280" i="57" s="1"/>
  <c r="K281" i="57" s="1"/>
  <c r="K282" i="57" s="1"/>
  <c r="K283" i="57" s="1"/>
  <c r="K284" i="57" s="1"/>
  <c r="K285" i="57" s="1"/>
  <c r="K286" i="57" s="1"/>
  <c r="K287" i="57" s="1"/>
  <c r="K288" i="57" s="1"/>
  <c r="K289" i="57" s="1"/>
  <c r="K290" i="57" s="1"/>
  <c r="K291" i="57" s="1"/>
  <c r="K292" i="57" s="1"/>
  <c r="K293" i="57" s="1"/>
  <c r="K294" i="57" s="1"/>
  <c r="K295" i="57" s="1"/>
  <c r="K296" i="57" s="1"/>
  <c r="K297" i="57" s="1"/>
  <c r="K298" i="57" s="1"/>
  <c r="K299" i="57" s="1"/>
  <c r="K300" i="57" s="1"/>
  <c r="K301" i="57" s="1"/>
  <c r="K302" i="57" s="1"/>
  <c r="K303" i="57" s="1"/>
  <c r="K304" i="57" s="1"/>
  <c r="K305" i="57" s="1"/>
  <c r="K306" i="57" s="1"/>
  <c r="K307" i="57" s="1"/>
  <c r="K308" i="57" s="1"/>
  <c r="K309" i="57" s="1"/>
  <c r="K310" i="57" s="1"/>
  <c r="K311" i="57" s="1"/>
  <c r="K312" i="57" s="1"/>
  <c r="K313" i="57" s="1"/>
  <c r="K314" i="57" s="1"/>
  <c r="K315" i="57" s="1"/>
  <c r="K316" i="57" s="1"/>
  <c r="K317" i="57" s="1"/>
  <c r="K318" i="57" s="1"/>
  <c r="K319" i="57" s="1"/>
  <c r="K320" i="57" s="1"/>
  <c r="K321" i="57" s="1"/>
  <c r="K322" i="57" s="1"/>
  <c r="K323" i="57" s="1"/>
  <c r="K324" i="57" s="1"/>
  <c r="K325" i="57" s="1"/>
  <c r="K326" i="57" s="1"/>
  <c r="K327" i="57" s="1"/>
  <c r="K328" i="57" s="1"/>
  <c r="K329" i="57" s="1"/>
  <c r="K330" i="57" s="1"/>
  <c r="K331" i="57" s="1"/>
  <c r="K332" i="57" s="1"/>
  <c r="K333" i="57" s="1"/>
  <c r="K334" i="57" s="1"/>
  <c r="K335" i="57" s="1"/>
  <c r="K336" i="57" s="1"/>
  <c r="K337" i="57" s="1"/>
  <c r="K338" i="57" s="1"/>
  <c r="K339" i="57" s="1"/>
  <c r="K340" i="57" s="1"/>
  <c r="K341" i="57" s="1"/>
  <c r="K342" i="57" s="1"/>
  <c r="K343" i="57" s="1"/>
  <c r="K344" i="57" s="1"/>
  <c r="K345" i="57" s="1"/>
  <c r="K346" i="57" s="1"/>
  <c r="K347" i="57" s="1"/>
  <c r="K348" i="57" s="1"/>
  <c r="K349" i="57" s="1"/>
  <c r="K350" i="57" s="1"/>
  <c r="K351" i="57" s="1"/>
  <c r="K352" i="57" s="1"/>
  <c r="K353" i="57" s="1"/>
  <c r="K354" i="57" s="1"/>
  <c r="K355" i="57" s="1"/>
  <c r="K356" i="57" s="1"/>
  <c r="K357" i="57" s="1"/>
  <c r="K358" i="57" s="1"/>
  <c r="K359" i="57" s="1"/>
  <c r="K360" i="57" s="1"/>
  <c r="K361" i="57" s="1"/>
  <c r="K362" i="57" s="1"/>
  <c r="K363" i="57" s="1"/>
  <c r="K364" i="57" s="1"/>
  <c r="K365" i="57" s="1"/>
  <c r="K366" i="57" s="1"/>
  <c r="K367" i="57" s="1"/>
  <c r="K368" i="57" s="1"/>
  <c r="K369" i="57" s="1"/>
  <c r="K370" i="57" s="1"/>
  <c r="K371" i="57" s="1"/>
  <c r="K372" i="57" s="1"/>
  <c r="K373" i="57" s="1"/>
  <c r="K374" i="57" s="1"/>
  <c r="K375" i="57" s="1"/>
  <c r="K376" i="57" s="1"/>
  <c r="K377" i="57" s="1"/>
  <c r="K378" i="57" s="1"/>
  <c r="K379" i="57" s="1"/>
  <c r="K380" i="57" s="1"/>
  <c r="K381" i="57" s="1"/>
  <c r="K382" i="57" s="1"/>
  <c r="K383" i="57" s="1"/>
  <c r="K384" i="57" s="1"/>
  <c r="K385" i="57" s="1"/>
  <c r="K386" i="57" s="1"/>
  <c r="K387" i="57" s="1"/>
  <c r="K388" i="57" s="1"/>
  <c r="K389" i="57" s="1"/>
  <c r="K390" i="57" s="1"/>
  <c r="K391" i="57" s="1"/>
  <c r="K392" i="57" s="1"/>
  <c r="K393" i="57" s="1"/>
  <c r="K394" i="57" s="1"/>
  <c r="K395" i="57" s="1"/>
  <c r="K396" i="57" s="1"/>
  <c r="K397" i="57" s="1"/>
  <c r="K398" i="57" s="1"/>
  <c r="K399" i="57" s="1"/>
  <c r="K400" i="57" s="1"/>
  <c r="K401" i="57" s="1"/>
  <c r="K402" i="57" s="1"/>
  <c r="K403" i="57" s="1"/>
  <c r="K404" i="57" s="1"/>
  <c r="K405" i="57" s="1"/>
  <c r="K406" i="57" s="1"/>
  <c r="K407" i="57" s="1"/>
  <c r="K408" i="57" s="1"/>
  <c r="K409" i="57" s="1"/>
  <c r="K410" i="57" s="1"/>
  <c r="K411" i="57" s="1"/>
  <c r="K412" i="57" s="1"/>
  <c r="K413" i="57" s="1"/>
  <c r="K414" i="57" s="1"/>
  <c r="K415" i="57" s="1"/>
  <c r="K416" i="57" s="1"/>
  <c r="K417" i="57" s="1"/>
  <c r="K418" i="57" s="1"/>
  <c r="K419" i="57" s="1"/>
  <c r="K420" i="57" s="1"/>
  <c r="K421" i="57" s="1"/>
  <c r="K422" i="57" s="1"/>
  <c r="K423" i="57" s="1"/>
  <c r="K424" i="57" s="1"/>
  <c r="K425" i="57" s="1"/>
  <c r="K426" i="57" s="1"/>
  <c r="K427" i="57" s="1"/>
  <c r="K428" i="57" s="1"/>
  <c r="K429" i="57" s="1"/>
  <c r="K430" i="57" s="1"/>
  <c r="K431" i="57" s="1"/>
  <c r="K432" i="57" s="1"/>
  <c r="K433" i="57" s="1"/>
  <c r="K434" i="57" s="1"/>
  <c r="K435" i="57" s="1"/>
  <c r="K436" i="57" s="1"/>
  <c r="K437" i="57" s="1"/>
  <c r="K438" i="57" s="1"/>
  <c r="K439" i="57" s="1"/>
  <c r="K440" i="57" s="1"/>
  <c r="K441" i="57" s="1"/>
  <c r="K442" i="57" s="1"/>
  <c r="K443" i="57" s="1"/>
  <c r="K444" i="57" s="1"/>
  <c r="K445" i="57" s="1"/>
  <c r="K446" i="57" s="1"/>
  <c r="K447" i="57" s="1"/>
  <c r="K448" i="57" s="1"/>
  <c r="K449" i="57" s="1"/>
  <c r="K450" i="57" s="1"/>
  <c r="K451" i="57" s="1"/>
  <c r="K452" i="57" s="1"/>
  <c r="K453" i="57" s="1"/>
  <c r="K454" i="57" s="1"/>
  <c r="K455" i="57" s="1"/>
  <c r="K456" i="57" s="1"/>
  <c r="K457" i="57" s="1"/>
  <c r="K458" i="57" s="1"/>
  <c r="K459" i="57" s="1"/>
  <c r="K460" i="57" s="1"/>
  <c r="K461" i="57" s="1"/>
  <c r="K462" i="57" s="1"/>
  <c r="K463" i="57" s="1"/>
  <c r="K464" i="57" s="1"/>
  <c r="K465" i="57" s="1"/>
  <c r="K466" i="57" s="1"/>
  <c r="K467" i="57" s="1"/>
  <c r="K468" i="57" s="1"/>
  <c r="K469" i="57" s="1"/>
  <c r="K470" i="57" s="1"/>
  <c r="K471" i="57" s="1"/>
  <c r="K472" i="57" s="1"/>
  <c r="K473" i="57" s="1"/>
  <c r="K474" i="57" s="1"/>
  <c r="K475" i="57" s="1"/>
  <c r="K476" i="57" s="1"/>
  <c r="K477" i="57" s="1"/>
  <c r="K478" i="57" s="1"/>
  <c r="K479" i="57" s="1"/>
  <c r="K480" i="57" s="1"/>
  <c r="K481" i="57" s="1"/>
  <c r="K482" i="57" s="1"/>
  <c r="K483" i="57" s="1"/>
  <c r="K484" i="57" s="1"/>
  <c r="K485" i="57" s="1"/>
  <c r="K486" i="57" s="1"/>
  <c r="K487" i="57" s="1"/>
  <c r="K488" i="57" s="1"/>
  <c r="K489" i="57" s="1"/>
  <c r="K490" i="57" s="1"/>
  <c r="K491" i="57" s="1"/>
  <c r="K492" i="57" s="1"/>
  <c r="K493" i="57" s="1"/>
  <c r="K494" i="57" s="1"/>
  <c r="K495" i="57" s="1"/>
  <c r="K496" i="57" s="1"/>
  <c r="K497" i="57" s="1"/>
  <c r="K498" i="57" s="1"/>
  <c r="K499" i="57" s="1"/>
  <c r="K500" i="57" s="1"/>
  <c r="K501" i="57" s="1"/>
  <c r="K502" i="57" s="1"/>
  <c r="K503" i="57" s="1"/>
  <c r="K504" i="57" s="1"/>
  <c r="K505" i="57" s="1"/>
  <c r="K506" i="57" s="1"/>
  <c r="K507" i="57" s="1"/>
  <c r="K508" i="57" s="1"/>
  <c r="K509" i="57" s="1"/>
  <c r="K510" i="57" s="1"/>
  <c r="K511" i="57" s="1"/>
  <c r="K512" i="57" s="1"/>
  <c r="K513" i="57" s="1"/>
  <c r="K514" i="57" s="1"/>
  <c r="K515" i="57" s="1"/>
  <c r="K516" i="57" s="1"/>
  <c r="K517" i="57" s="1"/>
  <c r="K518" i="57" s="1"/>
  <c r="K519" i="57" s="1"/>
  <c r="K520" i="57" s="1"/>
  <c r="K521" i="57" s="1"/>
  <c r="K522" i="57" s="1"/>
  <c r="K523" i="57" s="1"/>
  <c r="K524" i="57" s="1"/>
  <c r="K525" i="57" s="1"/>
  <c r="F167" i="57"/>
  <c r="F168" i="57" s="1"/>
  <c r="F169" i="57" s="1"/>
  <c r="F170" i="57" s="1"/>
  <c r="F171" i="57" s="1"/>
  <c r="F172" i="57" s="1"/>
  <c r="F173" i="57" s="1"/>
  <c r="F174" i="57" s="1"/>
  <c r="F175" i="57" s="1"/>
  <c r="F176" i="57" s="1"/>
  <c r="F177" i="57" s="1"/>
  <c r="F178" i="57" s="1"/>
  <c r="F179" i="57" s="1"/>
  <c r="F180" i="57" s="1"/>
  <c r="F181" i="57" s="1"/>
  <c r="F182" i="57" s="1"/>
  <c r="F183" i="57" s="1"/>
  <c r="F184" i="57" s="1"/>
  <c r="F185" i="57" s="1"/>
  <c r="F186" i="57" s="1"/>
  <c r="F187" i="57" s="1"/>
  <c r="F188" i="57" s="1"/>
  <c r="F189" i="57" s="1"/>
  <c r="F190" i="57" s="1"/>
  <c r="F191" i="57" s="1"/>
  <c r="F192" i="57" s="1"/>
  <c r="F193" i="57" s="1"/>
  <c r="F194" i="57" s="1"/>
  <c r="F195" i="57" s="1"/>
  <c r="F196" i="57" s="1"/>
  <c r="F197" i="57" s="1"/>
  <c r="F198" i="57" s="1"/>
  <c r="F199" i="57" s="1"/>
  <c r="F200" i="57" s="1"/>
  <c r="F201" i="57" s="1"/>
  <c r="F202" i="57" s="1"/>
  <c r="F203" i="57" s="1"/>
  <c r="F204" i="57" s="1"/>
  <c r="F205" i="57" s="1"/>
  <c r="F206" i="57" s="1"/>
  <c r="F207" i="57" s="1"/>
  <c r="F208" i="57" s="1"/>
  <c r="F209" i="57" s="1"/>
  <c r="F210" i="57" s="1"/>
  <c r="F211" i="57" s="1"/>
  <c r="F212" i="57" s="1"/>
  <c r="F213" i="57" s="1"/>
  <c r="F214" i="57" s="1"/>
  <c r="F215" i="57" s="1"/>
  <c r="F216" i="57" s="1"/>
  <c r="F217" i="57" s="1"/>
  <c r="F218" i="57" s="1"/>
  <c r="F219" i="57" s="1"/>
  <c r="F220" i="57" s="1"/>
  <c r="F221" i="57" s="1"/>
  <c r="F222" i="57" s="1"/>
  <c r="F223" i="57" s="1"/>
  <c r="F224" i="57" s="1"/>
  <c r="F225" i="57" s="1"/>
  <c r="F226" i="57" s="1"/>
  <c r="F227" i="57" s="1"/>
  <c r="F228" i="57" s="1"/>
  <c r="F229" i="57" s="1"/>
  <c r="F230" i="57" s="1"/>
  <c r="F231" i="57" s="1"/>
  <c r="F232" i="57" s="1"/>
  <c r="F233" i="57" s="1"/>
  <c r="F234" i="57" s="1"/>
  <c r="F235" i="57" s="1"/>
  <c r="F236" i="57" s="1"/>
  <c r="F237" i="57" s="1"/>
  <c r="F238" i="57" s="1"/>
  <c r="F239" i="57" s="1"/>
  <c r="F240" i="57" s="1"/>
  <c r="F241" i="57" s="1"/>
  <c r="F242" i="57" s="1"/>
  <c r="F243" i="57" s="1"/>
  <c r="F244" i="57" s="1"/>
  <c r="F245" i="57" s="1"/>
  <c r="F246" i="57" s="1"/>
  <c r="F247" i="57" s="1"/>
  <c r="F248" i="57" s="1"/>
  <c r="F249" i="57" s="1"/>
  <c r="F250" i="57" s="1"/>
  <c r="F251" i="57" s="1"/>
  <c r="F252" i="57" s="1"/>
  <c r="F253" i="57" s="1"/>
  <c r="F254" i="57" s="1"/>
  <c r="F255" i="57" s="1"/>
  <c r="F256" i="57" s="1"/>
  <c r="F257" i="57" s="1"/>
  <c r="F258" i="57" s="1"/>
  <c r="F259" i="57" s="1"/>
  <c r="F260" i="57" s="1"/>
  <c r="F261" i="57" s="1"/>
  <c r="F262" i="57" s="1"/>
  <c r="F263" i="57" s="1"/>
  <c r="F264" i="57" s="1"/>
  <c r="F265" i="57" s="1"/>
  <c r="F266" i="57" s="1"/>
  <c r="F267" i="57" s="1"/>
  <c r="F268" i="57" s="1"/>
  <c r="F269" i="57" s="1"/>
  <c r="F270" i="57" s="1"/>
  <c r="F271" i="57" s="1"/>
  <c r="F272" i="57" s="1"/>
  <c r="F273" i="57" s="1"/>
  <c r="F274" i="57" s="1"/>
  <c r="F275" i="57" s="1"/>
  <c r="F276" i="57" s="1"/>
  <c r="F277" i="57" s="1"/>
  <c r="F278" i="57" s="1"/>
  <c r="F279" i="57" s="1"/>
  <c r="F280" i="57" s="1"/>
  <c r="F281" i="57" s="1"/>
  <c r="F282" i="57" s="1"/>
  <c r="F283" i="57" s="1"/>
  <c r="F284" i="57" s="1"/>
  <c r="F285" i="57" s="1"/>
  <c r="F286" i="57" s="1"/>
  <c r="F287" i="57" s="1"/>
  <c r="F288" i="57" s="1"/>
  <c r="F289" i="57" s="1"/>
  <c r="F290" i="57" s="1"/>
  <c r="F291" i="57" s="1"/>
  <c r="F292" i="57" s="1"/>
  <c r="F293" i="57" s="1"/>
  <c r="F294" i="57" s="1"/>
  <c r="F295" i="57" s="1"/>
  <c r="F296" i="57" s="1"/>
  <c r="F297" i="57" s="1"/>
  <c r="F298" i="57" s="1"/>
  <c r="F299" i="57" s="1"/>
  <c r="F300" i="57" s="1"/>
  <c r="F301" i="57" s="1"/>
  <c r="F302" i="57" s="1"/>
  <c r="F303" i="57" s="1"/>
  <c r="F304" i="57" s="1"/>
  <c r="F305" i="57" s="1"/>
  <c r="F306" i="57" s="1"/>
  <c r="F307" i="57" s="1"/>
  <c r="F308" i="57" s="1"/>
  <c r="F309" i="57" s="1"/>
  <c r="F310" i="57" s="1"/>
  <c r="F311" i="57" s="1"/>
  <c r="F312" i="57" s="1"/>
  <c r="F313" i="57" s="1"/>
  <c r="F314" i="57" s="1"/>
  <c r="F315" i="57" s="1"/>
  <c r="F316" i="57" s="1"/>
  <c r="F317" i="57" s="1"/>
  <c r="F318" i="57" s="1"/>
  <c r="F319" i="57" s="1"/>
  <c r="F320" i="57" s="1"/>
  <c r="F321" i="57" s="1"/>
  <c r="F322" i="57" s="1"/>
  <c r="F323" i="57" s="1"/>
  <c r="F324" i="57" s="1"/>
  <c r="F325" i="57" s="1"/>
  <c r="F326" i="57" s="1"/>
  <c r="F327" i="57" s="1"/>
  <c r="F328" i="57" s="1"/>
  <c r="F329" i="57" s="1"/>
  <c r="F330" i="57" s="1"/>
  <c r="F331" i="57" s="1"/>
  <c r="F332" i="57" s="1"/>
  <c r="F333" i="57" s="1"/>
  <c r="F334" i="57" s="1"/>
  <c r="F335" i="57" s="1"/>
  <c r="F336" i="57" s="1"/>
  <c r="F337" i="57" s="1"/>
  <c r="F338" i="57" s="1"/>
  <c r="F339" i="57" s="1"/>
  <c r="F340" i="57" s="1"/>
  <c r="F341" i="57" s="1"/>
  <c r="F342" i="57" s="1"/>
  <c r="F343" i="57" s="1"/>
  <c r="F344" i="57" s="1"/>
  <c r="F345" i="57" s="1"/>
  <c r="F346" i="57" s="1"/>
  <c r="F347" i="57" s="1"/>
  <c r="F348" i="57" s="1"/>
  <c r="F349" i="57" s="1"/>
  <c r="F350" i="57" s="1"/>
  <c r="F351" i="57" s="1"/>
  <c r="F352" i="57" s="1"/>
  <c r="F353" i="57" s="1"/>
  <c r="F354" i="57" s="1"/>
  <c r="F355" i="57" s="1"/>
  <c r="F356" i="57" s="1"/>
  <c r="F357" i="57" s="1"/>
  <c r="F358" i="57" s="1"/>
  <c r="F359" i="57" s="1"/>
  <c r="F360" i="57" s="1"/>
  <c r="F361" i="57" s="1"/>
  <c r="F362" i="57" s="1"/>
  <c r="F363" i="57" s="1"/>
  <c r="F364" i="57" s="1"/>
  <c r="F365" i="57" s="1"/>
  <c r="F366" i="57" s="1"/>
  <c r="F367" i="57" s="1"/>
  <c r="F368" i="57" s="1"/>
  <c r="F369" i="57" s="1"/>
  <c r="F370" i="57" s="1"/>
  <c r="F371" i="57" s="1"/>
  <c r="F372" i="57" s="1"/>
  <c r="F373" i="57" s="1"/>
  <c r="F374" i="57" s="1"/>
  <c r="F375" i="57" s="1"/>
  <c r="F376" i="57" s="1"/>
  <c r="F377" i="57" s="1"/>
  <c r="F378" i="57" s="1"/>
  <c r="F379" i="57" s="1"/>
  <c r="F380" i="57" s="1"/>
  <c r="F381" i="57" s="1"/>
  <c r="F382" i="57" s="1"/>
  <c r="F383" i="57" s="1"/>
  <c r="F384" i="57" s="1"/>
  <c r="F385" i="57" s="1"/>
  <c r="F386" i="57" s="1"/>
  <c r="F387" i="57" s="1"/>
  <c r="F388" i="57" s="1"/>
  <c r="F389" i="57" s="1"/>
  <c r="F390" i="57" s="1"/>
  <c r="F391" i="57" s="1"/>
  <c r="F392" i="57" s="1"/>
  <c r="F393" i="57" s="1"/>
  <c r="F394" i="57" s="1"/>
  <c r="F395" i="57" s="1"/>
  <c r="F396" i="57" s="1"/>
  <c r="F397" i="57" s="1"/>
  <c r="F398" i="57" s="1"/>
  <c r="F399" i="57" s="1"/>
  <c r="F400" i="57" s="1"/>
  <c r="F401" i="57" s="1"/>
  <c r="F402" i="57" s="1"/>
  <c r="F403" i="57" s="1"/>
  <c r="F404" i="57" s="1"/>
  <c r="F405" i="57" s="1"/>
  <c r="F406" i="57" s="1"/>
  <c r="F407" i="57" s="1"/>
  <c r="F408" i="57" s="1"/>
  <c r="F409" i="57" s="1"/>
  <c r="F410" i="57" s="1"/>
  <c r="F411" i="57" s="1"/>
  <c r="F412" i="57" s="1"/>
  <c r="F413" i="57" s="1"/>
  <c r="F414" i="57" s="1"/>
  <c r="F415" i="57" s="1"/>
  <c r="F416" i="57" s="1"/>
  <c r="F417" i="57" s="1"/>
  <c r="F418" i="57" s="1"/>
  <c r="F419" i="57" s="1"/>
  <c r="F420" i="57" s="1"/>
  <c r="F421" i="57" s="1"/>
  <c r="F422" i="57" s="1"/>
  <c r="F423" i="57" s="1"/>
  <c r="F424" i="57" s="1"/>
  <c r="F425" i="57" s="1"/>
  <c r="F426" i="57" s="1"/>
  <c r="F427" i="57" s="1"/>
  <c r="F428" i="57" s="1"/>
  <c r="F429" i="57" s="1"/>
  <c r="F430" i="57" s="1"/>
  <c r="F431" i="57" s="1"/>
  <c r="F432" i="57" s="1"/>
  <c r="F433" i="57" s="1"/>
  <c r="F434" i="57" s="1"/>
  <c r="F435" i="57" s="1"/>
  <c r="F436" i="57" s="1"/>
  <c r="F437" i="57" s="1"/>
  <c r="F438" i="57" s="1"/>
  <c r="F439" i="57" s="1"/>
  <c r="F440" i="57" s="1"/>
  <c r="F441" i="57" s="1"/>
  <c r="F442" i="57" s="1"/>
  <c r="F443" i="57" s="1"/>
  <c r="F444" i="57" s="1"/>
  <c r="F445" i="57" s="1"/>
  <c r="F446" i="57" s="1"/>
  <c r="F447" i="57" s="1"/>
  <c r="F448" i="57" s="1"/>
  <c r="F449" i="57" s="1"/>
  <c r="F450" i="57" s="1"/>
  <c r="F451" i="57" s="1"/>
  <c r="F452" i="57" s="1"/>
  <c r="F453" i="57" s="1"/>
  <c r="F454" i="57" s="1"/>
  <c r="F455" i="57" s="1"/>
  <c r="F456" i="57" s="1"/>
  <c r="F457" i="57" s="1"/>
  <c r="F458" i="57" s="1"/>
  <c r="F459" i="57" s="1"/>
  <c r="F460" i="57" s="1"/>
  <c r="F461" i="57" s="1"/>
  <c r="F462" i="57" s="1"/>
  <c r="F463" i="57" s="1"/>
  <c r="F464" i="57" s="1"/>
  <c r="F465" i="57" s="1"/>
  <c r="F466" i="57" s="1"/>
  <c r="F467" i="57" s="1"/>
  <c r="F468" i="57" s="1"/>
  <c r="F469" i="57" s="1"/>
  <c r="F470" i="57" s="1"/>
  <c r="F471" i="57" s="1"/>
  <c r="F472" i="57" s="1"/>
  <c r="F473" i="57" s="1"/>
  <c r="F474" i="57" s="1"/>
  <c r="F475" i="57" s="1"/>
  <c r="F476" i="57" s="1"/>
  <c r="F477" i="57" s="1"/>
  <c r="F478" i="57" s="1"/>
  <c r="F479" i="57" s="1"/>
  <c r="F480" i="57" s="1"/>
  <c r="F481" i="57" s="1"/>
  <c r="F482" i="57" s="1"/>
  <c r="F483" i="57" s="1"/>
  <c r="F484" i="57" s="1"/>
  <c r="F485" i="57" s="1"/>
  <c r="F486" i="57" s="1"/>
  <c r="F487" i="57" s="1"/>
  <c r="F488" i="57" s="1"/>
  <c r="F489" i="57" s="1"/>
  <c r="F490" i="57" s="1"/>
  <c r="F491" i="57" s="1"/>
  <c r="F492" i="57" s="1"/>
  <c r="F493" i="57" s="1"/>
  <c r="F494" i="57" s="1"/>
  <c r="F495" i="57" s="1"/>
  <c r="F496" i="57" s="1"/>
  <c r="F497" i="57" s="1"/>
  <c r="F498" i="57" s="1"/>
  <c r="F499" i="57" s="1"/>
  <c r="F500" i="57" s="1"/>
  <c r="F501" i="57" s="1"/>
  <c r="F502" i="57" s="1"/>
  <c r="F503" i="57" s="1"/>
  <c r="F504" i="57" s="1"/>
  <c r="F505" i="57" s="1"/>
  <c r="F506" i="57" s="1"/>
  <c r="F507" i="57" s="1"/>
  <c r="F508" i="57" s="1"/>
  <c r="F509" i="57" s="1"/>
  <c r="F510" i="57" s="1"/>
  <c r="F511" i="57" s="1"/>
  <c r="F512" i="57" s="1"/>
  <c r="F513" i="57" s="1"/>
  <c r="F514" i="57" s="1"/>
  <c r="F515" i="57" s="1"/>
  <c r="F516" i="57" s="1"/>
  <c r="F517" i="57" s="1"/>
  <c r="F518" i="57" s="1"/>
  <c r="F519" i="57" s="1"/>
  <c r="F520" i="57" s="1"/>
  <c r="F521" i="57" s="1"/>
  <c r="F522" i="57" s="1"/>
  <c r="F523" i="57" s="1"/>
  <c r="F524" i="57" s="1"/>
  <c r="F525" i="57" s="1"/>
  <c r="A167" i="57"/>
  <c r="A168" i="57" s="1"/>
  <c r="A169" i="57" s="1"/>
  <c r="A170" i="57" s="1"/>
  <c r="A171" i="57" s="1"/>
  <c r="A172" i="57" s="1"/>
  <c r="A173" i="57" s="1"/>
  <c r="A174" i="57" s="1"/>
  <c r="A175" i="57" s="1"/>
  <c r="A176" i="57" s="1"/>
  <c r="A177" i="57" s="1"/>
  <c r="A178" i="57" s="1"/>
  <c r="A179" i="57" s="1"/>
  <c r="A180" i="57" s="1"/>
  <c r="A181" i="57" s="1"/>
  <c r="A182" i="57" s="1"/>
  <c r="A183" i="57" s="1"/>
  <c r="A184" i="57" s="1"/>
  <c r="A185" i="57" s="1"/>
  <c r="A186" i="57" s="1"/>
  <c r="A187" i="57" s="1"/>
  <c r="A188" i="57" s="1"/>
  <c r="A189" i="57" s="1"/>
  <c r="A190" i="57" s="1"/>
  <c r="A191" i="57" s="1"/>
  <c r="A192" i="57" s="1"/>
  <c r="A193" i="57" s="1"/>
  <c r="A194" i="57" s="1"/>
  <c r="A195" i="57" s="1"/>
  <c r="A196" i="57" s="1"/>
  <c r="A197" i="57" s="1"/>
  <c r="A198" i="57" s="1"/>
  <c r="A199" i="57" s="1"/>
  <c r="A200" i="57" s="1"/>
  <c r="A201" i="57" s="1"/>
  <c r="A202" i="57" s="1"/>
  <c r="A203" i="57" s="1"/>
  <c r="A204" i="57" s="1"/>
  <c r="A205" i="57" s="1"/>
  <c r="A206" i="57" s="1"/>
  <c r="A207" i="57" s="1"/>
  <c r="A208" i="57" s="1"/>
  <c r="A209" i="57" s="1"/>
  <c r="A210" i="57" s="1"/>
  <c r="A211" i="57" s="1"/>
  <c r="A212" i="57" s="1"/>
  <c r="A213" i="57" s="1"/>
  <c r="A214" i="57" s="1"/>
  <c r="A215" i="57" s="1"/>
  <c r="A216" i="57" s="1"/>
  <c r="A217" i="57" s="1"/>
  <c r="A218" i="57" s="1"/>
  <c r="A219" i="57" s="1"/>
  <c r="A220" i="57" s="1"/>
  <c r="A221" i="57" s="1"/>
  <c r="A222" i="57" s="1"/>
  <c r="A223" i="57" s="1"/>
  <c r="A224" i="57" s="1"/>
  <c r="A225" i="57" s="1"/>
  <c r="A226" i="57" s="1"/>
  <c r="A227" i="57" s="1"/>
  <c r="A228" i="57" s="1"/>
  <c r="A229" i="57" s="1"/>
  <c r="A230" i="57" s="1"/>
  <c r="A231" i="57" s="1"/>
  <c r="A232" i="57" s="1"/>
  <c r="A233" i="57" s="1"/>
  <c r="A234" i="57" s="1"/>
  <c r="A235" i="57" s="1"/>
  <c r="A236" i="57" s="1"/>
  <c r="A237" i="57" s="1"/>
  <c r="A238" i="57" s="1"/>
  <c r="A239" i="57" s="1"/>
  <c r="A240" i="57" s="1"/>
  <c r="A241" i="57" s="1"/>
  <c r="A242" i="57" s="1"/>
  <c r="A243" i="57" s="1"/>
  <c r="A244" i="57" s="1"/>
  <c r="A245" i="57" s="1"/>
  <c r="A246" i="57" s="1"/>
  <c r="A247" i="57" s="1"/>
  <c r="A248" i="57" s="1"/>
  <c r="A249" i="57" s="1"/>
  <c r="A250" i="57" s="1"/>
  <c r="A251" i="57" s="1"/>
  <c r="A252" i="57" s="1"/>
  <c r="A253" i="57" s="1"/>
  <c r="A254" i="57" s="1"/>
  <c r="A255" i="57" s="1"/>
  <c r="A256" i="57" s="1"/>
  <c r="A257" i="57" s="1"/>
  <c r="A258" i="57" s="1"/>
  <c r="A259" i="57" s="1"/>
  <c r="A260" i="57" s="1"/>
  <c r="A261" i="57" s="1"/>
  <c r="A262" i="57" s="1"/>
  <c r="A263" i="57" s="1"/>
  <c r="A264" i="57" s="1"/>
  <c r="A265" i="57" s="1"/>
  <c r="A266" i="57" s="1"/>
  <c r="A267" i="57" s="1"/>
  <c r="A268" i="57" s="1"/>
  <c r="A269" i="57" s="1"/>
  <c r="A270" i="57" s="1"/>
  <c r="A271" i="57" s="1"/>
  <c r="A272" i="57" s="1"/>
  <c r="A273" i="57" s="1"/>
  <c r="A274" i="57" s="1"/>
  <c r="A275" i="57" s="1"/>
  <c r="A276" i="57" s="1"/>
  <c r="A277" i="57" s="1"/>
  <c r="A278" i="57" s="1"/>
  <c r="A279" i="57" s="1"/>
  <c r="A280" i="57" s="1"/>
  <c r="A281" i="57" s="1"/>
  <c r="A282" i="57" s="1"/>
  <c r="A283" i="57" s="1"/>
  <c r="A284" i="57" s="1"/>
  <c r="A285" i="57" s="1"/>
  <c r="A286" i="57" s="1"/>
  <c r="A287" i="57" s="1"/>
  <c r="A288" i="57" s="1"/>
  <c r="A289" i="57" s="1"/>
  <c r="A290" i="57" s="1"/>
  <c r="A291" i="57" s="1"/>
  <c r="A292" i="57" s="1"/>
  <c r="A293" i="57" s="1"/>
  <c r="A294" i="57" s="1"/>
  <c r="A295" i="57" s="1"/>
  <c r="A296" i="57" s="1"/>
  <c r="A297" i="57" s="1"/>
  <c r="A298" i="57" s="1"/>
  <c r="A299" i="57" s="1"/>
  <c r="A300" i="57" s="1"/>
  <c r="A301" i="57" s="1"/>
  <c r="A302" i="57" s="1"/>
  <c r="A303" i="57" s="1"/>
  <c r="A304" i="57" s="1"/>
  <c r="A305" i="57" s="1"/>
  <c r="A306" i="57" s="1"/>
  <c r="A307" i="57" s="1"/>
  <c r="A308" i="57" s="1"/>
  <c r="A309" i="57" s="1"/>
  <c r="A310" i="57" s="1"/>
  <c r="A311" i="57" s="1"/>
  <c r="A312" i="57" s="1"/>
  <c r="A313" i="57" s="1"/>
  <c r="A314" i="57" s="1"/>
  <c r="A315" i="57" s="1"/>
  <c r="A316" i="57" s="1"/>
  <c r="A317" i="57" s="1"/>
  <c r="A318" i="57" s="1"/>
  <c r="A319" i="57" s="1"/>
  <c r="A320" i="57" s="1"/>
  <c r="A321" i="57" s="1"/>
  <c r="A322" i="57" s="1"/>
  <c r="A323" i="57" s="1"/>
  <c r="A324" i="57" s="1"/>
  <c r="A325" i="57" s="1"/>
  <c r="A326" i="57" s="1"/>
  <c r="A327" i="57" s="1"/>
  <c r="A328" i="57" s="1"/>
  <c r="A329" i="57" s="1"/>
  <c r="A330" i="57" s="1"/>
  <c r="A331" i="57" s="1"/>
  <c r="A332" i="57" s="1"/>
  <c r="A333" i="57" s="1"/>
  <c r="A334" i="57" s="1"/>
  <c r="A335" i="57" s="1"/>
  <c r="A336" i="57" s="1"/>
  <c r="A337" i="57" s="1"/>
  <c r="A338" i="57" s="1"/>
  <c r="A339" i="57" s="1"/>
  <c r="A340" i="57" s="1"/>
  <c r="A341" i="57" s="1"/>
  <c r="A342" i="57" s="1"/>
  <c r="A343" i="57" s="1"/>
  <c r="A344" i="57" s="1"/>
  <c r="A345" i="57" s="1"/>
  <c r="A346" i="57" s="1"/>
  <c r="A347" i="57" s="1"/>
  <c r="A348" i="57" s="1"/>
  <c r="A349" i="57" s="1"/>
  <c r="A350" i="57" s="1"/>
  <c r="A351" i="57" s="1"/>
  <c r="A352" i="57" s="1"/>
  <c r="A353" i="57" s="1"/>
  <c r="A354" i="57" s="1"/>
  <c r="A355" i="57" s="1"/>
  <c r="A356" i="57" s="1"/>
  <c r="A357" i="57" s="1"/>
  <c r="A358" i="57" s="1"/>
  <c r="A359" i="57" s="1"/>
  <c r="A360" i="57" s="1"/>
  <c r="A361" i="57" s="1"/>
  <c r="A362" i="57" s="1"/>
  <c r="A363" i="57" s="1"/>
  <c r="A364" i="57" s="1"/>
  <c r="A365" i="57" s="1"/>
  <c r="A366" i="57" s="1"/>
  <c r="A367" i="57" s="1"/>
  <c r="A368" i="57" s="1"/>
  <c r="A369" i="57" s="1"/>
  <c r="A370" i="57" s="1"/>
  <c r="A371" i="57" s="1"/>
  <c r="A372" i="57" s="1"/>
  <c r="A373" i="57" s="1"/>
  <c r="A374" i="57" s="1"/>
  <c r="A375" i="57" s="1"/>
  <c r="A376" i="57" s="1"/>
  <c r="A377" i="57" s="1"/>
  <c r="A378" i="57" s="1"/>
  <c r="A379" i="57" s="1"/>
  <c r="A380" i="57" s="1"/>
  <c r="A381" i="57" s="1"/>
  <c r="A382" i="57" s="1"/>
  <c r="A383" i="57" s="1"/>
  <c r="A384" i="57" s="1"/>
  <c r="A385" i="57" s="1"/>
  <c r="A386" i="57" s="1"/>
  <c r="A387" i="57" s="1"/>
  <c r="A388" i="57" s="1"/>
  <c r="A389" i="57" s="1"/>
  <c r="A390" i="57" s="1"/>
  <c r="A391" i="57" s="1"/>
  <c r="A392" i="57" s="1"/>
  <c r="A393" i="57" s="1"/>
  <c r="A394" i="57" s="1"/>
  <c r="A395" i="57" s="1"/>
  <c r="A396" i="57" s="1"/>
  <c r="A397" i="57" s="1"/>
  <c r="A398" i="57" s="1"/>
  <c r="A399" i="57" s="1"/>
  <c r="A400" i="57" s="1"/>
  <c r="A401" i="57" s="1"/>
  <c r="A402" i="57" s="1"/>
  <c r="A403" i="57" s="1"/>
  <c r="A404" i="57" s="1"/>
  <c r="A405" i="57" s="1"/>
  <c r="A406" i="57" s="1"/>
  <c r="A407" i="57" s="1"/>
  <c r="A408" i="57" s="1"/>
  <c r="A409" i="57" s="1"/>
  <c r="A410" i="57" s="1"/>
  <c r="A411" i="57" s="1"/>
  <c r="A412" i="57" s="1"/>
  <c r="A413" i="57" s="1"/>
  <c r="A414" i="57" s="1"/>
  <c r="A415" i="57" s="1"/>
  <c r="A416" i="57" s="1"/>
  <c r="A417" i="57" s="1"/>
  <c r="A418" i="57" s="1"/>
  <c r="A419" i="57" s="1"/>
  <c r="A420" i="57" s="1"/>
  <c r="A421" i="57" s="1"/>
  <c r="A422" i="57" s="1"/>
  <c r="A423" i="57" s="1"/>
  <c r="A424" i="57" s="1"/>
  <c r="A425" i="57" s="1"/>
  <c r="A426" i="57" s="1"/>
  <c r="A427" i="57" s="1"/>
  <c r="A428" i="57" s="1"/>
  <c r="A429" i="57" s="1"/>
  <c r="A430" i="57" s="1"/>
  <c r="A431" i="57" s="1"/>
  <c r="A432" i="57" s="1"/>
  <c r="A433" i="57" s="1"/>
  <c r="A434" i="57" s="1"/>
  <c r="A435" i="57" s="1"/>
  <c r="A436" i="57" s="1"/>
  <c r="A437" i="57" s="1"/>
  <c r="A438" i="57" s="1"/>
  <c r="A439" i="57" s="1"/>
  <c r="A440" i="57" s="1"/>
  <c r="A441" i="57" s="1"/>
  <c r="A442" i="57" s="1"/>
  <c r="A443" i="57" s="1"/>
  <c r="A444" i="57" s="1"/>
  <c r="A445" i="57" s="1"/>
  <c r="A446" i="57" s="1"/>
  <c r="A447" i="57" s="1"/>
  <c r="A448" i="57" s="1"/>
  <c r="A449" i="57" s="1"/>
  <c r="A450" i="57" s="1"/>
  <c r="A451" i="57" s="1"/>
  <c r="A452" i="57" s="1"/>
  <c r="A453" i="57" s="1"/>
  <c r="A454" i="57" s="1"/>
  <c r="A455" i="57" s="1"/>
  <c r="A456" i="57" s="1"/>
  <c r="A457" i="57" s="1"/>
  <c r="A458" i="57" s="1"/>
  <c r="A459" i="57" s="1"/>
  <c r="A460" i="57" s="1"/>
  <c r="A461" i="57" s="1"/>
  <c r="A462" i="57" s="1"/>
  <c r="A463" i="57" s="1"/>
  <c r="A464" i="57" s="1"/>
  <c r="A465" i="57" s="1"/>
  <c r="A466" i="57" s="1"/>
  <c r="A467" i="57" s="1"/>
  <c r="A468" i="57" s="1"/>
  <c r="A469" i="57" s="1"/>
  <c r="A470" i="57" s="1"/>
  <c r="A471" i="57" s="1"/>
  <c r="A472" i="57" s="1"/>
  <c r="A473" i="57" s="1"/>
  <c r="A474" i="57" s="1"/>
  <c r="A475" i="57" s="1"/>
  <c r="A476" i="57" s="1"/>
  <c r="A477" i="57" s="1"/>
  <c r="A478" i="57" s="1"/>
  <c r="A479" i="57" s="1"/>
  <c r="A480" i="57" s="1"/>
  <c r="A481" i="57" s="1"/>
  <c r="A482" i="57" s="1"/>
  <c r="A483" i="57" s="1"/>
  <c r="A484" i="57" s="1"/>
  <c r="A485" i="57" s="1"/>
  <c r="A486" i="57" s="1"/>
  <c r="A487" i="57" s="1"/>
  <c r="A488" i="57" s="1"/>
  <c r="A489" i="57" s="1"/>
  <c r="A490" i="57" s="1"/>
  <c r="A491" i="57" s="1"/>
  <c r="A492" i="57" s="1"/>
  <c r="A493" i="57" s="1"/>
  <c r="A494" i="57" s="1"/>
  <c r="A495" i="57" s="1"/>
  <c r="A496" i="57" s="1"/>
  <c r="A497" i="57" s="1"/>
  <c r="A498" i="57" s="1"/>
  <c r="A499" i="57" s="1"/>
  <c r="A500" i="57" s="1"/>
  <c r="A501" i="57" s="1"/>
  <c r="A502" i="57" s="1"/>
  <c r="A503" i="57" s="1"/>
  <c r="A504" i="57" s="1"/>
  <c r="A505" i="57" s="1"/>
  <c r="A506" i="57" s="1"/>
  <c r="A507" i="57" s="1"/>
  <c r="A508" i="57" s="1"/>
  <c r="A509" i="57" s="1"/>
  <c r="A510" i="57" s="1"/>
  <c r="A511" i="57" s="1"/>
  <c r="A512" i="57" s="1"/>
  <c r="A513" i="57" s="1"/>
  <c r="A514" i="57" s="1"/>
  <c r="A515" i="57" s="1"/>
  <c r="A516" i="57" s="1"/>
  <c r="A517" i="57" s="1"/>
  <c r="A518" i="57" s="1"/>
  <c r="A519" i="57" s="1"/>
  <c r="A520" i="57" s="1"/>
  <c r="A521" i="57" s="1"/>
  <c r="A522" i="57" s="1"/>
  <c r="A523" i="57" s="1"/>
  <c r="A524" i="57" s="1"/>
  <c r="A525" i="57" s="1"/>
  <c r="H81" i="57"/>
  <c r="C79" i="57" s="1"/>
  <c r="E92" i="57"/>
  <c r="G62" i="47" s="1"/>
  <c r="E93" i="57"/>
  <c r="G63" i="47" s="1"/>
  <c r="AC156" i="57"/>
  <c r="X156" i="57"/>
  <c r="S156" i="57"/>
  <c r="AH154" i="57"/>
  <c r="AG154" i="57"/>
  <c r="AF154" i="57"/>
  <c r="AE154" i="57"/>
  <c r="AD154" i="57"/>
  <c r="AC154" i="57"/>
  <c r="AB154" i="57"/>
  <c r="AA154" i="57"/>
  <c r="Z154" i="57"/>
  <c r="Y154" i="57"/>
  <c r="X154" i="57"/>
  <c r="W154" i="57"/>
  <c r="V154" i="57"/>
  <c r="U154" i="57"/>
  <c r="T154" i="57"/>
  <c r="S154" i="57"/>
  <c r="R154" i="57"/>
  <c r="Q154" i="57"/>
  <c r="P154" i="57"/>
  <c r="O154" i="57"/>
  <c r="N154" i="57"/>
  <c r="M154" i="57"/>
  <c r="L154" i="57"/>
  <c r="K154" i="57"/>
  <c r="J154" i="57"/>
  <c r="I154" i="57"/>
  <c r="H154" i="57"/>
  <c r="G154" i="57"/>
  <c r="F154" i="57"/>
  <c r="E154" i="57"/>
  <c r="AH153" i="57"/>
  <c r="AG153" i="57"/>
  <c r="AF153" i="57"/>
  <c r="AE153" i="57"/>
  <c r="AD153" i="57"/>
  <c r="AC153" i="57"/>
  <c r="AB153" i="57"/>
  <c r="AA153" i="57"/>
  <c r="Z153" i="57"/>
  <c r="Y153" i="57"/>
  <c r="X153" i="57"/>
  <c r="W153" i="57"/>
  <c r="V153" i="57"/>
  <c r="U153" i="57"/>
  <c r="T153" i="57"/>
  <c r="S153" i="57"/>
  <c r="R153" i="57"/>
  <c r="Q153" i="57"/>
  <c r="P153" i="57"/>
  <c r="O153" i="57"/>
  <c r="N153" i="57"/>
  <c r="M153" i="57"/>
  <c r="L153" i="57"/>
  <c r="K153" i="57"/>
  <c r="J153" i="57"/>
  <c r="I153" i="57"/>
  <c r="H153" i="57"/>
  <c r="G153" i="57"/>
  <c r="F153" i="57"/>
  <c r="E153" i="57"/>
  <c r="D150" i="57"/>
  <c r="D146" i="57"/>
  <c r="D145" i="57"/>
  <c r="D138" i="57"/>
  <c r="D137" i="57"/>
  <c r="AC129" i="57"/>
  <c r="X129" i="57"/>
  <c r="S129" i="57"/>
  <c r="D128" i="57"/>
  <c r="D42" i="57"/>
  <c r="D44" i="57" s="1"/>
  <c r="E103" i="57" s="1"/>
  <c r="D103" i="57"/>
  <c r="C45" i="57"/>
  <c r="C47" i="57"/>
  <c r="D106" i="57" s="1"/>
  <c r="C48" i="57"/>
  <c r="D107" i="57" s="1"/>
  <c r="D109" i="57"/>
  <c r="AH115" i="57"/>
  <c r="AH116" i="57"/>
  <c r="AH117" i="57"/>
  <c r="D127" i="57"/>
  <c r="AC127" i="57"/>
  <c r="X127" i="57"/>
  <c r="S127" i="57"/>
  <c r="D124" i="57"/>
  <c r="AG117" i="57"/>
  <c r="AF117" i="57"/>
  <c r="AE117" i="57"/>
  <c r="AD117" i="57"/>
  <c r="AC117" i="57"/>
  <c r="AB117" i="57"/>
  <c r="Z117" i="57"/>
  <c r="Y117" i="57"/>
  <c r="X117" i="57"/>
  <c r="W117" i="57"/>
  <c r="V117" i="57"/>
  <c r="U117" i="57"/>
  <c r="T117" i="57"/>
  <c r="S117" i="57"/>
  <c r="R117" i="57"/>
  <c r="Q117" i="57"/>
  <c r="P117" i="57"/>
  <c r="O117" i="57"/>
  <c r="N117" i="57"/>
  <c r="M117" i="57"/>
  <c r="L117" i="57"/>
  <c r="K117" i="57"/>
  <c r="J117" i="57"/>
  <c r="I117" i="57"/>
  <c r="H117" i="57"/>
  <c r="G117" i="57"/>
  <c r="F117" i="57"/>
  <c r="E117" i="57"/>
  <c r="AG116" i="57"/>
  <c r="AF116" i="57"/>
  <c r="AE116" i="57"/>
  <c r="AD116" i="57"/>
  <c r="AC116" i="57"/>
  <c r="AB116" i="57"/>
  <c r="Z116" i="57"/>
  <c r="Y116" i="57"/>
  <c r="X116" i="57"/>
  <c r="W116" i="57"/>
  <c r="V116" i="57"/>
  <c r="U116" i="57"/>
  <c r="T116" i="57"/>
  <c r="S116" i="57"/>
  <c r="R116" i="57"/>
  <c r="Q116" i="57"/>
  <c r="P116" i="57"/>
  <c r="O116" i="57"/>
  <c r="N116" i="57"/>
  <c r="M116" i="57"/>
  <c r="L116" i="57"/>
  <c r="K116" i="57"/>
  <c r="J116" i="57"/>
  <c r="I116" i="57"/>
  <c r="H116" i="57"/>
  <c r="G116" i="57"/>
  <c r="F116" i="57"/>
  <c r="E116" i="57"/>
  <c r="AG115" i="57"/>
  <c r="AF115" i="57"/>
  <c r="AE115" i="57"/>
  <c r="AD115" i="57"/>
  <c r="AC115" i="57"/>
  <c r="AB115" i="57"/>
  <c r="Z115" i="57"/>
  <c r="Y115" i="57"/>
  <c r="X115" i="57"/>
  <c r="W115" i="57"/>
  <c r="V115" i="57"/>
  <c r="U115" i="57"/>
  <c r="T115" i="57"/>
  <c r="S115" i="57"/>
  <c r="R115" i="57"/>
  <c r="Q115" i="57"/>
  <c r="P115" i="57"/>
  <c r="O115" i="57"/>
  <c r="N115" i="57"/>
  <c r="M115" i="57"/>
  <c r="L115" i="57"/>
  <c r="K115" i="57"/>
  <c r="J115" i="57"/>
  <c r="I115" i="57"/>
  <c r="H115" i="57"/>
  <c r="G115" i="57"/>
  <c r="F115" i="57"/>
  <c r="E115" i="57"/>
  <c r="E88" i="57"/>
  <c r="G58" i="47" s="1"/>
  <c r="E87" i="57"/>
  <c r="G57" i="47" s="1"/>
  <c r="D86" i="57"/>
  <c r="G55" i="47" s="1"/>
  <c r="H90" i="57"/>
  <c r="H74" i="57"/>
  <c r="L5" i="57" s="1"/>
  <c r="G15" i="47" s="1"/>
  <c r="H54" i="57"/>
  <c r="L7" i="57" s="1"/>
  <c r="G17" i="47" s="1"/>
  <c r="H48" i="57"/>
  <c r="L6" i="57" s="1"/>
  <c r="D9" i="57"/>
  <c r="D158" i="57" s="1"/>
  <c r="K168" i="56"/>
  <c r="K169" i="56" s="1"/>
  <c r="K170" i="56" s="1"/>
  <c r="K171" i="56" s="1"/>
  <c r="K172" i="56" s="1"/>
  <c r="K173" i="56" s="1"/>
  <c r="K174" i="56" s="1"/>
  <c r="K175" i="56" s="1"/>
  <c r="K176" i="56" s="1"/>
  <c r="K177" i="56" s="1"/>
  <c r="K178" i="56" s="1"/>
  <c r="K179" i="56" s="1"/>
  <c r="K180" i="56" s="1"/>
  <c r="K181" i="56" s="1"/>
  <c r="K182" i="56" s="1"/>
  <c r="K183" i="56" s="1"/>
  <c r="K184" i="56" s="1"/>
  <c r="K185" i="56" s="1"/>
  <c r="K186" i="56" s="1"/>
  <c r="K187" i="56" s="1"/>
  <c r="K188" i="56" s="1"/>
  <c r="K189" i="56" s="1"/>
  <c r="K190" i="56" s="1"/>
  <c r="K191" i="56" s="1"/>
  <c r="K192" i="56" s="1"/>
  <c r="K193" i="56" s="1"/>
  <c r="K194" i="56" s="1"/>
  <c r="K195" i="56" s="1"/>
  <c r="K196" i="56" s="1"/>
  <c r="K197" i="56" s="1"/>
  <c r="K198" i="56" s="1"/>
  <c r="K199" i="56" s="1"/>
  <c r="K200" i="56" s="1"/>
  <c r="K201" i="56" s="1"/>
  <c r="K202" i="56" s="1"/>
  <c r="K203" i="56" s="1"/>
  <c r="K204" i="56" s="1"/>
  <c r="K205" i="56" s="1"/>
  <c r="K206" i="56" s="1"/>
  <c r="K207" i="56" s="1"/>
  <c r="K208" i="56" s="1"/>
  <c r="K209" i="56" s="1"/>
  <c r="K210" i="56" s="1"/>
  <c r="K211" i="56" s="1"/>
  <c r="K212" i="56" s="1"/>
  <c r="K213" i="56" s="1"/>
  <c r="K214" i="56" s="1"/>
  <c r="K215" i="56" s="1"/>
  <c r="K216" i="56" s="1"/>
  <c r="K217" i="56" s="1"/>
  <c r="K218" i="56" s="1"/>
  <c r="K219" i="56" s="1"/>
  <c r="K220" i="56" s="1"/>
  <c r="K221" i="56" s="1"/>
  <c r="K222" i="56" s="1"/>
  <c r="K223" i="56" s="1"/>
  <c r="K224" i="56" s="1"/>
  <c r="K225" i="56" s="1"/>
  <c r="K226" i="56" s="1"/>
  <c r="K227" i="56" s="1"/>
  <c r="K228" i="56" s="1"/>
  <c r="K229" i="56" s="1"/>
  <c r="K230" i="56" s="1"/>
  <c r="K231" i="56" s="1"/>
  <c r="K232" i="56" s="1"/>
  <c r="K233" i="56" s="1"/>
  <c r="K234" i="56" s="1"/>
  <c r="K235" i="56" s="1"/>
  <c r="K236" i="56" s="1"/>
  <c r="K237" i="56" s="1"/>
  <c r="K238" i="56" s="1"/>
  <c r="K239" i="56" s="1"/>
  <c r="K240" i="56" s="1"/>
  <c r="K241" i="56" s="1"/>
  <c r="K242" i="56" s="1"/>
  <c r="K243" i="56" s="1"/>
  <c r="K244" i="56" s="1"/>
  <c r="K245" i="56" s="1"/>
  <c r="K246" i="56" s="1"/>
  <c r="K247" i="56" s="1"/>
  <c r="K248" i="56" s="1"/>
  <c r="K249" i="56" s="1"/>
  <c r="K250" i="56" s="1"/>
  <c r="K251" i="56" s="1"/>
  <c r="K252" i="56" s="1"/>
  <c r="K253" i="56" s="1"/>
  <c r="K254" i="56" s="1"/>
  <c r="K255" i="56" s="1"/>
  <c r="K256" i="56" s="1"/>
  <c r="K257" i="56" s="1"/>
  <c r="K258" i="56" s="1"/>
  <c r="K259" i="56" s="1"/>
  <c r="K260" i="56" s="1"/>
  <c r="K261" i="56" s="1"/>
  <c r="K262" i="56" s="1"/>
  <c r="K263" i="56" s="1"/>
  <c r="K264" i="56" s="1"/>
  <c r="K265" i="56" s="1"/>
  <c r="K266" i="56" s="1"/>
  <c r="K267" i="56" s="1"/>
  <c r="K268" i="56" s="1"/>
  <c r="K269" i="56" s="1"/>
  <c r="K270" i="56" s="1"/>
  <c r="K271" i="56" s="1"/>
  <c r="K272" i="56" s="1"/>
  <c r="K273" i="56" s="1"/>
  <c r="K274" i="56" s="1"/>
  <c r="K275" i="56" s="1"/>
  <c r="K276" i="56" s="1"/>
  <c r="K277" i="56" s="1"/>
  <c r="K278" i="56" s="1"/>
  <c r="K279" i="56" s="1"/>
  <c r="K280" i="56" s="1"/>
  <c r="K281" i="56" s="1"/>
  <c r="K282" i="56" s="1"/>
  <c r="K283" i="56" s="1"/>
  <c r="K284" i="56" s="1"/>
  <c r="K285" i="56" s="1"/>
  <c r="K286" i="56" s="1"/>
  <c r="K287" i="56" s="1"/>
  <c r="K288" i="56" s="1"/>
  <c r="K289" i="56" s="1"/>
  <c r="K290" i="56" s="1"/>
  <c r="K291" i="56" s="1"/>
  <c r="K292" i="56" s="1"/>
  <c r="K293" i="56" s="1"/>
  <c r="K294" i="56" s="1"/>
  <c r="K295" i="56" s="1"/>
  <c r="K296" i="56" s="1"/>
  <c r="K297" i="56" s="1"/>
  <c r="K298" i="56" s="1"/>
  <c r="K299" i="56" s="1"/>
  <c r="K300" i="56" s="1"/>
  <c r="K301" i="56" s="1"/>
  <c r="K302" i="56" s="1"/>
  <c r="K303" i="56" s="1"/>
  <c r="K304" i="56" s="1"/>
  <c r="K305" i="56" s="1"/>
  <c r="K306" i="56" s="1"/>
  <c r="K307" i="56" s="1"/>
  <c r="K308" i="56" s="1"/>
  <c r="K309" i="56" s="1"/>
  <c r="K310" i="56" s="1"/>
  <c r="K311" i="56" s="1"/>
  <c r="K312" i="56" s="1"/>
  <c r="K313" i="56" s="1"/>
  <c r="K314" i="56" s="1"/>
  <c r="K315" i="56" s="1"/>
  <c r="K316" i="56" s="1"/>
  <c r="K317" i="56" s="1"/>
  <c r="K318" i="56" s="1"/>
  <c r="K319" i="56" s="1"/>
  <c r="K320" i="56" s="1"/>
  <c r="K321" i="56" s="1"/>
  <c r="K322" i="56" s="1"/>
  <c r="K323" i="56" s="1"/>
  <c r="K324" i="56" s="1"/>
  <c r="K325" i="56" s="1"/>
  <c r="K326" i="56" s="1"/>
  <c r="K327" i="56" s="1"/>
  <c r="K328" i="56" s="1"/>
  <c r="K329" i="56" s="1"/>
  <c r="K330" i="56" s="1"/>
  <c r="K331" i="56" s="1"/>
  <c r="K332" i="56" s="1"/>
  <c r="K333" i="56" s="1"/>
  <c r="K334" i="56" s="1"/>
  <c r="K335" i="56" s="1"/>
  <c r="K336" i="56" s="1"/>
  <c r="K337" i="56" s="1"/>
  <c r="K338" i="56" s="1"/>
  <c r="K339" i="56" s="1"/>
  <c r="K340" i="56" s="1"/>
  <c r="K341" i="56" s="1"/>
  <c r="K342" i="56" s="1"/>
  <c r="K343" i="56" s="1"/>
  <c r="K344" i="56" s="1"/>
  <c r="K345" i="56" s="1"/>
  <c r="K346" i="56" s="1"/>
  <c r="K347" i="56" s="1"/>
  <c r="K348" i="56" s="1"/>
  <c r="K349" i="56" s="1"/>
  <c r="K350" i="56" s="1"/>
  <c r="K351" i="56" s="1"/>
  <c r="K352" i="56" s="1"/>
  <c r="K353" i="56" s="1"/>
  <c r="K354" i="56" s="1"/>
  <c r="K355" i="56" s="1"/>
  <c r="K356" i="56" s="1"/>
  <c r="K357" i="56" s="1"/>
  <c r="K358" i="56" s="1"/>
  <c r="K359" i="56" s="1"/>
  <c r="K360" i="56" s="1"/>
  <c r="K361" i="56" s="1"/>
  <c r="K362" i="56" s="1"/>
  <c r="K363" i="56" s="1"/>
  <c r="K364" i="56" s="1"/>
  <c r="K365" i="56" s="1"/>
  <c r="K366" i="56" s="1"/>
  <c r="K367" i="56" s="1"/>
  <c r="K368" i="56" s="1"/>
  <c r="K369" i="56" s="1"/>
  <c r="K370" i="56" s="1"/>
  <c r="K371" i="56" s="1"/>
  <c r="K372" i="56" s="1"/>
  <c r="K373" i="56" s="1"/>
  <c r="K374" i="56" s="1"/>
  <c r="K375" i="56" s="1"/>
  <c r="K376" i="56" s="1"/>
  <c r="K377" i="56" s="1"/>
  <c r="K378" i="56" s="1"/>
  <c r="K379" i="56" s="1"/>
  <c r="K380" i="56" s="1"/>
  <c r="K381" i="56" s="1"/>
  <c r="K382" i="56" s="1"/>
  <c r="K383" i="56" s="1"/>
  <c r="K384" i="56" s="1"/>
  <c r="K385" i="56" s="1"/>
  <c r="K386" i="56" s="1"/>
  <c r="K387" i="56" s="1"/>
  <c r="K388" i="56" s="1"/>
  <c r="K389" i="56" s="1"/>
  <c r="K390" i="56" s="1"/>
  <c r="K391" i="56" s="1"/>
  <c r="K392" i="56" s="1"/>
  <c r="K393" i="56" s="1"/>
  <c r="K394" i="56" s="1"/>
  <c r="K395" i="56" s="1"/>
  <c r="K396" i="56" s="1"/>
  <c r="K397" i="56" s="1"/>
  <c r="K398" i="56" s="1"/>
  <c r="K399" i="56" s="1"/>
  <c r="K400" i="56" s="1"/>
  <c r="K401" i="56" s="1"/>
  <c r="K402" i="56" s="1"/>
  <c r="K403" i="56" s="1"/>
  <c r="K404" i="56" s="1"/>
  <c r="K405" i="56" s="1"/>
  <c r="K406" i="56" s="1"/>
  <c r="K407" i="56" s="1"/>
  <c r="K408" i="56" s="1"/>
  <c r="K409" i="56" s="1"/>
  <c r="K410" i="56" s="1"/>
  <c r="K411" i="56" s="1"/>
  <c r="K412" i="56" s="1"/>
  <c r="K413" i="56" s="1"/>
  <c r="K414" i="56" s="1"/>
  <c r="K415" i="56" s="1"/>
  <c r="K416" i="56" s="1"/>
  <c r="K417" i="56" s="1"/>
  <c r="K418" i="56" s="1"/>
  <c r="K419" i="56" s="1"/>
  <c r="K420" i="56" s="1"/>
  <c r="K421" i="56" s="1"/>
  <c r="K422" i="56" s="1"/>
  <c r="K423" i="56" s="1"/>
  <c r="K424" i="56" s="1"/>
  <c r="K425" i="56" s="1"/>
  <c r="K426" i="56" s="1"/>
  <c r="K427" i="56" s="1"/>
  <c r="K428" i="56" s="1"/>
  <c r="K429" i="56" s="1"/>
  <c r="K430" i="56" s="1"/>
  <c r="K431" i="56" s="1"/>
  <c r="K432" i="56" s="1"/>
  <c r="K433" i="56" s="1"/>
  <c r="K434" i="56" s="1"/>
  <c r="K435" i="56" s="1"/>
  <c r="K436" i="56" s="1"/>
  <c r="K437" i="56" s="1"/>
  <c r="K438" i="56" s="1"/>
  <c r="K439" i="56" s="1"/>
  <c r="K440" i="56" s="1"/>
  <c r="K441" i="56" s="1"/>
  <c r="K442" i="56" s="1"/>
  <c r="K443" i="56" s="1"/>
  <c r="K444" i="56" s="1"/>
  <c r="K445" i="56" s="1"/>
  <c r="K446" i="56" s="1"/>
  <c r="K447" i="56" s="1"/>
  <c r="K448" i="56" s="1"/>
  <c r="K449" i="56" s="1"/>
  <c r="K450" i="56" s="1"/>
  <c r="K451" i="56" s="1"/>
  <c r="K452" i="56" s="1"/>
  <c r="K453" i="56" s="1"/>
  <c r="K454" i="56" s="1"/>
  <c r="K455" i="56" s="1"/>
  <c r="K456" i="56" s="1"/>
  <c r="K457" i="56" s="1"/>
  <c r="K458" i="56" s="1"/>
  <c r="K459" i="56" s="1"/>
  <c r="K460" i="56" s="1"/>
  <c r="K461" i="56" s="1"/>
  <c r="K462" i="56" s="1"/>
  <c r="K463" i="56" s="1"/>
  <c r="K464" i="56" s="1"/>
  <c r="K465" i="56" s="1"/>
  <c r="K466" i="56" s="1"/>
  <c r="K467" i="56" s="1"/>
  <c r="K468" i="56" s="1"/>
  <c r="K469" i="56" s="1"/>
  <c r="K470" i="56" s="1"/>
  <c r="K471" i="56" s="1"/>
  <c r="K472" i="56" s="1"/>
  <c r="K473" i="56" s="1"/>
  <c r="K474" i="56" s="1"/>
  <c r="K475" i="56" s="1"/>
  <c r="K476" i="56" s="1"/>
  <c r="K477" i="56" s="1"/>
  <c r="K478" i="56" s="1"/>
  <c r="K479" i="56" s="1"/>
  <c r="K480" i="56" s="1"/>
  <c r="K481" i="56" s="1"/>
  <c r="K482" i="56" s="1"/>
  <c r="K483" i="56" s="1"/>
  <c r="K484" i="56" s="1"/>
  <c r="K485" i="56" s="1"/>
  <c r="K486" i="56" s="1"/>
  <c r="K487" i="56" s="1"/>
  <c r="K488" i="56" s="1"/>
  <c r="K489" i="56" s="1"/>
  <c r="K490" i="56" s="1"/>
  <c r="K491" i="56" s="1"/>
  <c r="K492" i="56" s="1"/>
  <c r="K493" i="56" s="1"/>
  <c r="K494" i="56" s="1"/>
  <c r="K495" i="56" s="1"/>
  <c r="K496" i="56" s="1"/>
  <c r="K497" i="56" s="1"/>
  <c r="K498" i="56" s="1"/>
  <c r="K499" i="56" s="1"/>
  <c r="K500" i="56" s="1"/>
  <c r="K501" i="56" s="1"/>
  <c r="K502" i="56" s="1"/>
  <c r="K503" i="56" s="1"/>
  <c r="K504" i="56" s="1"/>
  <c r="K505" i="56" s="1"/>
  <c r="K506" i="56" s="1"/>
  <c r="K507" i="56" s="1"/>
  <c r="K508" i="56" s="1"/>
  <c r="K509" i="56" s="1"/>
  <c r="K510" i="56" s="1"/>
  <c r="K511" i="56" s="1"/>
  <c r="K512" i="56" s="1"/>
  <c r="K513" i="56" s="1"/>
  <c r="K514" i="56" s="1"/>
  <c r="K515" i="56" s="1"/>
  <c r="K516" i="56" s="1"/>
  <c r="K517" i="56" s="1"/>
  <c r="K518" i="56" s="1"/>
  <c r="K519" i="56" s="1"/>
  <c r="K520" i="56" s="1"/>
  <c r="K521" i="56" s="1"/>
  <c r="K522" i="56" s="1"/>
  <c r="K523" i="56" s="1"/>
  <c r="K524" i="56" s="1"/>
  <c r="K525" i="56" s="1"/>
  <c r="K526" i="56" s="1"/>
  <c r="F168" i="56"/>
  <c r="F169" i="56" s="1"/>
  <c r="F170" i="56" s="1"/>
  <c r="F171" i="56" s="1"/>
  <c r="F172" i="56" s="1"/>
  <c r="F173" i="56" s="1"/>
  <c r="F174" i="56" s="1"/>
  <c r="F175" i="56" s="1"/>
  <c r="F176" i="56" s="1"/>
  <c r="F177" i="56" s="1"/>
  <c r="F178" i="56" s="1"/>
  <c r="F179" i="56" s="1"/>
  <c r="F180" i="56" s="1"/>
  <c r="F181" i="56" s="1"/>
  <c r="F182" i="56" s="1"/>
  <c r="F183" i="56" s="1"/>
  <c r="F184" i="56" s="1"/>
  <c r="F185" i="56" s="1"/>
  <c r="F186" i="56" s="1"/>
  <c r="F187" i="56" s="1"/>
  <c r="F188" i="56" s="1"/>
  <c r="F189" i="56" s="1"/>
  <c r="F190" i="56" s="1"/>
  <c r="F191" i="56" s="1"/>
  <c r="F192" i="56" s="1"/>
  <c r="F193" i="56" s="1"/>
  <c r="F194" i="56" s="1"/>
  <c r="F195" i="56" s="1"/>
  <c r="F196" i="56" s="1"/>
  <c r="F197" i="56" s="1"/>
  <c r="F198" i="56" s="1"/>
  <c r="F199" i="56" s="1"/>
  <c r="F200" i="56" s="1"/>
  <c r="F201" i="56" s="1"/>
  <c r="F202" i="56" s="1"/>
  <c r="F203" i="56" s="1"/>
  <c r="F204" i="56" s="1"/>
  <c r="F205" i="56" s="1"/>
  <c r="F206" i="56" s="1"/>
  <c r="F207" i="56" s="1"/>
  <c r="F208" i="56" s="1"/>
  <c r="F209" i="56" s="1"/>
  <c r="F210" i="56" s="1"/>
  <c r="F211" i="56" s="1"/>
  <c r="F212" i="56" s="1"/>
  <c r="F213" i="56" s="1"/>
  <c r="F214" i="56" s="1"/>
  <c r="F215" i="56" s="1"/>
  <c r="F216" i="56" s="1"/>
  <c r="F217" i="56" s="1"/>
  <c r="F218" i="56" s="1"/>
  <c r="F219" i="56" s="1"/>
  <c r="F220" i="56" s="1"/>
  <c r="F221" i="56" s="1"/>
  <c r="F222" i="56" s="1"/>
  <c r="F223" i="56" s="1"/>
  <c r="F224" i="56" s="1"/>
  <c r="F225" i="56" s="1"/>
  <c r="F226" i="56" s="1"/>
  <c r="F227" i="56" s="1"/>
  <c r="F228" i="56" s="1"/>
  <c r="F229" i="56" s="1"/>
  <c r="F230" i="56" s="1"/>
  <c r="F231" i="56" s="1"/>
  <c r="F232" i="56" s="1"/>
  <c r="F233" i="56" s="1"/>
  <c r="F234" i="56" s="1"/>
  <c r="F235" i="56" s="1"/>
  <c r="F236" i="56" s="1"/>
  <c r="F237" i="56" s="1"/>
  <c r="F238" i="56" s="1"/>
  <c r="F239" i="56" s="1"/>
  <c r="F240" i="56" s="1"/>
  <c r="F241" i="56" s="1"/>
  <c r="F242" i="56" s="1"/>
  <c r="F243" i="56" s="1"/>
  <c r="F244" i="56" s="1"/>
  <c r="F245" i="56" s="1"/>
  <c r="F246" i="56" s="1"/>
  <c r="F247" i="56" s="1"/>
  <c r="F248" i="56" s="1"/>
  <c r="F249" i="56" s="1"/>
  <c r="F250" i="56" s="1"/>
  <c r="F251" i="56" s="1"/>
  <c r="F252" i="56" s="1"/>
  <c r="F253" i="56" s="1"/>
  <c r="F254" i="56" s="1"/>
  <c r="F255" i="56" s="1"/>
  <c r="F256" i="56" s="1"/>
  <c r="F257" i="56" s="1"/>
  <c r="F258" i="56" s="1"/>
  <c r="F259" i="56" s="1"/>
  <c r="F260" i="56" s="1"/>
  <c r="F261" i="56" s="1"/>
  <c r="F262" i="56" s="1"/>
  <c r="F263" i="56" s="1"/>
  <c r="F264" i="56" s="1"/>
  <c r="F265" i="56" s="1"/>
  <c r="F266" i="56" s="1"/>
  <c r="F267" i="56" s="1"/>
  <c r="F268" i="56" s="1"/>
  <c r="F269" i="56" s="1"/>
  <c r="F270" i="56" s="1"/>
  <c r="F271" i="56" s="1"/>
  <c r="F272" i="56" s="1"/>
  <c r="F273" i="56" s="1"/>
  <c r="F274" i="56" s="1"/>
  <c r="F275" i="56" s="1"/>
  <c r="F276" i="56" s="1"/>
  <c r="F277" i="56" s="1"/>
  <c r="F278" i="56" s="1"/>
  <c r="F279" i="56" s="1"/>
  <c r="F280" i="56" s="1"/>
  <c r="F281" i="56" s="1"/>
  <c r="F282" i="56" s="1"/>
  <c r="F283" i="56" s="1"/>
  <c r="F284" i="56" s="1"/>
  <c r="F285" i="56" s="1"/>
  <c r="F286" i="56" s="1"/>
  <c r="F287" i="56" s="1"/>
  <c r="F288" i="56" s="1"/>
  <c r="F289" i="56" s="1"/>
  <c r="F290" i="56" s="1"/>
  <c r="F291" i="56" s="1"/>
  <c r="F292" i="56" s="1"/>
  <c r="F293" i="56" s="1"/>
  <c r="F294" i="56" s="1"/>
  <c r="F295" i="56" s="1"/>
  <c r="F296" i="56" s="1"/>
  <c r="F297" i="56" s="1"/>
  <c r="F298" i="56" s="1"/>
  <c r="F299" i="56" s="1"/>
  <c r="F300" i="56" s="1"/>
  <c r="F301" i="56" s="1"/>
  <c r="F302" i="56" s="1"/>
  <c r="F303" i="56" s="1"/>
  <c r="F304" i="56" s="1"/>
  <c r="F305" i="56" s="1"/>
  <c r="F306" i="56" s="1"/>
  <c r="F307" i="56" s="1"/>
  <c r="F308" i="56" s="1"/>
  <c r="F309" i="56" s="1"/>
  <c r="F310" i="56" s="1"/>
  <c r="F311" i="56" s="1"/>
  <c r="F312" i="56" s="1"/>
  <c r="F313" i="56" s="1"/>
  <c r="F314" i="56" s="1"/>
  <c r="F315" i="56" s="1"/>
  <c r="F316" i="56" s="1"/>
  <c r="F317" i="56" s="1"/>
  <c r="F318" i="56" s="1"/>
  <c r="F319" i="56" s="1"/>
  <c r="F320" i="56" s="1"/>
  <c r="F321" i="56" s="1"/>
  <c r="F322" i="56" s="1"/>
  <c r="F323" i="56" s="1"/>
  <c r="F324" i="56" s="1"/>
  <c r="F325" i="56" s="1"/>
  <c r="F326" i="56" s="1"/>
  <c r="F327" i="56" s="1"/>
  <c r="F328" i="56" s="1"/>
  <c r="F329" i="56" s="1"/>
  <c r="F330" i="56" s="1"/>
  <c r="F331" i="56" s="1"/>
  <c r="F332" i="56" s="1"/>
  <c r="F333" i="56" s="1"/>
  <c r="F334" i="56" s="1"/>
  <c r="F335" i="56" s="1"/>
  <c r="F336" i="56" s="1"/>
  <c r="F337" i="56" s="1"/>
  <c r="F338" i="56" s="1"/>
  <c r="F339" i="56" s="1"/>
  <c r="F340" i="56" s="1"/>
  <c r="F341" i="56" s="1"/>
  <c r="F342" i="56" s="1"/>
  <c r="F343" i="56" s="1"/>
  <c r="F344" i="56" s="1"/>
  <c r="F345" i="56" s="1"/>
  <c r="F346" i="56" s="1"/>
  <c r="F347" i="56" s="1"/>
  <c r="F348" i="56" s="1"/>
  <c r="F349" i="56" s="1"/>
  <c r="F350" i="56" s="1"/>
  <c r="F351" i="56" s="1"/>
  <c r="F352" i="56" s="1"/>
  <c r="F353" i="56" s="1"/>
  <c r="F354" i="56" s="1"/>
  <c r="F355" i="56" s="1"/>
  <c r="F356" i="56" s="1"/>
  <c r="F357" i="56" s="1"/>
  <c r="F358" i="56" s="1"/>
  <c r="F359" i="56" s="1"/>
  <c r="F360" i="56" s="1"/>
  <c r="F361" i="56" s="1"/>
  <c r="F362" i="56" s="1"/>
  <c r="F363" i="56" s="1"/>
  <c r="F364" i="56" s="1"/>
  <c r="F365" i="56" s="1"/>
  <c r="F366" i="56" s="1"/>
  <c r="F367" i="56" s="1"/>
  <c r="F368" i="56" s="1"/>
  <c r="F369" i="56" s="1"/>
  <c r="F370" i="56" s="1"/>
  <c r="F371" i="56" s="1"/>
  <c r="F372" i="56" s="1"/>
  <c r="F373" i="56" s="1"/>
  <c r="F374" i="56" s="1"/>
  <c r="F375" i="56" s="1"/>
  <c r="F376" i="56" s="1"/>
  <c r="F377" i="56" s="1"/>
  <c r="F378" i="56" s="1"/>
  <c r="F379" i="56" s="1"/>
  <c r="F380" i="56" s="1"/>
  <c r="F381" i="56" s="1"/>
  <c r="F382" i="56" s="1"/>
  <c r="F383" i="56" s="1"/>
  <c r="F384" i="56" s="1"/>
  <c r="F385" i="56" s="1"/>
  <c r="F386" i="56" s="1"/>
  <c r="F387" i="56" s="1"/>
  <c r="F388" i="56" s="1"/>
  <c r="F389" i="56" s="1"/>
  <c r="F390" i="56" s="1"/>
  <c r="F391" i="56" s="1"/>
  <c r="F392" i="56" s="1"/>
  <c r="F393" i="56" s="1"/>
  <c r="F394" i="56" s="1"/>
  <c r="F395" i="56" s="1"/>
  <c r="F396" i="56" s="1"/>
  <c r="F397" i="56" s="1"/>
  <c r="F398" i="56" s="1"/>
  <c r="F399" i="56" s="1"/>
  <c r="F400" i="56" s="1"/>
  <c r="F401" i="56" s="1"/>
  <c r="F402" i="56" s="1"/>
  <c r="F403" i="56" s="1"/>
  <c r="F404" i="56" s="1"/>
  <c r="F405" i="56" s="1"/>
  <c r="F406" i="56" s="1"/>
  <c r="F407" i="56" s="1"/>
  <c r="F408" i="56" s="1"/>
  <c r="F409" i="56" s="1"/>
  <c r="F410" i="56" s="1"/>
  <c r="F411" i="56" s="1"/>
  <c r="F412" i="56" s="1"/>
  <c r="F413" i="56" s="1"/>
  <c r="F414" i="56" s="1"/>
  <c r="F415" i="56" s="1"/>
  <c r="F416" i="56" s="1"/>
  <c r="F417" i="56" s="1"/>
  <c r="F418" i="56" s="1"/>
  <c r="F419" i="56" s="1"/>
  <c r="F420" i="56" s="1"/>
  <c r="F421" i="56" s="1"/>
  <c r="F422" i="56" s="1"/>
  <c r="F423" i="56" s="1"/>
  <c r="F424" i="56" s="1"/>
  <c r="F425" i="56" s="1"/>
  <c r="F426" i="56" s="1"/>
  <c r="F427" i="56" s="1"/>
  <c r="F428" i="56" s="1"/>
  <c r="F429" i="56" s="1"/>
  <c r="F430" i="56" s="1"/>
  <c r="F431" i="56" s="1"/>
  <c r="F432" i="56" s="1"/>
  <c r="F433" i="56" s="1"/>
  <c r="F434" i="56" s="1"/>
  <c r="F435" i="56" s="1"/>
  <c r="F436" i="56" s="1"/>
  <c r="F437" i="56" s="1"/>
  <c r="F438" i="56" s="1"/>
  <c r="F439" i="56" s="1"/>
  <c r="F440" i="56" s="1"/>
  <c r="F441" i="56" s="1"/>
  <c r="F442" i="56" s="1"/>
  <c r="F443" i="56" s="1"/>
  <c r="F444" i="56" s="1"/>
  <c r="F445" i="56" s="1"/>
  <c r="F446" i="56" s="1"/>
  <c r="F447" i="56" s="1"/>
  <c r="F448" i="56" s="1"/>
  <c r="F449" i="56" s="1"/>
  <c r="F450" i="56" s="1"/>
  <c r="F451" i="56" s="1"/>
  <c r="F452" i="56" s="1"/>
  <c r="F453" i="56" s="1"/>
  <c r="F454" i="56" s="1"/>
  <c r="F455" i="56" s="1"/>
  <c r="F456" i="56" s="1"/>
  <c r="F457" i="56" s="1"/>
  <c r="F458" i="56" s="1"/>
  <c r="F459" i="56" s="1"/>
  <c r="F460" i="56" s="1"/>
  <c r="F461" i="56" s="1"/>
  <c r="F462" i="56" s="1"/>
  <c r="F463" i="56" s="1"/>
  <c r="F464" i="56" s="1"/>
  <c r="F465" i="56" s="1"/>
  <c r="F466" i="56" s="1"/>
  <c r="F467" i="56" s="1"/>
  <c r="F468" i="56" s="1"/>
  <c r="F469" i="56" s="1"/>
  <c r="F470" i="56" s="1"/>
  <c r="F471" i="56" s="1"/>
  <c r="F472" i="56" s="1"/>
  <c r="F473" i="56" s="1"/>
  <c r="F474" i="56" s="1"/>
  <c r="F475" i="56" s="1"/>
  <c r="F476" i="56" s="1"/>
  <c r="F477" i="56" s="1"/>
  <c r="F478" i="56" s="1"/>
  <c r="F479" i="56" s="1"/>
  <c r="F480" i="56" s="1"/>
  <c r="F481" i="56" s="1"/>
  <c r="F482" i="56" s="1"/>
  <c r="F483" i="56" s="1"/>
  <c r="F484" i="56" s="1"/>
  <c r="F485" i="56" s="1"/>
  <c r="F486" i="56" s="1"/>
  <c r="F487" i="56" s="1"/>
  <c r="F488" i="56" s="1"/>
  <c r="F489" i="56" s="1"/>
  <c r="F490" i="56" s="1"/>
  <c r="F491" i="56" s="1"/>
  <c r="F492" i="56" s="1"/>
  <c r="F493" i="56" s="1"/>
  <c r="F494" i="56" s="1"/>
  <c r="F495" i="56" s="1"/>
  <c r="F496" i="56" s="1"/>
  <c r="F497" i="56" s="1"/>
  <c r="F498" i="56" s="1"/>
  <c r="F499" i="56" s="1"/>
  <c r="F500" i="56" s="1"/>
  <c r="F501" i="56" s="1"/>
  <c r="F502" i="56" s="1"/>
  <c r="F503" i="56" s="1"/>
  <c r="F504" i="56" s="1"/>
  <c r="F505" i="56" s="1"/>
  <c r="F506" i="56" s="1"/>
  <c r="F507" i="56" s="1"/>
  <c r="F508" i="56" s="1"/>
  <c r="F509" i="56" s="1"/>
  <c r="F510" i="56" s="1"/>
  <c r="F511" i="56" s="1"/>
  <c r="F512" i="56" s="1"/>
  <c r="F513" i="56" s="1"/>
  <c r="F514" i="56" s="1"/>
  <c r="F515" i="56" s="1"/>
  <c r="F516" i="56" s="1"/>
  <c r="F517" i="56" s="1"/>
  <c r="F518" i="56" s="1"/>
  <c r="F519" i="56" s="1"/>
  <c r="F520" i="56" s="1"/>
  <c r="F521" i="56" s="1"/>
  <c r="F522" i="56" s="1"/>
  <c r="F523" i="56" s="1"/>
  <c r="F524" i="56" s="1"/>
  <c r="F525" i="56" s="1"/>
  <c r="F526" i="56" s="1"/>
  <c r="A168" i="56"/>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A188" i="56" s="1"/>
  <c r="A189" i="56" s="1"/>
  <c r="A190" i="56" s="1"/>
  <c r="A191" i="56" s="1"/>
  <c r="A192" i="56" s="1"/>
  <c r="A193" i="56" s="1"/>
  <c r="A194" i="56" s="1"/>
  <c r="A195" i="56" s="1"/>
  <c r="A196" i="56" s="1"/>
  <c r="A197" i="56" s="1"/>
  <c r="A198" i="56" s="1"/>
  <c r="A199" i="56" s="1"/>
  <c r="A200" i="56" s="1"/>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A244" i="56" s="1"/>
  <c r="A245" i="56" s="1"/>
  <c r="A246" i="56" s="1"/>
  <c r="A247" i="56" s="1"/>
  <c r="A248" i="56" s="1"/>
  <c r="A249" i="56" s="1"/>
  <c r="A250" i="56" s="1"/>
  <c r="A251" i="56" s="1"/>
  <c r="A252" i="56" s="1"/>
  <c r="A253" i="56" s="1"/>
  <c r="A254" i="56" s="1"/>
  <c r="A255" i="56" s="1"/>
  <c r="A256" i="56" s="1"/>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A300" i="56" s="1"/>
  <c r="A301" i="56" s="1"/>
  <c r="A302" i="56" s="1"/>
  <c r="A303" i="56" s="1"/>
  <c r="A304" i="56" s="1"/>
  <c r="A305" i="56" s="1"/>
  <c r="A306" i="56" s="1"/>
  <c r="A307" i="56" s="1"/>
  <c r="A308" i="56" s="1"/>
  <c r="A309" i="56" s="1"/>
  <c r="A310" i="56" s="1"/>
  <c r="A311" i="56" s="1"/>
  <c r="A312" i="56" s="1"/>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A356" i="56" s="1"/>
  <c r="A357" i="56" s="1"/>
  <c r="A358" i="56" s="1"/>
  <c r="A359" i="56" s="1"/>
  <c r="A360" i="56" s="1"/>
  <c r="A361" i="56" s="1"/>
  <c r="A362" i="56" s="1"/>
  <c r="A363" i="56" s="1"/>
  <c r="A364" i="56" s="1"/>
  <c r="A365" i="56" s="1"/>
  <c r="A366" i="56" s="1"/>
  <c r="A367" i="56" s="1"/>
  <c r="A368" i="56" s="1"/>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A412" i="56" s="1"/>
  <c r="A413" i="56" s="1"/>
  <c r="A414" i="56" s="1"/>
  <c r="A415" i="56" s="1"/>
  <c r="A416" i="56" s="1"/>
  <c r="A417" i="56" s="1"/>
  <c r="A418" i="56" s="1"/>
  <c r="A419" i="56" s="1"/>
  <c r="A420" i="56" s="1"/>
  <c r="A421" i="56" s="1"/>
  <c r="A422" i="56" s="1"/>
  <c r="A423" i="56" s="1"/>
  <c r="A424" i="56" s="1"/>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A468" i="56" s="1"/>
  <c r="A469" i="56" s="1"/>
  <c r="A470" i="56" s="1"/>
  <c r="A471" i="56" s="1"/>
  <c r="A472" i="56" s="1"/>
  <c r="A473" i="56" s="1"/>
  <c r="A474" i="56" s="1"/>
  <c r="A475" i="56" s="1"/>
  <c r="A476" i="56" s="1"/>
  <c r="A477" i="56" s="1"/>
  <c r="A478" i="56" s="1"/>
  <c r="A479" i="56" s="1"/>
  <c r="A480" i="56" s="1"/>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A524" i="56" s="1"/>
  <c r="A525" i="56" s="1"/>
  <c r="A526" i="56" s="1"/>
  <c r="H80" i="56"/>
  <c r="C83" i="56" s="1"/>
  <c r="E95" i="56" s="1"/>
  <c r="D150" i="56" s="1"/>
  <c r="E96" i="56"/>
  <c r="F62" i="47" s="1"/>
  <c r="E97" i="56"/>
  <c r="F63" i="47" s="1"/>
  <c r="AC157" i="56"/>
  <c r="X157" i="56"/>
  <c r="S157" i="56"/>
  <c r="AH155" i="56"/>
  <c r="AG155" i="56"/>
  <c r="AF155" i="56"/>
  <c r="AE155" i="56"/>
  <c r="AD155" i="56"/>
  <c r="AC155" i="56"/>
  <c r="AB155" i="56"/>
  <c r="AA155" i="56"/>
  <c r="Z155" i="56"/>
  <c r="Y155" i="56"/>
  <c r="X155" i="56"/>
  <c r="W155" i="56"/>
  <c r="V155" i="56"/>
  <c r="U155" i="56"/>
  <c r="T155" i="56"/>
  <c r="S155" i="56"/>
  <c r="R155" i="56"/>
  <c r="Q155" i="56"/>
  <c r="P155" i="56"/>
  <c r="O155" i="56"/>
  <c r="N155" i="56"/>
  <c r="M155" i="56"/>
  <c r="L155" i="56"/>
  <c r="K155" i="56"/>
  <c r="J155" i="56"/>
  <c r="I155" i="56"/>
  <c r="H155" i="56"/>
  <c r="G155" i="56"/>
  <c r="F155" i="56"/>
  <c r="E155" i="56"/>
  <c r="AH154" i="56"/>
  <c r="AG154" i="56"/>
  <c r="AF154" i="56"/>
  <c r="AE154" i="56"/>
  <c r="AD154" i="56"/>
  <c r="AC154" i="56"/>
  <c r="AB154" i="56"/>
  <c r="AA154" i="56"/>
  <c r="Z154" i="56"/>
  <c r="Y154" i="56"/>
  <c r="X154" i="56"/>
  <c r="W154" i="56"/>
  <c r="V154" i="56"/>
  <c r="U154" i="56"/>
  <c r="T154" i="56"/>
  <c r="S154" i="56"/>
  <c r="R154" i="56"/>
  <c r="Q154" i="56"/>
  <c r="P154" i="56"/>
  <c r="O154" i="56"/>
  <c r="N154" i="56"/>
  <c r="M154" i="56"/>
  <c r="L154" i="56"/>
  <c r="K154" i="56"/>
  <c r="J154" i="56"/>
  <c r="I154" i="56"/>
  <c r="H154" i="56"/>
  <c r="G154" i="56"/>
  <c r="F154" i="56"/>
  <c r="E154" i="56"/>
  <c r="D151" i="56"/>
  <c r="D147" i="56"/>
  <c r="D146" i="56"/>
  <c r="D139" i="56"/>
  <c r="D138" i="56"/>
  <c r="AC130" i="56"/>
  <c r="X130" i="56"/>
  <c r="S130" i="56"/>
  <c r="D129" i="56"/>
  <c r="D46" i="56"/>
  <c r="D107" i="56"/>
  <c r="C49" i="56"/>
  <c r="C51" i="56"/>
  <c r="D110" i="56" s="1"/>
  <c r="C52" i="56"/>
  <c r="D111" i="56" s="1"/>
  <c r="C54" i="56"/>
  <c r="D113" i="56"/>
  <c r="AH116" i="56"/>
  <c r="AH117" i="56"/>
  <c r="AH118" i="56"/>
  <c r="D128" i="56"/>
  <c r="AC128" i="56"/>
  <c r="X128" i="56"/>
  <c r="S128" i="56"/>
  <c r="D125" i="56"/>
  <c r="AG118" i="56"/>
  <c r="AF118" i="56"/>
  <c r="AE118" i="56"/>
  <c r="AD118" i="56"/>
  <c r="AC118" i="56"/>
  <c r="AC119" i="42"/>
  <c r="AC123" i="53"/>
  <c r="AC120" i="51"/>
  <c r="AB118" i="56"/>
  <c r="AB119" i="42"/>
  <c r="AB123" i="53"/>
  <c r="AB120" i="51"/>
  <c r="AA118" i="56"/>
  <c r="AA119" i="42"/>
  <c r="AA123" i="53"/>
  <c r="AA120" i="51"/>
  <c r="Z118" i="56"/>
  <c r="Y118" i="56"/>
  <c r="X118" i="56"/>
  <c r="W118" i="56"/>
  <c r="V118" i="56"/>
  <c r="U118" i="56"/>
  <c r="T118" i="56"/>
  <c r="S118" i="56"/>
  <c r="S119" i="42"/>
  <c r="S123" i="53"/>
  <c r="S120" i="51"/>
  <c r="R118" i="56"/>
  <c r="Q118" i="56"/>
  <c r="P118" i="56"/>
  <c r="O118" i="56"/>
  <c r="N118" i="56"/>
  <c r="M118" i="56"/>
  <c r="M119" i="42"/>
  <c r="M123" i="53"/>
  <c r="M120" i="51"/>
  <c r="L118" i="56"/>
  <c r="L119" i="42"/>
  <c r="L123" i="53"/>
  <c r="L120" i="51"/>
  <c r="K118" i="56"/>
  <c r="K119" i="42"/>
  <c r="K123" i="53"/>
  <c r="K120" i="51"/>
  <c r="J118" i="56"/>
  <c r="I118" i="56"/>
  <c r="H118" i="56"/>
  <c r="G118" i="56"/>
  <c r="F118" i="56"/>
  <c r="F119" i="42"/>
  <c r="F123" i="53"/>
  <c r="F120" i="51"/>
  <c r="E118" i="56"/>
  <c r="E119" i="42"/>
  <c r="E123" i="53"/>
  <c r="E120" i="51"/>
  <c r="AG117" i="56"/>
  <c r="AF117" i="56"/>
  <c r="AE117" i="56"/>
  <c r="AD117" i="56"/>
  <c r="AC117" i="56"/>
  <c r="AB117" i="56"/>
  <c r="AA117" i="56"/>
  <c r="Z117" i="56"/>
  <c r="Y117" i="56"/>
  <c r="X117" i="56"/>
  <c r="W117" i="56"/>
  <c r="V117" i="56"/>
  <c r="U117" i="56"/>
  <c r="T117" i="56"/>
  <c r="S117" i="56"/>
  <c r="R117" i="56"/>
  <c r="Q117" i="56"/>
  <c r="P117" i="56"/>
  <c r="O117" i="56"/>
  <c r="N117" i="56"/>
  <c r="M117" i="56"/>
  <c r="L117" i="56"/>
  <c r="K117" i="56"/>
  <c r="J117" i="56"/>
  <c r="I117" i="56"/>
  <c r="H117" i="56"/>
  <c r="G117" i="56"/>
  <c r="F117" i="56"/>
  <c r="E117" i="56"/>
  <c r="AG116" i="56"/>
  <c r="AF116" i="56"/>
  <c r="AE116" i="56"/>
  <c r="AD116" i="56"/>
  <c r="AC116" i="56"/>
  <c r="AB116" i="56"/>
  <c r="AA116" i="56"/>
  <c r="Z116" i="56"/>
  <c r="Y116" i="56"/>
  <c r="X116" i="56"/>
  <c r="W116" i="56"/>
  <c r="V116" i="56"/>
  <c r="U116" i="56"/>
  <c r="T116" i="56"/>
  <c r="S116" i="56"/>
  <c r="R116" i="56"/>
  <c r="Q116" i="56"/>
  <c r="P116" i="56"/>
  <c r="O116" i="56"/>
  <c r="N116" i="56"/>
  <c r="M116" i="56"/>
  <c r="L116" i="56"/>
  <c r="K116" i="56"/>
  <c r="J116" i="56"/>
  <c r="I116" i="56"/>
  <c r="H116" i="56"/>
  <c r="G116" i="56"/>
  <c r="F116" i="56"/>
  <c r="E116" i="56"/>
  <c r="E92" i="56"/>
  <c r="F58" i="47" s="1"/>
  <c r="E91" i="56"/>
  <c r="F57" i="47" s="1"/>
  <c r="D90" i="56"/>
  <c r="H89" i="56"/>
  <c r="H73" i="56"/>
  <c r="L5" i="56" s="1"/>
  <c r="H53" i="56"/>
  <c r="H47" i="56"/>
  <c r="L6" i="56" s="1"/>
  <c r="F16" i="47" s="1"/>
  <c r="D9" i="56"/>
  <c r="D159" i="56" s="1"/>
  <c r="K167" i="55"/>
  <c r="K168" i="55" s="1"/>
  <c r="K169" i="55" s="1"/>
  <c r="K170" i="55" s="1"/>
  <c r="K171" i="55" s="1"/>
  <c r="K172" i="55" s="1"/>
  <c r="K173" i="55" s="1"/>
  <c r="K174" i="55" s="1"/>
  <c r="K175" i="55" s="1"/>
  <c r="K176" i="55" s="1"/>
  <c r="K177" i="55" s="1"/>
  <c r="K178" i="55" s="1"/>
  <c r="K179" i="55" s="1"/>
  <c r="K180" i="55" s="1"/>
  <c r="K181" i="55" s="1"/>
  <c r="K182" i="55" s="1"/>
  <c r="K183" i="55" s="1"/>
  <c r="K184" i="55" s="1"/>
  <c r="K185" i="55" s="1"/>
  <c r="K186" i="55" s="1"/>
  <c r="K187" i="55" s="1"/>
  <c r="K188" i="55" s="1"/>
  <c r="K189" i="55" s="1"/>
  <c r="K190" i="55" s="1"/>
  <c r="K191" i="55" s="1"/>
  <c r="K192" i="55" s="1"/>
  <c r="K193" i="55" s="1"/>
  <c r="K194" i="55" s="1"/>
  <c r="K195" i="55" s="1"/>
  <c r="K196" i="55" s="1"/>
  <c r="K197" i="55" s="1"/>
  <c r="K198" i="55" s="1"/>
  <c r="K199" i="55" s="1"/>
  <c r="K200" i="55" s="1"/>
  <c r="K201" i="55" s="1"/>
  <c r="K202" i="55" s="1"/>
  <c r="K203" i="55" s="1"/>
  <c r="K204" i="55" s="1"/>
  <c r="K205" i="55" s="1"/>
  <c r="K206" i="55" s="1"/>
  <c r="K207" i="55" s="1"/>
  <c r="K208" i="55" s="1"/>
  <c r="K209" i="55" s="1"/>
  <c r="K210" i="55" s="1"/>
  <c r="K211" i="55" s="1"/>
  <c r="K212" i="55" s="1"/>
  <c r="K213" i="55" s="1"/>
  <c r="K214" i="55" s="1"/>
  <c r="K215" i="55" s="1"/>
  <c r="K216" i="55" s="1"/>
  <c r="K217" i="55" s="1"/>
  <c r="K218" i="55" s="1"/>
  <c r="K219" i="55" s="1"/>
  <c r="K220" i="55" s="1"/>
  <c r="K221" i="55" s="1"/>
  <c r="K222" i="55" s="1"/>
  <c r="K223" i="55" s="1"/>
  <c r="K224" i="55" s="1"/>
  <c r="K225" i="55" s="1"/>
  <c r="K226" i="55" s="1"/>
  <c r="K227" i="55" s="1"/>
  <c r="K228" i="55" s="1"/>
  <c r="K229" i="55" s="1"/>
  <c r="K230" i="55" s="1"/>
  <c r="K231" i="55" s="1"/>
  <c r="K232" i="55" s="1"/>
  <c r="K233" i="55" s="1"/>
  <c r="K234" i="55" s="1"/>
  <c r="K235" i="55" s="1"/>
  <c r="K236" i="55" s="1"/>
  <c r="K237" i="55" s="1"/>
  <c r="K238" i="55" s="1"/>
  <c r="K239" i="55" s="1"/>
  <c r="K240" i="55" s="1"/>
  <c r="K241" i="55" s="1"/>
  <c r="K242" i="55" s="1"/>
  <c r="K243" i="55" s="1"/>
  <c r="K244" i="55" s="1"/>
  <c r="K245" i="55" s="1"/>
  <c r="K246" i="55" s="1"/>
  <c r="K247" i="55" s="1"/>
  <c r="K248" i="55" s="1"/>
  <c r="K249" i="55" s="1"/>
  <c r="K250" i="55" s="1"/>
  <c r="K251" i="55" s="1"/>
  <c r="K252" i="55" s="1"/>
  <c r="K253" i="55" s="1"/>
  <c r="K254" i="55" s="1"/>
  <c r="K255" i="55" s="1"/>
  <c r="K256" i="55" s="1"/>
  <c r="K257" i="55" s="1"/>
  <c r="K258" i="55" s="1"/>
  <c r="K259" i="55" s="1"/>
  <c r="K260" i="55" s="1"/>
  <c r="K261" i="55" s="1"/>
  <c r="K262" i="55" s="1"/>
  <c r="K263" i="55" s="1"/>
  <c r="K264" i="55" s="1"/>
  <c r="K265" i="55" s="1"/>
  <c r="K266" i="55" s="1"/>
  <c r="K267" i="55" s="1"/>
  <c r="K268" i="55" s="1"/>
  <c r="K269" i="55" s="1"/>
  <c r="K270" i="55" s="1"/>
  <c r="K271" i="55" s="1"/>
  <c r="K272" i="55" s="1"/>
  <c r="K273" i="55" s="1"/>
  <c r="K274" i="55" s="1"/>
  <c r="K275" i="55" s="1"/>
  <c r="K276" i="55" s="1"/>
  <c r="K277" i="55" s="1"/>
  <c r="K278" i="55" s="1"/>
  <c r="K279" i="55" s="1"/>
  <c r="K280" i="55" s="1"/>
  <c r="K281" i="55" s="1"/>
  <c r="K282" i="55" s="1"/>
  <c r="K283" i="55" s="1"/>
  <c r="K284" i="55" s="1"/>
  <c r="K285" i="55" s="1"/>
  <c r="K286" i="55" s="1"/>
  <c r="K287" i="55" s="1"/>
  <c r="K288" i="55" s="1"/>
  <c r="K289" i="55" s="1"/>
  <c r="K290" i="55" s="1"/>
  <c r="K291" i="55" s="1"/>
  <c r="K292" i="55" s="1"/>
  <c r="K293" i="55" s="1"/>
  <c r="K294" i="55" s="1"/>
  <c r="K295" i="55" s="1"/>
  <c r="K296" i="55" s="1"/>
  <c r="K297" i="55" s="1"/>
  <c r="K298" i="55" s="1"/>
  <c r="K299" i="55" s="1"/>
  <c r="K300" i="55" s="1"/>
  <c r="K301" i="55" s="1"/>
  <c r="K302" i="55" s="1"/>
  <c r="K303" i="55" s="1"/>
  <c r="K304" i="55" s="1"/>
  <c r="K305" i="55" s="1"/>
  <c r="K306" i="55" s="1"/>
  <c r="K307" i="55" s="1"/>
  <c r="K308" i="55" s="1"/>
  <c r="K309" i="55" s="1"/>
  <c r="K310" i="55" s="1"/>
  <c r="K311" i="55" s="1"/>
  <c r="K312" i="55" s="1"/>
  <c r="K313" i="55" s="1"/>
  <c r="K314" i="55" s="1"/>
  <c r="K315" i="55" s="1"/>
  <c r="K316" i="55" s="1"/>
  <c r="K317" i="55" s="1"/>
  <c r="K318" i="55" s="1"/>
  <c r="K319" i="55" s="1"/>
  <c r="K320" i="55" s="1"/>
  <c r="K321" i="55" s="1"/>
  <c r="K322" i="55" s="1"/>
  <c r="K323" i="55" s="1"/>
  <c r="K324" i="55" s="1"/>
  <c r="K325" i="55" s="1"/>
  <c r="K326" i="55" s="1"/>
  <c r="K327" i="55" s="1"/>
  <c r="K328" i="55" s="1"/>
  <c r="K329" i="55" s="1"/>
  <c r="K330" i="55" s="1"/>
  <c r="K331" i="55" s="1"/>
  <c r="K332" i="55" s="1"/>
  <c r="K333" i="55" s="1"/>
  <c r="K334" i="55" s="1"/>
  <c r="K335" i="55" s="1"/>
  <c r="K336" i="55" s="1"/>
  <c r="K337" i="55" s="1"/>
  <c r="K338" i="55" s="1"/>
  <c r="K339" i="55" s="1"/>
  <c r="K340" i="55" s="1"/>
  <c r="K341" i="55" s="1"/>
  <c r="K342" i="55" s="1"/>
  <c r="K343" i="55" s="1"/>
  <c r="K344" i="55" s="1"/>
  <c r="K345" i="55" s="1"/>
  <c r="K346" i="55" s="1"/>
  <c r="K347" i="55" s="1"/>
  <c r="K348" i="55" s="1"/>
  <c r="K349" i="55" s="1"/>
  <c r="K350" i="55" s="1"/>
  <c r="K351" i="55" s="1"/>
  <c r="K352" i="55" s="1"/>
  <c r="K353" i="55" s="1"/>
  <c r="K354" i="55" s="1"/>
  <c r="K355" i="55" s="1"/>
  <c r="K356" i="55" s="1"/>
  <c r="K357" i="55" s="1"/>
  <c r="K358" i="55" s="1"/>
  <c r="K359" i="55" s="1"/>
  <c r="K360" i="55" s="1"/>
  <c r="K361" i="55" s="1"/>
  <c r="K362" i="55" s="1"/>
  <c r="K363" i="55" s="1"/>
  <c r="K364" i="55" s="1"/>
  <c r="K365" i="55" s="1"/>
  <c r="K366" i="55" s="1"/>
  <c r="K367" i="55" s="1"/>
  <c r="K368" i="55" s="1"/>
  <c r="K369" i="55" s="1"/>
  <c r="K370" i="55" s="1"/>
  <c r="K371" i="55" s="1"/>
  <c r="K372" i="55" s="1"/>
  <c r="K373" i="55" s="1"/>
  <c r="K374" i="55" s="1"/>
  <c r="K375" i="55" s="1"/>
  <c r="K376" i="55" s="1"/>
  <c r="K377" i="55" s="1"/>
  <c r="K378" i="55" s="1"/>
  <c r="K379" i="55" s="1"/>
  <c r="K380" i="55" s="1"/>
  <c r="K381" i="55" s="1"/>
  <c r="K382" i="55" s="1"/>
  <c r="K383" i="55" s="1"/>
  <c r="K384" i="55" s="1"/>
  <c r="K385" i="55" s="1"/>
  <c r="K386" i="55" s="1"/>
  <c r="K387" i="55" s="1"/>
  <c r="K388" i="55" s="1"/>
  <c r="K389" i="55" s="1"/>
  <c r="K390" i="55" s="1"/>
  <c r="K391" i="55" s="1"/>
  <c r="K392" i="55" s="1"/>
  <c r="K393" i="55" s="1"/>
  <c r="K394" i="55" s="1"/>
  <c r="K395" i="55" s="1"/>
  <c r="K396" i="55" s="1"/>
  <c r="K397" i="55" s="1"/>
  <c r="K398" i="55" s="1"/>
  <c r="K399" i="55" s="1"/>
  <c r="K400" i="55" s="1"/>
  <c r="K401" i="55" s="1"/>
  <c r="K402" i="55" s="1"/>
  <c r="K403" i="55" s="1"/>
  <c r="K404" i="55" s="1"/>
  <c r="K405" i="55" s="1"/>
  <c r="K406" i="55" s="1"/>
  <c r="K407" i="55" s="1"/>
  <c r="K408" i="55" s="1"/>
  <c r="K409" i="55" s="1"/>
  <c r="K410" i="55" s="1"/>
  <c r="K411" i="55" s="1"/>
  <c r="K412" i="55" s="1"/>
  <c r="K413" i="55" s="1"/>
  <c r="K414" i="55" s="1"/>
  <c r="K415" i="55" s="1"/>
  <c r="K416" i="55" s="1"/>
  <c r="K417" i="55" s="1"/>
  <c r="K418" i="55" s="1"/>
  <c r="K419" i="55" s="1"/>
  <c r="K420" i="55" s="1"/>
  <c r="K421" i="55" s="1"/>
  <c r="K422" i="55" s="1"/>
  <c r="K423" i="55" s="1"/>
  <c r="K424" i="55" s="1"/>
  <c r="K425" i="55" s="1"/>
  <c r="K426" i="55" s="1"/>
  <c r="K427" i="55" s="1"/>
  <c r="K428" i="55" s="1"/>
  <c r="K429" i="55" s="1"/>
  <c r="K430" i="55" s="1"/>
  <c r="K431" i="55" s="1"/>
  <c r="K432" i="55" s="1"/>
  <c r="K433" i="55" s="1"/>
  <c r="K434" i="55" s="1"/>
  <c r="K435" i="55" s="1"/>
  <c r="K436" i="55" s="1"/>
  <c r="K437" i="55" s="1"/>
  <c r="K438" i="55" s="1"/>
  <c r="K439" i="55" s="1"/>
  <c r="K440" i="55" s="1"/>
  <c r="K441" i="55" s="1"/>
  <c r="K442" i="55" s="1"/>
  <c r="K443" i="55" s="1"/>
  <c r="K444" i="55" s="1"/>
  <c r="K445" i="55" s="1"/>
  <c r="K446" i="55" s="1"/>
  <c r="K447" i="55" s="1"/>
  <c r="K448" i="55" s="1"/>
  <c r="K449" i="55" s="1"/>
  <c r="K450" i="55" s="1"/>
  <c r="K451" i="55" s="1"/>
  <c r="K452" i="55" s="1"/>
  <c r="K453" i="55" s="1"/>
  <c r="K454" i="55" s="1"/>
  <c r="K455" i="55" s="1"/>
  <c r="K456" i="55" s="1"/>
  <c r="K457" i="55" s="1"/>
  <c r="K458" i="55" s="1"/>
  <c r="K459" i="55" s="1"/>
  <c r="K460" i="55" s="1"/>
  <c r="K461" i="55" s="1"/>
  <c r="K462" i="55" s="1"/>
  <c r="K463" i="55" s="1"/>
  <c r="K464" i="55" s="1"/>
  <c r="K465" i="55" s="1"/>
  <c r="K466" i="55" s="1"/>
  <c r="K467" i="55" s="1"/>
  <c r="K468" i="55" s="1"/>
  <c r="K469" i="55" s="1"/>
  <c r="K470" i="55" s="1"/>
  <c r="K471" i="55" s="1"/>
  <c r="K472" i="55" s="1"/>
  <c r="K473" i="55" s="1"/>
  <c r="K474" i="55" s="1"/>
  <c r="K475" i="55" s="1"/>
  <c r="K476" i="55" s="1"/>
  <c r="K477" i="55" s="1"/>
  <c r="K478" i="55" s="1"/>
  <c r="K479" i="55" s="1"/>
  <c r="K480" i="55" s="1"/>
  <c r="K481" i="55" s="1"/>
  <c r="K482" i="55" s="1"/>
  <c r="K483" i="55" s="1"/>
  <c r="K484" i="55" s="1"/>
  <c r="K485" i="55" s="1"/>
  <c r="K486" i="55" s="1"/>
  <c r="K487" i="55" s="1"/>
  <c r="K488" i="55" s="1"/>
  <c r="K489" i="55" s="1"/>
  <c r="K490" i="55" s="1"/>
  <c r="K491" i="55" s="1"/>
  <c r="K492" i="55" s="1"/>
  <c r="K493" i="55" s="1"/>
  <c r="K494" i="55" s="1"/>
  <c r="K495" i="55" s="1"/>
  <c r="K496" i="55" s="1"/>
  <c r="K497" i="55" s="1"/>
  <c r="K498" i="55" s="1"/>
  <c r="K499" i="55" s="1"/>
  <c r="K500" i="55" s="1"/>
  <c r="K501" i="55" s="1"/>
  <c r="K502" i="55" s="1"/>
  <c r="K503" i="55" s="1"/>
  <c r="K504" i="55" s="1"/>
  <c r="K505" i="55" s="1"/>
  <c r="K506" i="55" s="1"/>
  <c r="K507" i="55" s="1"/>
  <c r="K508" i="55" s="1"/>
  <c r="K509" i="55" s="1"/>
  <c r="K510" i="55" s="1"/>
  <c r="K511" i="55" s="1"/>
  <c r="K512" i="55" s="1"/>
  <c r="K513" i="55" s="1"/>
  <c r="K514" i="55" s="1"/>
  <c r="K515" i="55" s="1"/>
  <c r="K516" i="55" s="1"/>
  <c r="K517" i="55" s="1"/>
  <c r="K518" i="55" s="1"/>
  <c r="K519" i="55" s="1"/>
  <c r="K520" i="55" s="1"/>
  <c r="K521" i="55" s="1"/>
  <c r="K522" i="55" s="1"/>
  <c r="K523" i="55" s="1"/>
  <c r="K524" i="55" s="1"/>
  <c r="K525" i="55" s="1"/>
  <c r="F167" i="55"/>
  <c r="F168" i="55" s="1"/>
  <c r="F169" i="55" s="1"/>
  <c r="F170" i="55" s="1"/>
  <c r="F171" i="55" s="1"/>
  <c r="F172" i="55" s="1"/>
  <c r="F173" i="55" s="1"/>
  <c r="F174" i="55" s="1"/>
  <c r="F175" i="55" s="1"/>
  <c r="F176" i="55" s="1"/>
  <c r="F177" i="55" s="1"/>
  <c r="F178" i="55" s="1"/>
  <c r="F179" i="55" s="1"/>
  <c r="F180" i="55" s="1"/>
  <c r="F181" i="55" s="1"/>
  <c r="F182" i="55" s="1"/>
  <c r="F183" i="55" s="1"/>
  <c r="F184" i="55" s="1"/>
  <c r="F185" i="55" s="1"/>
  <c r="F186" i="55" s="1"/>
  <c r="F187" i="55" s="1"/>
  <c r="F188" i="55" s="1"/>
  <c r="F189" i="55" s="1"/>
  <c r="F190" i="55" s="1"/>
  <c r="F191" i="55" s="1"/>
  <c r="F192" i="55" s="1"/>
  <c r="F193" i="55" s="1"/>
  <c r="F194" i="55" s="1"/>
  <c r="F195" i="55" s="1"/>
  <c r="F196" i="55" s="1"/>
  <c r="F197" i="55" s="1"/>
  <c r="F198" i="55" s="1"/>
  <c r="F199" i="55" s="1"/>
  <c r="F200" i="55" s="1"/>
  <c r="F201" i="55" s="1"/>
  <c r="F202" i="55" s="1"/>
  <c r="F203" i="55" s="1"/>
  <c r="F204" i="55" s="1"/>
  <c r="F205" i="55" s="1"/>
  <c r="F206" i="55" s="1"/>
  <c r="F207" i="55" s="1"/>
  <c r="F208" i="55" s="1"/>
  <c r="F209" i="55" s="1"/>
  <c r="F210" i="55" s="1"/>
  <c r="F211" i="55" s="1"/>
  <c r="F212" i="55" s="1"/>
  <c r="F213" i="55" s="1"/>
  <c r="F214" i="55" s="1"/>
  <c r="F215" i="55" s="1"/>
  <c r="F216" i="55" s="1"/>
  <c r="F217" i="55" s="1"/>
  <c r="F218" i="55" s="1"/>
  <c r="F219" i="55" s="1"/>
  <c r="F220" i="55" s="1"/>
  <c r="F221" i="55" s="1"/>
  <c r="F222" i="55" s="1"/>
  <c r="F223" i="55" s="1"/>
  <c r="F224" i="55" s="1"/>
  <c r="F225" i="55" s="1"/>
  <c r="F226" i="55" s="1"/>
  <c r="F227" i="55" s="1"/>
  <c r="F228" i="55" s="1"/>
  <c r="F229" i="55" s="1"/>
  <c r="F230" i="55" s="1"/>
  <c r="F231" i="55" s="1"/>
  <c r="F232" i="55" s="1"/>
  <c r="F233" i="55" s="1"/>
  <c r="F234" i="55" s="1"/>
  <c r="F235" i="55" s="1"/>
  <c r="F236" i="55" s="1"/>
  <c r="F237" i="55" s="1"/>
  <c r="F238" i="55" s="1"/>
  <c r="F239" i="55" s="1"/>
  <c r="F240" i="55" s="1"/>
  <c r="F241" i="55" s="1"/>
  <c r="F242" i="55" s="1"/>
  <c r="F243" i="55" s="1"/>
  <c r="F244" i="55" s="1"/>
  <c r="F245" i="55" s="1"/>
  <c r="F246" i="55" s="1"/>
  <c r="F247" i="55" s="1"/>
  <c r="F248" i="55" s="1"/>
  <c r="F249" i="55" s="1"/>
  <c r="F250" i="55" s="1"/>
  <c r="F251" i="55" s="1"/>
  <c r="F252" i="55" s="1"/>
  <c r="F253" i="55" s="1"/>
  <c r="F254" i="55" s="1"/>
  <c r="F255" i="55" s="1"/>
  <c r="F256" i="55" s="1"/>
  <c r="F257" i="55" s="1"/>
  <c r="F258" i="55" s="1"/>
  <c r="F259" i="55" s="1"/>
  <c r="F260" i="55" s="1"/>
  <c r="F261" i="55" s="1"/>
  <c r="F262" i="55" s="1"/>
  <c r="F263" i="55" s="1"/>
  <c r="F264" i="55" s="1"/>
  <c r="F265" i="55" s="1"/>
  <c r="F266" i="55" s="1"/>
  <c r="F267" i="55" s="1"/>
  <c r="F268" i="55" s="1"/>
  <c r="F269" i="55" s="1"/>
  <c r="F270" i="55" s="1"/>
  <c r="F271" i="55" s="1"/>
  <c r="F272" i="55" s="1"/>
  <c r="F273" i="55" s="1"/>
  <c r="F274" i="55" s="1"/>
  <c r="F275" i="55" s="1"/>
  <c r="F276" i="55" s="1"/>
  <c r="F277" i="55" s="1"/>
  <c r="F278" i="55" s="1"/>
  <c r="F279" i="55" s="1"/>
  <c r="F280" i="55" s="1"/>
  <c r="F281" i="55" s="1"/>
  <c r="F282" i="55" s="1"/>
  <c r="F283" i="55" s="1"/>
  <c r="F284" i="55" s="1"/>
  <c r="F285" i="55" s="1"/>
  <c r="F286" i="55" s="1"/>
  <c r="F287" i="55" s="1"/>
  <c r="F288" i="55" s="1"/>
  <c r="F289" i="55" s="1"/>
  <c r="F290" i="55" s="1"/>
  <c r="F291" i="55" s="1"/>
  <c r="F292" i="55" s="1"/>
  <c r="F293" i="55" s="1"/>
  <c r="F294" i="55" s="1"/>
  <c r="F295" i="55" s="1"/>
  <c r="F296" i="55" s="1"/>
  <c r="F297" i="55" s="1"/>
  <c r="F298" i="55" s="1"/>
  <c r="F299" i="55" s="1"/>
  <c r="F300" i="55" s="1"/>
  <c r="F301" i="55" s="1"/>
  <c r="F302" i="55" s="1"/>
  <c r="F303" i="55" s="1"/>
  <c r="F304" i="55" s="1"/>
  <c r="F305" i="55" s="1"/>
  <c r="F306" i="55" s="1"/>
  <c r="F307" i="55" s="1"/>
  <c r="F308" i="55" s="1"/>
  <c r="F309" i="55" s="1"/>
  <c r="F310" i="55" s="1"/>
  <c r="F311" i="55" s="1"/>
  <c r="F312" i="55" s="1"/>
  <c r="F313" i="55" s="1"/>
  <c r="F314" i="55" s="1"/>
  <c r="F315" i="55" s="1"/>
  <c r="F316" i="55" s="1"/>
  <c r="F317" i="55" s="1"/>
  <c r="F318" i="55" s="1"/>
  <c r="F319" i="55" s="1"/>
  <c r="F320" i="55" s="1"/>
  <c r="F321" i="55" s="1"/>
  <c r="F322" i="55" s="1"/>
  <c r="F323" i="55" s="1"/>
  <c r="F324" i="55" s="1"/>
  <c r="F325" i="55" s="1"/>
  <c r="F326" i="55" s="1"/>
  <c r="F327" i="55" s="1"/>
  <c r="F328" i="55" s="1"/>
  <c r="F329" i="55" s="1"/>
  <c r="F330" i="55" s="1"/>
  <c r="F331" i="55" s="1"/>
  <c r="F332" i="55" s="1"/>
  <c r="F333" i="55" s="1"/>
  <c r="F334" i="55" s="1"/>
  <c r="F335" i="55" s="1"/>
  <c r="F336" i="55" s="1"/>
  <c r="F337" i="55" s="1"/>
  <c r="F338" i="55" s="1"/>
  <c r="F339" i="55" s="1"/>
  <c r="F340" i="55" s="1"/>
  <c r="F341" i="55" s="1"/>
  <c r="F342" i="55" s="1"/>
  <c r="F343" i="55" s="1"/>
  <c r="F344" i="55" s="1"/>
  <c r="F345" i="55" s="1"/>
  <c r="F346" i="55" s="1"/>
  <c r="F347" i="55" s="1"/>
  <c r="F348" i="55" s="1"/>
  <c r="F349" i="55" s="1"/>
  <c r="F350" i="55" s="1"/>
  <c r="F351" i="55" s="1"/>
  <c r="F352" i="55" s="1"/>
  <c r="F353" i="55" s="1"/>
  <c r="F354" i="55" s="1"/>
  <c r="F355" i="55" s="1"/>
  <c r="F356" i="55" s="1"/>
  <c r="F357" i="55" s="1"/>
  <c r="F358" i="55" s="1"/>
  <c r="F359" i="55" s="1"/>
  <c r="F360" i="55" s="1"/>
  <c r="F361" i="55" s="1"/>
  <c r="F362" i="55" s="1"/>
  <c r="F363" i="55" s="1"/>
  <c r="F364" i="55" s="1"/>
  <c r="F365" i="55" s="1"/>
  <c r="F366" i="55" s="1"/>
  <c r="F367" i="55" s="1"/>
  <c r="F368" i="55" s="1"/>
  <c r="F369" i="55" s="1"/>
  <c r="F370" i="55" s="1"/>
  <c r="F371" i="55" s="1"/>
  <c r="F372" i="55" s="1"/>
  <c r="F373" i="55" s="1"/>
  <c r="F374" i="55" s="1"/>
  <c r="F375" i="55" s="1"/>
  <c r="F376" i="55" s="1"/>
  <c r="F377" i="55" s="1"/>
  <c r="F378" i="55" s="1"/>
  <c r="F379" i="55" s="1"/>
  <c r="F380" i="55" s="1"/>
  <c r="F381" i="55" s="1"/>
  <c r="F382" i="55" s="1"/>
  <c r="F383" i="55" s="1"/>
  <c r="F384" i="55" s="1"/>
  <c r="F385" i="55" s="1"/>
  <c r="F386" i="55" s="1"/>
  <c r="F387" i="55" s="1"/>
  <c r="F388" i="55" s="1"/>
  <c r="F389" i="55" s="1"/>
  <c r="F390" i="55" s="1"/>
  <c r="F391" i="55" s="1"/>
  <c r="F392" i="55" s="1"/>
  <c r="F393" i="55" s="1"/>
  <c r="F394" i="55" s="1"/>
  <c r="F395" i="55" s="1"/>
  <c r="F396" i="55" s="1"/>
  <c r="F397" i="55" s="1"/>
  <c r="F398" i="55" s="1"/>
  <c r="F399" i="55" s="1"/>
  <c r="F400" i="55" s="1"/>
  <c r="F401" i="55" s="1"/>
  <c r="F402" i="55" s="1"/>
  <c r="F403" i="55" s="1"/>
  <c r="F404" i="55" s="1"/>
  <c r="F405" i="55" s="1"/>
  <c r="F406" i="55" s="1"/>
  <c r="F407" i="55" s="1"/>
  <c r="F408" i="55" s="1"/>
  <c r="F409" i="55" s="1"/>
  <c r="F410" i="55" s="1"/>
  <c r="F411" i="55" s="1"/>
  <c r="F412" i="55" s="1"/>
  <c r="F413" i="55" s="1"/>
  <c r="F414" i="55" s="1"/>
  <c r="F415" i="55" s="1"/>
  <c r="F416" i="55" s="1"/>
  <c r="F417" i="55" s="1"/>
  <c r="F418" i="55" s="1"/>
  <c r="F419" i="55" s="1"/>
  <c r="F420" i="55" s="1"/>
  <c r="F421" i="55" s="1"/>
  <c r="F422" i="55" s="1"/>
  <c r="F423" i="55" s="1"/>
  <c r="F424" i="55" s="1"/>
  <c r="F425" i="55" s="1"/>
  <c r="F426" i="55" s="1"/>
  <c r="F427" i="55" s="1"/>
  <c r="F428" i="55" s="1"/>
  <c r="F429" i="55" s="1"/>
  <c r="F430" i="55" s="1"/>
  <c r="F431" i="55" s="1"/>
  <c r="F432" i="55" s="1"/>
  <c r="F433" i="55" s="1"/>
  <c r="F434" i="55" s="1"/>
  <c r="F435" i="55" s="1"/>
  <c r="F436" i="55" s="1"/>
  <c r="F437" i="55" s="1"/>
  <c r="F438" i="55" s="1"/>
  <c r="F439" i="55" s="1"/>
  <c r="F440" i="55" s="1"/>
  <c r="F441" i="55" s="1"/>
  <c r="F442" i="55" s="1"/>
  <c r="F443" i="55" s="1"/>
  <c r="F444" i="55" s="1"/>
  <c r="F445" i="55" s="1"/>
  <c r="F446" i="55" s="1"/>
  <c r="F447" i="55" s="1"/>
  <c r="F448" i="55" s="1"/>
  <c r="F449" i="55" s="1"/>
  <c r="F450" i="55" s="1"/>
  <c r="F451" i="55" s="1"/>
  <c r="F452" i="55" s="1"/>
  <c r="F453" i="55" s="1"/>
  <c r="F454" i="55" s="1"/>
  <c r="F455" i="55" s="1"/>
  <c r="F456" i="55" s="1"/>
  <c r="F457" i="55" s="1"/>
  <c r="F458" i="55" s="1"/>
  <c r="F459" i="55" s="1"/>
  <c r="F460" i="55" s="1"/>
  <c r="F461" i="55" s="1"/>
  <c r="F462" i="55" s="1"/>
  <c r="F463" i="55" s="1"/>
  <c r="F464" i="55" s="1"/>
  <c r="F465" i="55" s="1"/>
  <c r="F466" i="55" s="1"/>
  <c r="F467" i="55" s="1"/>
  <c r="F468" i="55" s="1"/>
  <c r="F469" i="55" s="1"/>
  <c r="F470" i="55" s="1"/>
  <c r="F471" i="55" s="1"/>
  <c r="F472" i="55" s="1"/>
  <c r="F473" i="55" s="1"/>
  <c r="F474" i="55" s="1"/>
  <c r="F475" i="55" s="1"/>
  <c r="F476" i="55" s="1"/>
  <c r="F477" i="55" s="1"/>
  <c r="F478" i="55" s="1"/>
  <c r="F479" i="55" s="1"/>
  <c r="F480" i="55" s="1"/>
  <c r="F481" i="55" s="1"/>
  <c r="F482" i="55" s="1"/>
  <c r="F483" i="55" s="1"/>
  <c r="F484" i="55" s="1"/>
  <c r="F485" i="55" s="1"/>
  <c r="F486" i="55" s="1"/>
  <c r="F487" i="55" s="1"/>
  <c r="F488" i="55" s="1"/>
  <c r="F489" i="55" s="1"/>
  <c r="F490" i="55" s="1"/>
  <c r="F491" i="55" s="1"/>
  <c r="F492" i="55" s="1"/>
  <c r="F493" i="55" s="1"/>
  <c r="F494" i="55" s="1"/>
  <c r="F495" i="55" s="1"/>
  <c r="F496" i="55" s="1"/>
  <c r="F497" i="55" s="1"/>
  <c r="F498" i="55" s="1"/>
  <c r="F499" i="55" s="1"/>
  <c r="F500" i="55" s="1"/>
  <c r="F501" i="55" s="1"/>
  <c r="F502" i="55" s="1"/>
  <c r="F503" i="55" s="1"/>
  <c r="F504" i="55" s="1"/>
  <c r="F505" i="55" s="1"/>
  <c r="F506" i="55" s="1"/>
  <c r="F507" i="55" s="1"/>
  <c r="F508" i="55" s="1"/>
  <c r="F509" i="55" s="1"/>
  <c r="F510" i="55" s="1"/>
  <c r="F511" i="55" s="1"/>
  <c r="F512" i="55" s="1"/>
  <c r="F513" i="55" s="1"/>
  <c r="F514" i="55" s="1"/>
  <c r="F515" i="55" s="1"/>
  <c r="F516" i="55" s="1"/>
  <c r="F517" i="55" s="1"/>
  <c r="F518" i="55" s="1"/>
  <c r="F519" i="55" s="1"/>
  <c r="F520" i="55" s="1"/>
  <c r="F521" i="55" s="1"/>
  <c r="F522" i="55" s="1"/>
  <c r="F523" i="55" s="1"/>
  <c r="F524" i="55" s="1"/>
  <c r="F525" i="55" s="1"/>
  <c r="A167" i="55"/>
  <c r="A168" i="55" s="1"/>
  <c r="A169" i="55" s="1"/>
  <c r="A170" i="55" s="1"/>
  <c r="A171" i="55" s="1"/>
  <c r="A172" i="55" s="1"/>
  <c r="A173" i="55" s="1"/>
  <c r="A174" i="55" s="1"/>
  <c r="A175" i="55" s="1"/>
  <c r="A176" i="55" s="1"/>
  <c r="A177" i="55" s="1"/>
  <c r="A178" i="55" s="1"/>
  <c r="A179" i="55" s="1"/>
  <c r="A180" i="55" s="1"/>
  <c r="A181" i="55" s="1"/>
  <c r="A182" i="55" s="1"/>
  <c r="A183" i="55" s="1"/>
  <c r="A184" i="55" s="1"/>
  <c r="A185" i="55" s="1"/>
  <c r="A186" i="55" s="1"/>
  <c r="A187" i="55" s="1"/>
  <c r="A188" i="55" s="1"/>
  <c r="A189" i="55" s="1"/>
  <c r="A190" i="55" s="1"/>
  <c r="A191" i="55" s="1"/>
  <c r="A192" i="55" s="1"/>
  <c r="A193" i="55" s="1"/>
  <c r="A194" i="55" s="1"/>
  <c r="A195" i="55" s="1"/>
  <c r="A196" i="55" s="1"/>
  <c r="A197" i="55" s="1"/>
  <c r="A198" i="55" s="1"/>
  <c r="A199" i="55" s="1"/>
  <c r="A200" i="55" s="1"/>
  <c r="A201" i="55" s="1"/>
  <c r="A202" i="55" s="1"/>
  <c r="A203" i="55" s="1"/>
  <c r="A204" i="55" s="1"/>
  <c r="A205" i="55" s="1"/>
  <c r="A206" i="55" s="1"/>
  <c r="A207" i="55" s="1"/>
  <c r="A208" i="55" s="1"/>
  <c r="A209" i="55" s="1"/>
  <c r="A210" i="55" s="1"/>
  <c r="A211" i="55" s="1"/>
  <c r="A212" i="55" s="1"/>
  <c r="A213" i="55" s="1"/>
  <c r="A214" i="55" s="1"/>
  <c r="A215" i="55" s="1"/>
  <c r="A216" i="55" s="1"/>
  <c r="A217" i="55" s="1"/>
  <c r="A218" i="55" s="1"/>
  <c r="A219" i="55" s="1"/>
  <c r="A220" i="55" s="1"/>
  <c r="A221" i="55" s="1"/>
  <c r="A222" i="55" s="1"/>
  <c r="A223" i="55" s="1"/>
  <c r="A224" i="55" s="1"/>
  <c r="A225" i="55" s="1"/>
  <c r="A226" i="55" s="1"/>
  <c r="A227" i="55" s="1"/>
  <c r="A228" i="55" s="1"/>
  <c r="A229" i="55" s="1"/>
  <c r="A230" i="55" s="1"/>
  <c r="A231" i="55" s="1"/>
  <c r="A232" i="55" s="1"/>
  <c r="A233" i="55" s="1"/>
  <c r="A234" i="55" s="1"/>
  <c r="A235" i="55" s="1"/>
  <c r="A236" i="55" s="1"/>
  <c r="A237" i="55" s="1"/>
  <c r="A238" i="55" s="1"/>
  <c r="A239" i="55" s="1"/>
  <c r="A240" i="55" s="1"/>
  <c r="A241" i="55" s="1"/>
  <c r="A242" i="55" s="1"/>
  <c r="A243" i="55" s="1"/>
  <c r="A244" i="55" s="1"/>
  <c r="A245" i="55" s="1"/>
  <c r="A246" i="55" s="1"/>
  <c r="A247" i="55" s="1"/>
  <c r="A248" i="55" s="1"/>
  <c r="A249" i="55" s="1"/>
  <c r="A250" i="55" s="1"/>
  <c r="A251" i="55" s="1"/>
  <c r="A252" i="55" s="1"/>
  <c r="A253" i="55" s="1"/>
  <c r="A254" i="55" s="1"/>
  <c r="A255" i="55" s="1"/>
  <c r="A256" i="55" s="1"/>
  <c r="A257" i="55" s="1"/>
  <c r="A258" i="55" s="1"/>
  <c r="A259" i="55" s="1"/>
  <c r="A260" i="55" s="1"/>
  <c r="A261" i="55" s="1"/>
  <c r="A262" i="55" s="1"/>
  <c r="A263" i="55" s="1"/>
  <c r="A264" i="55" s="1"/>
  <c r="A265" i="55" s="1"/>
  <c r="A266" i="55" s="1"/>
  <c r="A267" i="55" s="1"/>
  <c r="A268" i="55" s="1"/>
  <c r="A269" i="55" s="1"/>
  <c r="A270" i="55" s="1"/>
  <c r="A271" i="55" s="1"/>
  <c r="A272" i="55" s="1"/>
  <c r="A273" i="55" s="1"/>
  <c r="A274" i="55" s="1"/>
  <c r="A275" i="55" s="1"/>
  <c r="A276" i="55" s="1"/>
  <c r="A277" i="55" s="1"/>
  <c r="A278" i="55" s="1"/>
  <c r="A279" i="55" s="1"/>
  <c r="A280" i="55" s="1"/>
  <c r="A281" i="55" s="1"/>
  <c r="A282" i="55" s="1"/>
  <c r="A283" i="55" s="1"/>
  <c r="A284" i="55" s="1"/>
  <c r="A285" i="55" s="1"/>
  <c r="A286" i="55" s="1"/>
  <c r="A287" i="55" s="1"/>
  <c r="A288" i="55" s="1"/>
  <c r="A289" i="55" s="1"/>
  <c r="A290" i="55" s="1"/>
  <c r="A291" i="55" s="1"/>
  <c r="A292" i="55" s="1"/>
  <c r="A293" i="55" s="1"/>
  <c r="A294" i="55" s="1"/>
  <c r="A295" i="55" s="1"/>
  <c r="A296" i="55" s="1"/>
  <c r="A297" i="55" s="1"/>
  <c r="A298" i="55" s="1"/>
  <c r="A299" i="55" s="1"/>
  <c r="A300" i="55" s="1"/>
  <c r="A301" i="55" s="1"/>
  <c r="A302" i="55" s="1"/>
  <c r="A303" i="55" s="1"/>
  <c r="A304" i="55" s="1"/>
  <c r="A305" i="55" s="1"/>
  <c r="A306" i="55" s="1"/>
  <c r="A307" i="55" s="1"/>
  <c r="A308" i="55" s="1"/>
  <c r="A309" i="55" s="1"/>
  <c r="A310" i="55" s="1"/>
  <c r="A311" i="55" s="1"/>
  <c r="A312" i="55" s="1"/>
  <c r="A313" i="55" s="1"/>
  <c r="A314" i="55" s="1"/>
  <c r="A315" i="55" s="1"/>
  <c r="A316" i="55" s="1"/>
  <c r="A317" i="55" s="1"/>
  <c r="A318" i="55" s="1"/>
  <c r="A319" i="55" s="1"/>
  <c r="A320" i="55" s="1"/>
  <c r="A321" i="55" s="1"/>
  <c r="A322" i="55" s="1"/>
  <c r="A323" i="55" s="1"/>
  <c r="A324" i="55" s="1"/>
  <c r="A325" i="55" s="1"/>
  <c r="A326" i="55" s="1"/>
  <c r="A327" i="55" s="1"/>
  <c r="A328" i="55" s="1"/>
  <c r="A329" i="55" s="1"/>
  <c r="A330" i="55" s="1"/>
  <c r="A331" i="55" s="1"/>
  <c r="A332" i="55" s="1"/>
  <c r="A333" i="55" s="1"/>
  <c r="A334" i="55" s="1"/>
  <c r="A335" i="55" s="1"/>
  <c r="A336" i="55" s="1"/>
  <c r="A337" i="55" s="1"/>
  <c r="A338" i="55" s="1"/>
  <c r="A339" i="55" s="1"/>
  <c r="A340" i="55" s="1"/>
  <c r="A341" i="55" s="1"/>
  <c r="A342" i="55" s="1"/>
  <c r="A343" i="55" s="1"/>
  <c r="A344" i="55" s="1"/>
  <c r="A345" i="55" s="1"/>
  <c r="A346" i="55" s="1"/>
  <c r="A347" i="55" s="1"/>
  <c r="A348" i="55" s="1"/>
  <c r="A349" i="55" s="1"/>
  <c r="A350" i="55" s="1"/>
  <c r="A351" i="55" s="1"/>
  <c r="A352" i="55" s="1"/>
  <c r="A353" i="55" s="1"/>
  <c r="A354" i="55" s="1"/>
  <c r="A355" i="55" s="1"/>
  <c r="A356" i="55" s="1"/>
  <c r="A357" i="55" s="1"/>
  <c r="A358" i="55" s="1"/>
  <c r="A359" i="55" s="1"/>
  <c r="A360" i="55" s="1"/>
  <c r="A361" i="55" s="1"/>
  <c r="A362" i="55" s="1"/>
  <c r="A363" i="55" s="1"/>
  <c r="A364" i="55" s="1"/>
  <c r="A365" i="55" s="1"/>
  <c r="A366" i="55" s="1"/>
  <c r="A367" i="55" s="1"/>
  <c r="A368" i="55" s="1"/>
  <c r="A369" i="55" s="1"/>
  <c r="A370" i="55" s="1"/>
  <c r="A371" i="55" s="1"/>
  <c r="A372" i="55" s="1"/>
  <c r="A373" i="55" s="1"/>
  <c r="A374" i="55" s="1"/>
  <c r="A375" i="55" s="1"/>
  <c r="A376" i="55" s="1"/>
  <c r="A377" i="55" s="1"/>
  <c r="A378" i="55" s="1"/>
  <c r="A379" i="55" s="1"/>
  <c r="A380" i="55" s="1"/>
  <c r="A381" i="55" s="1"/>
  <c r="A382" i="55" s="1"/>
  <c r="A383" i="55" s="1"/>
  <c r="A384" i="55" s="1"/>
  <c r="A385" i="55" s="1"/>
  <c r="A386" i="55" s="1"/>
  <c r="A387" i="55" s="1"/>
  <c r="A388" i="55" s="1"/>
  <c r="A389" i="55" s="1"/>
  <c r="A390" i="55" s="1"/>
  <c r="A391" i="55" s="1"/>
  <c r="A392" i="55" s="1"/>
  <c r="A393" i="55" s="1"/>
  <c r="A394" i="55" s="1"/>
  <c r="A395" i="55" s="1"/>
  <c r="A396" i="55" s="1"/>
  <c r="A397" i="55" s="1"/>
  <c r="A398" i="55" s="1"/>
  <c r="A399" i="55" s="1"/>
  <c r="A400" i="55" s="1"/>
  <c r="A401" i="55" s="1"/>
  <c r="A402" i="55" s="1"/>
  <c r="A403" i="55" s="1"/>
  <c r="A404" i="55" s="1"/>
  <c r="A405" i="55" s="1"/>
  <c r="A406" i="55" s="1"/>
  <c r="A407" i="55" s="1"/>
  <c r="A408" i="55" s="1"/>
  <c r="A409" i="55" s="1"/>
  <c r="A410" i="55" s="1"/>
  <c r="A411" i="55" s="1"/>
  <c r="A412" i="55" s="1"/>
  <c r="A413" i="55" s="1"/>
  <c r="A414" i="55" s="1"/>
  <c r="A415" i="55" s="1"/>
  <c r="A416" i="55" s="1"/>
  <c r="A417" i="55" s="1"/>
  <c r="A418" i="55" s="1"/>
  <c r="A419" i="55" s="1"/>
  <c r="A420" i="55" s="1"/>
  <c r="A421" i="55" s="1"/>
  <c r="A422" i="55" s="1"/>
  <c r="A423" i="55" s="1"/>
  <c r="A424" i="55" s="1"/>
  <c r="A425" i="55" s="1"/>
  <c r="A426" i="55" s="1"/>
  <c r="A427" i="55" s="1"/>
  <c r="A428" i="55" s="1"/>
  <c r="A429" i="55" s="1"/>
  <c r="A430" i="55" s="1"/>
  <c r="A431" i="55" s="1"/>
  <c r="A432" i="55" s="1"/>
  <c r="A433" i="55" s="1"/>
  <c r="A434" i="55" s="1"/>
  <c r="A435" i="55" s="1"/>
  <c r="A436" i="55" s="1"/>
  <c r="A437" i="55" s="1"/>
  <c r="A438" i="55" s="1"/>
  <c r="A439" i="55" s="1"/>
  <c r="A440" i="55" s="1"/>
  <c r="A441" i="55" s="1"/>
  <c r="A442" i="55" s="1"/>
  <c r="A443" i="55" s="1"/>
  <c r="A444" i="55" s="1"/>
  <c r="A445" i="55" s="1"/>
  <c r="A446" i="55" s="1"/>
  <c r="A447" i="55" s="1"/>
  <c r="A448" i="55" s="1"/>
  <c r="A449" i="55" s="1"/>
  <c r="A450" i="55" s="1"/>
  <c r="A451" i="55" s="1"/>
  <c r="A452" i="55" s="1"/>
  <c r="A453" i="55" s="1"/>
  <c r="A454" i="55" s="1"/>
  <c r="A455" i="55" s="1"/>
  <c r="A456" i="55" s="1"/>
  <c r="A457" i="55" s="1"/>
  <c r="A458" i="55" s="1"/>
  <c r="A459" i="55" s="1"/>
  <c r="A460" i="55" s="1"/>
  <c r="A461" i="55" s="1"/>
  <c r="A462" i="55" s="1"/>
  <c r="A463" i="55" s="1"/>
  <c r="A464" i="55" s="1"/>
  <c r="A465" i="55" s="1"/>
  <c r="A466" i="55" s="1"/>
  <c r="A467" i="55" s="1"/>
  <c r="A468" i="55" s="1"/>
  <c r="A469" i="55" s="1"/>
  <c r="A470" i="55" s="1"/>
  <c r="A471" i="55" s="1"/>
  <c r="A472" i="55" s="1"/>
  <c r="A473" i="55" s="1"/>
  <c r="A474" i="55" s="1"/>
  <c r="A475" i="55" s="1"/>
  <c r="A476" i="55" s="1"/>
  <c r="A477" i="55" s="1"/>
  <c r="A478" i="55" s="1"/>
  <c r="A479" i="55" s="1"/>
  <c r="A480" i="55" s="1"/>
  <c r="A481" i="55" s="1"/>
  <c r="A482" i="55" s="1"/>
  <c r="A483" i="55" s="1"/>
  <c r="A484" i="55" s="1"/>
  <c r="A485" i="55" s="1"/>
  <c r="A486" i="55" s="1"/>
  <c r="A487" i="55" s="1"/>
  <c r="A488" i="55" s="1"/>
  <c r="A489" i="55" s="1"/>
  <c r="A490" i="55" s="1"/>
  <c r="A491" i="55" s="1"/>
  <c r="A492" i="55" s="1"/>
  <c r="A493" i="55" s="1"/>
  <c r="A494" i="55" s="1"/>
  <c r="A495" i="55" s="1"/>
  <c r="A496" i="55" s="1"/>
  <c r="A497" i="55" s="1"/>
  <c r="A498" i="55" s="1"/>
  <c r="A499" i="55" s="1"/>
  <c r="A500" i="55" s="1"/>
  <c r="A501" i="55" s="1"/>
  <c r="A502" i="55" s="1"/>
  <c r="A503" i="55" s="1"/>
  <c r="A504" i="55" s="1"/>
  <c r="A505" i="55" s="1"/>
  <c r="A506" i="55" s="1"/>
  <c r="A507" i="55" s="1"/>
  <c r="A508" i="55" s="1"/>
  <c r="A509" i="55" s="1"/>
  <c r="A510" i="55" s="1"/>
  <c r="A511" i="55" s="1"/>
  <c r="A512" i="55" s="1"/>
  <c r="A513" i="55" s="1"/>
  <c r="A514" i="55" s="1"/>
  <c r="A515" i="55" s="1"/>
  <c r="A516" i="55" s="1"/>
  <c r="A517" i="55" s="1"/>
  <c r="A518" i="55" s="1"/>
  <c r="A519" i="55" s="1"/>
  <c r="A520" i="55" s="1"/>
  <c r="A521" i="55" s="1"/>
  <c r="A522" i="55" s="1"/>
  <c r="A523" i="55" s="1"/>
  <c r="A524" i="55" s="1"/>
  <c r="A525" i="55" s="1"/>
  <c r="E94" i="55"/>
  <c r="G165" i="55" s="1"/>
  <c r="E95" i="55"/>
  <c r="E96" i="55"/>
  <c r="C63" i="47" s="1"/>
  <c r="AH156" i="55"/>
  <c r="AC156" i="55"/>
  <c r="X156" i="55"/>
  <c r="S156" i="55"/>
  <c r="AH154" i="55"/>
  <c r="AG154" i="55"/>
  <c r="AF154" i="55"/>
  <c r="AE154" i="55"/>
  <c r="AD154" i="55"/>
  <c r="AC154" i="55"/>
  <c r="AB154" i="55"/>
  <c r="AA154" i="55"/>
  <c r="Z154" i="55"/>
  <c r="Y154" i="55"/>
  <c r="X154" i="55"/>
  <c r="W154" i="55"/>
  <c r="V154" i="55"/>
  <c r="U154" i="55"/>
  <c r="T154" i="55"/>
  <c r="S154" i="55"/>
  <c r="R154" i="55"/>
  <c r="Q154" i="55"/>
  <c r="P154" i="55"/>
  <c r="O154" i="55"/>
  <c r="N154" i="55"/>
  <c r="M154" i="55"/>
  <c r="L154" i="55"/>
  <c r="K154" i="55"/>
  <c r="J154" i="55"/>
  <c r="I154" i="55"/>
  <c r="H154" i="55"/>
  <c r="G154" i="55"/>
  <c r="F154" i="55"/>
  <c r="E154" i="55"/>
  <c r="AH153" i="55"/>
  <c r="AG153" i="55"/>
  <c r="AF153" i="55"/>
  <c r="AE153" i="55"/>
  <c r="AD153" i="55"/>
  <c r="AC153" i="55"/>
  <c r="AB153" i="55"/>
  <c r="AA153" i="55"/>
  <c r="Z153" i="55"/>
  <c r="Y153" i="55"/>
  <c r="X153" i="55"/>
  <c r="W153" i="55"/>
  <c r="V153" i="55"/>
  <c r="U153" i="55"/>
  <c r="T153" i="55"/>
  <c r="S153" i="55"/>
  <c r="R153" i="55"/>
  <c r="Q153" i="55"/>
  <c r="P153" i="55"/>
  <c r="O153" i="55"/>
  <c r="N153" i="55"/>
  <c r="M153" i="55"/>
  <c r="L153" i="55"/>
  <c r="K153" i="55"/>
  <c r="J153" i="55"/>
  <c r="I153" i="55"/>
  <c r="H153" i="55"/>
  <c r="G153" i="55"/>
  <c r="F153" i="55"/>
  <c r="E153" i="55"/>
  <c r="D150" i="55"/>
  <c r="D146" i="55"/>
  <c r="D145" i="55"/>
  <c r="D138" i="55"/>
  <c r="D137" i="55"/>
  <c r="AC129" i="55"/>
  <c r="X129" i="55"/>
  <c r="S129" i="55"/>
  <c r="D128" i="55"/>
  <c r="D46" i="55"/>
  <c r="C29" i="47" s="1"/>
  <c r="D106" i="55"/>
  <c r="C48" i="55"/>
  <c r="C50" i="55"/>
  <c r="C51" i="55"/>
  <c r="D110" i="55" s="1"/>
  <c r="D112" i="55"/>
  <c r="AH115" i="55"/>
  <c r="AH116" i="55"/>
  <c r="D127" i="55"/>
  <c r="AH127" i="55"/>
  <c r="AC127" i="55"/>
  <c r="X127" i="55"/>
  <c r="S127" i="55"/>
  <c r="D124" i="55"/>
  <c r="AH119" i="42"/>
  <c r="AH123" i="53"/>
  <c r="AH120" i="51"/>
  <c r="AG119" i="42"/>
  <c r="AG123" i="53"/>
  <c r="AG120" i="51"/>
  <c r="AF119" i="42"/>
  <c r="AF123" i="53"/>
  <c r="AF120" i="51"/>
  <c r="AE119" i="42"/>
  <c r="AE123" i="53"/>
  <c r="AE120" i="51"/>
  <c r="AD119" i="42"/>
  <c r="AD123" i="53"/>
  <c r="AD120" i="51"/>
  <c r="Y119" i="42"/>
  <c r="Y123" i="53"/>
  <c r="Y120" i="51"/>
  <c r="X119" i="42"/>
  <c r="X123" i="53"/>
  <c r="X120" i="51"/>
  <c r="V119" i="42"/>
  <c r="V123" i="53"/>
  <c r="V120" i="51"/>
  <c r="U119" i="42"/>
  <c r="U123" i="53"/>
  <c r="U120" i="51"/>
  <c r="T119" i="42"/>
  <c r="T123" i="53"/>
  <c r="T120" i="51"/>
  <c r="Q119" i="42"/>
  <c r="Q123" i="53"/>
  <c r="Q120" i="51"/>
  <c r="P119" i="42"/>
  <c r="P123" i="53"/>
  <c r="P120" i="51"/>
  <c r="N119" i="42"/>
  <c r="N123" i="53"/>
  <c r="N120" i="51"/>
  <c r="I119" i="42"/>
  <c r="I123" i="53"/>
  <c r="I120" i="51"/>
  <c r="H119" i="42"/>
  <c r="H123" i="53"/>
  <c r="H120" i="51"/>
  <c r="AG116" i="55"/>
  <c r="AF116" i="55"/>
  <c r="AE116" i="55"/>
  <c r="AD116" i="55"/>
  <c r="AC116" i="55"/>
  <c r="AB116" i="55"/>
  <c r="AA116" i="55"/>
  <c r="Z116" i="55"/>
  <c r="Y116" i="55"/>
  <c r="X116" i="55"/>
  <c r="W116" i="55"/>
  <c r="V116" i="55"/>
  <c r="U116" i="55"/>
  <c r="T116" i="55"/>
  <c r="S116" i="55"/>
  <c r="R116" i="55"/>
  <c r="Q116" i="55"/>
  <c r="P116" i="55"/>
  <c r="O116" i="55"/>
  <c r="N116" i="55"/>
  <c r="M116" i="55"/>
  <c r="L116" i="55"/>
  <c r="K116" i="55"/>
  <c r="J116" i="55"/>
  <c r="I116" i="55"/>
  <c r="H116" i="55"/>
  <c r="G116" i="55"/>
  <c r="F116" i="55"/>
  <c r="E116"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C62" i="47"/>
  <c r="E91" i="55"/>
  <c r="C58" i="47" s="1"/>
  <c r="E90" i="55"/>
  <c r="C57" i="47" s="1"/>
  <c r="D89" i="55"/>
  <c r="C55" i="47" s="1"/>
  <c r="H89" i="55"/>
  <c r="H73" i="55"/>
  <c r="L5" i="55" s="1"/>
  <c r="C15" i="47" s="1"/>
  <c r="H53" i="55"/>
  <c r="H47" i="55"/>
  <c r="L6" i="55" s="1"/>
  <c r="D9" i="55"/>
  <c r="J119" i="42"/>
  <c r="J123" i="53"/>
  <c r="J120" i="51"/>
  <c r="R119" i="42"/>
  <c r="R123" i="53"/>
  <c r="R120" i="51"/>
  <c r="Z119" i="42"/>
  <c r="Z123" i="53"/>
  <c r="Z120" i="51"/>
  <c r="G119" i="42"/>
  <c r="G123" i="53"/>
  <c r="G120" i="51"/>
  <c r="O119" i="42"/>
  <c r="O123" i="53"/>
  <c r="O120" i="51"/>
  <c r="W119" i="42"/>
  <c r="W123" i="53"/>
  <c r="W120" i="51"/>
  <c r="C39" i="57"/>
  <c r="C40" i="57" s="1"/>
  <c r="G24" i="47" s="1"/>
  <c r="D31" i="47"/>
  <c r="H31" i="47" s="1"/>
  <c r="D118" i="53"/>
  <c r="C58" i="53"/>
  <c r="K173" i="53"/>
  <c r="K174" i="53" s="1"/>
  <c r="K175" i="53" s="1"/>
  <c r="K176" i="53" s="1"/>
  <c r="K177" i="53" s="1"/>
  <c r="K178" i="53" s="1"/>
  <c r="K179" i="53" s="1"/>
  <c r="K180" i="53" s="1"/>
  <c r="K181" i="53" s="1"/>
  <c r="K182" i="53" s="1"/>
  <c r="K183" i="53" s="1"/>
  <c r="K184" i="53" s="1"/>
  <c r="K185" i="53" s="1"/>
  <c r="K186" i="53" s="1"/>
  <c r="K187" i="53" s="1"/>
  <c r="K188" i="53" s="1"/>
  <c r="K189" i="53" s="1"/>
  <c r="K190" i="53" s="1"/>
  <c r="K191" i="53" s="1"/>
  <c r="K192" i="53" s="1"/>
  <c r="K193" i="53" s="1"/>
  <c r="K194" i="53" s="1"/>
  <c r="K195" i="53" s="1"/>
  <c r="K196" i="53" s="1"/>
  <c r="K197" i="53" s="1"/>
  <c r="K198" i="53" s="1"/>
  <c r="K199" i="53" s="1"/>
  <c r="K200" i="53" s="1"/>
  <c r="K201" i="53" s="1"/>
  <c r="K202" i="53" s="1"/>
  <c r="K203" i="53" s="1"/>
  <c r="K204" i="53" s="1"/>
  <c r="K205" i="53" s="1"/>
  <c r="K206" i="53" s="1"/>
  <c r="K207" i="53" s="1"/>
  <c r="K208" i="53" s="1"/>
  <c r="K209" i="53" s="1"/>
  <c r="K210" i="53" s="1"/>
  <c r="K211" i="53" s="1"/>
  <c r="K212" i="53" s="1"/>
  <c r="K213" i="53" s="1"/>
  <c r="K214" i="53" s="1"/>
  <c r="K215" i="53" s="1"/>
  <c r="K216" i="53" s="1"/>
  <c r="K217" i="53" s="1"/>
  <c r="K218" i="53" s="1"/>
  <c r="K219" i="53" s="1"/>
  <c r="K220" i="53" s="1"/>
  <c r="K221" i="53" s="1"/>
  <c r="K222" i="53" s="1"/>
  <c r="K223" i="53" s="1"/>
  <c r="K224" i="53" s="1"/>
  <c r="K225" i="53" s="1"/>
  <c r="K226" i="53" s="1"/>
  <c r="K227" i="53" s="1"/>
  <c r="K228" i="53" s="1"/>
  <c r="K229" i="53" s="1"/>
  <c r="K230" i="53" s="1"/>
  <c r="K231" i="53" s="1"/>
  <c r="K232" i="53" s="1"/>
  <c r="K233" i="53" s="1"/>
  <c r="K234" i="53" s="1"/>
  <c r="K235" i="53" s="1"/>
  <c r="K236" i="53" s="1"/>
  <c r="K237" i="53" s="1"/>
  <c r="K238" i="53" s="1"/>
  <c r="K239" i="53" s="1"/>
  <c r="K240" i="53" s="1"/>
  <c r="K241" i="53" s="1"/>
  <c r="K242" i="53" s="1"/>
  <c r="K243" i="53" s="1"/>
  <c r="K244" i="53" s="1"/>
  <c r="K245" i="53" s="1"/>
  <c r="K246" i="53" s="1"/>
  <c r="K247" i="53" s="1"/>
  <c r="K248" i="53" s="1"/>
  <c r="K249" i="53" s="1"/>
  <c r="K250" i="53" s="1"/>
  <c r="K251" i="53" s="1"/>
  <c r="K252" i="53" s="1"/>
  <c r="K253" i="53" s="1"/>
  <c r="K254" i="53" s="1"/>
  <c r="K255" i="53" s="1"/>
  <c r="K256" i="53" s="1"/>
  <c r="K257" i="53" s="1"/>
  <c r="K258" i="53" s="1"/>
  <c r="K259" i="53" s="1"/>
  <c r="K260" i="53" s="1"/>
  <c r="K261" i="53" s="1"/>
  <c r="K262" i="53" s="1"/>
  <c r="K263" i="53" s="1"/>
  <c r="K264" i="53" s="1"/>
  <c r="K265" i="53" s="1"/>
  <c r="K266" i="53" s="1"/>
  <c r="K267" i="53" s="1"/>
  <c r="K268" i="53" s="1"/>
  <c r="K269" i="53" s="1"/>
  <c r="K270" i="53" s="1"/>
  <c r="K271" i="53" s="1"/>
  <c r="K272" i="53" s="1"/>
  <c r="K273" i="53" s="1"/>
  <c r="K274" i="53" s="1"/>
  <c r="K275" i="53" s="1"/>
  <c r="K276" i="53" s="1"/>
  <c r="K277" i="53" s="1"/>
  <c r="K278" i="53" s="1"/>
  <c r="K279" i="53" s="1"/>
  <c r="K280" i="53" s="1"/>
  <c r="K281" i="53" s="1"/>
  <c r="K282" i="53" s="1"/>
  <c r="K283" i="53" s="1"/>
  <c r="K284" i="53" s="1"/>
  <c r="K285" i="53" s="1"/>
  <c r="K286" i="53" s="1"/>
  <c r="K287" i="53" s="1"/>
  <c r="K288" i="53" s="1"/>
  <c r="K289" i="53" s="1"/>
  <c r="K290" i="53" s="1"/>
  <c r="K291" i="53" s="1"/>
  <c r="K292" i="53" s="1"/>
  <c r="K293" i="53" s="1"/>
  <c r="K294" i="53" s="1"/>
  <c r="K295" i="53" s="1"/>
  <c r="K296" i="53" s="1"/>
  <c r="K297" i="53" s="1"/>
  <c r="K298" i="53" s="1"/>
  <c r="K299" i="53" s="1"/>
  <c r="K300" i="53" s="1"/>
  <c r="K301" i="53" s="1"/>
  <c r="K302" i="53" s="1"/>
  <c r="K303" i="53" s="1"/>
  <c r="K304" i="53" s="1"/>
  <c r="K305" i="53" s="1"/>
  <c r="K306" i="53" s="1"/>
  <c r="K307" i="53" s="1"/>
  <c r="K308" i="53" s="1"/>
  <c r="K309" i="53" s="1"/>
  <c r="K310" i="53" s="1"/>
  <c r="K311" i="53" s="1"/>
  <c r="K312" i="53" s="1"/>
  <c r="K313" i="53" s="1"/>
  <c r="K314" i="53" s="1"/>
  <c r="K315" i="53" s="1"/>
  <c r="K316" i="53" s="1"/>
  <c r="K317" i="53" s="1"/>
  <c r="K318" i="53" s="1"/>
  <c r="K319" i="53" s="1"/>
  <c r="K320" i="53" s="1"/>
  <c r="K321" i="53" s="1"/>
  <c r="K322" i="53" s="1"/>
  <c r="K323" i="53" s="1"/>
  <c r="K324" i="53" s="1"/>
  <c r="K325" i="53" s="1"/>
  <c r="K326" i="53" s="1"/>
  <c r="K327" i="53" s="1"/>
  <c r="K328" i="53" s="1"/>
  <c r="K329" i="53" s="1"/>
  <c r="K330" i="53" s="1"/>
  <c r="K331" i="53" s="1"/>
  <c r="K332" i="53" s="1"/>
  <c r="K333" i="53" s="1"/>
  <c r="K334" i="53" s="1"/>
  <c r="K335" i="53" s="1"/>
  <c r="K336" i="53" s="1"/>
  <c r="K337" i="53" s="1"/>
  <c r="K338" i="53" s="1"/>
  <c r="K339" i="53" s="1"/>
  <c r="K340" i="53" s="1"/>
  <c r="K341" i="53" s="1"/>
  <c r="K342" i="53" s="1"/>
  <c r="K343" i="53" s="1"/>
  <c r="K344" i="53" s="1"/>
  <c r="K345" i="53" s="1"/>
  <c r="K346" i="53" s="1"/>
  <c r="K347" i="53" s="1"/>
  <c r="K348" i="53" s="1"/>
  <c r="K349" i="53" s="1"/>
  <c r="K350" i="53" s="1"/>
  <c r="K351" i="53" s="1"/>
  <c r="K352" i="53" s="1"/>
  <c r="K353" i="53" s="1"/>
  <c r="K354" i="53" s="1"/>
  <c r="K355" i="53" s="1"/>
  <c r="K356" i="53" s="1"/>
  <c r="K357" i="53" s="1"/>
  <c r="K358" i="53" s="1"/>
  <c r="K359" i="53" s="1"/>
  <c r="K360" i="53" s="1"/>
  <c r="K361" i="53" s="1"/>
  <c r="K362" i="53" s="1"/>
  <c r="K363" i="53" s="1"/>
  <c r="K364" i="53" s="1"/>
  <c r="K365" i="53" s="1"/>
  <c r="K366" i="53" s="1"/>
  <c r="K367" i="53" s="1"/>
  <c r="K368" i="53" s="1"/>
  <c r="K369" i="53" s="1"/>
  <c r="K370" i="53" s="1"/>
  <c r="K371" i="53" s="1"/>
  <c r="K372" i="53" s="1"/>
  <c r="K373" i="53" s="1"/>
  <c r="K374" i="53" s="1"/>
  <c r="K375" i="53" s="1"/>
  <c r="K376" i="53" s="1"/>
  <c r="K377" i="53" s="1"/>
  <c r="K378" i="53" s="1"/>
  <c r="K379" i="53" s="1"/>
  <c r="K380" i="53" s="1"/>
  <c r="K381" i="53" s="1"/>
  <c r="K382" i="53" s="1"/>
  <c r="K383" i="53" s="1"/>
  <c r="K384" i="53" s="1"/>
  <c r="K385" i="53" s="1"/>
  <c r="K386" i="53" s="1"/>
  <c r="K387" i="53" s="1"/>
  <c r="K388" i="53" s="1"/>
  <c r="K389" i="53" s="1"/>
  <c r="K390" i="53" s="1"/>
  <c r="K391" i="53" s="1"/>
  <c r="K392" i="53" s="1"/>
  <c r="K393" i="53" s="1"/>
  <c r="K394" i="53" s="1"/>
  <c r="K395" i="53" s="1"/>
  <c r="K396" i="53" s="1"/>
  <c r="K397" i="53" s="1"/>
  <c r="K398" i="53" s="1"/>
  <c r="K399" i="53" s="1"/>
  <c r="K400" i="53" s="1"/>
  <c r="K401" i="53" s="1"/>
  <c r="K402" i="53" s="1"/>
  <c r="K403" i="53" s="1"/>
  <c r="K404" i="53" s="1"/>
  <c r="K405" i="53" s="1"/>
  <c r="K406" i="53" s="1"/>
  <c r="K407" i="53" s="1"/>
  <c r="K408" i="53" s="1"/>
  <c r="K409" i="53" s="1"/>
  <c r="K410" i="53" s="1"/>
  <c r="K411" i="53" s="1"/>
  <c r="K412" i="53" s="1"/>
  <c r="K413" i="53" s="1"/>
  <c r="K414" i="53" s="1"/>
  <c r="K415" i="53" s="1"/>
  <c r="K416" i="53" s="1"/>
  <c r="K417" i="53" s="1"/>
  <c r="K418" i="53" s="1"/>
  <c r="K419" i="53" s="1"/>
  <c r="K420" i="53" s="1"/>
  <c r="K421" i="53" s="1"/>
  <c r="K422" i="53" s="1"/>
  <c r="K423" i="53" s="1"/>
  <c r="K424" i="53" s="1"/>
  <c r="K425" i="53" s="1"/>
  <c r="K426" i="53" s="1"/>
  <c r="K427" i="53" s="1"/>
  <c r="K428" i="53" s="1"/>
  <c r="K429" i="53" s="1"/>
  <c r="K430" i="53" s="1"/>
  <c r="K431" i="53" s="1"/>
  <c r="K432" i="53" s="1"/>
  <c r="K433" i="53" s="1"/>
  <c r="K434" i="53" s="1"/>
  <c r="K435" i="53" s="1"/>
  <c r="K436" i="53" s="1"/>
  <c r="K437" i="53" s="1"/>
  <c r="K438" i="53" s="1"/>
  <c r="K439" i="53" s="1"/>
  <c r="K440" i="53" s="1"/>
  <c r="K441" i="53" s="1"/>
  <c r="K442" i="53" s="1"/>
  <c r="K443" i="53" s="1"/>
  <c r="K444" i="53" s="1"/>
  <c r="K445" i="53" s="1"/>
  <c r="K446" i="53" s="1"/>
  <c r="K447" i="53" s="1"/>
  <c r="K448" i="53" s="1"/>
  <c r="K449" i="53" s="1"/>
  <c r="K450" i="53" s="1"/>
  <c r="K451" i="53" s="1"/>
  <c r="K452" i="53" s="1"/>
  <c r="K453" i="53" s="1"/>
  <c r="K454" i="53" s="1"/>
  <c r="K455" i="53" s="1"/>
  <c r="K456" i="53" s="1"/>
  <c r="K457" i="53" s="1"/>
  <c r="K458" i="53" s="1"/>
  <c r="K459" i="53" s="1"/>
  <c r="K460" i="53" s="1"/>
  <c r="K461" i="53" s="1"/>
  <c r="K462" i="53" s="1"/>
  <c r="K463" i="53" s="1"/>
  <c r="K464" i="53" s="1"/>
  <c r="K465" i="53" s="1"/>
  <c r="K466" i="53" s="1"/>
  <c r="K467" i="53" s="1"/>
  <c r="K468" i="53" s="1"/>
  <c r="K469" i="53" s="1"/>
  <c r="K470" i="53" s="1"/>
  <c r="K471" i="53" s="1"/>
  <c r="K472" i="53" s="1"/>
  <c r="K473" i="53" s="1"/>
  <c r="K474" i="53" s="1"/>
  <c r="K475" i="53" s="1"/>
  <c r="K476" i="53" s="1"/>
  <c r="K477" i="53" s="1"/>
  <c r="K478" i="53" s="1"/>
  <c r="K479" i="53" s="1"/>
  <c r="K480" i="53" s="1"/>
  <c r="K481" i="53" s="1"/>
  <c r="K482" i="53" s="1"/>
  <c r="K483" i="53" s="1"/>
  <c r="K484" i="53" s="1"/>
  <c r="K485" i="53" s="1"/>
  <c r="K486" i="53" s="1"/>
  <c r="K487" i="53" s="1"/>
  <c r="K488" i="53" s="1"/>
  <c r="K489" i="53" s="1"/>
  <c r="K490" i="53" s="1"/>
  <c r="K491" i="53" s="1"/>
  <c r="K492" i="53" s="1"/>
  <c r="K493" i="53" s="1"/>
  <c r="K494" i="53" s="1"/>
  <c r="K495" i="53" s="1"/>
  <c r="K496" i="53" s="1"/>
  <c r="K497" i="53" s="1"/>
  <c r="K498" i="53" s="1"/>
  <c r="K499" i="53" s="1"/>
  <c r="K500" i="53" s="1"/>
  <c r="K501" i="53" s="1"/>
  <c r="K502" i="53" s="1"/>
  <c r="K503" i="53" s="1"/>
  <c r="K504" i="53" s="1"/>
  <c r="K505" i="53" s="1"/>
  <c r="K506" i="53" s="1"/>
  <c r="K507" i="53" s="1"/>
  <c r="K508" i="53" s="1"/>
  <c r="K509" i="53" s="1"/>
  <c r="K510" i="53" s="1"/>
  <c r="K511" i="53" s="1"/>
  <c r="K512" i="53" s="1"/>
  <c r="K513" i="53" s="1"/>
  <c r="K514" i="53" s="1"/>
  <c r="K515" i="53" s="1"/>
  <c r="K516" i="53" s="1"/>
  <c r="K517" i="53" s="1"/>
  <c r="K518" i="53" s="1"/>
  <c r="K519" i="53" s="1"/>
  <c r="K520" i="53" s="1"/>
  <c r="K521" i="53" s="1"/>
  <c r="K522" i="53" s="1"/>
  <c r="K523" i="53" s="1"/>
  <c r="K524" i="53" s="1"/>
  <c r="K525" i="53" s="1"/>
  <c r="K526" i="53" s="1"/>
  <c r="K527" i="53" s="1"/>
  <c r="K528" i="53" s="1"/>
  <c r="K529" i="53" s="1"/>
  <c r="K530" i="53" s="1"/>
  <c r="K531" i="53" s="1"/>
  <c r="F173" i="53"/>
  <c r="F174" i="53" s="1"/>
  <c r="F175" i="53" s="1"/>
  <c r="F176" i="53" s="1"/>
  <c r="F177" i="53" s="1"/>
  <c r="F178" i="53" s="1"/>
  <c r="F179" i="53" s="1"/>
  <c r="F180" i="53" s="1"/>
  <c r="F181" i="53" s="1"/>
  <c r="F182" i="53" s="1"/>
  <c r="F183" i="53" s="1"/>
  <c r="F184" i="53" s="1"/>
  <c r="F185" i="53" s="1"/>
  <c r="F186" i="53" s="1"/>
  <c r="F187" i="53" s="1"/>
  <c r="F188" i="53" s="1"/>
  <c r="F189" i="53" s="1"/>
  <c r="F190" i="53" s="1"/>
  <c r="F191" i="53" s="1"/>
  <c r="F192" i="53" s="1"/>
  <c r="F193" i="53" s="1"/>
  <c r="F194" i="53" s="1"/>
  <c r="F195" i="53" s="1"/>
  <c r="F196" i="53" s="1"/>
  <c r="F197" i="53" s="1"/>
  <c r="F198" i="53" s="1"/>
  <c r="F199" i="53" s="1"/>
  <c r="F200" i="53" s="1"/>
  <c r="F201" i="53" s="1"/>
  <c r="F202" i="53" s="1"/>
  <c r="F203" i="53" s="1"/>
  <c r="F204" i="53" s="1"/>
  <c r="F205" i="53" s="1"/>
  <c r="F206" i="53" s="1"/>
  <c r="F207" i="53" s="1"/>
  <c r="F208" i="53" s="1"/>
  <c r="F209" i="53" s="1"/>
  <c r="F210" i="53" s="1"/>
  <c r="F211" i="53" s="1"/>
  <c r="F212" i="53" s="1"/>
  <c r="F213" i="53" s="1"/>
  <c r="F214" i="53" s="1"/>
  <c r="F215" i="53" s="1"/>
  <c r="F216" i="53" s="1"/>
  <c r="F217" i="53" s="1"/>
  <c r="F218" i="53" s="1"/>
  <c r="F219" i="53" s="1"/>
  <c r="F220" i="53" s="1"/>
  <c r="F221" i="53" s="1"/>
  <c r="F222" i="53" s="1"/>
  <c r="F223" i="53" s="1"/>
  <c r="F224" i="53" s="1"/>
  <c r="F225" i="53" s="1"/>
  <c r="F226" i="53" s="1"/>
  <c r="F227" i="53" s="1"/>
  <c r="F228" i="53" s="1"/>
  <c r="F229" i="53" s="1"/>
  <c r="F230" i="53" s="1"/>
  <c r="F231" i="53" s="1"/>
  <c r="F232" i="53" s="1"/>
  <c r="F233" i="53" s="1"/>
  <c r="F234" i="53" s="1"/>
  <c r="F235" i="53" s="1"/>
  <c r="F236" i="53" s="1"/>
  <c r="F237" i="53" s="1"/>
  <c r="F238" i="53" s="1"/>
  <c r="F239" i="53" s="1"/>
  <c r="F240" i="53" s="1"/>
  <c r="F241" i="53" s="1"/>
  <c r="F242" i="53" s="1"/>
  <c r="F243" i="53" s="1"/>
  <c r="F244" i="53" s="1"/>
  <c r="F245" i="53" s="1"/>
  <c r="F246" i="53" s="1"/>
  <c r="F247" i="53" s="1"/>
  <c r="F248" i="53" s="1"/>
  <c r="F249" i="53" s="1"/>
  <c r="F250" i="53" s="1"/>
  <c r="F251" i="53" s="1"/>
  <c r="F252" i="53" s="1"/>
  <c r="F253" i="53" s="1"/>
  <c r="F254" i="53" s="1"/>
  <c r="F255" i="53" s="1"/>
  <c r="F256" i="53" s="1"/>
  <c r="F257" i="53" s="1"/>
  <c r="F258" i="53" s="1"/>
  <c r="F259" i="53" s="1"/>
  <c r="F260" i="53" s="1"/>
  <c r="F261" i="53" s="1"/>
  <c r="F262" i="53" s="1"/>
  <c r="F263" i="53" s="1"/>
  <c r="F264" i="53" s="1"/>
  <c r="F265" i="53" s="1"/>
  <c r="F266" i="53" s="1"/>
  <c r="F267" i="53" s="1"/>
  <c r="F268" i="53" s="1"/>
  <c r="F269" i="53" s="1"/>
  <c r="F270" i="53" s="1"/>
  <c r="F271" i="53" s="1"/>
  <c r="F272" i="53" s="1"/>
  <c r="F273" i="53" s="1"/>
  <c r="F274" i="53" s="1"/>
  <c r="F275" i="53" s="1"/>
  <c r="F276" i="53" s="1"/>
  <c r="F277" i="53" s="1"/>
  <c r="F278" i="53" s="1"/>
  <c r="F279" i="53" s="1"/>
  <c r="F280" i="53" s="1"/>
  <c r="F281" i="53" s="1"/>
  <c r="F282" i="53" s="1"/>
  <c r="F283" i="53" s="1"/>
  <c r="F284" i="53" s="1"/>
  <c r="F285" i="53" s="1"/>
  <c r="F286" i="53" s="1"/>
  <c r="F287" i="53" s="1"/>
  <c r="F288" i="53" s="1"/>
  <c r="F289" i="53" s="1"/>
  <c r="F290" i="53" s="1"/>
  <c r="F291" i="53" s="1"/>
  <c r="F292" i="53" s="1"/>
  <c r="F293" i="53" s="1"/>
  <c r="F294" i="53" s="1"/>
  <c r="F295" i="53" s="1"/>
  <c r="F296" i="53" s="1"/>
  <c r="F297" i="53" s="1"/>
  <c r="F298" i="53" s="1"/>
  <c r="F299" i="53" s="1"/>
  <c r="F300" i="53" s="1"/>
  <c r="F301" i="53" s="1"/>
  <c r="F302" i="53" s="1"/>
  <c r="F303" i="53" s="1"/>
  <c r="F304" i="53" s="1"/>
  <c r="F305" i="53" s="1"/>
  <c r="F306" i="53" s="1"/>
  <c r="F307" i="53" s="1"/>
  <c r="F308" i="53" s="1"/>
  <c r="F309" i="53" s="1"/>
  <c r="F310" i="53" s="1"/>
  <c r="F311" i="53" s="1"/>
  <c r="F312" i="53" s="1"/>
  <c r="F313" i="53" s="1"/>
  <c r="F314" i="53" s="1"/>
  <c r="F315" i="53" s="1"/>
  <c r="F316" i="53" s="1"/>
  <c r="F317" i="53" s="1"/>
  <c r="F318" i="53" s="1"/>
  <c r="F319" i="53" s="1"/>
  <c r="F320" i="53" s="1"/>
  <c r="F321" i="53" s="1"/>
  <c r="F322" i="53" s="1"/>
  <c r="F323" i="53" s="1"/>
  <c r="F324" i="53" s="1"/>
  <c r="F325" i="53" s="1"/>
  <c r="F326" i="53" s="1"/>
  <c r="F327" i="53" s="1"/>
  <c r="F328" i="53" s="1"/>
  <c r="F329" i="53" s="1"/>
  <c r="F330" i="53" s="1"/>
  <c r="F331" i="53" s="1"/>
  <c r="F332" i="53" s="1"/>
  <c r="F333" i="53" s="1"/>
  <c r="F334" i="53" s="1"/>
  <c r="F335" i="53" s="1"/>
  <c r="F336" i="53" s="1"/>
  <c r="F337" i="53" s="1"/>
  <c r="F338" i="53" s="1"/>
  <c r="F339" i="53" s="1"/>
  <c r="F340" i="53" s="1"/>
  <c r="F341" i="53" s="1"/>
  <c r="F342" i="53" s="1"/>
  <c r="F343" i="53" s="1"/>
  <c r="F344" i="53" s="1"/>
  <c r="F345" i="53" s="1"/>
  <c r="F346" i="53" s="1"/>
  <c r="F347" i="53" s="1"/>
  <c r="F348" i="53" s="1"/>
  <c r="F349" i="53" s="1"/>
  <c r="F350" i="53" s="1"/>
  <c r="F351" i="53" s="1"/>
  <c r="F352" i="53" s="1"/>
  <c r="F353" i="53" s="1"/>
  <c r="F354" i="53" s="1"/>
  <c r="F355" i="53" s="1"/>
  <c r="F356" i="53" s="1"/>
  <c r="F357" i="53" s="1"/>
  <c r="F358" i="53" s="1"/>
  <c r="F359" i="53" s="1"/>
  <c r="F360" i="53" s="1"/>
  <c r="F361" i="53" s="1"/>
  <c r="F362" i="53" s="1"/>
  <c r="F363" i="53" s="1"/>
  <c r="F364" i="53" s="1"/>
  <c r="F365" i="53" s="1"/>
  <c r="F366" i="53" s="1"/>
  <c r="F367" i="53" s="1"/>
  <c r="F368" i="53" s="1"/>
  <c r="F369" i="53" s="1"/>
  <c r="F370" i="53" s="1"/>
  <c r="F371" i="53" s="1"/>
  <c r="F372" i="53" s="1"/>
  <c r="F373" i="53" s="1"/>
  <c r="F374" i="53" s="1"/>
  <c r="F375" i="53" s="1"/>
  <c r="F376" i="53" s="1"/>
  <c r="F377" i="53" s="1"/>
  <c r="F378" i="53" s="1"/>
  <c r="F379" i="53" s="1"/>
  <c r="F380" i="53" s="1"/>
  <c r="F381" i="53" s="1"/>
  <c r="F382" i="53" s="1"/>
  <c r="F383" i="53" s="1"/>
  <c r="F384" i="53" s="1"/>
  <c r="F385" i="53" s="1"/>
  <c r="F386" i="53" s="1"/>
  <c r="F387" i="53" s="1"/>
  <c r="F388" i="53" s="1"/>
  <c r="F389" i="53" s="1"/>
  <c r="F390" i="53" s="1"/>
  <c r="F391" i="53" s="1"/>
  <c r="F392" i="53" s="1"/>
  <c r="F393" i="53" s="1"/>
  <c r="F394" i="53" s="1"/>
  <c r="F395" i="53" s="1"/>
  <c r="F396" i="53" s="1"/>
  <c r="F397" i="53" s="1"/>
  <c r="F398" i="53" s="1"/>
  <c r="F399" i="53" s="1"/>
  <c r="F400" i="53" s="1"/>
  <c r="F401" i="53" s="1"/>
  <c r="F402" i="53" s="1"/>
  <c r="F403" i="53" s="1"/>
  <c r="F404" i="53" s="1"/>
  <c r="F405" i="53" s="1"/>
  <c r="F406" i="53" s="1"/>
  <c r="F407" i="53" s="1"/>
  <c r="F408" i="53" s="1"/>
  <c r="F409" i="53" s="1"/>
  <c r="F410" i="53" s="1"/>
  <c r="F411" i="53" s="1"/>
  <c r="F412" i="53" s="1"/>
  <c r="F413" i="53" s="1"/>
  <c r="F414" i="53" s="1"/>
  <c r="F415" i="53" s="1"/>
  <c r="F416" i="53" s="1"/>
  <c r="F417" i="53" s="1"/>
  <c r="F418" i="53" s="1"/>
  <c r="F419" i="53" s="1"/>
  <c r="F420" i="53" s="1"/>
  <c r="F421" i="53" s="1"/>
  <c r="F422" i="53" s="1"/>
  <c r="F423" i="53" s="1"/>
  <c r="F424" i="53" s="1"/>
  <c r="F425" i="53" s="1"/>
  <c r="F426" i="53" s="1"/>
  <c r="F427" i="53" s="1"/>
  <c r="F428" i="53" s="1"/>
  <c r="F429" i="53" s="1"/>
  <c r="F430" i="53" s="1"/>
  <c r="F431" i="53" s="1"/>
  <c r="F432" i="53" s="1"/>
  <c r="F433" i="53" s="1"/>
  <c r="F434" i="53" s="1"/>
  <c r="F435" i="53" s="1"/>
  <c r="F436" i="53" s="1"/>
  <c r="F437" i="53" s="1"/>
  <c r="F438" i="53" s="1"/>
  <c r="F439" i="53" s="1"/>
  <c r="F440" i="53" s="1"/>
  <c r="F441" i="53" s="1"/>
  <c r="F442" i="53" s="1"/>
  <c r="F443" i="53" s="1"/>
  <c r="F444" i="53" s="1"/>
  <c r="F445" i="53" s="1"/>
  <c r="F446" i="53" s="1"/>
  <c r="F447" i="53" s="1"/>
  <c r="F448" i="53" s="1"/>
  <c r="F449" i="53" s="1"/>
  <c r="F450" i="53" s="1"/>
  <c r="F451" i="53" s="1"/>
  <c r="F452" i="53" s="1"/>
  <c r="F453" i="53" s="1"/>
  <c r="F454" i="53" s="1"/>
  <c r="F455" i="53" s="1"/>
  <c r="F456" i="53" s="1"/>
  <c r="F457" i="53" s="1"/>
  <c r="F458" i="53" s="1"/>
  <c r="F459" i="53" s="1"/>
  <c r="F460" i="53" s="1"/>
  <c r="F461" i="53" s="1"/>
  <c r="F462" i="53" s="1"/>
  <c r="F463" i="53" s="1"/>
  <c r="F464" i="53" s="1"/>
  <c r="F465" i="53" s="1"/>
  <c r="F466" i="53" s="1"/>
  <c r="F467" i="53" s="1"/>
  <c r="F468" i="53" s="1"/>
  <c r="F469" i="53" s="1"/>
  <c r="F470" i="53" s="1"/>
  <c r="F471" i="53" s="1"/>
  <c r="F472" i="53" s="1"/>
  <c r="F473" i="53" s="1"/>
  <c r="F474" i="53" s="1"/>
  <c r="F475" i="53" s="1"/>
  <c r="F476" i="53" s="1"/>
  <c r="F477" i="53" s="1"/>
  <c r="F478" i="53" s="1"/>
  <c r="F479" i="53" s="1"/>
  <c r="F480" i="53" s="1"/>
  <c r="F481" i="53" s="1"/>
  <c r="F482" i="53" s="1"/>
  <c r="F483" i="53" s="1"/>
  <c r="F484" i="53" s="1"/>
  <c r="F485" i="53" s="1"/>
  <c r="F486" i="53" s="1"/>
  <c r="F487" i="53" s="1"/>
  <c r="F488" i="53" s="1"/>
  <c r="F489" i="53" s="1"/>
  <c r="F490" i="53" s="1"/>
  <c r="F491" i="53" s="1"/>
  <c r="F492" i="53" s="1"/>
  <c r="F493" i="53" s="1"/>
  <c r="F494" i="53" s="1"/>
  <c r="F495" i="53" s="1"/>
  <c r="F496" i="53" s="1"/>
  <c r="F497" i="53" s="1"/>
  <c r="F498" i="53" s="1"/>
  <c r="F499" i="53" s="1"/>
  <c r="F500" i="53" s="1"/>
  <c r="F501" i="53" s="1"/>
  <c r="F502" i="53" s="1"/>
  <c r="F503" i="53" s="1"/>
  <c r="F504" i="53" s="1"/>
  <c r="F505" i="53" s="1"/>
  <c r="F506" i="53" s="1"/>
  <c r="F507" i="53" s="1"/>
  <c r="F508" i="53" s="1"/>
  <c r="F509" i="53" s="1"/>
  <c r="F510" i="53" s="1"/>
  <c r="F511" i="53" s="1"/>
  <c r="F512" i="53" s="1"/>
  <c r="F513" i="53" s="1"/>
  <c r="F514" i="53" s="1"/>
  <c r="F515" i="53" s="1"/>
  <c r="F516" i="53" s="1"/>
  <c r="F517" i="53" s="1"/>
  <c r="F518" i="53" s="1"/>
  <c r="F519" i="53" s="1"/>
  <c r="F520" i="53" s="1"/>
  <c r="F521" i="53" s="1"/>
  <c r="F522" i="53" s="1"/>
  <c r="F523" i="53" s="1"/>
  <c r="F524" i="53" s="1"/>
  <c r="F525" i="53" s="1"/>
  <c r="F526" i="53" s="1"/>
  <c r="F527" i="53" s="1"/>
  <c r="F528" i="53" s="1"/>
  <c r="F529" i="53" s="1"/>
  <c r="F530" i="53" s="1"/>
  <c r="F531" i="53" s="1"/>
  <c r="A173" i="53"/>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H80" i="53"/>
  <c r="C87" i="53" s="1"/>
  <c r="E100" i="53" s="1"/>
  <c r="D61" i="47" s="1"/>
  <c r="AH162" i="53"/>
  <c r="AC162" i="53"/>
  <c r="X162" i="53"/>
  <c r="S162" i="53"/>
  <c r="AH160" i="53"/>
  <c r="AG160" i="53"/>
  <c r="AF160" i="53"/>
  <c r="AE160" i="53"/>
  <c r="AD160" i="53"/>
  <c r="AC160" i="53"/>
  <c r="AB160" i="53"/>
  <c r="AA160" i="53"/>
  <c r="Z160" i="53"/>
  <c r="Y160" i="53"/>
  <c r="X160" i="53"/>
  <c r="W160" i="53"/>
  <c r="V160" i="53"/>
  <c r="U160" i="53"/>
  <c r="T160" i="53"/>
  <c r="S160" i="53"/>
  <c r="R160" i="53"/>
  <c r="Q160" i="53"/>
  <c r="P160" i="53"/>
  <c r="O160" i="53"/>
  <c r="N160" i="53"/>
  <c r="M160" i="53"/>
  <c r="L160" i="53"/>
  <c r="K160" i="53"/>
  <c r="J160" i="53"/>
  <c r="I160" i="53"/>
  <c r="H160" i="53"/>
  <c r="G160" i="53"/>
  <c r="F160" i="53"/>
  <c r="E160" i="53"/>
  <c r="AH159" i="53"/>
  <c r="AG159" i="53"/>
  <c r="AF159" i="53"/>
  <c r="AE159" i="53"/>
  <c r="AD159" i="53"/>
  <c r="AC159" i="53"/>
  <c r="AB159" i="53"/>
  <c r="AA159" i="53"/>
  <c r="Z159" i="53"/>
  <c r="Y159" i="53"/>
  <c r="X159" i="53"/>
  <c r="W159" i="53"/>
  <c r="V159" i="53"/>
  <c r="U159" i="53"/>
  <c r="T159" i="53"/>
  <c r="S159" i="53"/>
  <c r="R159" i="53"/>
  <c r="Q159" i="53"/>
  <c r="P159" i="53"/>
  <c r="O159" i="53"/>
  <c r="N159" i="53"/>
  <c r="M159" i="53"/>
  <c r="L159" i="53"/>
  <c r="K159" i="53"/>
  <c r="J159" i="53"/>
  <c r="I159" i="53"/>
  <c r="H159" i="53"/>
  <c r="G159" i="53"/>
  <c r="F159" i="53"/>
  <c r="E159" i="53"/>
  <c r="D156" i="53"/>
  <c r="D152" i="53"/>
  <c r="D151" i="53"/>
  <c r="D144" i="53"/>
  <c r="D143" i="53"/>
  <c r="AC135" i="53"/>
  <c r="X135" i="53"/>
  <c r="S135" i="53"/>
  <c r="D134" i="53"/>
  <c r="D112" i="53"/>
  <c r="C53" i="53"/>
  <c r="C55" i="53"/>
  <c r="D115" i="53" s="1"/>
  <c r="C56" i="53"/>
  <c r="D116" i="53" s="1"/>
  <c r="AH121" i="53"/>
  <c r="AH122" i="53"/>
  <c r="D133" i="53"/>
  <c r="AH133" i="53"/>
  <c r="AC133" i="53"/>
  <c r="X133" i="53"/>
  <c r="S133" i="53"/>
  <c r="D130" i="53"/>
  <c r="AG122" i="53"/>
  <c r="AF122" i="53"/>
  <c r="AE122" i="53"/>
  <c r="AD122" i="53"/>
  <c r="AC122" i="53"/>
  <c r="AB122" i="53"/>
  <c r="AA122" i="53"/>
  <c r="Z122" i="53"/>
  <c r="Y122" i="53"/>
  <c r="X122" i="53"/>
  <c r="W122" i="53"/>
  <c r="V122" i="53"/>
  <c r="U122" i="53"/>
  <c r="T122" i="53"/>
  <c r="S122" i="53"/>
  <c r="R122" i="53"/>
  <c r="Q122" i="53"/>
  <c r="P122" i="53"/>
  <c r="O122" i="53"/>
  <c r="N122" i="53"/>
  <c r="M122" i="53"/>
  <c r="L122" i="53"/>
  <c r="K122" i="53"/>
  <c r="J122" i="53"/>
  <c r="I122" i="53"/>
  <c r="H122" i="53"/>
  <c r="G122" i="53"/>
  <c r="F122" i="53"/>
  <c r="E122" i="53"/>
  <c r="AG121" i="53"/>
  <c r="AF121" i="53"/>
  <c r="AE121" i="53"/>
  <c r="AD121" i="53"/>
  <c r="AC121" i="53"/>
  <c r="AB121" i="53"/>
  <c r="AA121" i="53"/>
  <c r="Z121" i="53"/>
  <c r="Y121" i="53"/>
  <c r="X121" i="53"/>
  <c r="W121" i="53"/>
  <c r="V121" i="53"/>
  <c r="U121" i="53"/>
  <c r="T121" i="53"/>
  <c r="S121" i="53"/>
  <c r="R121" i="53"/>
  <c r="Q121" i="53"/>
  <c r="P121" i="53"/>
  <c r="O121" i="53"/>
  <c r="N121" i="53"/>
  <c r="M121" i="53"/>
  <c r="L121" i="53"/>
  <c r="K121" i="53"/>
  <c r="J121" i="53"/>
  <c r="I121" i="53"/>
  <c r="H121" i="53"/>
  <c r="G121" i="53"/>
  <c r="F121" i="53"/>
  <c r="E121" i="53"/>
  <c r="H89" i="53"/>
  <c r="H73" i="53"/>
  <c r="L5" i="53" s="1"/>
  <c r="D15" i="47" s="1"/>
  <c r="H53" i="53"/>
  <c r="D9" i="53"/>
  <c r="C56" i="51"/>
  <c r="C51" i="51"/>
  <c r="D49" i="51"/>
  <c r="E49" i="51" s="1"/>
  <c r="K170" i="51"/>
  <c r="K171" i="51" s="1"/>
  <c r="K172" i="51" s="1"/>
  <c r="K173" i="51" s="1"/>
  <c r="K174" i="51" s="1"/>
  <c r="K175" i="51" s="1"/>
  <c r="K176" i="51" s="1"/>
  <c r="K177" i="51" s="1"/>
  <c r="K178" i="51" s="1"/>
  <c r="K179" i="51" s="1"/>
  <c r="K180" i="51" s="1"/>
  <c r="K181" i="51" s="1"/>
  <c r="K182" i="51" s="1"/>
  <c r="K183" i="51" s="1"/>
  <c r="K184" i="51" s="1"/>
  <c r="K185" i="51" s="1"/>
  <c r="K186" i="51" s="1"/>
  <c r="K187" i="51" s="1"/>
  <c r="K188" i="51" s="1"/>
  <c r="K189" i="51" s="1"/>
  <c r="K190" i="51" s="1"/>
  <c r="K191" i="51" s="1"/>
  <c r="K192" i="51" s="1"/>
  <c r="K193" i="51" s="1"/>
  <c r="K194" i="51" s="1"/>
  <c r="K195" i="51" s="1"/>
  <c r="K196" i="51" s="1"/>
  <c r="K197" i="51" s="1"/>
  <c r="K198" i="51" s="1"/>
  <c r="K199" i="51" s="1"/>
  <c r="K200" i="51" s="1"/>
  <c r="K201" i="51" s="1"/>
  <c r="K202" i="51" s="1"/>
  <c r="K203" i="51" s="1"/>
  <c r="K204" i="51" s="1"/>
  <c r="K205" i="51" s="1"/>
  <c r="K206" i="51" s="1"/>
  <c r="K207" i="51" s="1"/>
  <c r="K208" i="51" s="1"/>
  <c r="K209" i="51" s="1"/>
  <c r="K210" i="51" s="1"/>
  <c r="K211" i="51" s="1"/>
  <c r="K212" i="51" s="1"/>
  <c r="K213" i="51" s="1"/>
  <c r="K214" i="51" s="1"/>
  <c r="K215" i="51" s="1"/>
  <c r="K216" i="51" s="1"/>
  <c r="K217" i="51" s="1"/>
  <c r="K218" i="51" s="1"/>
  <c r="K219" i="51" s="1"/>
  <c r="K220" i="51" s="1"/>
  <c r="K221" i="51" s="1"/>
  <c r="K222" i="51" s="1"/>
  <c r="K223" i="51" s="1"/>
  <c r="K224" i="51" s="1"/>
  <c r="K225" i="51" s="1"/>
  <c r="K226" i="51" s="1"/>
  <c r="K227" i="51" s="1"/>
  <c r="K228" i="51" s="1"/>
  <c r="K229" i="51" s="1"/>
  <c r="K230" i="51" s="1"/>
  <c r="K231" i="51" s="1"/>
  <c r="K232" i="51" s="1"/>
  <c r="K233" i="51" s="1"/>
  <c r="K234" i="51" s="1"/>
  <c r="K235" i="51" s="1"/>
  <c r="K236" i="51" s="1"/>
  <c r="K237" i="51" s="1"/>
  <c r="K238" i="51" s="1"/>
  <c r="K239" i="51" s="1"/>
  <c r="K240" i="51" s="1"/>
  <c r="K241" i="51" s="1"/>
  <c r="K242" i="51" s="1"/>
  <c r="K243" i="51" s="1"/>
  <c r="K244" i="51" s="1"/>
  <c r="K245" i="51" s="1"/>
  <c r="K246" i="51" s="1"/>
  <c r="K247" i="51" s="1"/>
  <c r="K248" i="51" s="1"/>
  <c r="K249" i="51" s="1"/>
  <c r="K250" i="51" s="1"/>
  <c r="K251" i="51" s="1"/>
  <c r="K252" i="51" s="1"/>
  <c r="K253" i="51" s="1"/>
  <c r="K254" i="51" s="1"/>
  <c r="K255" i="51" s="1"/>
  <c r="K256" i="51" s="1"/>
  <c r="K257" i="51" s="1"/>
  <c r="K258" i="51" s="1"/>
  <c r="K259" i="51" s="1"/>
  <c r="K260" i="51" s="1"/>
  <c r="K261" i="51" s="1"/>
  <c r="K262" i="51" s="1"/>
  <c r="K263" i="51" s="1"/>
  <c r="K264" i="51" s="1"/>
  <c r="K265" i="51" s="1"/>
  <c r="K266" i="51" s="1"/>
  <c r="K267" i="51" s="1"/>
  <c r="K268" i="51" s="1"/>
  <c r="K269" i="51" s="1"/>
  <c r="K270" i="51" s="1"/>
  <c r="K271" i="51" s="1"/>
  <c r="K272" i="51" s="1"/>
  <c r="K273" i="51" s="1"/>
  <c r="K274" i="51" s="1"/>
  <c r="K275" i="51" s="1"/>
  <c r="K276" i="51" s="1"/>
  <c r="K277" i="51" s="1"/>
  <c r="K278" i="51" s="1"/>
  <c r="K279" i="51" s="1"/>
  <c r="K280" i="51" s="1"/>
  <c r="K281" i="51" s="1"/>
  <c r="K282" i="51" s="1"/>
  <c r="K283" i="51" s="1"/>
  <c r="K284" i="51" s="1"/>
  <c r="K285" i="51" s="1"/>
  <c r="K286" i="51" s="1"/>
  <c r="K287" i="51" s="1"/>
  <c r="K288" i="51" s="1"/>
  <c r="K289" i="51" s="1"/>
  <c r="K290" i="51" s="1"/>
  <c r="K291" i="51" s="1"/>
  <c r="K292" i="51" s="1"/>
  <c r="K293" i="51" s="1"/>
  <c r="K294" i="51" s="1"/>
  <c r="K295" i="51" s="1"/>
  <c r="K296" i="51" s="1"/>
  <c r="K297" i="51" s="1"/>
  <c r="K298" i="51" s="1"/>
  <c r="K299" i="51" s="1"/>
  <c r="K300" i="51" s="1"/>
  <c r="K301" i="51" s="1"/>
  <c r="K302" i="51" s="1"/>
  <c r="K303" i="51" s="1"/>
  <c r="K304" i="51" s="1"/>
  <c r="K305" i="51" s="1"/>
  <c r="K306" i="51" s="1"/>
  <c r="K307" i="51" s="1"/>
  <c r="K308" i="51" s="1"/>
  <c r="K309" i="51" s="1"/>
  <c r="K310" i="51" s="1"/>
  <c r="K311" i="51" s="1"/>
  <c r="K312" i="51" s="1"/>
  <c r="K313" i="51" s="1"/>
  <c r="K314" i="51" s="1"/>
  <c r="K315" i="51" s="1"/>
  <c r="K316" i="51" s="1"/>
  <c r="K317" i="51" s="1"/>
  <c r="K318" i="51" s="1"/>
  <c r="K319" i="51" s="1"/>
  <c r="K320" i="51" s="1"/>
  <c r="K321" i="51" s="1"/>
  <c r="K322" i="51" s="1"/>
  <c r="K323" i="51" s="1"/>
  <c r="K324" i="51" s="1"/>
  <c r="K325" i="51" s="1"/>
  <c r="K326" i="51" s="1"/>
  <c r="K327" i="51" s="1"/>
  <c r="K328" i="51" s="1"/>
  <c r="K329" i="51" s="1"/>
  <c r="K330" i="51" s="1"/>
  <c r="K331" i="51" s="1"/>
  <c r="K332" i="51" s="1"/>
  <c r="K333" i="51" s="1"/>
  <c r="K334" i="51" s="1"/>
  <c r="K335" i="51" s="1"/>
  <c r="K336" i="51" s="1"/>
  <c r="K337" i="51" s="1"/>
  <c r="K338" i="51" s="1"/>
  <c r="K339" i="51" s="1"/>
  <c r="K340" i="51" s="1"/>
  <c r="K341" i="51" s="1"/>
  <c r="K342" i="51" s="1"/>
  <c r="K343" i="51" s="1"/>
  <c r="K344" i="51" s="1"/>
  <c r="K345" i="51" s="1"/>
  <c r="K346" i="51" s="1"/>
  <c r="K347" i="51" s="1"/>
  <c r="K348" i="51" s="1"/>
  <c r="K349" i="51" s="1"/>
  <c r="K350" i="51" s="1"/>
  <c r="K351" i="51" s="1"/>
  <c r="K352" i="51" s="1"/>
  <c r="K353" i="51" s="1"/>
  <c r="K354" i="51" s="1"/>
  <c r="K355" i="51" s="1"/>
  <c r="K356" i="51" s="1"/>
  <c r="K357" i="51" s="1"/>
  <c r="K358" i="51" s="1"/>
  <c r="K359" i="51" s="1"/>
  <c r="K360" i="51" s="1"/>
  <c r="K361" i="51" s="1"/>
  <c r="K362" i="51" s="1"/>
  <c r="K363" i="51" s="1"/>
  <c r="K364" i="51" s="1"/>
  <c r="K365" i="51" s="1"/>
  <c r="K366" i="51" s="1"/>
  <c r="K367" i="51" s="1"/>
  <c r="K368" i="51" s="1"/>
  <c r="K369" i="51" s="1"/>
  <c r="K370" i="51" s="1"/>
  <c r="K371" i="51" s="1"/>
  <c r="K372" i="51" s="1"/>
  <c r="K373" i="51" s="1"/>
  <c r="K374" i="51" s="1"/>
  <c r="K375" i="51" s="1"/>
  <c r="K376" i="51" s="1"/>
  <c r="K377" i="51" s="1"/>
  <c r="K378" i="51" s="1"/>
  <c r="K379" i="51" s="1"/>
  <c r="K380" i="51" s="1"/>
  <c r="K381" i="51" s="1"/>
  <c r="K382" i="51" s="1"/>
  <c r="K383" i="51" s="1"/>
  <c r="K384" i="51" s="1"/>
  <c r="K385" i="51" s="1"/>
  <c r="K386" i="51" s="1"/>
  <c r="K387" i="51" s="1"/>
  <c r="K388" i="51" s="1"/>
  <c r="K389" i="51" s="1"/>
  <c r="K390" i="51" s="1"/>
  <c r="K391" i="51" s="1"/>
  <c r="K392" i="51" s="1"/>
  <c r="K393" i="51" s="1"/>
  <c r="K394" i="51" s="1"/>
  <c r="K395" i="51" s="1"/>
  <c r="K396" i="51" s="1"/>
  <c r="K397" i="51" s="1"/>
  <c r="K398" i="51" s="1"/>
  <c r="K399" i="51" s="1"/>
  <c r="K400" i="51" s="1"/>
  <c r="K401" i="51" s="1"/>
  <c r="K402" i="51" s="1"/>
  <c r="K403" i="51" s="1"/>
  <c r="K404" i="51" s="1"/>
  <c r="K405" i="51" s="1"/>
  <c r="K406" i="51" s="1"/>
  <c r="K407" i="51" s="1"/>
  <c r="K408" i="51" s="1"/>
  <c r="K409" i="51" s="1"/>
  <c r="K410" i="51" s="1"/>
  <c r="K411" i="51" s="1"/>
  <c r="K412" i="51" s="1"/>
  <c r="K413" i="51" s="1"/>
  <c r="K414" i="51" s="1"/>
  <c r="K415" i="51" s="1"/>
  <c r="K416" i="51" s="1"/>
  <c r="K417" i="51" s="1"/>
  <c r="K418" i="51" s="1"/>
  <c r="K419" i="51" s="1"/>
  <c r="K420" i="51" s="1"/>
  <c r="K421" i="51" s="1"/>
  <c r="K422" i="51" s="1"/>
  <c r="K423" i="51" s="1"/>
  <c r="K424" i="51" s="1"/>
  <c r="K425" i="51" s="1"/>
  <c r="K426" i="51" s="1"/>
  <c r="K427" i="51" s="1"/>
  <c r="K428" i="51" s="1"/>
  <c r="K429" i="51" s="1"/>
  <c r="K430" i="51" s="1"/>
  <c r="K431" i="51" s="1"/>
  <c r="K432" i="51" s="1"/>
  <c r="K433" i="51" s="1"/>
  <c r="K434" i="51" s="1"/>
  <c r="K435" i="51" s="1"/>
  <c r="K436" i="51" s="1"/>
  <c r="K437" i="51" s="1"/>
  <c r="K438" i="51" s="1"/>
  <c r="K439" i="51" s="1"/>
  <c r="K440" i="51" s="1"/>
  <c r="K441" i="51" s="1"/>
  <c r="K442" i="51" s="1"/>
  <c r="K443" i="51" s="1"/>
  <c r="K444" i="51" s="1"/>
  <c r="K445" i="51" s="1"/>
  <c r="K446" i="51" s="1"/>
  <c r="K447" i="51" s="1"/>
  <c r="K448" i="51" s="1"/>
  <c r="K449" i="51" s="1"/>
  <c r="K450" i="51" s="1"/>
  <c r="K451" i="51" s="1"/>
  <c r="K452" i="51" s="1"/>
  <c r="K453" i="51" s="1"/>
  <c r="K454" i="51" s="1"/>
  <c r="K455" i="51" s="1"/>
  <c r="K456" i="51" s="1"/>
  <c r="K457" i="51" s="1"/>
  <c r="K458" i="51" s="1"/>
  <c r="K459" i="51" s="1"/>
  <c r="K460" i="51" s="1"/>
  <c r="K461" i="51" s="1"/>
  <c r="K462" i="51" s="1"/>
  <c r="K463" i="51" s="1"/>
  <c r="K464" i="51" s="1"/>
  <c r="K465" i="51" s="1"/>
  <c r="K466" i="51" s="1"/>
  <c r="K467" i="51" s="1"/>
  <c r="K468" i="51" s="1"/>
  <c r="K469" i="51" s="1"/>
  <c r="K470" i="51" s="1"/>
  <c r="K471" i="51" s="1"/>
  <c r="K472" i="51" s="1"/>
  <c r="K473" i="51" s="1"/>
  <c r="K474" i="51" s="1"/>
  <c r="K475" i="51" s="1"/>
  <c r="K476" i="51" s="1"/>
  <c r="K477" i="51" s="1"/>
  <c r="K478" i="51" s="1"/>
  <c r="K479" i="51" s="1"/>
  <c r="K480" i="51" s="1"/>
  <c r="K481" i="51" s="1"/>
  <c r="K482" i="51" s="1"/>
  <c r="K483" i="51" s="1"/>
  <c r="K484" i="51" s="1"/>
  <c r="K485" i="51" s="1"/>
  <c r="K486" i="51" s="1"/>
  <c r="K487" i="51" s="1"/>
  <c r="K488" i="51" s="1"/>
  <c r="K489" i="51" s="1"/>
  <c r="K490" i="51" s="1"/>
  <c r="K491" i="51" s="1"/>
  <c r="K492" i="51" s="1"/>
  <c r="K493" i="51" s="1"/>
  <c r="K494" i="51" s="1"/>
  <c r="K495" i="51" s="1"/>
  <c r="K496" i="51" s="1"/>
  <c r="K497" i="51" s="1"/>
  <c r="K498" i="51" s="1"/>
  <c r="K499" i="51" s="1"/>
  <c r="K500" i="51" s="1"/>
  <c r="K501" i="51" s="1"/>
  <c r="K502" i="51" s="1"/>
  <c r="K503" i="51" s="1"/>
  <c r="K504" i="51" s="1"/>
  <c r="K505" i="51" s="1"/>
  <c r="K506" i="51" s="1"/>
  <c r="K507" i="51" s="1"/>
  <c r="K508" i="51" s="1"/>
  <c r="K509" i="51" s="1"/>
  <c r="K510" i="51" s="1"/>
  <c r="K511" i="51" s="1"/>
  <c r="K512" i="51" s="1"/>
  <c r="K513" i="51" s="1"/>
  <c r="K514" i="51" s="1"/>
  <c r="K515" i="51" s="1"/>
  <c r="K516" i="51" s="1"/>
  <c r="K517" i="51" s="1"/>
  <c r="K518" i="51" s="1"/>
  <c r="K519" i="51" s="1"/>
  <c r="K520" i="51" s="1"/>
  <c r="K521" i="51" s="1"/>
  <c r="K522" i="51" s="1"/>
  <c r="K523" i="51" s="1"/>
  <c r="K524" i="51" s="1"/>
  <c r="K525" i="51" s="1"/>
  <c r="K526" i="51" s="1"/>
  <c r="K527" i="51" s="1"/>
  <c r="K528" i="51" s="1"/>
  <c r="F170" i="51"/>
  <c r="F171" i="51" s="1"/>
  <c r="F172" i="51" s="1"/>
  <c r="F173" i="51" s="1"/>
  <c r="F174" i="51" s="1"/>
  <c r="F175" i="51" s="1"/>
  <c r="F176" i="51" s="1"/>
  <c r="F177" i="51" s="1"/>
  <c r="F178" i="51" s="1"/>
  <c r="F179" i="51" s="1"/>
  <c r="F180" i="51" s="1"/>
  <c r="F181" i="51" s="1"/>
  <c r="F182" i="51" s="1"/>
  <c r="F183" i="51" s="1"/>
  <c r="F184" i="51" s="1"/>
  <c r="F185" i="51" s="1"/>
  <c r="F186" i="51" s="1"/>
  <c r="F187" i="51" s="1"/>
  <c r="F188" i="51" s="1"/>
  <c r="F189" i="51" s="1"/>
  <c r="F190" i="51" s="1"/>
  <c r="F191" i="51" s="1"/>
  <c r="F192" i="51" s="1"/>
  <c r="F193" i="51" s="1"/>
  <c r="F194" i="51" s="1"/>
  <c r="F195" i="51" s="1"/>
  <c r="F196" i="51" s="1"/>
  <c r="F197" i="51" s="1"/>
  <c r="F198" i="51" s="1"/>
  <c r="F199" i="51" s="1"/>
  <c r="F200" i="51" s="1"/>
  <c r="F201" i="51" s="1"/>
  <c r="F202" i="51" s="1"/>
  <c r="F203" i="51" s="1"/>
  <c r="F204" i="51" s="1"/>
  <c r="F205" i="51" s="1"/>
  <c r="F206" i="51" s="1"/>
  <c r="F207" i="51" s="1"/>
  <c r="F208" i="51" s="1"/>
  <c r="F209" i="51" s="1"/>
  <c r="F210" i="51" s="1"/>
  <c r="F211" i="51" s="1"/>
  <c r="F212" i="51" s="1"/>
  <c r="F213" i="51" s="1"/>
  <c r="F214" i="51" s="1"/>
  <c r="F215" i="51" s="1"/>
  <c r="F216" i="51" s="1"/>
  <c r="F217" i="51" s="1"/>
  <c r="F218" i="51" s="1"/>
  <c r="F219" i="51" s="1"/>
  <c r="F220" i="51" s="1"/>
  <c r="F221" i="51" s="1"/>
  <c r="F222" i="51" s="1"/>
  <c r="F223" i="51" s="1"/>
  <c r="F224" i="51" s="1"/>
  <c r="F225" i="51" s="1"/>
  <c r="F226" i="51" s="1"/>
  <c r="F227" i="51" s="1"/>
  <c r="F228" i="51" s="1"/>
  <c r="F229" i="51" s="1"/>
  <c r="F230" i="51" s="1"/>
  <c r="F231" i="51" s="1"/>
  <c r="F232" i="51" s="1"/>
  <c r="F233" i="51" s="1"/>
  <c r="F234" i="51" s="1"/>
  <c r="F235" i="51" s="1"/>
  <c r="F236" i="51" s="1"/>
  <c r="F237" i="51" s="1"/>
  <c r="F238" i="51" s="1"/>
  <c r="F239" i="51" s="1"/>
  <c r="F240" i="51" s="1"/>
  <c r="F241" i="51" s="1"/>
  <c r="F242" i="51" s="1"/>
  <c r="F243" i="51" s="1"/>
  <c r="F244" i="51" s="1"/>
  <c r="F245" i="51" s="1"/>
  <c r="F246" i="51" s="1"/>
  <c r="F247" i="51" s="1"/>
  <c r="F248" i="51" s="1"/>
  <c r="F249" i="51" s="1"/>
  <c r="F250" i="51" s="1"/>
  <c r="F251" i="51" s="1"/>
  <c r="F252" i="51" s="1"/>
  <c r="F253" i="51" s="1"/>
  <c r="F254" i="51" s="1"/>
  <c r="F255" i="51" s="1"/>
  <c r="F256" i="51" s="1"/>
  <c r="F257" i="51" s="1"/>
  <c r="F258" i="51" s="1"/>
  <c r="F259" i="51" s="1"/>
  <c r="F260" i="51" s="1"/>
  <c r="F261" i="51" s="1"/>
  <c r="F262" i="51" s="1"/>
  <c r="F263" i="51" s="1"/>
  <c r="F264" i="51" s="1"/>
  <c r="F265" i="51" s="1"/>
  <c r="F266" i="51" s="1"/>
  <c r="F267" i="51" s="1"/>
  <c r="F268" i="51" s="1"/>
  <c r="F269" i="51" s="1"/>
  <c r="F270" i="51" s="1"/>
  <c r="F271" i="51" s="1"/>
  <c r="F272" i="51" s="1"/>
  <c r="F273" i="51" s="1"/>
  <c r="F274" i="51" s="1"/>
  <c r="F275" i="51" s="1"/>
  <c r="F276" i="51" s="1"/>
  <c r="F277" i="51" s="1"/>
  <c r="F278" i="51" s="1"/>
  <c r="F279" i="51" s="1"/>
  <c r="F280" i="51" s="1"/>
  <c r="F281" i="51" s="1"/>
  <c r="F282" i="51" s="1"/>
  <c r="F283" i="51" s="1"/>
  <c r="F284" i="51" s="1"/>
  <c r="F285" i="51" s="1"/>
  <c r="F286" i="51" s="1"/>
  <c r="F287" i="51" s="1"/>
  <c r="F288" i="51" s="1"/>
  <c r="F289" i="51" s="1"/>
  <c r="F290" i="51" s="1"/>
  <c r="F291" i="51" s="1"/>
  <c r="F292" i="51" s="1"/>
  <c r="F293" i="51" s="1"/>
  <c r="F294" i="51" s="1"/>
  <c r="F295" i="51" s="1"/>
  <c r="F296" i="51" s="1"/>
  <c r="F297" i="51" s="1"/>
  <c r="F298" i="51" s="1"/>
  <c r="F299" i="51" s="1"/>
  <c r="F300" i="51" s="1"/>
  <c r="F301" i="51" s="1"/>
  <c r="F302" i="51" s="1"/>
  <c r="F303" i="51" s="1"/>
  <c r="F304" i="51" s="1"/>
  <c r="F305" i="51" s="1"/>
  <c r="F306" i="51" s="1"/>
  <c r="F307" i="51" s="1"/>
  <c r="F308" i="51" s="1"/>
  <c r="F309" i="51" s="1"/>
  <c r="F310" i="51" s="1"/>
  <c r="F311" i="51" s="1"/>
  <c r="F312" i="51" s="1"/>
  <c r="F313" i="51" s="1"/>
  <c r="F314" i="51" s="1"/>
  <c r="F315" i="51" s="1"/>
  <c r="F316" i="51" s="1"/>
  <c r="F317" i="51" s="1"/>
  <c r="F318" i="51" s="1"/>
  <c r="F319" i="51" s="1"/>
  <c r="F320" i="51" s="1"/>
  <c r="F321" i="51" s="1"/>
  <c r="F322" i="51" s="1"/>
  <c r="F323" i="51" s="1"/>
  <c r="F324" i="51" s="1"/>
  <c r="F325" i="51" s="1"/>
  <c r="F326" i="51" s="1"/>
  <c r="F327" i="51" s="1"/>
  <c r="F328" i="51" s="1"/>
  <c r="F329" i="51" s="1"/>
  <c r="F330" i="51" s="1"/>
  <c r="F331" i="51" s="1"/>
  <c r="F332" i="51" s="1"/>
  <c r="F333" i="51" s="1"/>
  <c r="F334" i="51" s="1"/>
  <c r="F335" i="51" s="1"/>
  <c r="F336" i="51" s="1"/>
  <c r="F337" i="51" s="1"/>
  <c r="F338" i="51" s="1"/>
  <c r="F339" i="51" s="1"/>
  <c r="F340" i="51" s="1"/>
  <c r="F341" i="51" s="1"/>
  <c r="F342" i="51" s="1"/>
  <c r="F343" i="51" s="1"/>
  <c r="F344" i="51" s="1"/>
  <c r="F345" i="51" s="1"/>
  <c r="F346" i="51" s="1"/>
  <c r="F347" i="51" s="1"/>
  <c r="F348" i="51" s="1"/>
  <c r="F349" i="51" s="1"/>
  <c r="F350" i="51" s="1"/>
  <c r="F351" i="51" s="1"/>
  <c r="F352" i="51" s="1"/>
  <c r="F353" i="51" s="1"/>
  <c r="F354" i="51" s="1"/>
  <c r="F355" i="51" s="1"/>
  <c r="F356" i="51" s="1"/>
  <c r="F357" i="51" s="1"/>
  <c r="F358" i="51" s="1"/>
  <c r="F359" i="51" s="1"/>
  <c r="F360" i="51" s="1"/>
  <c r="F361" i="51" s="1"/>
  <c r="F362" i="51" s="1"/>
  <c r="F363" i="51" s="1"/>
  <c r="F364" i="51" s="1"/>
  <c r="F365" i="51" s="1"/>
  <c r="F366" i="51" s="1"/>
  <c r="F367" i="51" s="1"/>
  <c r="F368" i="51" s="1"/>
  <c r="F369" i="51" s="1"/>
  <c r="F370" i="51" s="1"/>
  <c r="F371" i="51" s="1"/>
  <c r="F372" i="51" s="1"/>
  <c r="F373" i="51" s="1"/>
  <c r="F374" i="51" s="1"/>
  <c r="F375" i="51" s="1"/>
  <c r="F376" i="51" s="1"/>
  <c r="F377" i="51" s="1"/>
  <c r="F378" i="51" s="1"/>
  <c r="F379" i="51" s="1"/>
  <c r="F380" i="51" s="1"/>
  <c r="F381" i="51" s="1"/>
  <c r="F382" i="51" s="1"/>
  <c r="F383" i="51" s="1"/>
  <c r="F384" i="51" s="1"/>
  <c r="F385" i="51" s="1"/>
  <c r="F386" i="51" s="1"/>
  <c r="F387" i="51" s="1"/>
  <c r="F388" i="51" s="1"/>
  <c r="F389" i="51" s="1"/>
  <c r="F390" i="51" s="1"/>
  <c r="F391" i="51" s="1"/>
  <c r="F392" i="51" s="1"/>
  <c r="F393" i="51" s="1"/>
  <c r="F394" i="51" s="1"/>
  <c r="F395" i="51" s="1"/>
  <c r="F396" i="51" s="1"/>
  <c r="F397" i="51" s="1"/>
  <c r="F398" i="51" s="1"/>
  <c r="F399" i="51" s="1"/>
  <c r="F400" i="51" s="1"/>
  <c r="F401" i="51" s="1"/>
  <c r="F402" i="51" s="1"/>
  <c r="F403" i="51" s="1"/>
  <c r="F404" i="51" s="1"/>
  <c r="F405" i="51" s="1"/>
  <c r="F406" i="51" s="1"/>
  <c r="F407" i="51" s="1"/>
  <c r="F408" i="51" s="1"/>
  <c r="F409" i="51" s="1"/>
  <c r="F410" i="51" s="1"/>
  <c r="F411" i="51" s="1"/>
  <c r="F412" i="51" s="1"/>
  <c r="F413" i="51" s="1"/>
  <c r="F414" i="51" s="1"/>
  <c r="F415" i="51" s="1"/>
  <c r="F416" i="51" s="1"/>
  <c r="F417" i="51" s="1"/>
  <c r="F418" i="51" s="1"/>
  <c r="F419" i="51" s="1"/>
  <c r="F420" i="51" s="1"/>
  <c r="F421" i="51" s="1"/>
  <c r="F422" i="51" s="1"/>
  <c r="F423" i="51" s="1"/>
  <c r="F424" i="51" s="1"/>
  <c r="F425" i="51" s="1"/>
  <c r="F426" i="51" s="1"/>
  <c r="F427" i="51" s="1"/>
  <c r="F428" i="51" s="1"/>
  <c r="F429" i="51" s="1"/>
  <c r="F430" i="51" s="1"/>
  <c r="F431" i="51" s="1"/>
  <c r="F432" i="51" s="1"/>
  <c r="F433" i="51" s="1"/>
  <c r="F434" i="51" s="1"/>
  <c r="F435" i="51" s="1"/>
  <c r="F436" i="51" s="1"/>
  <c r="F437" i="51" s="1"/>
  <c r="F438" i="51" s="1"/>
  <c r="F439" i="51" s="1"/>
  <c r="F440" i="51" s="1"/>
  <c r="F441" i="51" s="1"/>
  <c r="F442" i="51" s="1"/>
  <c r="F443" i="51" s="1"/>
  <c r="F444" i="51" s="1"/>
  <c r="F445" i="51" s="1"/>
  <c r="F446" i="51" s="1"/>
  <c r="F447" i="51" s="1"/>
  <c r="F448" i="51" s="1"/>
  <c r="F449" i="51" s="1"/>
  <c r="F450" i="51" s="1"/>
  <c r="F451" i="51" s="1"/>
  <c r="F452" i="51" s="1"/>
  <c r="F453" i="51" s="1"/>
  <c r="F454" i="51" s="1"/>
  <c r="F455" i="51" s="1"/>
  <c r="F456" i="51" s="1"/>
  <c r="F457" i="51" s="1"/>
  <c r="F458" i="51" s="1"/>
  <c r="F459" i="51" s="1"/>
  <c r="F460" i="51" s="1"/>
  <c r="F461" i="51" s="1"/>
  <c r="F462" i="51" s="1"/>
  <c r="F463" i="51" s="1"/>
  <c r="F464" i="51" s="1"/>
  <c r="F465" i="51" s="1"/>
  <c r="F466" i="51" s="1"/>
  <c r="F467" i="51" s="1"/>
  <c r="F468" i="51" s="1"/>
  <c r="F469" i="51" s="1"/>
  <c r="F470" i="51" s="1"/>
  <c r="F471" i="51" s="1"/>
  <c r="F472" i="51" s="1"/>
  <c r="F473" i="51" s="1"/>
  <c r="F474" i="51" s="1"/>
  <c r="F475" i="51" s="1"/>
  <c r="F476" i="51" s="1"/>
  <c r="F477" i="51" s="1"/>
  <c r="F478" i="51" s="1"/>
  <c r="F479" i="51" s="1"/>
  <c r="F480" i="51" s="1"/>
  <c r="F481" i="51" s="1"/>
  <c r="F482" i="51" s="1"/>
  <c r="F483" i="51" s="1"/>
  <c r="F484" i="51" s="1"/>
  <c r="F485" i="51" s="1"/>
  <c r="F486" i="51" s="1"/>
  <c r="F487" i="51" s="1"/>
  <c r="F488" i="51" s="1"/>
  <c r="F489" i="51" s="1"/>
  <c r="F490" i="51" s="1"/>
  <c r="F491" i="51" s="1"/>
  <c r="F492" i="51" s="1"/>
  <c r="F493" i="51" s="1"/>
  <c r="F494" i="51" s="1"/>
  <c r="F495" i="51" s="1"/>
  <c r="F496" i="51" s="1"/>
  <c r="F497" i="51" s="1"/>
  <c r="F498" i="51" s="1"/>
  <c r="F499" i="51" s="1"/>
  <c r="F500" i="51" s="1"/>
  <c r="F501" i="51" s="1"/>
  <c r="F502" i="51" s="1"/>
  <c r="F503" i="51" s="1"/>
  <c r="F504" i="51" s="1"/>
  <c r="F505" i="51" s="1"/>
  <c r="F506" i="51" s="1"/>
  <c r="F507" i="51" s="1"/>
  <c r="F508" i="51" s="1"/>
  <c r="F509" i="51" s="1"/>
  <c r="F510" i="51" s="1"/>
  <c r="F511" i="51" s="1"/>
  <c r="F512" i="51" s="1"/>
  <c r="F513" i="51" s="1"/>
  <c r="F514" i="51" s="1"/>
  <c r="F515" i="51" s="1"/>
  <c r="F516" i="51" s="1"/>
  <c r="F517" i="51" s="1"/>
  <c r="F518" i="51" s="1"/>
  <c r="F519" i="51" s="1"/>
  <c r="F520" i="51" s="1"/>
  <c r="F521" i="51" s="1"/>
  <c r="F522" i="51" s="1"/>
  <c r="F523" i="51" s="1"/>
  <c r="F524" i="51" s="1"/>
  <c r="F525" i="51" s="1"/>
  <c r="F526" i="51" s="1"/>
  <c r="F527" i="51" s="1"/>
  <c r="F528" i="51" s="1"/>
  <c r="A170" i="51"/>
  <c r="A171" i="51" s="1"/>
  <c r="A172" i="51" s="1"/>
  <c r="A173" i="51" s="1"/>
  <c r="A174" i="51" s="1"/>
  <c r="A175" i="51" s="1"/>
  <c r="A176" i="51" s="1"/>
  <c r="A177" i="51" s="1"/>
  <c r="A178" i="51" s="1"/>
  <c r="A179" i="51" s="1"/>
  <c r="A180" i="51" s="1"/>
  <c r="A181" i="51" s="1"/>
  <c r="A182" i="51" s="1"/>
  <c r="A183" i="51" s="1"/>
  <c r="A184" i="51" s="1"/>
  <c r="A185" i="51" s="1"/>
  <c r="A186" i="51" s="1"/>
  <c r="A187" i="51" s="1"/>
  <c r="A188" i="51" s="1"/>
  <c r="A189" i="51" s="1"/>
  <c r="A190" i="51" s="1"/>
  <c r="A191" i="51" s="1"/>
  <c r="A192" i="51" s="1"/>
  <c r="A193" i="51" s="1"/>
  <c r="A194" i="51" s="1"/>
  <c r="A195" i="51" s="1"/>
  <c r="A196" i="51" s="1"/>
  <c r="A197" i="51" s="1"/>
  <c r="A198" i="51" s="1"/>
  <c r="A199" i="51" s="1"/>
  <c r="A200" i="51" s="1"/>
  <c r="A201" i="51" s="1"/>
  <c r="A202" i="51" s="1"/>
  <c r="A203" i="51" s="1"/>
  <c r="A204" i="51" s="1"/>
  <c r="A205" i="51" s="1"/>
  <c r="A206" i="51" s="1"/>
  <c r="A207" i="51" s="1"/>
  <c r="A208" i="51" s="1"/>
  <c r="A209" i="51" s="1"/>
  <c r="A210" i="51" s="1"/>
  <c r="A211" i="51" s="1"/>
  <c r="A212" i="51" s="1"/>
  <c r="A213" i="51" s="1"/>
  <c r="A214" i="51" s="1"/>
  <c r="A215" i="51" s="1"/>
  <c r="A216" i="51" s="1"/>
  <c r="A217" i="51" s="1"/>
  <c r="A218" i="51" s="1"/>
  <c r="A219" i="51" s="1"/>
  <c r="A220" i="51" s="1"/>
  <c r="A221" i="51" s="1"/>
  <c r="A222" i="51" s="1"/>
  <c r="A223" i="51" s="1"/>
  <c r="A224" i="51" s="1"/>
  <c r="A225" i="51" s="1"/>
  <c r="A226" i="51" s="1"/>
  <c r="A227" i="51" s="1"/>
  <c r="A228" i="51" s="1"/>
  <c r="A229" i="51" s="1"/>
  <c r="A230" i="51" s="1"/>
  <c r="A231" i="51" s="1"/>
  <c r="A232" i="51" s="1"/>
  <c r="A233" i="51" s="1"/>
  <c r="A234" i="51" s="1"/>
  <c r="A235" i="51" s="1"/>
  <c r="A236" i="51" s="1"/>
  <c r="A237" i="51" s="1"/>
  <c r="A238" i="51" s="1"/>
  <c r="A239" i="51" s="1"/>
  <c r="A240" i="51" s="1"/>
  <c r="A241" i="51" s="1"/>
  <c r="A242" i="51" s="1"/>
  <c r="A243" i="51" s="1"/>
  <c r="A244" i="51" s="1"/>
  <c r="A245" i="51" s="1"/>
  <c r="A246" i="51" s="1"/>
  <c r="A247" i="51" s="1"/>
  <c r="A248" i="51" s="1"/>
  <c r="A249" i="51" s="1"/>
  <c r="A250" i="51" s="1"/>
  <c r="A251" i="51" s="1"/>
  <c r="A252" i="51" s="1"/>
  <c r="A253" i="51" s="1"/>
  <c r="A254" i="51" s="1"/>
  <c r="A255" i="51" s="1"/>
  <c r="A256" i="51" s="1"/>
  <c r="A257" i="51" s="1"/>
  <c r="A258" i="51" s="1"/>
  <c r="A259" i="51" s="1"/>
  <c r="A260" i="51" s="1"/>
  <c r="A261" i="51" s="1"/>
  <c r="A262" i="51" s="1"/>
  <c r="A263" i="51" s="1"/>
  <c r="A264" i="51" s="1"/>
  <c r="A265" i="51" s="1"/>
  <c r="A266" i="51" s="1"/>
  <c r="A267" i="51" s="1"/>
  <c r="A268" i="51" s="1"/>
  <c r="A269" i="51" s="1"/>
  <c r="A270" i="51" s="1"/>
  <c r="A271" i="51" s="1"/>
  <c r="A272" i="51" s="1"/>
  <c r="A273" i="51" s="1"/>
  <c r="A274" i="51" s="1"/>
  <c r="A275" i="51" s="1"/>
  <c r="A276" i="51" s="1"/>
  <c r="A277" i="51" s="1"/>
  <c r="A278" i="51" s="1"/>
  <c r="A279" i="51" s="1"/>
  <c r="A280" i="51" s="1"/>
  <c r="A281" i="51" s="1"/>
  <c r="A282" i="51" s="1"/>
  <c r="A283" i="51" s="1"/>
  <c r="A284" i="51" s="1"/>
  <c r="A285" i="51" s="1"/>
  <c r="A286" i="51" s="1"/>
  <c r="A287" i="51" s="1"/>
  <c r="A288" i="51" s="1"/>
  <c r="A289" i="51" s="1"/>
  <c r="A290" i="51" s="1"/>
  <c r="A291" i="51" s="1"/>
  <c r="A292" i="51" s="1"/>
  <c r="A293" i="51" s="1"/>
  <c r="A294" i="51" s="1"/>
  <c r="A295" i="51" s="1"/>
  <c r="A296" i="51" s="1"/>
  <c r="A297" i="51" s="1"/>
  <c r="A298" i="51" s="1"/>
  <c r="A299" i="51" s="1"/>
  <c r="A300" i="51" s="1"/>
  <c r="A301" i="51" s="1"/>
  <c r="A302" i="51" s="1"/>
  <c r="A303" i="51" s="1"/>
  <c r="A304" i="51" s="1"/>
  <c r="A305" i="51" s="1"/>
  <c r="A306" i="51" s="1"/>
  <c r="A307" i="51" s="1"/>
  <c r="A308" i="51" s="1"/>
  <c r="A309" i="51" s="1"/>
  <c r="A310" i="51" s="1"/>
  <c r="A311" i="51" s="1"/>
  <c r="A312" i="51" s="1"/>
  <c r="A313" i="51" s="1"/>
  <c r="A314" i="51" s="1"/>
  <c r="A315" i="51" s="1"/>
  <c r="A316" i="51" s="1"/>
  <c r="A317" i="51" s="1"/>
  <c r="A318" i="51" s="1"/>
  <c r="A319" i="51" s="1"/>
  <c r="A320" i="51" s="1"/>
  <c r="A321" i="51" s="1"/>
  <c r="A322" i="51" s="1"/>
  <c r="A323" i="51" s="1"/>
  <c r="A324" i="51" s="1"/>
  <c r="A325" i="51" s="1"/>
  <c r="A326" i="51" s="1"/>
  <c r="A327" i="51" s="1"/>
  <c r="A328" i="51" s="1"/>
  <c r="A329" i="51" s="1"/>
  <c r="A330" i="51" s="1"/>
  <c r="A331" i="51" s="1"/>
  <c r="A332" i="51" s="1"/>
  <c r="A333" i="51" s="1"/>
  <c r="A334" i="51" s="1"/>
  <c r="A335" i="51" s="1"/>
  <c r="A336" i="51" s="1"/>
  <c r="A337" i="51" s="1"/>
  <c r="A338" i="51" s="1"/>
  <c r="A339" i="51" s="1"/>
  <c r="A340" i="51" s="1"/>
  <c r="A341" i="51" s="1"/>
  <c r="A342" i="51" s="1"/>
  <c r="A343" i="51" s="1"/>
  <c r="A344" i="51" s="1"/>
  <c r="A345" i="51" s="1"/>
  <c r="A346" i="51" s="1"/>
  <c r="A347" i="51" s="1"/>
  <c r="A348" i="51" s="1"/>
  <c r="A349" i="51" s="1"/>
  <c r="A350" i="51" s="1"/>
  <c r="A351" i="51" s="1"/>
  <c r="A352" i="51" s="1"/>
  <c r="A353" i="51" s="1"/>
  <c r="A354" i="51" s="1"/>
  <c r="A355" i="51" s="1"/>
  <c r="A356" i="51" s="1"/>
  <c r="A357" i="51" s="1"/>
  <c r="A358" i="51" s="1"/>
  <c r="A359" i="51" s="1"/>
  <c r="A360" i="51" s="1"/>
  <c r="A361" i="51" s="1"/>
  <c r="A362" i="51" s="1"/>
  <c r="A363" i="51" s="1"/>
  <c r="A364" i="51" s="1"/>
  <c r="A365" i="51" s="1"/>
  <c r="A366" i="51" s="1"/>
  <c r="A367" i="51" s="1"/>
  <c r="A368" i="51" s="1"/>
  <c r="A369" i="51" s="1"/>
  <c r="A370" i="51" s="1"/>
  <c r="A371" i="51" s="1"/>
  <c r="A372" i="51" s="1"/>
  <c r="A373" i="51" s="1"/>
  <c r="A374" i="51" s="1"/>
  <c r="A375" i="51" s="1"/>
  <c r="A376" i="51" s="1"/>
  <c r="A377" i="51" s="1"/>
  <c r="A378" i="51" s="1"/>
  <c r="A379" i="51" s="1"/>
  <c r="A380" i="51" s="1"/>
  <c r="A381" i="51" s="1"/>
  <c r="A382" i="51" s="1"/>
  <c r="A383" i="51" s="1"/>
  <c r="A384" i="51" s="1"/>
  <c r="A385" i="51" s="1"/>
  <c r="A386" i="51" s="1"/>
  <c r="A387" i="51" s="1"/>
  <c r="A388" i="51" s="1"/>
  <c r="A389" i="51" s="1"/>
  <c r="A390" i="51" s="1"/>
  <c r="A391" i="51" s="1"/>
  <c r="A392" i="51" s="1"/>
  <c r="A393" i="51" s="1"/>
  <c r="A394" i="51" s="1"/>
  <c r="A395" i="51" s="1"/>
  <c r="A396" i="51" s="1"/>
  <c r="A397" i="51" s="1"/>
  <c r="A398" i="51" s="1"/>
  <c r="A399" i="51" s="1"/>
  <c r="A400" i="51" s="1"/>
  <c r="A401" i="51" s="1"/>
  <c r="A402" i="51" s="1"/>
  <c r="A403" i="51" s="1"/>
  <c r="A404" i="51" s="1"/>
  <c r="A405" i="51" s="1"/>
  <c r="A406" i="51" s="1"/>
  <c r="A407" i="51" s="1"/>
  <c r="A408" i="51" s="1"/>
  <c r="A409" i="51" s="1"/>
  <c r="A410" i="51" s="1"/>
  <c r="A411" i="51" s="1"/>
  <c r="A412" i="51" s="1"/>
  <c r="A413" i="51" s="1"/>
  <c r="A414" i="51" s="1"/>
  <c r="A415" i="51" s="1"/>
  <c r="A416" i="51" s="1"/>
  <c r="A417" i="51" s="1"/>
  <c r="A418" i="51" s="1"/>
  <c r="A419" i="51" s="1"/>
  <c r="A420" i="51" s="1"/>
  <c r="A421" i="51" s="1"/>
  <c r="A422" i="51" s="1"/>
  <c r="A423" i="51" s="1"/>
  <c r="A424" i="51" s="1"/>
  <c r="A425" i="51" s="1"/>
  <c r="A426" i="51" s="1"/>
  <c r="A427" i="51" s="1"/>
  <c r="A428" i="51" s="1"/>
  <c r="A429" i="51" s="1"/>
  <c r="A430" i="51" s="1"/>
  <c r="A431" i="51" s="1"/>
  <c r="A432" i="51" s="1"/>
  <c r="A433" i="51" s="1"/>
  <c r="A434" i="51" s="1"/>
  <c r="A435" i="51" s="1"/>
  <c r="A436" i="51" s="1"/>
  <c r="A437" i="51" s="1"/>
  <c r="A438" i="51" s="1"/>
  <c r="A439" i="51" s="1"/>
  <c r="A440" i="51" s="1"/>
  <c r="A441" i="51" s="1"/>
  <c r="A442" i="51" s="1"/>
  <c r="A443" i="51" s="1"/>
  <c r="A444" i="51" s="1"/>
  <c r="A445" i="51" s="1"/>
  <c r="A446" i="51" s="1"/>
  <c r="A447" i="51" s="1"/>
  <c r="A448" i="51" s="1"/>
  <c r="A449" i="51" s="1"/>
  <c r="A450" i="51" s="1"/>
  <c r="A451" i="51" s="1"/>
  <c r="A452" i="51" s="1"/>
  <c r="A453" i="51" s="1"/>
  <c r="A454" i="51" s="1"/>
  <c r="A455" i="51" s="1"/>
  <c r="A456" i="51" s="1"/>
  <c r="A457" i="51" s="1"/>
  <c r="A458" i="51" s="1"/>
  <c r="A459" i="51" s="1"/>
  <c r="A460" i="51" s="1"/>
  <c r="A461" i="51" s="1"/>
  <c r="A462" i="51" s="1"/>
  <c r="A463" i="51" s="1"/>
  <c r="A464" i="51" s="1"/>
  <c r="A465" i="51" s="1"/>
  <c r="A466" i="51" s="1"/>
  <c r="A467" i="51" s="1"/>
  <c r="A468" i="51" s="1"/>
  <c r="A469" i="51" s="1"/>
  <c r="A470" i="51" s="1"/>
  <c r="A471" i="51" s="1"/>
  <c r="A472" i="51" s="1"/>
  <c r="A473" i="51" s="1"/>
  <c r="A474" i="51" s="1"/>
  <c r="A475" i="51" s="1"/>
  <c r="A476" i="51" s="1"/>
  <c r="A477" i="51" s="1"/>
  <c r="A478" i="51" s="1"/>
  <c r="A479" i="51" s="1"/>
  <c r="A480" i="51" s="1"/>
  <c r="A481" i="51" s="1"/>
  <c r="A482" i="51" s="1"/>
  <c r="A483" i="51" s="1"/>
  <c r="A484" i="51" s="1"/>
  <c r="A485" i="51" s="1"/>
  <c r="A486" i="51" s="1"/>
  <c r="A487" i="51" s="1"/>
  <c r="A488" i="51" s="1"/>
  <c r="A489" i="51" s="1"/>
  <c r="A490" i="51" s="1"/>
  <c r="A491" i="51" s="1"/>
  <c r="A492" i="51" s="1"/>
  <c r="A493" i="51" s="1"/>
  <c r="A494" i="51" s="1"/>
  <c r="A495" i="51" s="1"/>
  <c r="A496" i="51" s="1"/>
  <c r="A497" i="51" s="1"/>
  <c r="A498" i="51" s="1"/>
  <c r="A499" i="51" s="1"/>
  <c r="A500" i="51" s="1"/>
  <c r="A501" i="51" s="1"/>
  <c r="A502" i="51" s="1"/>
  <c r="A503" i="51" s="1"/>
  <c r="A504" i="51" s="1"/>
  <c r="A505" i="51" s="1"/>
  <c r="A506" i="51" s="1"/>
  <c r="A507" i="51" s="1"/>
  <c r="A508" i="51" s="1"/>
  <c r="A509" i="51" s="1"/>
  <c r="A510" i="51" s="1"/>
  <c r="A511" i="51" s="1"/>
  <c r="A512" i="51" s="1"/>
  <c r="A513" i="51" s="1"/>
  <c r="A514" i="51" s="1"/>
  <c r="A515" i="51" s="1"/>
  <c r="A516" i="51" s="1"/>
  <c r="A517" i="51" s="1"/>
  <c r="A518" i="51" s="1"/>
  <c r="A519" i="51" s="1"/>
  <c r="A520" i="51" s="1"/>
  <c r="A521" i="51" s="1"/>
  <c r="A522" i="51" s="1"/>
  <c r="A523" i="51" s="1"/>
  <c r="A524" i="51" s="1"/>
  <c r="A525" i="51" s="1"/>
  <c r="A526" i="51" s="1"/>
  <c r="A527" i="51" s="1"/>
  <c r="A528" i="51" s="1"/>
  <c r="H80" i="51"/>
  <c r="C85" i="51" s="1"/>
  <c r="E97" i="51" s="1"/>
  <c r="E61" i="47" s="1"/>
  <c r="E99" i="51"/>
  <c r="E63" i="47" s="1"/>
  <c r="AC159" i="51"/>
  <c r="X159" i="51"/>
  <c r="S159" i="51"/>
  <c r="AH157" i="51"/>
  <c r="AG157" i="51"/>
  <c r="AF157" i="51"/>
  <c r="AE157" i="51"/>
  <c r="AD157" i="51"/>
  <c r="AC157" i="51"/>
  <c r="AB157" i="51"/>
  <c r="AA157" i="51"/>
  <c r="Z157" i="51"/>
  <c r="Y157" i="51"/>
  <c r="X157" i="51"/>
  <c r="W157" i="51"/>
  <c r="V157" i="51"/>
  <c r="U157" i="51"/>
  <c r="T157" i="51"/>
  <c r="S157" i="51"/>
  <c r="R157" i="51"/>
  <c r="Q157" i="51"/>
  <c r="P157" i="51"/>
  <c r="O157" i="51"/>
  <c r="N157" i="51"/>
  <c r="M157" i="51"/>
  <c r="L157" i="51"/>
  <c r="K157" i="51"/>
  <c r="J157" i="51"/>
  <c r="I157" i="51"/>
  <c r="H157" i="51"/>
  <c r="G157" i="51"/>
  <c r="F157" i="51"/>
  <c r="E157" i="51"/>
  <c r="AH156" i="51"/>
  <c r="AG156" i="51"/>
  <c r="AF156" i="51"/>
  <c r="AE156" i="51"/>
  <c r="AD156" i="51"/>
  <c r="AC156" i="51"/>
  <c r="AB156" i="51"/>
  <c r="AA156" i="51"/>
  <c r="Z156" i="51"/>
  <c r="Y156" i="51"/>
  <c r="X156" i="51"/>
  <c r="W156" i="51"/>
  <c r="V156" i="51"/>
  <c r="U156" i="51"/>
  <c r="T156" i="51"/>
  <c r="S156" i="51"/>
  <c r="R156" i="51"/>
  <c r="Q156" i="51"/>
  <c r="P156" i="51"/>
  <c r="O156" i="51"/>
  <c r="N156" i="51"/>
  <c r="M156" i="51"/>
  <c r="L156" i="51"/>
  <c r="K156" i="51"/>
  <c r="J156" i="51"/>
  <c r="I156" i="51"/>
  <c r="H156" i="51"/>
  <c r="G156" i="51"/>
  <c r="F156" i="51"/>
  <c r="E156" i="51"/>
  <c r="D153" i="51"/>
  <c r="D149" i="51"/>
  <c r="D148" i="51"/>
  <c r="D141" i="51"/>
  <c r="D140" i="51"/>
  <c r="AC132" i="51"/>
  <c r="X132" i="51"/>
  <c r="S132" i="51"/>
  <c r="D131" i="51"/>
  <c r="D109" i="51"/>
  <c r="C53" i="51"/>
  <c r="D112" i="51" s="1"/>
  <c r="C54" i="51"/>
  <c r="D113" i="51" s="1"/>
  <c r="D115" i="51"/>
  <c r="AH118" i="51"/>
  <c r="AH119" i="51"/>
  <c r="D130" i="51"/>
  <c r="AC130" i="51"/>
  <c r="X130" i="51"/>
  <c r="S130" i="51"/>
  <c r="D127" i="51"/>
  <c r="AG119" i="51"/>
  <c r="AF119" i="51"/>
  <c r="AE119" i="51"/>
  <c r="AD119" i="51"/>
  <c r="AC119" i="51"/>
  <c r="AB119" i="51"/>
  <c r="AA119" i="51"/>
  <c r="Z119" i="51"/>
  <c r="Y119" i="51"/>
  <c r="X119" i="51"/>
  <c r="W119" i="51"/>
  <c r="V119" i="51"/>
  <c r="U119" i="51"/>
  <c r="T119" i="51"/>
  <c r="S119" i="51"/>
  <c r="R119" i="51"/>
  <c r="Q119" i="51"/>
  <c r="P119" i="51"/>
  <c r="O119" i="51"/>
  <c r="N119" i="51"/>
  <c r="M119" i="51"/>
  <c r="L119" i="51"/>
  <c r="K119" i="51"/>
  <c r="J119" i="51"/>
  <c r="I119" i="51"/>
  <c r="H119" i="51"/>
  <c r="G119" i="51"/>
  <c r="F119" i="51"/>
  <c r="E119" i="51"/>
  <c r="AG118" i="51"/>
  <c r="AF118" i="51"/>
  <c r="AE118" i="51"/>
  <c r="AD118" i="51"/>
  <c r="AC118" i="51"/>
  <c r="AB118" i="51"/>
  <c r="AA118" i="51"/>
  <c r="Z118" i="51"/>
  <c r="Y118" i="51"/>
  <c r="X118" i="51"/>
  <c r="W118" i="51"/>
  <c r="V118" i="51"/>
  <c r="U118" i="51"/>
  <c r="T118" i="51"/>
  <c r="S118" i="51"/>
  <c r="R118" i="51"/>
  <c r="Q118" i="51"/>
  <c r="P118" i="51"/>
  <c r="O118" i="51"/>
  <c r="N118" i="51"/>
  <c r="M118" i="51"/>
  <c r="L118" i="51"/>
  <c r="K118" i="51"/>
  <c r="J118" i="51"/>
  <c r="I118" i="51"/>
  <c r="H118" i="51"/>
  <c r="G118" i="51"/>
  <c r="F118" i="51"/>
  <c r="E118" i="51"/>
  <c r="H89" i="51"/>
  <c r="H73" i="51"/>
  <c r="L5" i="51" s="1"/>
  <c r="E15" i="47" s="1"/>
  <c r="H53" i="51"/>
  <c r="L7" i="51" s="1"/>
  <c r="E17" i="47" s="1"/>
  <c r="D9" i="51"/>
  <c r="H80" i="42"/>
  <c r="C85" i="42" s="1"/>
  <c r="H47" i="42"/>
  <c r="L6" i="42" s="1"/>
  <c r="B16" i="47" s="1"/>
  <c r="C75" i="57"/>
  <c r="E86" i="57" s="1"/>
  <c r="F156" i="42"/>
  <c r="G156" i="42"/>
  <c r="H156" i="42"/>
  <c r="I156" i="42"/>
  <c r="J156" i="42"/>
  <c r="K156" i="42"/>
  <c r="L156" i="42"/>
  <c r="M156" i="42"/>
  <c r="N156" i="42"/>
  <c r="O156" i="42"/>
  <c r="P156" i="42"/>
  <c r="Q156" i="42"/>
  <c r="R156" i="42"/>
  <c r="S156" i="42"/>
  <c r="T156" i="42"/>
  <c r="U156" i="42"/>
  <c r="V156" i="42"/>
  <c r="W156" i="42"/>
  <c r="X156" i="42"/>
  <c r="Y156" i="42"/>
  <c r="Z156" i="42"/>
  <c r="AA156" i="42"/>
  <c r="AB156" i="42"/>
  <c r="AC156" i="42"/>
  <c r="AD156" i="42"/>
  <c r="AE156" i="42"/>
  <c r="AF156" i="42"/>
  <c r="AG156" i="42"/>
  <c r="AH156" i="42"/>
  <c r="E156" i="42"/>
  <c r="D148" i="42"/>
  <c r="D147" i="42"/>
  <c r="D126" i="42"/>
  <c r="D140" i="42"/>
  <c r="D139" i="42"/>
  <c r="F117" i="42"/>
  <c r="G117" i="42"/>
  <c r="H117" i="42"/>
  <c r="I117" i="42"/>
  <c r="J117" i="42"/>
  <c r="K117" i="42"/>
  <c r="L117" i="42"/>
  <c r="M117" i="42"/>
  <c r="N117" i="42"/>
  <c r="O117" i="42"/>
  <c r="P117" i="42"/>
  <c r="Q117" i="42"/>
  <c r="R117" i="42"/>
  <c r="S117" i="42"/>
  <c r="T117" i="42"/>
  <c r="U117" i="42"/>
  <c r="V117" i="42"/>
  <c r="W117" i="42"/>
  <c r="X117" i="42"/>
  <c r="Y117" i="42"/>
  <c r="Z117" i="42"/>
  <c r="AA117" i="42"/>
  <c r="AB117" i="42"/>
  <c r="AC117" i="42"/>
  <c r="AD117" i="42"/>
  <c r="AE117" i="42"/>
  <c r="AF117" i="42"/>
  <c r="AG117" i="42"/>
  <c r="AH117" i="42"/>
  <c r="F118" i="42"/>
  <c r="G118" i="42"/>
  <c r="H118" i="42"/>
  <c r="I118" i="42"/>
  <c r="J118" i="42"/>
  <c r="K118" i="42"/>
  <c r="L118" i="42"/>
  <c r="M118" i="42"/>
  <c r="N118" i="42"/>
  <c r="O118" i="42"/>
  <c r="P118" i="42"/>
  <c r="Q118" i="42"/>
  <c r="R118" i="42"/>
  <c r="S118" i="42"/>
  <c r="T118" i="42"/>
  <c r="U118" i="42"/>
  <c r="V118" i="42"/>
  <c r="W118" i="42"/>
  <c r="X118" i="42"/>
  <c r="Y118" i="42"/>
  <c r="Z118" i="42"/>
  <c r="AA118" i="42"/>
  <c r="AB118" i="42"/>
  <c r="AC118" i="42"/>
  <c r="AD118" i="42"/>
  <c r="AE118" i="42"/>
  <c r="AF118" i="42"/>
  <c r="AG118" i="42"/>
  <c r="AH118" i="42"/>
  <c r="E118" i="42"/>
  <c r="E117" i="42"/>
  <c r="D9" i="42"/>
  <c r="D161" i="42" s="1"/>
  <c r="F155" i="42"/>
  <c r="G155" i="42"/>
  <c r="H155" i="42"/>
  <c r="I155" i="42"/>
  <c r="J155" i="42"/>
  <c r="K155" i="42"/>
  <c r="L155" i="42"/>
  <c r="M155" i="42"/>
  <c r="N155" i="42"/>
  <c r="O155" i="42"/>
  <c r="P155" i="42"/>
  <c r="Q155" i="42"/>
  <c r="R155" i="42"/>
  <c r="S155" i="42"/>
  <c r="T155" i="42"/>
  <c r="U155" i="42"/>
  <c r="V155" i="42"/>
  <c r="W155" i="42"/>
  <c r="X155" i="42"/>
  <c r="Y155" i="42"/>
  <c r="Z155" i="42"/>
  <c r="AA155" i="42"/>
  <c r="AB155" i="42"/>
  <c r="AC155" i="42"/>
  <c r="AD155" i="42"/>
  <c r="AE155" i="42"/>
  <c r="AF155" i="42"/>
  <c r="AG155" i="42"/>
  <c r="AH155" i="42"/>
  <c r="E155" i="42"/>
  <c r="E51" i="42"/>
  <c r="B33" i="47" s="1"/>
  <c r="D130" i="42"/>
  <c r="D129" i="42"/>
  <c r="D152" i="42"/>
  <c r="C23" i="42"/>
  <c r="H89" i="42"/>
  <c r="S138" i="55"/>
  <c r="S137" i="55"/>
  <c r="S138" i="57"/>
  <c r="S137" i="57"/>
  <c r="S140" i="51"/>
  <c r="S141" i="51"/>
  <c r="S138" i="56"/>
  <c r="S139" i="56"/>
  <c r="S143" i="53"/>
  <c r="S144" i="53"/>
  <c r="X138" i="57"/>
  <c r="X137" i="57"/>
  <c r="X138" i="55"/>
  <c r="X137" i="55"/>
  <c r="X143" i="53"/>
  <c r="X144" i="53"/>
  <c r="X138" i="56"/>
  <c r="X139" i="56"/>
  <c r="X141" i="51"/>
  <c r="X140" i="51"/>
  <c r="AC138" i="55"/>
  <c r="AC137" i="55"/>
  <c r="AC141" i="51"/>
  <c r="AC140" i="51"/>
  <c r="AC137" i="57"/>
  <c r="AC138" i="57"/>
  <c r="AC138" i="56"/>
  <c r="AC139" i="56"/>
  <c r="AC144" i="53"/>
  <c r="AC143" i="53"/>
  <c r="AH144" i="53"/>
  <c r="AH143" i="53"/>
  <c r="AH138" i="55"/>
  <c r="AH137" i="55"/>
  <c r="AC158" i="42"/>
  <c r="X158" i="42"/>
  <c r="AC131" i="42"/>
  <c r="X131" i="42"/>
  <c r="AC129" i="42"/>
  <c r="X129" i="42"/>
  <c r="E93" i="42"/>
  <c r="B57" i="47" s="1"/>
  <c r="E98" i="42"/>
  <c r="D49" i="42"/>
  <c r="C53" i="42"/>
  <c r="D112" i="42" s="1"/>
  <c r="C54" i="42"/>
  <c r="D113" i="42" s="1"/>
  <c r="D92" i="42"/>
  <c r="B55" i="47" s="1"/>
  <c r="D109" i="42"/>
  <c r="D115" i="42"/>
  <c r="E99" i="42"/>
  <c r="B63" i="47" s="1"/>
  <c r="E94" i="42"/>
  <c r="B58" i="47" s="1"/>
  <c r="K146" i="47"/>
  <c r="K147" i="47" s="1"/>
  <c r="K148" i="47" s="1"/>
  <c r="K149" i="47" s="1"/>
  <c r="K150" i="47" s="1"/>
  <c r="K151" i="47" s="1"/>
  <c r="K152" i="47" s="1"/>
  <c r="K153" i="47" s="1"/>
  <c r="K154" i="47" s="1"/>
  <c r="K155" i="47" s="1"/>
  <c r="K156" i="47" s="1"/>
  <c r="K157" i="47" s="1"/>
  <c r="K158" i="47" s="1"/>
  <c r="K159" i="47" s="1"/>
  <c r="K160" i="47" s="1"/>
  <c r="K161" i="47" s="1"/>
  <c r="K162" i="47" s="1"/>
  <c r="K163" i="47" s="1"/>
  <c r="K164" i="47" s="1"/>
  <c r="K165" i="47" s="1"/>
  <c r="K166" i="47" s="1"/>
  <c r="K167" i="47" s="1"/>
  <c r="K168" i="47" s="1"/>
  <c r="K169" i="47" s="1"/>
  <c r="K170" i="47" s="1"/>
  <c r="K171" i="47" s="1"/>
  <c r="K172" i="47" s="1"/>
  <c r="K173" i="47" s="1"/>
  <c r="K174" i="47" s="1"/>
  <c r="K175" i="47" s="1"/>
  <c r="K176" i="47" s="1"/>
  <c r="K177" i="47" s="1"/>
  <c r="K178" i="47" s="1"/>
  <c r="K179" i="47" s="1"/>
  <c r="K180" i="47" s="1"/>
  <c r="K181" i="47" s="1"/>
  <c r="K182" i="47" s="1"/>
  <c r="K183" i="47" s="1"/>
  <c r="K184" i="47" s="1"/>
  <c r="K185" i="47" s="1"/>
  <c r="K186" i="47" s="1"/>
  <c r="K187" i="47" s="1"/>
  <c r="K188" i="47" s="1"/>
  <c r="K189" i="47" s="1"/>
  <c r="K190" i="47" s="1"/>
  <c r="K191" i="47" s="1"/>
  <c r="K192" i="47" s="1"/>
  <c r="K193" i="47" s="1"/>
  <c r="K194" i="47" s="1"/>
  <c r="K195" i="47" s="1"/>
  <c r="K196" i="47" s="1"/>
  <c r="K197" i="47" s="1"/>
  <c r="K198" i="47" s="1"/>
  <c r="K199" i="47" s="1"/>
  <c r="K200" i="47" s="1"/>
  <c r="K201" i="47" s="1"/>
  <c r="K202" i="47" s="1"/>
  <c r="K203" i="47" s="1"/>
  <c r="K204" i="47" s="1"/>
  <c r="K205" i="47" s="1"/>
  <c r="K206" i="47" s="1"/>
  <c r="K207" i="47" s="1"/>
  <c r="K208" i="47" s="1"/>
  <c r="K209" i="47" s="1"/>
  <c r="K210" i="47" s="1"/>
  <c r="K211" i="47" s="1"/>
  <c r="K212" i="47" s="1"/>
  <c r="K213" i="47" s="1"/>
  <c r="K214" i="47" s="1"/>
  <c r="K215" i="47" s="1"/>
  <c r="K216" i="47" s="1"/>
  <c r="K217" i="47" s="1"/>
  <c r="K218" i="47" s="1"/>
  <c r="K219" i="47" s="1"/>
  <c r="K220" i="47" s="1"/>
  <c r="K221" i="47" s="1"/>
  <c r="K222" i="47" s="1"/>
  <c r="K223" i="47" s="1"/>
  <c r="K224" i="47" s="1"/>
  <c r="K225" i="47" s="1"/>
  <c r="K226" i="47" s="1"/>
  <c r="K227" i="47" s="1"/>
  <c r="K228" i="47" s="1"/>
  <c r="K229" i="47" s="1"/>
  <c r="K230" i="47" s="1"/>
  <c r="K231" i="47" s="1"/>
  <c r="K232" i="47" s="1"/>
  <c r="K233" i="47" s="1"/>
  <c r="K234" i="47" s="1"/>
  <c r="K235" i="47" s="1"/>
  <c r="K236" i="47" s="1"/>
  <c r="K237" i="47" s="1"/>
  <c r="K238" i="47" s="1"/>
  <c r="K239" i="47" s="1"/>
  <c r="K240" i="47" s="1"/>
  <c r="K241" i="47" s="1"/>
  <c r="K242" i="47" s="1"/>
  <c r="K243" i="47" s="1"/>
  <c r="K244" i="47" s="1"/>
  <c r="K245" i="47" s="1"/>
  <c r="K246" i="47" s="1"/>
  <c r="K247" i="47" s="1"/>
  <c r="K248" i="47" s="1"/>
  <c r="K249" i="47" s="1"/>
  <c r="K250" i="47" s="1"/>
  <c r="K251" i="47" s="1"/>
  <c r="K252" i="47" s="1"/>
  <c r="K253" i="47" s="1"/>
  <c r="K254" i="47" s="1"/>
  <c r="K255" i="47" s="1"/>
  <c r="K256" i="47" s="1"/>
  <c r="K257" i="47" s="1"/>
  <c r="K258" i="47" s="1"/>
  <c r="K259" i="47" s="1"/>
  <c r="K260" i="47" s="1"/>
  <c r="K261" i="47" s="1"/>
  <c r="K262" i="47" s="1"/>
  <c r="K263" i="47" s="1"/>
  <c r="K264" i="47" s="1"/>
  <c r="K265" i="47" s="1"/>
  <c r="K266" i="47" s="1"/>
  <c r="K267" i="47" s="1"/>
  <c r="K268" i="47" s="1"/>
  <c r="K269" i="47" s="1"/>
  <c r="K270" i="47" s="1"/>
  <c r="K271" i="47" s="1"/>
  <c r="K272" i="47" s="1"/>
  <c r="K273" i="47" s="1"/>
  <c r="K274" i="47" s="1"/>
  <c r="K275" i="47" s="1"/>
  <c r="K276" i="47" s="1"/>
  <c r="K277" i="47" s="1"/>
  <c r="K278" i="47" s="1"/>
  <c r="K279" i="47" s="1"/>
  <c r="K280" i="47" s="1"/>
  <c r="K281" i="47" s="1"/>
  <c r="K282" i="47" s="1"/>
  <c r="K283" i="47" s="1"/>
  <c r="K284" i="47" s="1"/>
  <c r="K285" i="47" s="1"/>
  <c r="K286" i="47" s="1"/>
  <c r="K287" i="47" s="1"/>
  <c r="K288" i="47" s="1"/>
  <c r="K289" i="47" s="1"/>
  <c r="K290" i="47" s="1"/>
  <c r="K291" i="47" s="1"/>
  <c r="K292" i="47" s="1"/>
  <c r="K293" i="47" s="1"/>
  <c r="K294" i="47" s="1"/>
  <c r="K295" i="47" s="1"/>
  <c r="K296" i="47" s="1"/>
  <c r="K297" i="47" s="1"/>
  <c r="K298" i="47" s="1"/>
  <c r="K299" i="47" s="1"/>
  <c r="K300" i="47" s="1"/>
  <c r="K301" i="47" s="1"/>
  <c r="K302" i="47" s="1"/>
  <c r="K303" i="47" s="1"/>
  <c r="K304" i="47" s="1"/>
  <c r="K305" i="47" s="1"/>
  <c r="K306" i="47" s="1"/>
  <c r="K307" i="47" s="1"/>
  <c r="K308" i="47" s="1"/>
  <c r="K309" i="47" s="1"/>
  <c r="K310" i="47" s="1"/>
  <c r="K311" i="47" s="1"/>
  <c r="K312" i="47" s="1"/>
  <c r="K313" i="47" s="1"/>
  <c r="K314" i="47" s="1"/>
  <c r="K315" i="47" s="1"/>
  <c r="K316" i="47" s="1"/>
  <c r="K317" i="47" s="1"/>
  <c r="K318" i="47" s="1"/>
  <c r="K319" i="47" s="1"/>
  <c r="K320" i="47" s="1"/>
  <c r="K321" i="47" s="1"/>
  <c r="K322" i="47" s="1"/>
  <c r="K323" i="47" s="1"/>
  <c r="K324" i="47" s="1"/>
  <c r="K325" i="47" s="1"/>
  <c r="K326" i="47" s="1"/>
  <c r="K327" i="47" s="1"/>
  <c r="K328" i="47" s="1"/>
  <c r="K329" i="47" s="1"/>
  <c r="K330" i="47" s="1"/>
  <c r="K331" i="47" s="1"/>
  <c r="K332" i="47" s="1"/>
  <c r="K333" i="47" s="1"/>
  <c r="K334" i="47" s="1"/>
  <c r="K335" i="47" s="1"/>
  <c r="K336" i="47" s="1"/>
  <c r="K337" i="47" s="1"/>
  <c r="K338" i="47" s="1"/>
  <c r="K339" i="47" s="1"/>
  <c r="K340" i="47" s="1"/>
  <c r="K341" i="47" s="1"/>
  <c r="K342" i="47" s="1"/>
  <c r="K343" i="47" s="1"/>
  <c r="K344" i="47" s="1"/>
  <c r="K345" i="47" s="1"/>
  <c r="K346" i="47" s="1"/>
  <c r="K347" i="47" s="1"/>
  <c r="K348" i="47" s="1"/>
  <c r="K349" i="47" s="1"/>
  <c r="K350" i="47" s="1"/>
  <c r="K351" i="47" s="1"/>
  <c r="K352" i="47" s="1"/>
  <c r="K353" i="47" s="1"/>
  <c r="K354" i="47" s="1"/>
  <c r="K355" i="47" s="1"/>
  <c r="K356" i="47" s="1"/>
  <c r="K357" i="47" s="1"/>
  <c r="K358" i="47" s="1"/>
  <c r="K359" i="47" s="1"/>
  <c r="K360" i="47" s="1"/>
  <c r="K361" i="47" s="1"/>
  <c r="K362" i="47" s="1"/>
  <c r="K363" i="47" s="1"/>
  <c r="K364" i="47" s="1"/>
  <c r="K365" i="47" s="1"/>
  <c r="K366" i="47" s="1"/>
  <c r="K367" i="47" s="1"/>
  <c r="K368" i="47" s="1"/>
  <c r="K369" i="47" s="1"/>
  <c r="K370" i="47" s="1"/>
  <c r="K371" i="47" s="1"/>
  <c r="K372" i="47" s="1"/>
  <c r="K373" i="47" s="1"/>
  <c r="K374" i="47" s="1"/>
  <c r="K375" i="47" s="1"/>
  <c r="K376" i="47" s="1"/>
  <c r="K377" i="47" s="1"/>
  <c r="K378" i="47" s="1"/>
  <c r="K379" i="47" s="1"/>
  <c r="K380" i="47" s="1"/>
  <c r="K381" i="47" s="1"/>
  <c r="K382" i="47" s="1"/>
  <c r="K383" i="47" s="1"/>
  <c r="K384" i="47" s="1"/>
  <c r="K385" i="47" s="1"/>
  <c r="K386" i="47" s="1"/>
  <c r="K387" i="47" s="1"/>
  <c r="K388" i="47" s="1"/>
  <c r="K389" i="47" s="1"/>
  <c r="K390" i="47" s="1"/>
  <c r="K391" i="47" s="1"/>
  <c r="K392" i="47" s="1"/>
  <c r="K393" i="47" s="1"/>
  <c r="K394" i="47" s="1"/>
  <c r="K395" i="47" s="1"/>
  <c r="K396" i="47" s="1"/>
  <c r="K397" i="47" s="1"/>
  <c r="K398" i="47" s="1"/>
  <c r="K399" i="47" s="1"/>
  <c r="K400" i="47" s="1"/>
  <c r="K401" i="47" s="1"/>
  <c r="K402" i="47" s="1"/>
  <c r="K403" i="47" s="1"/>
  <c r="K404" i="47" s="1"/>
  <c r="K405" i="47" s="1"/>
  <c r="K406" i="47" s="1"/>
  <c r="K407" i="47" s="1"/>
  <c r="K408" i="47" s="1"/>
  <c r="K409" i="47" s="1"/>
  <c r="K410" i="47" s="1"/>
  <c r="K411" i="47" s="1"/>
  <c r="K412" i="47" s="1"/>
  <c r="K413" i="47" s="1"/>
  <c r="K414" i="47" s="1"/>
  <c r="K415" i="47" s="1"/>
  <c r="K416" i="47" s="1"/>
  <c r="K417" i="47" s="1"/>
  <c r="K418" i="47" s="1"/>
  <c r="K419" i="47" s="1"/>
  <c r="K420" i="47" s="1"/>
  <c r="K421" i="47" s="1"/>
  <c r="K422" i="47" s="1"/>
  <c r="K423" i="47" s="1"/>
  <c r="K424" i="47" s="1"/>
  <c r="K425" i="47" s="1"/>
  <c r="K426" i="47" s="1"/>
  <c r="K427" i="47" s="1"/>
  <c r="K428" i="47" s="1"/>
  <c r="K429" i="47" s="1"/>
  <c r="K430" i="47" s="1"/>
  <c r="K431" i="47" s="1"/>
  <c r="K432" i="47" s="1"/>
  <c r="K433" i="47" s="1"/>
  <c r="K434" i="47" s="1"/>
  <c r="K435" i="47" s="1"/>
  <c r="K436" i="47" s="1"/>
  <c r="K437" i="47" s="1"/>
  <c r="K438" i="47" s="1"/>
  <c r="K439" i="47" s="1"/>
  <c r="K440" i="47" s="1"/>
  <c r="K441" i="47" s="1"/>
  <c r="K442" i="47" s="1"/>
  <c r="K443" i="47" s="1"/>
  <c r="K444" i="47" s="1"/>
  <c r="K445" i="47" s="1"/>
  <c r="K446" i="47" s="1"/>
  <c r="K447" i="47" s="1"/>
  <c r="K448" i="47" s="1"/>
  <c r="K449" i="47" s="1"/>
  <c r="K450" i="47" s="1"/>
  <c r="K451" i="47" s="1"/>
  <c r="K452" i="47" s="1"/>
  <c r="K453" i="47" s="1"/>
  <c r="K454" i="47" s="1"/>
  <c r="K455" i="47" s="1"/>
  <c r="K456" i="47" s="1"/>
  <c r="K457" i="47" s="1"/>
  <c r="K458" i="47" s="1"/>
  <c r="K459" i="47" s="1"/>
  <c r="K460" i="47" s="1"/>
  <c r="K461" i="47" s="1"/>
  <c r="K462" i="47" s="1"/>
  <c r="K463" i="47" s="1"/>
  <c r="K464" i="47" s="1"/>
  <c r="K465" i="47" s="1"/>
  <c r="K466" i="47" s="1"/>
  <c r="K467" i="47" s="1"/>
  <c r="K468" i="47" s="1"/>
  <c r="K469" i="47" s="1"/>
  <c r="K470" i="47" s="1"/>
  <c r="K471" i="47" s="1"/>
  <c r="K472" i="47" s="1"/>
  <c r="K473" i="47" s="1"/>
  <c r="K474" i="47" s="1"/>
  <c r="K475" i="47" s="1"/>
  <c r="K476" i="47" s="1"/>
  <c r="K477" i="47" s="1"/>
  <c r="K478" i="47" s="1"/>
  <c r="K479" i="47" s="1"/>
  <c r="K480" i="47" s="1"/>
  <c r="K481" i="47" s="1"/>
  <c r="K482" i="47" s="1"/>
  <c r="K483" i="47" s="1"/>
  <c r="K484" i="47" s="1"/>
  <c r="K485" i="47" s="1"/>
  <c r="K486" i="47" s="1"/>
  <c r="K487" i="47" s="1"/>
  <c r="K488" i="47" s="1"/>
  <c r="K489" i="47" s="1"/>
  <c r="K490" i="47" s="1"/>
  <c r="K491" i="47" s="1"/>
  <c r="K492" i="47" s="1"/>
  <c r="K493" i="47" s="1"/>
  <c r="K494" i="47" s="1"/>
  <c r="K495" i="47" s="1"/>
  <c r="K496" i="47" s="1"/>
  <c r="K497" i="47" s="1"/>
  <c r="K498" i="47" s="1"/>
  <c r="K499" i="47" s="1"/>
  <c r="K500" i="47" s="1"/>
  <c r="K501" i="47" s="1"/>
  <c r="K502" i="47" s="1"/>
  <c r="K503" i="47" s="1"/>
  <c r="K504" i="47" s="1"/>
  <c r="F146" i="47"/>
  <c r="F147" i="47" s="1"/>
  <c r="F148" i="47" s="1"/>
  <c r="F149" i="47" s="1"/>
  <c r="F150" i="47" s="1"/>
  <c r="F151" i="47" s="1"/>
  <c r="F152" i="47" s="1"/>
  <c r="F153" i="47" s="1"/>
  <c r="F154" i="47" s="1"/>
  <c r="F155" i="47" s="1"/>
  <c r="F156" i="47" s="1"/>
  <c r="F157" i="47" s="1"/>
  <c r="F158" i="47" s="1"/>
  <c r="F159" i="47" s="1"/>
  <c r="F160" i="47" s="1"/>
  <c r="F161" i="47" s="1"/>
  <c r="F162" i="47" s="1"/>
  <c r="F163" i="47" s="1"/>
  <c r="F164" i="47" s="1"/>
  <c r="F165" i="47" s="1"/>
  <c r="F166" i="47" s="1"/>
  <c r="F167" i="47" s="1"/>
  <c r="F168" i="47" s="1"/>
  <c r="F169" i="47" s="1"/>
  <c r="F170" i="47" s="1"/>
  <c r="F171" i="47" s="1"/>
  <c r="F172" i="47" s="1"/>
  <c r="F173" i="47" s="1"/>
  <c r="F174" i="47" s="1"/>
  <c r="F175" i="47" s="1"/>
  <c r="F176" i="47" s="1"/>
  <c r="F177" i="47" s="1"/>
  <c r="F178" i="47" s="1"/>
  <c r="F179" i="47" s="1"/>
  <c r="F180" i="47" s="1"/>
  <c r="F181" i="47" s="1"/>
  <c r="F182" i="47" s="1"/>
  <c r="F183" i="47" s="1"/>
  <c r="F184" i="47" s="1"/>
  <c r="F185" i="47" s="1"/>
  <c r="F186" i="47" s="1"/>
  <c r="F187" i="47" s="1"/>
  <c r="F188" i="47" s="1"/>
  <c r="F189" i="47" s="1"/>
  <c r="F190" i="47" s="1"/>
  <c r="F191" i="47" s="1"/>
  <c r="F192" i="47" s="1"/>
  <c r="F193" i="47" s="1"/>
  <c r="F194" i="47" s="1"/>
  <c r="F195" i="47" s="1"/>
  <c r="F196" i="47" s="1"/>
  <c r="F197" i="47" s="1"/>
  <c r="F198" i="47" s="1"/>
  <c r="F199" i="47" s="1"/>
  <c r="F200" i="47" s="1"/>
  <c r="F201" i="47" s="1"/>
  <c r="F202" i="47" s="1"/>
  <c r="F203" i="47" s="1"/>
  <c r="F204" i="47" s="1"/>
  <c r="F205" i="47" s="1"/>
  <c r="F206" i="47" s="1"/>
  <c r="F207" i="47" s="1"/>
  <c r="F208" i="47" s="1"/>
  <c r="F209" i="47" s="1"/>
  <c r="F210" i="47" s="1"/>
  <c r="F211" i="47" s="1"/>
  <c r="F212" i="47" s="1"/>
  <c r="F213" i="47" s="1"/>
  <c r="F214" i="47" s="1"/>
  <c r="F215" i="47" s="1"/>
  <c r="F216" i="47" s="1"/>
  <c r="F217" i="47" s="1"/>
  <c r="F218" i="47" s="1"/>
  <c r="F219" i="47" s="1"/>
  <c r="F220" i="47" s="1"/>
  <c r="F221" i="47" s="1"/>
  <c r="F222" i="47" s="1"/>
  <c r="F223" i="47" s="1"/>
  <c r="F224" i="47" s="1"/>
  <c r="F225" i="47" s="1"/>
  <c r="F226" i="47" s="1"/>
  <c r="F227" i="47" s="1"/>
  <c r="F228" i="47" s="1"/>
  <c r="F229" i="47" s="1"/>
  <c r="F230" i="47" s="1"/>
  <c r="F231" i="47" s="1"/>
  <c r="F232" i="47" s="1"/>
  <c r="F233" i="47" s="1"/>
  <c r="F234" i="47" s="1"/>
  <c r="F235" i="47" s="1"/>
  <c r="F236" i="47" s="1"/>
  <c r="F237" i="47" s="1"/>
  <c r="F238" i="47" s="1"/>
  <c r="F239" i="47" s="1"/>
  <c r="F240" i="47" s="1"/>
  <c r="F241" i="47" s="1"/>
  <c r="F242" i="47" s="1"/>
  <c r="F243" i="47" s="1"/>
  <c r="F244" i="47" s="1"/>
  <c r="F245" i="47" s="1"/>
  <c r="F246" i="47" s="1"/>
  <c r="F247" i="47" s="1"/>
  <c r="F248" i="47" s="1"/>
  <c r="F249" i="47" s="1"/>
  <c r="F250" i="47" s="1"/>
  <c r="F251" i="47" s="1"/>
  <c r="F252" i="47" s="1"/>
  <c r="F253" i="47" s="1"/>
  <c r="F254" i="47" s="1"/>
  <c r="F255" i="47" s="1"/>
  <c r="F256" i="47" s="1"/>
  <c r="F257" i="47" s="1"/>
  <c r="F258" i="47" s="1"/>
  <c r="F259" i="47" s="1"/>
  <c r="F260" i="47" s="1"/>
  <c r="F261" i="47" s="1"/>
  <c r="F262" i="47" s="1"/>
  <c r="F263" i="47" s="1"/>
  <c r="F264" i="47" s="1"/>
  <c r="F265" i="47" s="1"/>
  <c r="F266" i="47" s="1"/>
  <c r="F267" i="47" s="1"/>
  <c r="F268" i="47" s="1"/>
  <c r="F269" i="47" s="1"/>
  <c r="F270" i="47" s="1"/>
  <c r="F271" i="47" s="1"/>
  <c r="F272" i="47" s="1"/>
  <c r="F273" i="47" s="1"/>
  <c r="F274" i="47" s="1"/>
  <c r="F275" i="47" s="1"/>
  <c r="F276" i="47" s="1"/>
  <c r="F277" i="47" s="1"/>
  <c r="F278" i="47" s="1"/>
  <c r="F279" i="47" s="1"/>
  <c r="F280" i="47" s="1"/>
  <c r="F281" i="47" s="1"/>
  <c r="F282" i="47" s="1"/>
  <c r="F283" i="47" s="1"/>
  <c r="F284" i="47" s="1"/>
  <c r="F285" i="47" s="1"/>
  <c r="F286" i="47" s="1"/>
  <c r="F287" i="47" s="1"/>
  <c r="F288" i="47" s="1"/>
  <c r="F289" i="47" s="1"/>
  <c r="F290" i="47" s="1"/>
  <c r="F291" i="47" s="1"/>
  <c r="F292" i="47" s="1"/>
  <c r="F293" i="47" s="1"/>
  <c r="F294" i="47" s="1"/>
  <c r="F295" i="47" s="1"/>
  <c r="F296" i="47" s="1"/>
  <c r="F297" i="47" s="1"/>
  <c r="F298" i="47" s="1"/>
  <c r="F299" i="47" s="1"/>
  <c r="F300" i="47" s="1"/>
  <c r="F301" i="47" s="1"/>
  <c r="F302" i="47" s="1"/>
  <c r="F303" i="47" s="1"/>
  <c r="F304" i="47" s="1"/>
  <c r="F305" i="47" s="1"/>
  <c r="F306" i="47" s="1"/>
  <c r="F307" i="47" s="1"/>
  <c r="F308" i="47" s="1"/>
  <c r="F309" i="47" s="1"/>
  <c r="F310" i="47" s="1"/>
  <c r="F311" i="47" s="1"/>
  <c r="F312" i="47" s="1"/>
  <c r="F313" i="47" s="1"/>
  <c r="F314" i="47" s="1"/>
  <c r="F315" i="47" s="1"/>
  <c r="F316" i="47" s="1"/>
  <c r="F317" i="47" s="1"/>
  <c r="F318" i="47" s="1"/>
  <c r="F319" i="47" s="1"/>
  <c r="F320" i="47" s="1"/>
  <c r="F321" i="47" s="1"/>
  <c r="F322" i="47" s="1"/>
  <c r="F323" i="47" s="1"/>
  <c r="F324" i="47" s="1"/>
  <c r="F325" i="47" s="1"/>
  <c r="F326" i="47" s="1"/>
  <c r="F327" i="47" s="1"/>
  <c r="F328" i="47" s="1"/>
  <c r="F329" i="47" s="1"/>
  <c r="F330" i="47" s="1"/>
  <c r="F331" i="47" s="1"/>
  <c r="F332" i="47" s="1"/>
  <c r="F333" i="47" s="1"/>
  <c r="F334" i="47" s="1"/>
  <c r="F335" i="47" s="1"/>
  <c r="F336" i="47" s="1"/>
  <c r="F337" i="47" s="1"/>
  <c r="F338" i="47" s="1"/>
  <c r="F339" i="47" s="1"/>
  <c r="F340" i="47" s="1"/>
  <c r="F341" i="47" s="1"/>
  <c r="F342" i="47" s="1"/>
  <c r="F343" i="47" s="1"/>
  <c r="F344" i="47" s="1"/>
  <c r="F345" i="47" s="1"/>
  <c r="F346" i="47" s="1"/>
  <c r="F347" i="47" s="1"/>
  <c r="F348" i="47" s="1"/>
  <c r="F349" i="47" s="1"/>
  <c r="F350" i="47" s="1"/>
  <c r="F351" i="47" s="1"/>
  <c r="F352" i="47" s="1"/>
  <c r="F353" i="47" s="1"/>
  <c r="F354" i="47" s="1"/>
  <c r="F355" i="47" s="1"/>
  <c r="F356" i="47" s="1"/>
  <c r="F357" i="47" s="1"/>
  <c r="F358" i="47" s="1"/>
  <c r="F359" i="47" s="1"/>
  <c r="F360" i="47" s="1"/>
  <c r="F361" i="47" s="1"/>
  <c r="F362" i="47" s="1"/>
  <c r="F363" i="47" s="1"/>
  <c r="F364" i="47" s="1"/>
  <c r="F365" i="47" s="1"/>
  <c r="F366" i="47" s="1"/>
  <c r="F367" i="47" s="1"/>
  <c r="F368" i="47" s="1"/>
  <c r="F369" i="47" s="1"/>
  <c r="F370" i="47" s="1"/>
  <c r="F371" i="47" s="1"/>
  <c r="F372" i="47" s="1"/>
  <c r="F373" i="47" s="1"/>
  <c r="F374" i="47" s="1"/>
  <c r="F375" i="47" s="1"/>
  <c r="F376" i="47" s="1"/>
  <c r="F377" i="47" s="1"/>
  <c r="F378" i="47" s="1"/>
  <c r="F379" i="47" s="1"/>
  <c r="F380" i="47" s="1"/>
  <c r="F381" i="47" s="1"/>
  <c r="F382" i="47" s="1"/>
  <c r="F383" i="47" s="1"/>
  <c r="F384" i="47" s="1"/>
  <c r="F385" i="47" s="1"/>
  <c r="F386" i="47" s="1"/>
  <c r="F387" i="47" s="1"/>
  <c r="F388" i="47" s="1"/>
  <c r="F389" i="47" s="1"/>
  <c r="F390" i="47" s="1"/>
  <c r="F391" i="47" s="1"/>
  <c r="F392" i="47" s="1"/>
  <c r="F393" i="47" s="1"/>
  <c r="F394" i="47" s="1"/>
  <c r="F395" i="47" s="1"/>
  <c r="F396" i="47" s="1"/>
  <c r="F397" i="47" s="1"/>
  <c r="F398" i="47" s="1"/>
  <c r="F399" i="47" s="1"/>
  <c r="F400" i="47" s="1"/>
  <c r="F401" i="47" s="1"/>
  <c r="F402" i="47" s="1"/>
  <c r="F403" i="47" s="1"/>
  <c r="F404" i="47" s="1"/>
  <c r="F405" i="47" s="1"/>
  <c r="F406" i="47" s="1"/>
  <c r="F407" i="47" s="1"/>
  <c r="F408" i="47" s="1"/>
  <c r="F409" i="47" s="1"/>
  <c r="F410" i="47" s="1"/>
  <c r="F411" i="47" s="1"/>
  <c r="F412" i="47" s="1"/>
  <c r="F413" i="47" s="1"/>
  <c r="F414" i="47" s="1"/>
  <c r="F415" i="47" s="1"/>
  <c r="F416" i="47" s="1"/>
  <c r="F417" i="47" s="1"/>
  <c r="F418" i="47" s="1"/>
  <c r="F419" i="47" s="1"/>
  <c r="F420" i="47" s="1"/>
  <c r="F421" i="47" s="1"/>
  <c r="F422" i="47" s="1"/>
  <c r="F423" i="47" s="1"/>
  <c r="F424" i="47" s="1"/>
  <c r="F425" i="47" s="1"/>
  <c r="F426" i="47" s="1"/>
  <c r="F427" i="47" s="1"/>
  <c r="F428" i="47" s="1"/>
  <c r="F429" i="47" s="1"/>
  <c r="F430" i="47" s="1"/>
  <c r="F431" i="47" s="1"/>
  <c r="F432" i="47" s="1"/>
  <c r="F433" i="47" s="1"/>
  <c r="F434" i="47" s="1"/>
  <c r="F435" i="47" s="1"/>
  <c r="F436" i="47" s="1"/>
  <c r="F437" i="47" s="1"/>
  <c r="F438" i="47" s="1"/>
  <c r="F439" i="47" s="1"/>
  <c r="F440" i="47" s="1"/>
  <c r="F441" i="47" s="1"/>
  <c r="F442" i="47" s="1"/>
  <c r="F443" i="47" s="1"/>
  <c r="F444" i="47" s="1"/>
  <c r="F445" i="47" s="1"/>
  <c r="F446" i="47" s="1"/>
  <c r="F447" i="47" s="1"/>
  <c r="F448" i="47" s="1"/>
  <c r="F449" i="47" s="1"/>
  <c r="F450" i="47" s="1"/>
  <c r="F451" i="47" s="1"/>
  <c r="F452" i="47" s="1"/>
  <c r="F453" i="47" s="1"/>
  <c r="F454" i="47" s="1"/>
  <c r="F455" i="47" s="1"/>
  <c r="F456" i="47" s="1"/>
  <c r="F457" i="47" s="1"/>
  <c r="F458" i="47" s="1"/>
  <c r="F459" i="47" s="1"/>
  <c r="F460" i="47" s="1"/>
  <c r="F461" i="47" s="1"/>
  <c r="F462" i="47" s="1"/>
  <c r="F463" i="47" s="1"/>
  <c r="F464" i="47" s="1"/>
  <c r="F465" i="47" s="1"/>
  <c r="F466" i="47" s="1"/>
  <c r="F467" i="47" s="1"/>
  <c r="F468" i="47" s="1"/>
  <c r="F469" i="47" s="1"/>
  <c r="F470" i="47" s="1"/>
  <c r="F471" i="47" s="1"/>
  <c r="F472" i="47" s="1"/>
  <c r="F473" i="47" s="1"/>
  <c r="F474" i="47" s="1"/>
  <c r="F475" i="47" s="1"/>
  <c r="F476" i="47" s="1"/>
  <c r="F477" i="47" s="1"/>
  <c r="F478" i="47" s="1"/>
  <c r="F479" i="47" s="1"/>
  <c r="F480" i="47" s="1"/>
  <c r="F481" i="47" s="1"/>
  <c r="F482" i="47" s="1"/>
  <c r="F483" i="47" s="1"/>
  <c r="F484" i="47" s="1"/>
  <c r="F485" i="47" s="1"/>
  <c r="F486" i="47" s="1"/>
  <c r="F487" i="47" s="1"/>
  <c r="F488" i="47" s="1"/>
  <c r="F489" i="47" s="1"/>
  <c r="F490" i="47" s="1"/>
  <c r="F491" i="47" s="1"/>
  <c r="F492" i="47" s="1"/>
  <c r="F493" i="47" s="1"/>
  <c r="F494" i="47" s="1"/>
  <c r="F495" i="47" s="1"/>
  <c r="F496" i="47" s="1"/>
  <c r="F497" i="47" s="1"/>
  <c r="F498" i="47" s="1"/>
  <c r="F499" i="47" s="1"/>
  <c r="F500" i="47" s="1"/>
  <c r="F501" i="47" s="1"/>
  <c r="F502" i="47" s="1"/>
  <c r="F503" i="47" s="1"/>
  <c r="F504" i="47" s="1"/>
  <c r="A146" i="47"/>
  <c r="A147" i="47" s="1"/>
  <c r="A148" i="47" s="1"/>
  <c r="A149" i="47" s="1"/>
  <c r="A150" i="47" s="1"/>
  <c r="A151" i="47" s="1"/>
  <c r="A152" i="47" s="1"/>
  <c r="A153" i="47" s="1"/>
  <c r="A154" i="47" s="1"/>
  <c r="A155" i="47" s="1"/>
  <c r="A156" i="47" s="1"/>
  <c r="A157" i="47" s="1"/>
  <c r="A158" i="47" s="1"/>
  <c r="A159" i="47" s="1"/>
  <c r="A160" i="47" s="1"/>
  <c r="A161" i="47" s="1"/>
  <c r="A162" i="47" s="1"/>
  <c r="A163" i="47" s="1"/>
  <c r="A164" i="47" s="1"/>
  <c r="A165" i="47" s="1"/>
  <c r="A166" i="47" s="1"/>
  <c r="A167" i="47" s="1"/>
  <c r="A168" i="47" s="1"/>
  <c r="A169" i="47" s="1"/>
  <c r="A170" i="47" s="1"/>
  <c r="A171" i="47" s="1"/>
  <c r="A172" i="47" s="1"/>
  <c r="A173" i="47" s="1"/>
  <c r="A174" i="47" s="1"/>
  <c r="A175" i="47" s="1"/>
  <c r="A176" i="47" s="1"/>
  <c r="A177" i="47" s="1"/>
  <c r="A178" i="47" s="1"/>
  <c r="A179" i="47" s="1"/>
  <c r="A180" i="47" s="1"/>
  <c r="A181" i="47" s="1"/>
  <c r="A182" i="47" s="1"/>
  <c r="A183" i="47" s="1"/>
  <c r="A184" i="47" s="1"/>
  <c r="A185" i="47" s="1"/>
  <c r="A186" i="47" s="1"/>
  <c r="A187" i="47" s="1"/>
  <c r="A188" i="47" s="1"/>
  <c r="A189" i="47" s="1"/>
  <c r="A190" i="47" s="1"/>
  <c r="A191" i="47" s="1"/>
  <c r="A192" i="47" s="1"/>
  <c r="A193" i="47" s="1"/>
  <c r="A194" i="47" s="1"/>
  <c r="A195" i="47" s="1"/>
  <c r="A196" i="47" s="1"/>
  <c r="A197" i="47" s="1"/>
  <c r="A198" i="47" s="1"/>
  <c r="A199" i="47" s="1"/>
  <c r="A200" i="47" s="1"/>
  <c r="A201" i="47" s="1"/>
  <c r="A202" i="47" s="1"/>
  <c r="A203" i="47" s="1"/>
  <c r="A204" i="47" s="1"/>
  <c r="A205" i="47" s="1"/>
  <c r="A206" i="47" s="1"/>
  <c r="A207" i="47" s="1"/>
  <c r="A208" i="47" s="1"/>
  <c r="A209" i="47" s="1"/>
  <c r="A210" i="47" s="1"/>
  <c r="A211" i="47" s="1"/>
  <c r="A212" i="47" s="1"/>
  <c r="A213" i="47" s="1"/>
  <c r="A214" i="47" s="1"/>
  <c r="A215" i="47" s="1"/>
  <c r="A216" i="47" s="1"/>
  <c r="A217" i="47" s="1"/>
  <c r="A218" i="47" s="1"/>
  <c r="A219" i="47" s="1"/>
  <c r="A220" i="47" s="1"/>
  <c r="A221" i="47" s="1"/>
  <c r="A222" i="47" s="1"/>
  <c r="A223" i="47" s="1"/>
  <c r="A224" i="47" s="1"/>
  <c r="A225" i="47" s="1"/>
  <c r="A226" i="47" s="1"/>
  <c r="A227" i="47" s="1"/>
  <c r="A228" i="47" s="1"/>
  <c r="A229" i="47" s="1"/>
  <c r="A230" i="47" s="1"/>
  <c r="A231" i="47" s="1"/>
  <c r="A232" i="47" s="1"/>
  <c r="A233" i="47" s="1"/>
  <c r="A234" i="47" s="1"/>
  <c r="A235" i="47" s="1"/>
  <c r="A236" i="47" s="1"/>
  <c r="A237" i="47" s="1"/>
  <c r="A238" i="47" s="1"/>
  <c r="A239" i="47" s="1"/>
  <c r="A240" i="47" s="1"/>
  <c r="A241" i="47" s="1"/>
  <c r="A242" i="47" s="1"/>
  <c r="A243" i="47" s="1"/>
  <c r="A244" i="47" s="1"/>
  <c r="A245" i="47" s="1"/>
  <c r="A246" i="47" s="1"/>
  <c r="A247" i="47" s="1"/>
  <c r="A248" i="47" s="1"/>
  <c r="A249" i="47" s="1"/>
  <c r="A250" i="47" s="1"/>
  <c r="A251" i="47" s="1"/>
  <c r="A252" i="47" s="1"/>
  <c r="A253" i="47" s="1"/>
  <c r="A254" i="47" s="1"/>
  <c r="A255" i="47" s="1"/>
  <c r="A256" i="47" s="1"/>
  <c r="A257" i="47" s="1"/>
  <c r="A258" i="47" s="1"/>
  <c r="A259" i="47" s="1"/>
  <c r="A260" i="47" s="1"/>
  <c r="A261" i="47" s="1"/>
  <c r="A262" i="47" s="1"/>
  <c r="A263" i="47" s="1"/>
  <c r="A264" i="47" s="1"/>
  <c r="A265" i="47" s="1"/>
  <c r="A266" i="47" s="1"/>
  <c r="A267" i="47" s="1"/>
  <c r="A268" i="47" s="1"/>
  <c r="A269" i="47" s="1"/>
  <c r="A270" i="47" s="1"/>
  <c r="A271" i="47" s="1"/>
  <c r="A272" i="47" s="1"/>
  <c r="A273" i="47" s="1"/>
  <c r="A274" i="47" s="1"/>
  <c r="A275" i="47" s="1"/>
  <c r="A276" i="47" s="1"/>
  <c r="A277" i="47" s="1"/>
  <c r="A278" i="47" s="1"/>
  <c r="A279" i="47" s="1"/>
  <c r="A280" i="47" s="1"/>
  <c r="A281" i="47" s="1"/>
  <c r="A282" i="47" s="1"/>
  <c r="A283" i="47" s="1"/>
  <c r="A284" i="47" s="1"/>
  <c r="A285" i="47" s="1"/>
  <c r="A286" i="47" s="1"/>
  <c r="A287" i="47" s="1"/>
  <c r="A288" i="47" s="1"/>
  <c r="A289" i="47" s="1"/>
  <c r="A290" i="47" s="1"/>
  <c r="A291" i="47" s="1"/>
  <c r="A292" i="47" s="1"/>
  <c r="A293" i="47" s="1"/>
  <c r="A294" i="47" s="1"/>
  <c r="A295" i="47" s="1"/>
  <c r="A296" i="47" s="1"/>
  <c r="A297" i="47" s="1"/>
  <c r="A298" i="47" s="1"/>
  <c r="A299" i="47" s="1"/>
  <c r="A300" i="47" s="1"/>
  <c r="A301" i="47" s="1"/>
  <c r="A302" i="47" s="1"/>
  <c r="A303" i="47" s="1"/>
  <c r="A304" i="47" s="1"/>
  <c r="A305" i="47" s="1"/>
  <c r="A306" i="47" s="1"/>
  <c r="A307" i="47" s="1"/>
  <c r="A308" i="47" s="1"/>
  <c r="A309" i="47" s="1"/>
  <c r="A310" i="47" s="1"/>
  <c r="A311" i="47" s="1"/>
  <c r="A312" i="47" s="1"/>
  <c r="A313" i="47" s="1"/>
  <c r="A314" i="47" s="1"/>
  <c r="A315" i="47" s="1"/>
  <c r="A316" i="47" s="1"/>
  <c r="A317" i="47" s="1"/>
  <c r="A318" i="47" s="1"/>
  <c r="A319" i="47" s="1"/>
  <c r="A320" i="47" s="1"/>
  <c r="A321" i="47" s="1"/>
  <c r="A322" i="47" s="1"/>
  <c r="A323" i="47" s="1"/>
  <c r="A324" i="47" s="1"/>
  <c r="A325" i="47" s="1"/>
  <c r="A326" i="47" s="1"/>
  <c r="A327" i="47" s="1"/>
  <c r="A328" i="47" s="1"/>
  <c r="A329" i="47" s="1"/>
  <c r="A330" i="47" s="1"/>
  <c r="A331" i="47" s="1"/>
  <c r="A332" i="47" s="1"/>
  <c r="A333" i="47" s="1"/>
  <c r="A334" i="47" s="1"/>
  <c r="A335" i="47" s="1"/>
  <c r="A336" i="47" s="1"/>
  <c r="A337" i="47" s="1"/>
  <c r="A338" i="47" s="1"/>
  <c r="A339" i="47" s="1"/>
  <c r="A340" i="47" s="1"/>
  <c r="A341" i="47" s="1"/>
  <c r="A342" i="47" s="1"/>
  <c r="A343" i="47" s="1"/>
  <c r="A344" i="47" s="1"/>
  <c r="A345" i="47" s="1"/>
  <c r="A346" i="47" s="1"/>
  <c r="A347" i="47" s="1"/>
  <c r="A348" i="47" s="1"/>
  <c r="A349" i="47" s="1"/>
  <c r="A350" i="47" s="1"/>
  <c r="A351" i="47" s="1"/>
  <c r="A352" i="47" s="1"/>
  <c r="A353" i="47" s="1"/>
  <c r="A354" i="47" s="1"/>
  <c r="A355" i="47" s="1"/>
  <c r="A356" i="47" s="1"/>
  <c r="A357" i="47" s="1"/>
  <c r="A358" i="47" s="1"/>
  <c r="A359" i="47" s="1"/>
  <c r="A360" i="47" s="1"/>
  <c r="A361" i="47" s="1"/>
  <c r="A362" i="47" s="1"/>
  <c r="A363" i="47" s="1"/>
  <c r="A364" i="47" s="1"/>
  <c r="A365" i="47" s="1"/>
  <c r="A366" i="47" s="1"/>
  <c r="A367" i="47" s="1"/>
  <c r="A368" i="47" s="1"/>
  <c r="A369" i="47" s="1"/>
  <c r="A370" i="47" s="1"/>
  <c r="A371" i="47" s="1"/>
  <c r="A372" i="47" s="1"/>
  <c r="A373" i="47" s="1"/>
  <c r="A374" i="47" s="1"/>
  <c r="A375" i="47" s="1"/>
  <c r="A376" i="47" s="1"/>
  <c r="A377" i="47" s="1"/>
  <c r="A378" i="47" s="1"/>
  <c r="A379" i="47" s="1"/>
  <c r="A380" i="47" s="1"/>
  <c r="A381" i="47" s="1"/>
  <c r="A382" i="47" s="1"/>
  <c r="A383" i="47" s="1"/>
  <c r="A384" i="47" s="1"/>
  <c r="A385" i="47" s="1"/>
  <c r="A386" i="47" s="1"/>
  <c r="A387" i="47" s="1"/>
  <c r="A388" i="47" s="1"/>
  <c r="A389" i="47" s="1"/>
  <c r="A390" i="47" s="1"/>
  <c r="A391" i="47" s="1"/>
  <c r="A392" i="47" s="1"/>
  <c r="A393" i="47" s="1"/>
  <c r="A394" i="47" s="1"/>
  <c r="A395" i="47" s="1"/>
  <c r="A396" i="47" s="1"/>
  <c r="A397" i="47" s="1"/>
  <c r="A398" i="47" s="1"/>
  <c r="A399" i="47" s="1"/>
  <c r="A400" i="47" s="1"/>
  <c r="A401" i="47" s="1"/>
  <c r="A402" i="47" s="1"/>
  <c r="A403" i="47" s="1"/>
  <c r="A404" i="47" s="1"/>
  <c r="A405" i="47" s="1"/>
  <c r="A406" i="47" s="1"/>
  <c r="A407" i="47" s="1"/>
  <c r="A408" i="47" s="1"/>
  <c r="A409" i="47" s="1"/>
  <c r="A410" i="47" s="1"/>
  <c r="A411" i="47" s="1"/>
  <c r="A412" i="47" s="1"/>
  <c r="A413" i="47" s="1"/>
  <c r="A414" i="47" s="1"/>
  <c r="A415" i="47" s="1"/>
  <c r="A416" i="47" s="1"/>
  <c r="A417" i="47" s="1"/>
  <c r="A418" i="47" s="1"/>
  <c r="A419" i="47" s="1"/>
  <c r="A420" i="47" s="1"/>
  <c r="A421" i="47" s="1"/>
  <c r="A422" i="47" s="1"/>
  <c r="A423" i="47" s="1"/>
  <c r="A424" i="47" s="1"/>
  <c r="A425" i="47" s="1"/>
  <c r="A426" i="47" s="1"/>
  <c r="A427" i="47" s="1"/>
  <c r="A428" i="47" s="1"/>
  <c r="A429" i="47" s="1"/>
  <c r="A430" i="47" s="1"/>
  <c r="A431" i="47" s="1"/>
  <c r="A432" i="47" s="1"/>
  <c r="A433" i="47" s="1"/>
  <c r="A434" i="47" s="1"/>
  <c r="A435" i="47" s="1"/>
  <c r="A436" i="47" s="1"/>
  <c r="A437" i="47" s="1"/>
  <c r="A438" i="47" s="1"/>
  <c r="A439" i="47" s="1"/>
  <c r="A440" i="47" s="1"/>
  <c r="A441" i="47" s="1"/>
  <c r="A442" i="47" s="1"/>
  <c r="A443" i="47" s="1"/>
  <c r="A444" i="47" s="1"/>
  <c r="A445" i="47" s="1"/>
  <c r="A446" i="47" s="1"/>
  <c r="A447" i="47" s="1"/>
  <c r="A448" i="47" s="1"/>
  <c r="A449" i="47" s="1"/>
  <c r="A450" i="47" s="1"/>
  <c r="A451" i="47" s="1"/>
  <c r="A452" i="47" s="1"/>
  <c r="A453" i="47" s="1"/>
  <c r="A454" i="47" s="1"/>
  <c r="A455" i="47" s="1"/>
  <c r="A456" i="47" s="1"/>
  <c r="A457" i="47" s="1"/>
  <c r="A458" i="47" s="1"/>
  <c r="A459" i="47" s="1"/>
  <c r="A460" i="47" s="1"/>
  <c r="A461" i="47" s="1"/>
  <c r="A462" i="47" s="1"/>
  <c r="A463" i="47" s="1"/>
  <c r="A464" i="47" s="1"/>
  <c r="A465" i="47" s="1"/>
  <c r="A466" i="47" s="1"/>
  <c r="A467" i="47" s="1"/>
  <c r="A468" i="47" s="1"/>
  <c r="A469" i="47" s="1"/>
  <c r="A470" i="47" s="1"/>
  <c r="A471" i="47" s="1"/>
  <c r="A472" i="47" s="1"/>
  <c r="A473" i="47" s="1"/>
  <c r="A474" i="47" s="1"/>
  <c r="A475" i="47" s="1"/>
  <c r="A476" i="47" s="1"/>
  <c r="A477" i="47" s="1"/>
  <c r="A478" i="47" s="1"/>
  <c r="A479" i="47" s="1"/>
  <c r="A480" i="47" s="1"/>
  <c r="A481" i="47" s="1"/>
  <c r="A482" i="47" s="1"/>
  <c r="A483" i="47" s="1"/>
  <c r="A484" i="47" s="1"/>
  <c r="A485" i="47" s="1"/>
  <c r="A486" i="47" s="1"/>
  <c r="A487" i="47" s="1"/>
  <c r="A488" i="47" s="1"/>
  <c r="A489" i="47" s="1"/>
  <c r="A490" i="47" s="1"/>
  <c r="A491" i="47" s="1"/>
  <c r="A492" i="47" s="1"/>
  <c r="A493" i="47" s="1"/>
  <c r="A494" i="47" s="1"/>
  <c r="A495" i="47" s="1"/>
  <c r="A496" i="47" s="1"/>
  <c r="A497" i="47" s="1"/>
  <c r="A498" i="47" s="1"/>
  <c r="A499" i="47" s="1"/>
  <c r="A500" i="47" s="1"/>
  <c r="A501" i="47" s="1"/>
  <c r="A502" i="47" s="1"/>
  <c r="A503" i="47" s="1"/>
  <c r="A504" i="47" s="1"/>
  <c r="B9" i="47"/>
  <c r="B7" i="47"/>
  <c r="V7" i="47"/>
  <c r="V6" i="47"/>
  <c r="B8" i="47"/>
  <c r="B6" i="47"/>
  <c r="K169" i="42"/>
  <c r="K170" i="42" s="1"/>
  <c r="K171" i="42" s="1"/>
  <c r="K172" i="42" s="1"/>
  <c r="K173" i="42" s="1"/>
  <c r="K174" i="42" s="1"/>
  <c r="K175" i="42" s="1"/>
  <c r="K176" i="42" s="1"/>
  <c r="K177" i="42" s="1"/>
  <c r="K178" i="42" s="1"/>
  <c r="K179" i="42" s="1"/>
  <c r="K180" i="42" s="1"/>
  <c r="K181" i="42" s="1"/>
  <c r="K182" i="42" s="1"/>
  <c r="K183" i="42" s="1"/>
  <c r="K184" i="42" s="1"/>
  <c r="K185" i="42" s="1"/>
  <c r="K186" i="42" s="1"/>
  <c r="K187" i="42" s="1"/>
  <c r="K188" i="42" s="1"/>
  <c r="K189" i="42" s="1"/>
  <c r="K190" i="42" s="1"/>
  <c r="K191" i="42" s="1"/>
  <c r="K192" i="42" s="1"/>
  <c r="K193" i="42" s="1"/>
  <c r="K194" i="42" s="1"/>
  <c r="K195" i="42" s="1"/>
  <c r="K196" i="42" s="1"/>
  <c r="K197" i="42" s="1"/>
  <c r="K198" i="42" s="1"/>
  <c r="K199" i="42" s="1"/>
  <c r="K200" i="42" s="1"/>
  <c r="K201" i="42" s="1"/>
  <c r="K202" i="42" s="1"/>
  <c r="K203" i="42" s="1"/>
  <c r="K204" i="42" s="1"/>
  <c r="K205" i="42" s="1"/>
  <c r="K206" i="42" s="1"/>
  <c r="K207" i="42" s="1"/>
  <c r="K208" i="42" s="1"/>
  <c r="K209" i="42" s="1"/>
  <c r="K210" i="42" s="1"/>
  <c r="K211" i="42" s="1"/>
  <c r="K212" i="42" s="1"/>
  <c r="K213" i="42" s="1"/>
  <c r="K214" i="42" s="1"/>
  <c r="K215" i="42" s="1"/>
  <c r="K216" i="42" s="1"/>
  <c r="K217" i="42" s="1"/>
  <c r="K218" i="42" s="1"/>
  <c r="K219" i="42" s="1"/>
  <c r="K220" i="42" s="1"/>
  <c r="K221" i="42" s="1"/>
  <c r="K222" i="42" s="1"/>
  <c r="K223" i="42" s="1"/>
  <c r="K224" i="42" s="1"/>
  <c r="K225" i="42" s="1"/>
  <c r="K226" i="42" s="1"/>
  <c r="K227" i="42" s="1"/>
  <c r="K228" i="42" s="1"/>
  <c r="K229" i="42" s="1"/>
  <c r="K230" i="42" s="1"/>
  <c r="K231" i="42" s="1"/>
  <c r="K232" i="42" s="1"/>
  <c r="K233" i="42" s="1"/>
  <c r="K234" i="42" s="1"/>
  <c r="K235" i="42" s="1"/>
  <c r="K236" i="42" s="1"/>
  <c r="K237" i="42" s="1"/>
  <c r="K238" i="42" s="1"/>
  <c r="K239" i="42" s="1"/>
  <c r="K240" i="42" s="1"/>
  <c r="K241" i="42" s="1"/>
  <c r="K242" i="42" s="1"/>
  <c r="K243" i="42" s="1"/>
  <c r="K244" i="42" s="1"/>
  <c r="K245" i="42" s="1"/>
  <c r="K246" i="42" s="1"/>
  <c r="K247" i="42" s="1"/>
  <c r="K248" i="42" s="1"/>
  <c r="K249" i="42" s="1"/>
  <c r="K250" i="42" s="1"/>
  <c r="K251" i="42" s="1"/>
  <c r="K252" i="42" s="1"/>
  <c r="K253" i="42" s="1"/>
  <c r="K254" i="42" s="1"/>
  <c r="K255" i="42" s="1"/>
  <c r="K256" i="42" s="1"/>
  <c r="K257" i="42" s="1"/>
  <c r="K258" i="42" s="1"/>
  <c r="K259" i="42" s="1"/>
  <c r="K260" i="42" s="1"/>
  <c r="K261" i="42" s="1"/>
  <c r="K262" i="42" s="1"/>
  <c r="K263" i="42" s="1"/>
  <c r="K264" i="42" s="1"/>
  <c r="K265" i="42" s="1"/>
  <c r="K266" i="42" s="1"/>
  <c r="K267" i="42" s="1"/>
  <c r="K268" i="42" s="1"/>
  <c r="K269" i="42" s="1"/>
  <c r="K270" i="42" s="1"/>
  <c r="K271" i="42" s="1"/>
  <c r="K272" i="42" s="1"/>
  <c r="K273" i="42" s="1"/>
  <c r="K274" i="42" s="1"/>
  <c r="K275" i="42" s="1"/>
  <c r="K276" i="42" s="1"/>
  <c r="K277" i="42" s="1"/>
  <c r="K278" i="42" s="1"/>
  <c r="K279" i="42" s="1"/>
  <c r="K280" i="42" s="1"/>
  <c r="K281" i="42" s="1"/>
  <c r="K282" i="42" s="1"/>
  <c r="K283" i="42" s="1"/>
  <c r="K284" i="42" s="1"/>
  <c r="K285" i="42" s="1"/>
  <c r="K286" i="42" s="1"/>
  <c r="K287" i="42" s="1"/>
  <c r="K288" i="42" s="1"/>
  <c r="K289" i="42" s="1"/>
  <c r="K290" i="42" s="1"/>
  <c r="K291" i="42" s="1"/>
  <c r="K292" i="42" s="1"/>
  <c r="K293" i="42" s="1"/>
  <c r="K294" i="42" s="1"/>
  <c r="K295" i="42" s="1"/>
  <c r="K296" i="42" s="1"/>
  <c r="K297" i="42" s="1"/>
  <c r="K298" i="42" s="1"/>
  <c r="K299" i="42" s="1"/>
  <c r="K300" i="42" s="1"/>
  <c r="K301" i="42" s="1"/>
  <c r="K302" i="42" s="1"/>
  <c r="K303" i="42" s="1"/>
  <c r="K304" i="42" s="1"/>
  <c r="K305" i="42" s="1"/>
  <c r="K306" i="42" s="1"/>
  <c r="K307" i="42" s="1"/>
  <c r="K308" i="42" s="1"/>
  <c r="K309" i="42" s="1"/>
  <c r="K310" i="42" s="1"/>
  <c r="K311" i="42" s="1"/>
  <c r="K312" i="42" s="1"/>
  <c r="K313" i="42" s="1"/>
  <c r="K314" i="42" s="1"/>
  <c r="K315" i="42" s="1"/>
  <c r="K316" i="42" s="1"/>
  <c r="K317" i="42" s="1"/>
  <c r="K318" i="42" s="1"/>
  <c r="K319" i="42" s="1"/>
  <c r="K320" i="42" s="1"/>
  <c r="K321" i="42" s="1"/>
  <c r="K322" i="42" s="1"/>
  <c r="K323" i="42" s="1"/>
  <c r="K324" i="42" s="1"/>
  <c r="K325" i="42" s="1"/>
  <c r="K326" i="42" s="1"/>
  <c r="K327" i="42" s="1"/>
  <c r="K328" i="42" s="1"/>
  <c r="K329" i="42" s="1"/>
  <c r="K330" i="42" s="1"/>
  <c r="K331" i="42" s="1"/>
  <c r="K332" i="42" s="1"/>
  <c r="K333" i="42" s="1"/>
  <c r="K334" i="42" s="1"/>
  <c r="K335" i="42" s="1"/>
  <c r="K336" i="42" s="1"/>
  <c r="K337" i="42" s="1"/>
  <c r="K338" i="42" s="1"/>
  <c r="K339" i="42" s="1"/>
  <c r="K340" i="42" s="1"/>
  <c r="K341" i="42" s="1"/>
  <c r="K342" i="42" s="1"/>
  <c r="K343" i="42" s="1"/>
  <c r="K344" i="42" s="1"/>
  <c r="K345" i="42" s="1"/>
  <c r="K346" i="42" s="1"/>
  <c r="K347" i="42" s="1"/>
  <c r="K348" i="42" s="1"/>
  <c r="K349" i="42" s="1"/>
  <c r="K350" i="42" s="1"/>
  <c r="K351" i="42" s="1"/>
  <c r="K352" i="42" s="1"/>
  <c r="K353" i="42" s="1"/>
  <c r="K354" i="42" s="1"/>
  <c r="K355" i="42" s="1"/>
  <c r="K356" i="42" s="1"/>
  <c r="K357" i="42" s="1"/>
  <c r="K358" i="42" s="1"/>
  <c r="K359" i="42" s="1"/>
  <c r="K360" i="42" s="1"/>
  <c r="K361" i="42" s="1"/>
  <c r="K362" i="42" s="1"/>
  <c r="K363" i="42" s="1"/>
  <c r="K364" i="42" s="1"/>
  <c r="K365" i="42" s="1"/>
  <c r="K366" i="42" s="1"/>
  <c r="K367" i="42" s="1"/>
  <c r="K368" i="42" s="1"/>
  <c r="K369" i="42" s="1"/>
  <c r="K370" i="42" s="1"/>
  <c r="K371" i="42" s="1"/>
  <c r="K372" i="42" s="1"/>
  <c r="K373" i="42" s="1"/>
  <c r="K374" i="42" s="1"/>
  <c r="K375" i="42" s="1"/>
  <c r="K376" i="42" s="1"/>
  <c r="K377" i="42" s="1"/>
  <c r="K378" i="42" s="1"/>
  <c r="K379" i="42" s="1"/>
  <c r="K380" i="42" s="1"/>
  <c r="K381" i="42" s="1"/>
  <c r="K382" i="42" s="1"/>
  <c r="K383" i="42" s="1"/>
  <c r="K384" i="42" s="1"/>
  <c r="K385" i="42" s="1"/>
  <c r="K386" i="42" s="1"/>
  <c r="K387" i="42" s="1"/>
  <c r="K388" i="42" s="1"/>
  <c r="K389" i="42" s="1"/>
  <c r="K390" i="42" s="1"/>
  <c r="K391" i="42" s="1"/>
  <c r="K392" i="42" s="1"/>
  <c r="K393" i="42" s="1"/>
  <c r="K394" i="42" s="1"/>
  <c r="K395" i="42" s="1"/>
  <c r="K396" i="42" s="1"/>
  <c r="K397" i="42" s="1"/>
  <c r="K398" i="42" s="1"/>
  <c r="K399" i="42" s="1"/>
  <c r="K400" i="42" s="1"/>
  <c r="K401" i="42" s="1"/>
  <c r="K402" i="42" s="1"/>
  <c r="K403" i="42" s="1"/>
  <c r="K404" i="42" s="1"/>
  <c r="K405" i="42" s="1"/>
  <c r="K406" i="42" s="1"/>
  <c r="K407" i="42" s="1"/>
  <c r="K408" i="42" s="1"/>
  <c r="K409" i="42" s="1"/>
  <c r="K410" i="42" s="1"/>
  <c r="K411" i="42" s="1"/>
  <c r="K412" i="42" s="1"/>
  <c r="K413" i="42" s="1"/>
  <c r="K414" i="42" s="1"/>
  <c r="K415" i="42" s="1"/>
  <c r="K416" i="42" s="1"/>
  <c r="K417" i="42" s="1"/>
  <c r="K418" i="42" s="1"/>
  <c r="K419" i="42" s="1"/>
  <c r="K420" i="42" s="1"/>
  <c r="K421" i="42" s="1"/>
  <c r="K422" i="42" s="1"/>
  <c r="K423" i="42" s="1"/>
  <c r="K424" i="42" s="1"/>
  <c r="K425" i="42" s="1"/>
  <c r="K426" i="42" s="1"/>
  <c r="K427" i="42" s="1"/>
  <c r="K428" i="42" s="1"/>
  <c r="K429" i="42" s="1"/>
  <c r="K430" i="42" s="1"/>
  <c r="K431" i="42" s="1"/>
  <c r="K432" i="42" s="1"/>
  <c r="K433" i="42" s="1"/>
  <c r="K434" i="42" s="1"/>
  <c r="K435" i="42" s="1"/>
  <c r="K436" i="42" s="1"/>
  <c r="K437" i="42" s="1"/>
  <c r="K438" i="42" s="1"/>
  <c r="K439" i="42" s="1"/>
  <c r="K440" i="42" s="1"/>
  <c r="K441" i="42" s="1"/>
  <c r="K442" i="42" s="1"/>
  <c r="K443" i="42" s="1"/>
  <c r="K444" i="42" s="1"/>
  <c r="K445" i="42" s="1"/>
  <c r="K446" i="42" s="1"/>
  <c r="K447" i="42" s="1"/>
  <c r="K448" i="42" s="1"/>
  <c r="K449" i="42" s="1"/>
  <c r="K450" i="42" s="1"/>
  <c r="K451" i="42" s="1"/>
  <c r="K452" i="42" s="1"/>
  <c r="K453" i="42" s="1"/>
  <c r="K454" i="42" s="1"/>
  <c r="K455" i="42" s="1"/>
  <c r="K456" i="42" s="1"/>
  <c r="K457" i="42" s="1"/>
  <c r="K458" i="42" s="1"/>
  <c r="K459" i="42" s="1"/>
  <c r="K460" i="42" s="1"/>
  <c r="K461" i="42" s="1"/>
  <c r="K462" i="42" s="1"/>
  <c r="K463" i="42" s="1"/>
  <c r="K464" i="42" s="1"/>
  <c r="K465" i="42" s="1"/>
  <c r="K466" i="42" s="1"/>
  <c r="K467" i="42" s="1"/>
  <c r="K468" i="42" s="1"/>
  <c r="K469" i="42" s="1"/>
  <c r="K470" i="42" s="1"/>
  <c r="K471" i="42" s="1"/>
  <c r="K472" i="42" s="1"/>
  <c r="K473" i="42" s="1"/>
  <c r="K474" i="42" s="1"/>
  <c r="K475" i="42" s="1"/>
  <c r="K476" i="42" s="1"/>
  <c r="K477" i="42" s="1"/>
  <c r="K478" i="42" s="1"/>
  <c r="K479" i="42" s="1"/>
  <c r="K480" i="42" s="1"/>
  <c r="K481" i="42" s="1"/>
  <c r="K482" i="42" s="1"/>
  <c r="K483" i="42" s="1"/>
  <c r="K484" i="42" s="1"/>
  <c r="K485" i="42" s="1"/>
  <c r="K486" i="42" s="1"/>
  <c r="K487" i="42" s="1"/>
  <c r="K488" i="42" s="1"/>
  <c r="K489" i="42" s="1"/>
  <c r="K490" i="42" s="1"/>
  <c r="K491" i="42" s="1"/>
  <c r="K492" i="42" s="1"/>
  <c r="K493" i="42" s="1"/>
  <c r="K494" i="42" s="1"/>
  <c r="K495" i="42" s="1"/>
  <c r="K496" i="42" s="1"/>
  <c r="K497" i="42" s="1"/>
  <c r="K498" i="42" s="1"/>
  <c r="K499" i="42" s="1"/>
  <c r="K500" i="42" s="1"/>
  <c r="K501" i="42" s="1"/>
  <c r="K502" i="42" s="1"/>
  <c r="K503" i="42" s="1"/>
  <c r="K504" i="42" s="1"/>
  <c r="K505" i="42" s="1"/>
  <c r="K506" i="42" s="1"/>
  <c r="K507" i="42" s="1"/>
  <c r="K508" i="42" s="1"/>
  <c r="K509" i="42" s="1"/>
  <c r="K510" i="42" s="1"/>
  <c r="K511" i="42" s="1"/>
  <c r="K512" i="42" s="1"/>
  <c r="K513" i="42" s="1"/>
  <c r="K514" i="42" s="1"/>
  <c r="K515" i="42" s="1"/>
  <c r="K516" i="42" s="1"/>
  <c r="K517" i="42" s="1"/>
  <c r="K518" i="42" s="1"/>
  <c r="K519" i="42" s="1"/>
  <c r="K520" i="42" s="1"/>
  <c r="K521" i="42" s="1"/>
  <c r="K522" i="42" s="1"/>
  <c r="K523" i="42" s="1"/>
  <c r="K524" i="42" s="1"/>
  <c r="K525" i="42" s="1"/>
  <c r="K526" i="42" s="1"/>
  <c r="K527" i="42" s="1"/>
  <c r="F169" i="42"/>
  <c r="F170" i="42" s="1"/>
  <c r="F171" i="42" s="1"/>
  <c r="F172" i="42" s="1"/>
  <c r="F173" i="42" s="1"/>
  <c r="F174" i="42" s="1"/>
  <c r="F175" i="42" s="1"/>
  <c r="F176" i="42" s="1"/>
  <c r="F177" i="42" s="1"/>
  <c r="F178" i="42" s="1"/>
  <c r="F179" i="42" s="1"/>
  <c r="F180" i="42" s="1"/>
  <c r="F181" i="42" s="1"/>
  <c r="F182" i="42" s="1"/>
  <c r="F183" i="42" s="1"/>
  <c r="F184" i="42" s="1"/>
  <c r="F185" i="42" s="1"/>
  <c r="F186" i="42" s="1"/>
  <c r="F187" i="42" s="1"/>
  <c r="F188" i="42" s="1"/>
  <c r="F189" i="42" s="1"/>
  <c r="F190" i="42" s="1"/>
  <c r="F191" i="42" s="1"/>
  <c r="F192" i="42" s="1"/>
  <c r="F193" i="42" s="1"/>
  <c r="F194" i="42" s="1"/>
  <c r="F195" i="42" s="1"/>
  <c r="F196" i="42" s="1"/>
  <c r="F197" i="42" s="1"/>
  <c r="F198" i="42" s="1"/>
  <c r="F199" i="42" s="1"/>
  <c r="F200" i="42" s="1"/>
  <c r="F201" i="42" s="1"/>
  <c r="F202" i="42" s="1"/>
  <c r="F203" i="42" s="1"/>
  <c r="F204" i="42" s="1"/>
  <c r="F205" i="42" s="1"/>
  <c r="F206" i="42" s="1"/>
  <c r="F207" i="42" s="1"/>
  <c r="F208" i="42" s="1"/>
  <c r="F209" i="42" s="1"/>
  <c r="F210" i="42" s="1"/>
  <c r="F211" i="42" s="1"/>
  <c r="F212" i="42" s="1"/>
  <c r="F213" i="42" s="1"/>
  <c r="F214" i="42" s="1"/>
  <c r="F215" i="42" s="1"/>
  <c r="F216" i="42" s="1"/>
  <c r="F217" i="42" s="1"/>
  <c r="F218" i="42" s="1"/>
  <c r="F219" i="42" s="1"/>
  <c r="F220" i="42" s="1"/>
  <c r="F221" i="42" s="1"/>
  <c r="F222" i="42" s="1"/>
  <c r="F223" i="42" s="1"/>
  <c r="F224" i="42" s="1"/>
  <c r="F225" i="42" s="1"/>
  <c r="F226" i="42" s="1"/>
  <c r="F227" i="42" s="1"/>
  <c r="F228" i="42" s="1"/>
  <c r="F229" i="42" s="1"/>
  <c r="F230" i="42" s="1"/>
  <c r="F231" i="42" s="1"/>
  <c r="F232" i="42" s="1"/>
  <c r="F233" i="42" s="1"/>
  <c r="F234" i="42" s="1"/>
  <c r="F235" i="42" s="1"/>
  <c r="F236" i="42" s="1"/>
  <c r="F237" i="42" s="1"/>
  <c r="F238" i="42" s="1"/>
  <c r="F239" i="42" s="1"/>
  <c r="F240" i="42" s="1"/>
  <c r="F241" i="42" s="1"/>
  <c r="F242" i="42" s="1"/>
  <c r="F243" i="42" s="1"/>
  <c r="F244" i="42" s="1"/>
  <c r="F245" i="42" s="1"/>
  <c r="F246" i="42" s="1"/>
  <c r="F247" i="42" s="1"/>
  <c r="F248" i="42" s="1"/>
  <c r="F249" i="42" s="1"/>
  <c r="F250" i="42" s="1"/>
  <c r="F251" i="42" s="1"/>
  <c r="F252" i="42" s="1"/>
  <c r="F253" i="42" s="1"/>
  <c r="F254" i="42" s="1"/>
  <c r="F255" i="42" s="1"/>
  <c r="F256" i="42" s="1"/>
  <c r="F257" i="42" s="1"/>
  <c r="F258" i="42" s="1"/>
  <c r="F259" i="42" s="1"/>
  <c r="F260" i="42" s="1"/>
  <c r="F261" i="42" s="1"/>
  <c r="F262" i="42" s="1"/>
  <c r="F263" i="42" s="1"/>
  <c r="F264" i="42" s="1"/>
  <c r="F265" i="42" s="1"/>
  <c r="F266" i="42" s="1"/>
  <c r="F267" i="42" s="1"/>
  <c r="F268" i="42" s="1"/>
  <c r="F269" i="42" s="1"/>
  <c r="F270" i="42" s="1"/>
  <c r="F271" i="42" s="1"/>
  <c r="F272" i="42" s="1"/>
  <c r="F273" i="42" s="1"/>
  <c r="F274" i="42" s="1"/>
  <c r="F275" i="42" s="1"/>
  <c r="F276" i="42" s="1"/>
  <c r="F277" i="42" s="1"/>
  <c r="F278" i="42" s="1"/>
  <c r="F279" i="42" s="1"/>
  <c r="F280" i="42" s="1"/>
  <c r="F281" i="42" s="1"/>
  <c r="F282" i="42" s="1"/>
  <c r="F283" i="42" s="1"/>
  <c r="F284" i="42" s="1"/>
  <c r="F285" i="42" s="1"/>
  <c r="F286" i="42" s="1"/>
  <c r="F287" i="42" s="1"/>
  <c r="F288" i="42" s="1"/>
  <c r="F289" i="42" s="1"/>
  <c r="F290" i="42" s="1"/>
  <c r="F291" i="42" s="1"/>
  <c r="F292" i="42" s="1"/>
  <c r="F293" i="42" s="1"/>
  <c r="F294" i="42" s="1"/>
  <c r="F295" i="42" s="1"/>
  <c r="F296" i="42" s="1"/>
  <c r="F297" i="42" s="1"/>
  <c r="F298" i="42" s="1"/>
  <c r="F299" i="42" s="1"/>
  <c r="F300" i="42" s="1"/>
  <c r="F301" i="42" s="1"/>
  <c r="F302" i="42" s="1"/>
  <c r="F303" i="42" s="1"/>
  <c r="F304" i="42" s="1"/>
  <c r="F305" i="42" s="1"/>
  <c r="F306" i="42" s="1"/>
  <c r="F307" i="42" s="1"/>
  <c r="F308" i="42" s="1"/>
  <c r="F309" i="42" s="1"/>
  <c r="F310" i="42" s="1"/>
  <c r="F311" i="42" s="1"/>
  <c r="F312" i="42" s="1"/>
  <c r="F313" i="42" s="1"/>
  <c r="F314" i="42" s="1"/>
  <c r="F315" i="42" s="1"/>
  <c r="F316" i="42" s="1"/>
  <c r="F317" i="42" s="1"/>
  <c r="F318" i="42" s="1"/>
  <c r="F319" i="42" s="1"/>
  <c r="F320" i="42" s="1"/>
  <c r="F321" i="42" s="1"/>
  <c r="F322" i="42" s="1"/>
  <c r="F323" i="42" s="1"/>
  <c r="F324" i="42" s="1"/>
  <c r="F325" i="42" s="1"/>
  <c r="F326" i="42" s="1"/>
  <c r="F327" i="42" s="1"/>
  <c r="F328" i="42" s="1"/>
  <c r="F329" i="42" s="1"/>
  <c r="F330" i="42" s="1"/>
  <c r="F331" i="42" s="1"/>
  <c r="F332" i="42" s="1"/>
  <c r="F333" i="42" s="1"/>
  <c r="F334" i="42" s="1"/>
  <c r="F335" i="42" s="1"/>
  <c r="F336" i="42" s="1"/>
  <c r="F337" i="42" s="1"/>
  <c r="F338" i="42" s="1"/>
  <c r="F339" i="42" s="1"/>
  <c r="F340" i="42" s="1"/>
  <c r="F341" i="42" s="1"/>
  <c r="F342" i="42" s="1"/>
  <c r="F343" i="42" s="1"/>
  <c r="F344" i="42" s="1"/>
  <c r="F345" i="42" s="1"/>
  <c r="F346" i="42" s="1"/>
  <c r="F347" i="42" s="1"/>
  <c r="F348" i="42" s="1"/>
  <c r="F349" i="42" s="1"/>
  <c r="F350" i="42" s="1"/>
  <c r="F351" i="42" s="1"/>
  <c r="F352" i="42" s="1"/>
  <c r="F353" i="42" s="1"/>
  <c r="F354" i="42" s="1"/>
  <c r="F355" i="42" s="1"/>
  <c r="F356" i="42" s="1"/>
  <c r="F357" i="42" s="1"/>
  <c r="F358" i="42" s="1"/>
  <c r="F359" i="42" s="1"/>
  <c r="F360" i="42" s="1"/>
  <c r="F361" i="42" s="1"/>
  <c r="F362" i="42" s="1"/>
  <c r="F363" i="42" s="1"/>
  <c r="F364" i="42" s="1"/>
  <c r="F365" i="42" s="1"/>
  <c r="F366" i="42" s="1"/>
  <c r="F367" i="42" s="1"/>
  <c r="F368" i="42" s="1"/>
  <c r="F369" i="42" s="1"/>
  <c r="F370" i="42" s="1"/>
  <c r="F371" i="42" s="1"/>
  <c r="F372" i="42" s="1"/>
  <c r="F373" i="42" s="1"/>
  <c r="F374" i="42" s="1"/>
  <c r="F375" i="42" s="1"/>
  <c r="F376" i="42" s="1"/>
  <c r="F377" i="42" s="1"/>
  <c r="F378" i="42" s="1"/>
  <c r="F379" i="42" s="1"/>
  <c r="F380" i="42" s="1"/>
  <c r="F381" i="42" s="1"/>
  <c r="F382" i="42" s="1"/>
  <c r="F383" i="42" s="1"/>
  <c r="F384" i="42" s="1"/>
  <c r="F385" i="42" s="1"/>
  <c r="F386" i="42" s="1"/>
  <c r="F387" i="42" s="1"/>
  <c r="F388" i="42" s="1"/>
  <c r="F389" i="42" s="1"/>
  <c r="F390" i="42" s="1"/>
  <c r="F391" i="42" s="1"/>
  <c r="F392" i="42" s="1"/>
  <c r="F393" i="42" s="1"/>
  <c r="F394" i="42" s="1"/>
  <c r="F395" i="42" s="1"/>
  <c r="F396" i="42" s="1"/>
  <c r="F397" i="42" s="1"/>
  <c r="F398" i="42" s="1"/>
  <c r="F399" i="42" s="1"/>
  <c r="F400" i="42" s="1"/>
  <c r="F401" i="42" s="1"/>
  <c r="F402" i="42" s="1"/>
  <c r="F403" i="42" s="1"/>
  <c r="F404" i="42" s="1"/>
  <c r="F405" i="42" s="1"/>
  <c r="F406" i="42" s="1"/>
  <c r="F407" i="42" s="1"/>
  <c r="F408" i="42" s="1"/>
  <c r="F409" i="42" s="1"/>
  <c r="F410" i="42" s="1"/>
  <c r="F411" i="42" s="1"/>
  <c r="F412" i="42" s="1"/>
  <c r="F413" i="42" s="1"/>
  <c r="F414" i="42" s="1"/>
  <c r="F415" i="42" s="1"/>
  <c r="F416" i="42" s="1"/>
  <c r="F417" i="42" s="1"/>
  <c r="F418" i="42" s="1"/>
  <c r="F419" i="42" s="1"/>
  <c r="F420" i="42" s="1"/>
  <c r="F421" i="42" s="1"/>
  <c r="F422" i="42" s="1"/>
  <c r="F423" i="42" s="1"/>
  <c r="F424" i="42" s="1"/>
  <c r="F425" i="42" s="1"/>
  <c r="F426" i="42" s="1"/>
  <c r="F427" i="42" s="1"/>
  <c r="F428" i="42" s="1"/>
  <c r="F429" i="42" s="1"/>
  <c r="F430" i="42" s="1"/>
  <c r="F431" i="42" s="1"/>
  <c r="F432" i="42" s="1"/>
  <c r="F433" i="42" s="1"/>
  <c r="F434" i="42" s="1"/>
  <c r="F435" i="42" s="1"/>
  <c r="F436" i="42" s="1"/>
  <c r="F437" i="42" s="1"/>
  <c r="F438" i="42" s="1"/>
  <c r="F439" i="42" s="1"/>
  <c r="F440" i="42" s="1"/>
  <c r="F441" i="42" s="1"/>
  <c r="F442" i="42" s="1"/>
  <c r="F443" i="42" s="1"/>
  <c r="F444" i="42" s="1"/>
  <c r="F445" i="42" s="1"/>
  <c r="F446" i="42" s="1"/>
  <c r="F447" i="42" s="1"/>
  <c r="F448" i="42" s="1"/>
  <c r="F449" i="42" s="1"/>
  <c r="F450" i="42" s="1"/>
  <c r="F451" i="42" s="1"/>
  <c r="F452" i="42" s="1"/>
  <c r="F453" i="42" s="1"/>
  <c r="F454" i="42" s="1"/>
  <c r="F455" i="42" s="1"/>
  <c r="F456" i="42" s="1"/>
  <c r="F457" i="42" s="1"/>
  <c r="F458" i="42" s="1"/>
  <c r="F459" i="42" s="1"/>
  <c r="F460" i="42" s="1"/>
  <c r="F461" i="42" s="1"/>
  <c r="F462" i="42" s="1"/>
  <c r="F463" i="42" s="1"/>
  <c r="F464" i="42" s="1"/>
  <c r="F465" i="42" s="1"/>
  <c r="F466" i="42" s="1"/>
  <c r="F467" i="42" s="1"/>
  <c r="F468" i="42" s="1"/>
  <c r="F469" i="42" s="1"/>
  <c r="F470" i="42" s="1"/>
  <c r="F471" i="42" s="1"/>
  <c r="F472" i="42" s="1"/>
  <c r="F473" i="42" s="1"/>
  <c r="F474" i="42" s="1"/>
  <c r="F475" i="42" s="1"/>
  <c r="F476" i="42" s="1"/>
  <c r="F477" i="42" s="1"/>
  <c r="F478" i="42" s="1"/>
  <c r="F479" i="42" s="1"/>
  <c r="F480" i="42" s="1"/>
  <c r="F481" i="42" s="1"/>
  <c r="F482" i="42" s="1"/>
  <c r="F483" i="42" s="1"/>
  <c r="F484" i="42" s="1"/>
  <c r="F485" i="42" s="1"/>
  <c r="F486" i="42" s="1"/>
  <c r="F487" i="42" s="1"/>
  <c r="F488" i="42" s="1"/>
  <c r="F489" i="42" s="1"/>
  <c r="F490" i="42" s="1"/>
  <c r="F491" i="42" s="1"/>
  <c r="F492" i="42" s="1"/>
  <c r="F493" i="42" s="1"/>
  <c r="F494" i="42" s="1"/>
  <c r="F495" i="42" s="1"/>
  <c r="F496" i="42" s="1"/>
  <c r="F497" i="42" s="1"/>
  <c r="F498" i="42" s="1"/>
  <c r="F499" i="42" s="1"/>
  <c r="F500" i="42" s="1"/>
  <c r="F501" i="42" s="1"/>
  <c r="F502" i="42" s="1"/>
  <c r="F503" i="42" s="1"/>
  <c r="F504" i="42" s="1"/>
  <c r="F505" i="42" s="1"/>
  <c r="F506" i="42" s="1"/>
  <c r="F507" i="42" s="1"/>
  <c r="F508" i="42" s="1"/>
  <c r="F509" i="42" s="1"/>
  <c r="F510" i="42" s="1"/>
  <c r="F511" i="42" s="1"/>
  <c r="F512" i="42" s="1"/>
  <c r="F513" i="42" s="1"/>
  <c r="F514" i="42" s="1"/>
  <c r="F515" i="42" s="1"/>
  <c r="F516" i="42" s="1"/>
  <c r="F517" i="42" s="1"/>
  <c r="F518" i="42" s="1"/>
  <c r="F519" i="42" s="1"/>
  <c r="F520" i="42" s="1"/>
  <c r="F521" i="42" s="1"/>
  <c r="F522" i="42" s="1"/>
  <c r="F523" i="42" s="1"/>
  <c r="F524" i="42" s="1"/>
  <c r="F525" i="42" s="1"/>
  <c r="F526" i="42" s="1"/>
  <c r="F527" i="42" s="1"/>
  <c r="A169" i="42"/>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40" i="42" s="1"/>
  <c r="A241" i="42" s="1"/>
  <c r="A242" i="42" s="1"/>
  <c r="A243" i="42" s="1"/>
  <c r="A244" i="42" s="1"/>
  <c r="A245" i="42" s="1"/>
  <c r="A246" i="42" s="1"/>
  <c r="A247" i="42" s="1"/>
  <c r="A248" i="42" s="1"/>
  <c r="A249" i="42" s="1"/>
  <c r="A250" i="42" s="1"/>
  <c r="A251" i="42" s="1"/>
  <c r="A252" i="42" s="1"/>
  <c r="A253" i="42" s="1"/>
  <c r="A254" i="42" s="1"/>
  <c r="A255" i="42" s="1"/>
  <c r="A256" i="42" s="1"/>
  <c r="A257" i="42" s="1"/>
  <c r="A258" i="42" s="1"/>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5"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A376" i="42" s="1"/>
  <c r="A377" i="42" s="1"/>
  <c r="A378" i="42" s="1"/>
  <c r="A379" i="42" s="1"/>
  <c r="A380" i="42" s="1"/>
  <c r="A381" i="42" s="1"/>
  <c r="A382" i="42" s="1"/>
  <c r="A383" i="42" s="1"/>
  <c r="A384" i="42" s="1"/>
  <c r="A385" i="42" s="1"/>
  <c r="A386" i="42" s="1"/>
  <c r="A387" i="42" s="1"/>
  <c r="A388" i="42" s="1"/>
  <c r="A389" i="42" s="1"/>
  <c r="A390" i="42" s="1"/>
  <c r="A391" i="42" s="1"/>
  <c r="A392" i="42" s="1"/>
  <c r="A393" i="42" s="1"/>
  <c r="A394" i="42" s="1"/>
  <c r="A395" i="42" s="1"/>
  <c r="A396" i="42" s="1"/>
  <c r="A397" i="42" s="1"/>
  <c r="A398" i="42" s="1"/>
  <c r="A399" i="42" s="1"/>
  <c r="A400" i="42" s="1"/>
  <c r="A401" i="42" s="1"/>
  <c r="A402" i="42" s="1"/>
  <c r="A403" i="42" s="1"/>
  <c r="A404" i="42" s="1"/>
  <c r="A405" i="42" s="1"/>
  <c r="A406" i="42" s="1"/>
  <c r="A407" i="42" s="1"/>
  <c r="A408" i="42" s="1"/>
  <c r="A409" i="42" s="1"/>
  <c r="A410" i="42" s="1"/>
  <c r="A411" i="42" s="1"/>
  <c r="A412" i="42" s="1"/>
  <c r="A413" i="42" s="1"/>
  <c r="A414" i="42" s="1"/>
  <c r="A415" i="42" s="1"/>
  <c r="A416" i="42" s="1"/>
  <c r="A417" i="42" s="1"/>
  <c r="A418" i="42" s="1"/>
  <c r="A419" i="42" s="1"/>
  <c r="A420" i="42" s="1"/>
  <c r="A421" i="42" s="1"/>
  <c r="A422" i="42" s="1"/>
  <c r="A423" i="42" s="1"/>
  <c r="A424" i="42" s="1"/>
  <c r="A425" i="42" s="1"/>
  <c r="A426" i="42" s="1"/>
  <c r="A427" i="42" s="1"/>
  <c r="A428" i="42" s="1"/>
  <c r="A429" i="42" s="1"/>
  <c r="A430" i="42" s="1"/>
  <c r="A431" i="42" s="1"/>
  <c r="A432" i="42" s="1"/>
  <c r="A433" i="42" s="1"/>
  <c r="A434" i="42" s="1"/>
  <c r="A435" i="42" s="1"/>
  <c r="A436" i="42" s="1"/>
  <c r="A437" i="42" s="1"/>
  <c r="A438" i="42" s="1"/>
  <c r="A439" i="42" s="1"/>
  <c r="A440" i="42" s="1"/>
  <c r="A441" i="42" s="1"/>
  <c r="A442" i="42" s="1"/>
  <c r="A443" i="42" s="1"/>
  <c r="A444" i="42" s="1"/>
  <c r="A445" i="42" s="1"/>
  <c r="A446" i="42" s="1"/>
  <c r="A447" i="42" s="1"/>
  <c r="A448" i="42" s="1"/>
  <c r="A449" i="42" s="1"/>
  <c r="A450" i="42" s="1"/>
  <c r="A451" i="42" s="1"/>
  <c r="A452" i="42" s="1"/>
  <c r="A453" i="42" s="1"/>
  <c r="A454" i="42" s="1"/>
  <c r="A455" i="42" s="1"/>
  <c r="A456" i="42" s="1"/>
  <c r="A457" i="42" s="1"/>
  <c r="A458" i="42" s="1"/>
  <c r="A459" i="42" s="1"/>
  <c r="A460" i="42" s="1"/>
  <c r="A461" i="42" s="1"/>
  <c r="A462" i="42" s="1"/>
  <c r="A463" i="42" s="1"/>
  <c r="A464" i="42" s="1"/>
  <c r="A465" i="42" s="1"/>
  <c r="A466" i="42" s="1"/>
  <c r="A467" i="42" s="1"/>
  <c r="A468" i="42" s="1"/>
  <c r="A469" i="42" s="1"/>
  <c r="A470" i="42" s="1"/>
  <c r="A471" i="42" s="1"/>
  <c r="A472" i="42" s="1"/>
  <c r="A473" i="42" s="1"/>
  <c r="A474" i="42" s="1"/>
  <c r="A475" i="42" s="1"/>
  <c r="A476" i="42" s="1"/>
  <c r="A477" i="42" s="1"/>
  <c r="A478" i="42" s="1"/>
  <c r="A479" i="42" s="1"/>
  <c r="A480" i="42" s="1"/>
  <c r="A481" i="42" s="1"/>
  <c r="A482" i="42" s="1"/>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159" i="27"/>
  <c r="B159" i="27"/>
  <c r="C159" i="27"/>
  <c r="D159" i="27"/>
  <c r="K159" i="27"/>
  <c r="L159" i="27"/>
  <c r="M159" i="27"/>
  <c r="N159" i="27"/>
  <c r="O159" i="27"/>
  <c r="P159" i="27"/>
  <c r="Q159" i="27"/>
  <c r="R159" i="27"/>
  <c r="S159" i="27"/>
  <c r="T159" i="27"/>
  <c r="U159" i="27"/>
  <c r="V159" i="27"/>
  <c r="W159" i="27"/>
  <c r="X159" i="27"/>
  <c r="Y159" i="27"/>
  <c r="Z159" i="27"/>
  <c r="AA159" i="27"/>
  <c r="AB159" i="27"/>
  <c r="AC159" i="27"/>
  <c r="AD159" i="27"/>
  <c r="AE159" i="27"/>
  <c r="AF159" i="27"/>
  <c r="A158" i="27"/>
  <c r="B158" i="27"/>
  <c r="C158" i="27"/>
  <c r="D158" i="27"/>
  <c r="E158" i="27"/>
  <c r="F158" i="27"/>
  <c r="G158" i="27"/>
  <c r="H158" i="27"/>
  <c r="I158" i="27"/>
  <c r="J158" i="27"/>
  <c r="K158" i="27"/>
  <c r="L158" i="27"/>
  <c r="M158" i="27"/>
  <c r="N158" i="27"/>
  <c r="O158" i="27"/>
  <c r="P158" i="27"/>
  <c r="Q158" i="27"/>
  <c r="R158" i="27"/>
  <c r="S158" i="27"/>
  <c r="T158" i="27"/>
  <c r="U158" i="27"/>
  <c r="V158" i="27"/>
  <c r="W158" i="27"/>
  <c r="X158" i="27"/>
  <c r="Y158" i="27"/>
  <c r="Z158" i="27"/>
  <c r="AA158" i="27"/>
  <c r="AB158" i="27"/>
  <c r="AC158" i="27"/>
  <c r="AD158" i="27"/>
  <c r="AE158" i="27"/>
  <c r="AF158" i="27"/>
  <c r="AG158" i="27"/>
  <c r="AH158" i="27"/>
  <c r="AI158" i="27"/>
  <c r="AJ158" i="27"/>
  <c r="AK158" i="27"/>
  <c r="AL158" i="27"/>
  <c r="AM158" i="27"/>
  <c r="AN158" i="27"/>
  <c r="AO158" i="27"/>
  <c r="AP158" i="27"/>
  <c r="AQ158" i="27"/>
  <c r="AR158" i="27"/>
  <c r="AS158" i="27"/>
  <c r="AT158" i="27"/>
  <c r="AU158" i="27"/>
  <c r="AV158" i="27"/>
  <c r="AW158" i="27"/>
  <c r="AX158" i="27"/>
  <c r="AY158" i="27"/>
  <c r="AZ158" i="27"/>
  <c r="BA158" i="27"/>
  <c r="BB158" i="27"/>
  <c r="BC158" i="27"/>
  <c r="BD158" i="27"/>
  <c r="BE158" i="27"/>
  <c r="BF158" i="27"/>
  <c r="BG158" i="27"/>
  <c r="BH158" i="27"/>
  <c r="BI158" i="27"/>
  <c r="BJ158" i="27"/>
  <c r="BK158" i="27"/>
  <c r="BL158" i="27"/>
  <c r="BM158" i="27"/>
  <c r="BN158" i="27"/>
  <c r="BO158" i="27"/>
  <c r="BP158" i="27"/>
  <c r="BQ158" i="27"/>
  <c r="BR158" i="27"/>
  <c r="BS158" i="27"/>
  <c r="BT158" i="27"/>
  <c r="BU158" i="27"/>
  <c r="BV158" i="27"/>
  <c r="BW158" i="27"/>
  <c r="BX158" i="27"/>
  <c r="BY158" i="27"/>
  <c r="BZ158" i="27"/>
  <c r="CA158" i="27"/>
  <c r="CB158" i="27"/>
  <c r="CC158" i="27"/>
  <c r="CD158" i="27"/>
  <c r="CE158" i="27"/>
  <c r="CF158" i="27"/>
  <c r="CG158" i="27"/>
  <c r="CH158" i="27"/>
  <c r="CI158" i="27"/>
  <c r="CJ158" i="27"/>
  <c r="CK158" i="27"/>
  <c r="CL158" i="27"/>
  <c r="CM158" i="27"/>
  <c r="CN158" i="27"/>
  <c r="CO158" i="27"/>
  <c r="CP158" i="27"/>
  <c r="CQ158" i="27"/>
  <c r="CR158" i="27"/>
  <c r="CS158" i="27"/>
  <c r="CT158" i="27"/>
  <c r="CU158" i="27"/>
  <c r="CV158" i="27"/>
  <c r="CW158" i="27"/>
  <c r="CX158" i="27"/>
  <c r="CY158" i="27"/>
  <c r="CZ158" i="27"/>
  <c r="DA158" i="27"/>
  <c r="DB158" i="27"/>
  <c r="DC158" i="27"/>
  <c r="DD158" i="27"/>
  <c r="DE158" i="27"/>
  <c r="DF158" i="27"/>
  <c r="DG158" i="27"/>
  <c r="DH158" i="27"/>
  <c r="DI158" i="27"/>
  <c r="DJ158" i="27"/>
  <c r="DK158" i="27"/>
  <c r="DL158" i="27"/>
  <c r="DM158" i="27"/>
  <c r="DN158" i="27"/>
  <c r="DO158" i="27"/>
  <c r="DP158" i="27"/>
  <c r="DQ158" i="27"/>
  <c r="DR158" i="27"/>
  <c r="DS158" i="27"/>
  <c r="DT158" i="27"/>
  <c r="DU158" i="27"/>
  <c r="DV158" i="27"/>
  <c r="DW158" i="27"/>
  <c r="DX158" i="27"/>
  <c r="DY158" i="27"/>
  <c r="DZ158" i="27"/>
  <c r="EA158" i="27"/>
  <c r="EB158" i="27"/>
  <c r="EC158" i="27"/>
  <c r="ED158" i="27"/>
  <c r="EE158" i="27"/>
  <c r="EF158" i="27"/>
  <c r="EG158" i="27"/>
  <c r="EH158" i="27"/>
  <c r="EI158" i="27"/>
  <c r="EJ158" i="27"/>
  <c r="EK158" i="27"/>
  <c r="EL158" i="27"/>
  <c r="EM158" i="27"/>
  <c r="EN158" i="27"/>
  <c r="EO158" i="27"/>
  <c r="EP158" i="27"/>
  <c r="EQ158" i="27"/>
  <c r="ER158" i="27"/>
  <c r="ES158" i="27"/>
  <c r="ET158" i="27"/>
  <c r="EU158" i="27"/>
  <c r="EV158" i="27"/>
  <c r="EW158" i="27"/>
  <c r="EX158" i="27"/>
  <c r="EY158" i="27"/>
  <c r="EZ158" i="27"/>
  <c r="FA158" i="27"/>
  <c r="FB158" i="27"/>
  <c r="FC158" i="27"/>
  <c r="FD158" i="27"/>
  <c r="FE158" i="27"/>
  <c r="FF158" i="27"/>
  <c r="FG158" i="27"/>
  <c r="FH158" i="27"/>
  <c r="FI158" i="27"/>
  <c r="FJ158" i="27"/>
  <c r="FK158" i="27"/>
  <c r="FL158" i="27"/>
  <c r="FM158" i="27"/>
  <c r="FN158" i="27"/>
  <c r="FO158" i="27"/>
  <c r="FP158" i="27"/>
  <c r="FQ158" i="27"/>
  <c r="FR158" i="27"/>
  <c r="FS158" i="27"/>
  <c r="FT158" i="27"/>
  <c r="FU158" i="27"/>
  <c r="FV158" i="27"/>
  <c r="FW158" i="27"/>
  <c r="FX158" i="27"/>
  <c r="FY158" i="27"/>
  <c r="FZ158" i="27"/>
  <c r="GA158" i="27"/>
  <c r="GB158" i="27"/>
  <c r="GC158" i="27"/>
  <c r="GD158" i="27"/>
  <c r="GE158" i="27"/>
  <c r="GF158" i="27"/>
  <c r="GG158" i="27"/>
  <c r="GH158" i="27"/>
  <c r="GI158" i="27"/>
  <c r="GJ158" i="27"/>
  <c r="GK158" i="27"/>
  <c r="GL158" i="27"/>
  <c r="GM158" i="27"/>
  <c r="GN158" i="27"/>
  <c r="GO158" i="27"/>
  <c r="GP158" i="27"/>
  <c r="GQ158" i="27"/>
  <c r="GR158" i="27"/>
  <c r="GS158" i="27"/>
  <c r="GT158" i="27"/>
  <c r="GU158" i="27"/>
  <c r="GV158" i="27"/>
  <c r="GW158" i="27"/>
  <c r="GX158" i="27"/>
  <c r="GY158" i="27"/>
  <c r="GZ158" i="27"/>
  <c r="HA158" i="27"/>
  <c r="HB158" i="27"/>
  <c r="HC158" i="27"/>
  <c r="HD158" i="27"/>
  <c r="HE158" i="27"/>
  <c r="HF158" i="27"/>
  <c r="HG158" i="27"/>
  <c r="HH158" i="27"/>
  <c r="HI158" i="27"/>
  <c r="HJ158" i="27"/>
  <c r="HK158" i="27"/>
  <c r="HL158" i="27"/>
  <c r="HM158" i="27"/>
  <c r="HN158" i="27"/>
  <c r="HO158" i="27"/>
  <c r="HP158" i="27"/>
  <c r="HQ158" i="27"/>
  <c r="HR158" i="27"/>
  <c r="HS158" i="27"/>
  <c r="HT158" i="27"/>
  <c r="HU158" i="27"/>
  <c r="HV158" i="27"/>
  <c r="HW158" i="27"/>
  <c r="HX158" i="27"/>
  <c r="HY158" i="27"/>
  <c r="HZ158" i="27"/>
  <c r="IA158" i="27"/>
  <c r="IB158" i="27"/>
  <c r="IC158" i="27"/>
  <c r="ID158" i="27"/>
  <c r="IE158" i="27"/>
  <c r="IF158" i="27"/>
  <c r="IG158" i="27"/>
  <c r="IH158" i="27"/>
  <c r="II158" i="27"/>
  <c r="IJ158" i="27"/>
  <c r="IK158" i="27"/>
  <c r="IL158" i="27"/>
  <c r="IM158" i="27"/>
  <c r="IN158" i="27"/>
  <c r="IO158" i="27"/>
  <c r="IP158" i="27"/>
  <c r="IQ158" i="27"/>
  <c r="IR158" i="27"/>
  <c r="IS158" i="27"/>
  <c r="IT158" i="27"/>
  <c r="IU158" i="27"/>
  <c r="IV158" i="27"/>
  <c r="A157" i="27"/>
  <c r="B157" i="27"/>
  <c r="C157" i="27"/>
  <c r="D157" i="27"/>
  <c r="E157" i="27"/>
  <c r="F157" i="27"/>
  <c r="G157" i="27"/>
  <c r="H157" i="27"/>
  <c r="I157" i="27"/>
  <c r="J157" i="27"/>
  <c r="K157" i="27"/>
  <c r="L157" i="27"/>
  <c r="M157" i="27"/>
  <c r="N157" i="27"/>
  <c r="O157" i="27"/>
  <c r="P157" i="27"/>
  <c r="Q157" i="27"/>
  <c r="R157" i="27"/>
  <c r="S157" i="27"/>
  <c r="T157" i="27"/>
  <c r="U157" i="27"/>
  <c r="V157" i="27"/>
  <c r="W157" i="27"/>
  <c r="X157" i="27"/>
  <c r="Y157" i="27"/>
  <c r="Z157" i="27"/>
  <c r="AA157" i="27"/>
  <c r="AB157" i="27"/>
  <c r="AC157" i="27"/>
  <c r="AD157" i="27"/>
  <c r="AE157" i="27"/>
  <c r="AF157" i="27"/>
  <c r="AG157" i="27"/>
  <c r="AH157" i="27"/>
  <c r="AI157" i="27"/>
  <c r="AJ157" i="27"/>
  <c r="AK157" i="27"/>
  <c r="AL157" i="27"/>
  <c r="AM157" i="27"/>
  <c r="AN157" i="27"/>
  <c r="AO157" i="27"/>
  <c r="AP157" i="27"/>
  <c r="AQ157" i="27"/>
  <c r="AR157" i="27"/>
  <c r="AS157" i="27"/>
  <c r="AT157" i="27"/>
  <c r="AU157" i="27"/>
  <c r="AV157" i="27"/>
  <c r="AW157" i="27"/>
  <c r="AX157" i="27"/>
  <c r="AY157" i="27"/>
  <c r="AZ157" i="27"/>
  <c r="BA157" i="27"/>
  <c r="BB157" i="27"/>
  <c r="BC157" i="27"/>
  <c r="BD157" i="27"/>
  <c r="BE157" i="27"/>
  <c r="BF157" i="27"/>
  <c r="BG157" i="27"/>
  <c r="BH157" i="27"/>
  <c r="BI157" i="27"/>
  <c r="BJ157" i="27"/>
  <c r="BK157" i="27"/>
  <c r="BL157" i="27"/>
  <c r="BM157" i="27"/>
  <c r="BN157" i="27"/>
  <c r="BO157" i="27"/>
  <c r="BP157" i="27"/>
  <c r="BQ157" i="27"/>
  <c r="BR157" i="27"/>
  <c r="BS157" i="27"/>
  <c r="BT157" i="27"/>
  <c r="BU157" i="27"/>
  <c r="BV157" i="27"/>
  <c r="BW157" i="27"/>
  <c r="BX157" i="27"/>
  <c r="BY157" i="27"/>
  <c r="BZ157" i="27"/>
  <c r="CA157" i="27"/>
  <c r="CB157" i="27"/>
  <c r="CC157" i="27"/>
  <c r="CD157" i="27"/>
  <c r="CE157" i="27"/>
  <c r="CF157" i="27"/>
  <c r="CG157" i="27"/>
  <c r="CH157" i="27"/>
  <c r="CI157" i="27"/>
  <c r="CJ157" i="27"/>
  <c r="CK157" i="27"/>
  <c r="CL157" i="27"/>
  <c r="CM157" i="27"/>
  <c r="CN157" i="27"/>
  <c r="CO157" i="27"/>
  <c r="CP157" i="27"/>
  <c r="CQ157" i="27"/>
  <c r="CR157" i="27"/>
  <c r="CS157" i="27"/>
  <c r="CT157" i="27"/>
  <c r="CU157" i="27"/>
  <c r="CV157" i="27"/>
  <c r="CW157" i="27"/>
  <c r="CX157" i="27"/>
  <c r="CY157" i="27"/>
  <c r="CZ157" i="27"/>
  <c r="DA157" i="27"/>
  <c r="DB157" i="27"/>
  <c r="DC157" i="27"/>
  <c r="DD157" i="27"/>
  <c r="DE157" i="27"/>
  <c r="DF157" i="27"/>
  <c r="DG157" i="27"/>
  <c r="DH157" i="27"/>
  <c r="DI157" i="27"/>
  <c r="DJ157" i="27"/>
  <c r="DK157" i="27"/>
  <c r="DL157" i="27"/>
  <c r="DM157" i="27"/>
  <c r="DN157" i="27"/>
  <c r="DO157" i="27"/>
  <c r="DP157" i="27"/>
  <c r="DQ157" i="27"/>
  <c r="DR157" i="27"/>
  <c r="DS157" i="27"/>
  <c r="DT157" i="27"/>
  <c r="DU157" i="27"/>
  <c r="DV157" i="27"/>
  <c r="DW157" i="27"/>
  <c r="DX157" i="27"/>
  <c r="DY157" i="27"/>
  <c r="DZ157" i="27"/>
  <c r="EA157" i="27"/>
  <c r="EB157" i="27"/>
  <c r="EC157" i="27"/>
  <c r="ED157" i="27"/>
  <c r="EE157" i="27"/>
  <c r="EF157" i="27"/>
  <c r="EG157" i="27"/>
  <c r="EH157" i="27"/>
  <c r="EI157" i="27"/>
  <c r="EJ157" i="27"/>
  <c r="EK157" i="27"/>
  <c r="EL157" i="27"/>
  <c r="EM157" i="27"/>
  <c r="EN157" i="27"/>
  <c r="EO157" i="27"/>
  <c r="EP157" i="27"/>
  <c r="EQ157" i="27"/>
  <c r="ER157" i="27"/>
  <c r="ES157" i="27"/>
  <c r="ET157" i="27"/>
  <c r="EU157" i="27"/>
  <c r="EV157" i="27"/>
  <c r="EW157" i="27"/>
  <c r="EX157" i="27"/>
  <c r="EY157" i="27"/>
  <c r="EZ157" i="27"/>
  <c r="FA157" i="27"/>
  <c r="FB157" i="27"/>
  <c r="FC157" i="27"/>
  <c r="FD157" i="27"/>
  <c r="FE157" i="27"/>
  <c r="FF157" i="27"/>
  <c r="FG157" i="27"/>
  <c r="FH157" i="27"/>
  <c r="FI157" i="27"/>
  <c r="FJ157" i="27"/>
  <c r="FK157" i="27"/>
  <c r="FL157" i="27"/>
  <c r="FM157" i="27"/>
  <c r="FN157" i="27"/>
  <c r="FO157" i="27"/>
  <c r="FP157" i="27"/>
  <c r="FQ157" i="27"/>
  <c r="FR157" i="27"/>
  <c r="FS157" i="27"/>
  <c r="FT157" i="27"/>
  <c r="FU157" i="27"/>
  <c r="FV157" i="27"/>
  <c r="FW157" i="27"/>
  <c r="FX157" i="27"/>
  <c r="FY157" i="27"/>
  <c r="FZ157" i="27"/>
  <c r="GA157" i="27"/>
  <c r="GB157" i="27"/>
  <c r="GC157" i="27"/>
  <c r="GD157" i="27"/>
  <c r="GE157" i="27"/>
  <c r="GF157" i="27"/>
  <c r="GG157" i="27"/>
  <c r="GH157" i="27"/>
  <c r="GI157" i="27"/>
  <c r="GJ157" i="27"/>
  <c r="GK157" i="27"/>
  <c r="GL157" i="27"/>
  <c r="GM157" i="27"/>
  <c r="GN157" i="27"/>
  <c r="GO157" i="27"/>
  <c r="GP157" i="27"/>
  <c r="GQ157" i="27"/>
  <c r="GR157" i="27"/>
  <c r="GS157" i="27"/>
  <c r="GT157" i="27"/>
  <c r="GU157" i="27"/>
  <c r="GV157" i="27"/>
  <c r="GW157" i="27"/>
  <c r="GX157" i="27"/>
  <c r="GY157" i="27"/>
  <c r="GZ157" i="27"/>
  <c r="HA157" i="27"/>
  <c r="HB157" i="27"/>
  <c r="HC157" i="27"/>
  <c r="HD157" i="27"/>
  <c r="HE157" i="27"/>
  <c r="HF157" i="27"/>
  <c r="HG157" i="27"/>
  <c r="HH157" i="27"/>
  <c r="HI157" i="27"/>
  <c r="HJ157" i="27"/>
  <c r="HK157" i="27"/>
  <c r="HL157" i="27"/>
  <c r="HM157" i="27"/>
  <c r="HN157" i="27"/>
  <c r="HO157" i="27"/>
  <c r="HP157" i="27"/>
  <c r="HQ157" i="27"/>
  <c r="HR157" i="27"/>
  <c r="HS157" i="27"/>
  <c r="HT157" i="27"/>
  <c r="HU157" i="27"/>
  <c r="HV157" i="27"/>
  <c r="HW157" i="27"/>
  <c r="HX157" i="27"/>
  <c r="HY157" i="27"/>
  <c r="HZ157" i="27"/>
  <c r="IA157" i="27"/>
  <c r="IB157" i="27"/>
  <c r="IC157" i="27"/>
  <c r="ID157" i="27"/>
  <c r="IE157" i="27"/>
  <c r="IF157" i="27"/>
  <c r="IG157" i="27"/>
  <c r="IH157" i="27"/>
  <c r="II157" i="27"/>
  <c r="IJ157" i="27"/>
  <c r="IK157" i="27"/>
  <c r="IL157" i="27"/>
  <c r="IM157" i="27"/>
  <c r="IN157" i="27"/>
  <c r="IO157" i="27"/>
  <c r="IP157" i="27"/>
  <c r="IQ157" i="27"/>
  <c r="IR157" i="27"/>
  <c r="IS157" i="27"/>
  <c r="IT157" i="27"/>
  <c r="IU157" i="27"/>
  <c r="IV157" i="27"/>
  <c r="A156" i="27"/>
  <c r="B156" i="27"/>
  <c r="C156" i="27"/>
  <c r="D156" i="27"/>
  <c r="E156" i="27"/>
  <c r="F156" i="27"/>
  <c r="G156" i="27"/>
  <c r="H156" i="27"/>
  <c r="I156" i="27"/>
  <c r="J156" i="27"/>
  <c r="K156" i="27"/>
  <c r="L156" i="27"/>
  <c r="M156" i="27"/>
  <c r="N156" i="27"/>
  <c r="O156" i="27"/>
  <c r="P156" i="27"/>
  <c r="Q156" i="27"/>
  <c r="R156" i="27"/>
  <c r="S156" i="27"/>
  <c r="T156" i="27"/>
  <c r="U156" i="27"/>
  <c r="V156" i="27"/>
  <c r="W156" i="27"/>
  <c r="X156" i="27"/>
  <c r="Y156" i="27"/>
  <c r="Z156" i="27"/>
  <c r="AA156" i="27"/>
  <c r="AB156" i="27"/>
  <c r="AC156" i="27"/>
  <c r="AD156" i="27"/>
  <c r="AE156" i="27"/>
  <c r="AF156" i="27"/>
  <c r="AG156" i="27"/>
  <c r="AH156" i="27"/>
  <c r="AI156" i="27"/>
  <c r="AJ156" i="27"/>
  <c r="AK156" i="27"/>
  <c r="AL156" i="27"/>
  <c r="AM156" i="27"/>
  <c r="AN156" i="27"/>
  <c r="AO156" i="27"/>
  <c r="AP156" i="27"/>
  <c r="AQ156" i="27"/>
  <c r="AR156" i="27"/>
  <c r="AS156" i="27"/>
  <c r="AT156" i="27"/>
  <c r="AU156" i="27"/>
  <c r="AV156" i="27"/>
  <c r="AW156" i="27"/>
  <c r="AX156" i="27"/>
  <c r="AY156" i="27"/>
  <c r="AZ156" i="27"/>
  <c r="BA156" i="27"/>
  <c r="BB156" i="27"/>
  <c r="BC156" i="27"/>
  <c r="BD156" i="27"/>
  <c r="BE156" i="27"/>
  <c r="BF156" i="27"/>
  <c r="BG156" i="27"/>
  <c r="BH156" i="27"/>
  <c r="BI156" i="27"/>
  <c r="BJ156" i="27"/>
  <c r="BK156" i="27"/>
  <c r="BL156" i="27"/>
  <c r="BM156" i="27"/>
  <c r="BN156" i="27"/>
  <c r="BO156" i="27"/>
  <c r="BP156" i="27"/>
  <c r="BQ156" i="27"/>
  <c r="BR156" i="27"/>
  <c r="BS156" i="27"/>
  <c r="BT156" i="27"/>
  <c r="BU156" i="27"/>
  <c r="BV156" i="27"/>
  <c r="BW156" i="27"/>
  <c r="BX156" i="27"/>
  <c r="BY156" i="27"/>
  <c r="BZ156" i="27"/>
  <c r="CA156" i="27"/>
  <c r="CB156" i="27"/>
  <c r="CC156" i="27"/>
  <c r="CD156" i="27"/>
  <c r="CE156" i="27"/>
  <c r="CF156" i="27"/>
  <c r="CG156" i="27"/>
  <c r="CH156" i="27"/>
  <c r="CI156" i="27"/>
  <c r="CJ156" i="27"/>
  <c r="CK156" i="27"/>
  <c r="CL156" i="27"/>
  <c r="CM156" i="27"/>
  <c r="CN156" i="27"/>
  <c r="CO156" i="27"/>
  <c r="CP156" i="27"/>
  <c r="CQ156" i="27"/>
  <c r="CR156" i="27"/>
  <c r="CS156" i="27"/>
  <c r="CT156" i="27"/>
  <c r="CU156" i="27"/>
  <c r="CV156" i="27"/>
  <c r="CW156" i="27"/>
  <c r="CX156" i="27"/>
  <c r="CY156" i="27"/>
  <c r="CZ156" i="27"/>
  <c r="DA156" i="27"/>
  <c r="DB156" i="27"/>
  <c r="DC156" i="27"/>
  <c r="DD156" i="27"/>
  <c r="DE156" i="27"/>
  <c r="DF156" i="27"/>
  <c r="DG156" i="27"/>
  <c r="DH156" i="27"/>
  <c r="DI156" i="27"/>
  <c r="DJ156" i="27"/>
  <c r="DK156" i="27"/>
  <c r="DL156" i="27"/>
  <c r="DM156" i="27"/>
  <c r="DN156" i="27"/>
  <c r="DO156" i="27"/>
  <c r="DP156" i="27"/>
  <c r="DQ156" i="27"/>
  <c r="DR156" i="27"/>
  <c r="DS156" i="27"/>
  <c r="DT156" i="27"/>
  <c r="DU156" i="27"/>
  <c r="DV156" i="27"/>
  <c r="DW156" i="27"/>
  <c r="DX156" i="27"/>
  <c r="DY156" i="27"/>
  <c r="DZ156" i="27"/>
  <c r="EA156" i="27"/>
  <c r="EB156" i="27"/>
  <c r="EC156" i="27"/>
  <c r="ED156" i="27"/>
  <c r="EE156" i="27"/>
  <c r="EF156" i="27"/>
  <c r="EG156" i="27"/>
  <c r="EH156" i="27"/>
  <c r="EI156" i="27"/>
  <c r="EJ156" i="27"/>
  <c r="EK156" i="27"/>
  <c r="EL156" i="27"/>
  <c r="EM156" i="27"/>
  <c r="EN156" i="27"/>
  <c r="EO156" i="27"/>
  <c r="EP156" i="27"/>
  <c r="EQ156" i="27"/>
  <c r="ER156" i="27"/>
  <c r="ES156" i="27"/>
  <c r="ET156" i="27"/>
  <c r="EU156" i="27"/>
  <c r="EV156" i="27"/>
  <c r="EW156" i="27"/>
  <c r="EX156" i="27"/>
  <c r="EY156" i="27"/>
  <c r="EZ156" i="27"/>
  <c r="FA156" i="27"/>
  <c r="FB156" i="27"/>
  <c r="FC156" i="27"/>
  <c r="FD156" i="27"/>
  <c r="FE156" i="27"/>
  <c r="FF156" i="27"/>
  <c r="FG156" i="27"/>
  <c r="FH156" i="27"/>
  <c r="FI156" i="27"/>
  <c r="FJ156" i="27"/>
  <c r="FK156" i="27"/>
  <c r="FL156" i="27"/>
  <c r="FM156" i="27"/>
  <c r="FN156" i="27"/>
  <c r="FO156" i="27"/>
  <c r="FP156" i="27"/>
  <c r="FQ156" i="27"/>
  <c r="FR156" i="27"/>
  <c r="FS156" i="27"/>
  <c r="FT156" i="27"/>
  <c r="FU156" i="27"/>
  <c r="FV156" i="27"/>
  <c r="FW156" i="27"/>
  <c r="FX156" i="27"/>
  <c r="FY156" i="27"/>
  <c r="FZ156" i="27"/>
  <c r="GA156" i="27"/>
  <c r="GB156" i="27"/>
  <c r="GC156" i="27"/>
  <c r="GD156" i="27"/>
  <c r="GE156" i="27"/>
  <c r="GF156" i="27"/>
  <c r="GG156" i="27"/>
  <c r="GH156" i="27"/>
  <c r="GI156" i="27"/>
  <c r="GJ156" i="27"/>
  <c r="GK156" i="27"/>
  <c r="GL156" i="27"/>
  <c r="GM156" i="27"/>
  <c r="GN156" i="27"/>
  <c r="GO156" i="27"/>
  <c r="GP156" i="27"/>
  <c r="GQ156" i="27"/>
  <c r="GR156" i="27"/>
  <c r="GS156" i="27"/>
  <c r="GT156" i="27"/>
  <c r="GU156" i="27"/>
  <c r="GV156" i="27"/>
  <c r="GW156" i="27"/>
  <c r="GX156" i="27"/>
  <c r="GY156" i="27"/>
  <c r="GZ156" i="27"/>
  <c r="HA156" i="27"/>
  <c r="HB156" i="27"/>
  <c r="HC156" i="27"/>
  <c r="HD156" i="27"/>
  <c r="HE156" i="27"/>
  <c r="HF156" i="27"/>
  <c r="HG156" i="27"/>
  <c r="HH156" i="27"/>
  <c r="HI156" i="27"/>
  <c r="HJ156" i="27"/>
  <c r="HK156" i="27"/>
  <c r="HL156" i="27"/>
  <c r="HM156" i="27"/>
  <c r="HN156" i="27"/>
  <c r="HO156" i="27"/>
  <c r="HP156" i="27"/>
  <c r="HQ156" i="27"/>
  <c r="HR156" i="27"/>
  <c r="HS156" i="27"/>
  <c r="HT156" i="27"/>
  <c r="HU156" i="27"/>
  <c r="HV156" i="27"/>
  <c r="HW156" i="27"/>
  <c r="HX156" i="27"/>
  <c r="HY156" i="27"/>
  <c r="HZ156" i="27"/>
  <c r="IA156" i="27"/>
  <c r="IB156" i="27"/>
  <c r="IC156" i="27"/>
  <c r="ID156" i="27"/>
  <c r="IE156" i="27"/>
  <c r="IF156" i="27"/>
  <c r="IG156" i="27"/>
  <c r="IH156" i="27"/>
  <c r="II156" i="27"/>
  <c r="IJ156" i="27"/>
  <c r="IK156" i="27"/>
  <c r="IL156" i="27"/>
  <c r="IM156" i="27"/>
  <c r="IN156" i="27"/>
  <c r="IO156" i="27"/>
  <c r="IP156" i="27"/>
  <c r="IQ156" i="27"/>
  <c r="IR156" i="27"/>
  <c r="IS156" i="27"/>
  <c r="IT156" i="27"/>
  <c r="IU156" i="27"/>
  <c r="IV156" i="27"/>
  <c r="A155" i="27"/>
  <c r="B155" i="27"/>
  <c r="C155" i="27"/>
  <c r="D155" i="27"/>
  <c r="E155" i="27"/>
  <c r="F155" i="27"/>
  <c r="G155" i="27"/>
  <c r="H155" i="27"/>
  <c r="I155" i="27"/>
  <c r="J155" i="27"/>
  <c r="K155" i="27"/>
  <c r="L155" i="27"/>
  <c r="M155" i="27"/>
  <c r="N155" i="27"/>
  <c r="O155" i="27"/>
  <c r="P155" i="27"/>
  <c r="Q155" i="27"/>
  <c r="R155" i="27"/>
  <c r="S155" i="27"/>
  <c r="T155" i="27"/>
  <c r="U155" i="27"/>
  <c r="V155" i="27"/>
  <c r="W155" i="27"/>
  <c r="X155" i="27"/>
  <c r="Y155" i="27"/>
  <c r="Z155" i="27"/>
  <c r="AA155" i="27"/>
  <c r="AB155" i="27"/>
  <c r="AC155" i="27"/>
  <c r="AD155" i="27"/>
  <c r="AE155" i="27"/>
  <c r="AF155" i="27"/>
  <c r="AG155" i="27"/>
  <c r="AH155" i="27"/>
  <c r="AI155" i="27"/>
  <c r="AJ155" i="27"/>
  <c r="AK155" i="27"/>
  <c r="AL155" i="27"/>
  <c r="AM155" i="27"/>
  <c r="AN155" i="27"/>
  <c r="AO155" i="27"/>
  <c r="AP155" i="27"/>
  <c r="AQ155" i="27"/>
  <c r="AR155" i="27"/>
  <c r="AS155" i="27"/>
  <c r="AT155" i="27"/>
  <c r="AU155" i="27"/>
  <c r="AV155" i="27"/>
  <c r="AW155" i="27"/>
  <c r="AX155" i="27"/>
  <c r="AY155" i="27"/>
  <c r="AZ155" i="27"/>
  <c r="BA155" i="27"/>
  <c r="BB155" i="27"/>
  <c r="BC155" i="27"/>
  <c r="BD155" i="27"/>
  <c r="BE155" i="27"/>
  <c r="BF155" i="27"/>
  <c r="BG155" i="27"/>
  <c r="BH155" i="27"/>
  <c r="BI155" i="27"/>
  <c r="BJ155" i="27"/>
  <c r="BK155" i="27"/>
  <c r="BL155" i="27"/>
  <c r="BM155" i="27"/>
  <c r="BN155" i="27"/>
  <c r="BO155" i="27"/>
  <c r="BP155" i="27"/>
  <c r="BQ155" i="27"/>
  <c r="BR155" i="27"/>
  <c r="BS155" i="27"/>
  <c r="BT155" i="27"/>
  <c r="BU155" i="27"/>
  <c r="BV155" i="27"/>
  <c r="BW155" i="27"/>
  <c r="BX155" i="27"/>
  <c r="BY155" i="27"/>
  <c r="BZ155" i="27"/>
  <c r="CA155" i="27"/>
  <c r="CB155" i="27"/>
  <c r="CC155" i="27"/>
  <c r="CD155" i="27"/>
  <c r="CE155" i="27"/>
  <c r="CF155" i="27"/>
  <c r="CG155" i="27"/>
  <c r="CH155" i="27"/>
  <c r="CI155" i="27"/>
  <c r="CJ155" i="27"/>
  <c r="CK155" i="27"/>
  <c r="CL155" i="27"/>
  <c r="CM155" i="27"/>
  <c r="CN155" i="27"/>
  <c r="CO155" i="27"/>
  <c r="CP155" i="27"/>
  <c r="CQ155" i="27"/>
  <c r="CR155" i="27"/>
  <c r="CS155" i="27"/>
  <c r="CT155" i="27"/>
  <c r="CU155" i="27"/>
  <c r="CV155" i="27"/>
  <c r="CW155" i="27"/>
  <c r="CX155" i="27"/>
  <c r="CY155" i="27"/>
  <c r="CZ155" i="27"/>
  <c r="DA155" i="27"/>
  <c r="DB155" i="27"/>
  <c r="DC155" i="27"/>
  <c r="DD155" i="27"/>
  <c r="DE155" i="27"/>
  <c r="DF155" i="27"/>
  <c r="DG155" i="27"/>
  <c r="DH155" i="27"/>
  <c r="DI155" i="27"/>
  <c r="DJ155" i="27"/>
  <c r="DK155" i="27"/>
  <c r="DL155" i="27"/>
  <c r="DM155" i="27"/>
  <c r="DN155" i="27"/>
  <c r="DO155" i="27"/>
  <c r="DP155" i="27"/>
  <c r="DQ155" i="27"/>
  <c r="DR155" i="27"/>
  <c r="DS155" i="27"/>
  <c r="DT155" i="27"/>
  <c r="DU155" i="27"/>
  <c r="DV155" i="27"/>
  <c r="DW155" i="27"/>
  <c r="DX155" i="27"/>
  <c r="DY155" i="27"/>
  <c r="DZ155" i="27"/>
  <c r="EA155" i="27"/>
  <c r="EB155" i="27"/>
  <c r="EC155" i="27"/>
  <c r="ED155" i="27"/>
  <c r="EE155" i="27"/>
  <c r="EF155" i="27"/>
  <c r="EG155" i="27"/>
  <c r="EH155" i="27"/>
  <c r="EI155" i="27"/>
  <c r="EJ155" i="27"/>
  <c r="EK155" i="27"/>
  <c r="EL155" i="27"/>
  <c r="EM155" i="27"/>
  <c r="EN155" i="27"/>
  <c r="EO155" i="27"/>
  <c r="EP155" i="27"/>
  <c r="EQ155" i="27"/>
  <c r="ER155" i="27"/>
  <c r="ES155" i="27"/>
  <c r="ET155" i="27"/>
  <c r="EU155" i="27"/>
  <c r="EV155" i="27"/>
  <c r="EW155" i="27"/>
  <c r="EX155" i="27"/>
  <c r="EY155" i="27"/>
  <c r="EZ155" i="27"/>
  <c r="FA155" i="27"/>
  <c r="FB155" i="27"/>
  <c r="FC155" i="27"/>
  <c r="FD155" i="27"/>
  <c r="FE155" i="27"/>
  <c r="FF155" i="27"/>
  <c r="FG155" i="27"/>
  <c r="FH155" i="27"/>
  <c r="FI155" i="27"/>
  <c r="FJ155" i="27"/>
  <c r="FK155" i="27"/>
  <c r="FL155" i="27"/>
  <c r="FM155" i="27"/>
  <c r="FN155" i="27"/>
  <c r="FO155" i="27"/>
  <c r="FP155" i="27"/>
  <c r="FQ155" i="27"/>
  <c r="FR155" i="27"/>
  <c r="FS155" i="27"/>
  <c r="FT155" i="27"/>
  <c r="FU155" i="27"/>
  <c r="FV155" i="27"/>
  <c r="FW155" i="27"/>
  <c r="FX155" i="27"/>
  <c r="FY155" i="27"/>
  <c r="FZ155" i="27"/>
  <c r="GA155" i="27"/>
  <c r="GB155" i="27"/>
  <c r="GC155" i="27"/>
  <c r="GD155" i="27"/>
  <c r="GE155" i="27"/>
  <c r="GF155" i="27"/>
  <c r="GG155" i="27"/>
  <c r="GH155" i="27"/>
  <c r="GI155" i="27"/>
  <c r="GJ155" i="27"/>
  <c r="GK155" i="27"/>
  <c r="GL155" i="27"/>
  <c r="GM155" i="27"/>
  <c r="GN155" i="27"/>
  <c r="GO155" i="27"/>
  <c r="GP155" i="27"/>
  <c r="GQ155" i="27"/>
  <c r="GR155" i="27"/>
  <c r="GS155" i="27"/>
  <c r="GT155" i="27"/>
  <c r="GU155" i="27"/>
  <c r="GV155" i="27"/>
  <c r="GW155" i="27"/>
  <c r="GX155" i="27"/>
  <c r="GY155" i="27"/>
  <c r="GZ155" i="27"/>
  <c r="HA155" i="27"/>
  <c r="HB155" i="27"/>
  <c r="HC155" i="27"/>
  <c r="HD155" i="27"/>
  <c r="HE155" i="27"/>
  <c r="HF155" i="27"/>
  <c r="HG155" i="27"/>
  <c r="HH155" i="27"/>
  <c r="HI155" i="27"/>
  <c r="HJ155" i="27"/>
  <c r="HK155" i="27"/>
  <c r="HL155" i="27"/>
  <c r="HM155" i="27"/>
  <c r="HN155" i="27"/>
  <c r="HO155" i="27"/>
  <c r="HP155" i="27"/>
  <c r="HQ155" i="27"/>
  <c r="HR155" i="27"/>
  <c r="HS155" i="27"/>
  <c r="HT155" i="27"/>
  <c r="HU155" i="27"/>
  <c r="HV155" i="27"/>
  <c r="HW155" i="27"/>
  <c r="HX155" i="27"/>
  <c r="HY155" i="27"/>
  <c r="HZ155" i="27"/>
  <c r="IA155" i="27"/>
  <c r="IB155" i="27"/>
  <c r="IC155" i="27"/>
  <c r="ID155" i="27"/>
  <c r="IE155" i="27"/>
  <c r="IF155" i="27"/>
  <c r="IG155" i="27"/>
  <c r="IH155" i="27"/>
  <c r="II155" i="27"/>
  <c r="IJ155" i="27"/>
  <c r="IK155" i="27"/>
  <c r="IL155" i="27"/>
  <c r="IM155" i="27"/>
  <c r="IN155" i="27"/>
  <c r="IO155" i="27"/>
  <c r="IP155" i="27"/>
  <c r="IQ155" i="27"/>
  <c r="IR155" i="27"/>
  <c r="IS155" i="27"/>
  <c r="IT155" i="27"/>
  <c r="IU155" i="27"/>
  <c r="IV155" i="27"/>
  <c r="A154" i="27"/>
  <c r="B154" i="27"/>
  <c r="C154" i="27"/>
  <c r="D154" i="27"/>
  <c r="E154" i="27"/>
  <c r="F154" i="27"/>
  <c r="G154" i="27"/>
  <c r="H154" i="27"/>
  <c r="I154" i="27"/>
  <c r="J154" i="27"/>
  <c r="K154" i="27"/>
  <c r="L154" i="27"/>
  <c r="M154" i="27"/>
  <c r="N154" i="27"/>
  <c r="O154" i="27"/>
  <c r="P154" i="27"/>
  <c r="Q154" i="27"/>
  <c r="R154" i="27"/>
  <c r="S154" i="27"/>
  <c r="T154" i="27"/>
  <c r="U154" i="27"/>
  <c r="V154" i="27"/>
  <c r="W154" i="27"/>
  <c r="X154" i="27"/>
  <c r="Y154" i="27"/>
  <c r="Z154" i="27"/>
  <c r="AA154" i="27"/>
  <c r="AB154" i="27"/>
  <c r="AC154" i="27"/>
  <c r="AD154" i="27"/>
  <c r="AE154" i="27"/>
  <c r="AF154" i="27"/>
  <c r="AG154" i="27"/>
  <c r="AH154" i="27"/>
  <c r="AI154" i="27"/>
  <c r="AJ154" i="27"/>
  <c r="AK154" i="27"/>
  <c r="AL154" i="27"/>
  <c r="AM154" i="27"/>
  <c r="AN154" i="27"/>
  <c r="AO154" i="27"/>
  <c r="AP154" i="27"/>
  <c r="AQ154" i="27"/>
  <c r="AR154" i="27"/>
  <c r="AS154" i="27"/>
  <c r="AT154" i="27"/>
  <c r="AU154" i="27"/>
  <c r="AV154" i="27"/>
  <c r="AW154" i="27"/>
  <c r="AX154" i="27"/>
  <c r="AY154" i="27"/>
  <c r="AZ154" i="27"/>
  <c r="BA154" i="27"/>
  <c r="BB154" i="27"/>
  <c r="BC154" i="27"/>
  <c r="BD154" i="27"/>
  <c r="BE154" i="27"/>
  <c r="BF154" i="27"/>
  <c r="BG154" i="27"/>
  <c r="BH154" i="27"/>
  <c r="BI154" i="27"/>
  <c r="BJ154" i="27"/>
  <c r="BK154" i="27"/>
  <c r="BL154" i="27"/>
  <c r="BM154" i="27"/>
  <c r="BN154" i="27"/>
  <c r="BO154" i="27"/>
  <c r="BP154" i="27"/>
  <c r="BQ154" i="27"/>
  <c r="BR154" i="27"/>
  <c r="BS154" i="27"/>
  <c r="BT154" i="27"/>
  <c r="BU154" i="27"/>
  <c r="BV154" i="27"/>
  <c r="BW154" i="27"/>
  <c r="BX154" i="27"/>
  <c r="BY154" i="27"/>
  <c r="BZ154" i="27"/>
  <c r="CA154" i="27"/>
  <c r="CB154" i="27"/>
  <c r="CC154" i="27"/>
  <c r="CD154" i="27"/>
  <c r="CE154" i="27"/>
  <c r="CF154" i="27"/>
  <c r="CG154" i="27"/>
  <c r="CH154" i="27"/>
  <c r="CI154" i="27"/>
  <c r="CJ154" i="27"/>
  <c r="CK154" i="27"/>
  <c r="CL154" i="27"/>
  <c r="CM154" i="27"/>
  <c r="CN154" i="27"/>
  <c r="CO154" i="27"/>
  <c r="CP154" i="27"/>
  <c r="CQ154" i="27"/>
  <c r="CR154" i="27"/>
  <c r="CS154" i="27"/>
  <c r="CT154" i="27"/>
  <c r="CU154" i="27"/>
  <c r="CV154" i="27"/>
  <c r="CW154" i="27"/>
  <c r="CX154" i="27"/>
  <c r="CY154" i="27"/>
  <c r="CZ154" i="27"/>
  <c r="DA154" i="27"/>
  <c r="DB154" i="27"/>
  <c r="DC154" i="27"/>
  <c r="DD154" i="27"/>
  <c r="DE154" i="27"/>
  <c r="DF154" i="27"/>
  <c r="DG154" i="27"/>
  <c r="DH154" i="27"/>
  <c r="DI154" i="27"/>
  <c r="DJ154" i="27"/>
  <c r="DK154" i="27"/>
  <c r="DL154" i="27"/>
  <c r="DM154" i="27"/>
  <c r="DN154" i="27"/>
  <c r="DO154" i="27"/>
  <c r="DP154" i="27"/>
  <c r="DQ154" i="27"/>
  <c r="DR154" i="27"/>
  <c r="DS154" i="27"/>
  <c r="DT154" i="27"/>
  <c r="DU154" i="27"/>
  <c r="DV154" i="27"/>
  <c r="DW154" i="27"/>
  <c r="DX154" i="27"/>
  <c r="DY154" i="27"/>
  <c r="DZ154" i="27"/>
  <c r="EA154" i="27"/>
  <c r="EB154" i="27"/>
  <c r="EC154" i="27"/>
  <c r="ED154" i="27"/>
  <c r="EE154" i="27"/>
  <c r="EF154" i="27"/>
  <c r="EG154" i="27"/>
  <c r="EH154" i="27"/>
  <c r="EI154" i="27"/>
  <c r="EJ154" i="27"/>
  <c r="EK154" i="27"/>
  <c r="EL154" i="27"/>
  <c r="EM154" i="27"/>
  <c r="EN154" i="27"/>
  <c r="EO154" i="27"/>
  <c r="EP154" i="27"/>
  <c r="EQ154" i="27"/>
  <c r="ER154" i="27"/>
  <c r="ES154" i="27"/>
  <c r="ET154" i="27"/>
  <c r="EU154" i="27"/>
  <c r="EV154" i="27"/>
  <c r="EW154" i="27"/>
  <c r="EX154" i="27"/>
  <c r="EY154" i="27"/>
  <c r="EZ154" i="27"/>
  <c r="FA154" i="27"/>
  <c r="FB154" i="27"/>
  <c r="FC154" i="27"/>
  <c r="FD154" i="27"/>
  <c r="FE154" i="27"/>
  <c r="FF154" i="27"/>
  <c r="FG154" i="27"/>
  <c r="FH154" i="27"/>
  <c r="FI154" i="27"/>
  <c r="FJ154" i="27"/>
  <c r="FK154" i="27"/>
  <c r="FL154" i="27"/>
  <c r="FM154" i="27"/>
  <c r="FN154" i="27"/>
  <c r="FO154" i="27"/>
  <c r="FP154" i="27"/>
  <c r="FQ154" i="27"/>
  <c r="FR154" i="27"/>
  <c r="FS154" i="27"/>
  <c r="FT154" i="27"/>
  <c r="FU154" i="27"/>
  <c r="FV154" i="27"/>
  <c r="FW154" i="27"/>
  <c r="FX154" i="27"/>
  <c r="FY154" i="27"/>
  <c r="FZ154" i="27"/>
  <c r="GA154" i="27"/>
  <c r="GB154" i="27"/>
  <c r="GC154" i="27"/>
  <c r="GD154" i="27"/>
  <c r="GE154" i="27"/>
  <c r="GF154" i="27"/>
  <c r="GG154" i="27"/>
  <c r="GH154" i="27"/>
  <c r="GI154" i="27"/>
  <c r="GJ154" i="27"/>
  <c r="GK154" i="27"/>
  <c r="GL154" i="27"/>
  <c r="GM154" i="27"/>
  <c r="GN154" i="27"/>
  <c r="GO154" i="27"/>
  <c r="GP154" i="27"/>
  <c r="GQ154" i="27"/>
  <c r="GR154" i="27"/>
  <c r="GS154" i="27"/>
  <c r="GT154" i="27"/>
  <c r="GU154" i="27"/>
  <c r="GV154" i="27"/>
  <c r="GW154" i="27"/>
  <c r="GX154" i="27"/>
  <c r="GY154" i="27"/>
  <c r="GZ154" i="27"/>
  <c r="HA154" i="27"/>
  <c r="HB154" i="27"/>
  <c r="HC154" i="27"/>
  <c r="HD154" i="27"/>
  <c r="HE154" i="27"/>
  <c r="HF154" i="27"/>
  <c r="HG154" i="27"/>
  <c r="HH154" i="27"/>
  <c r="HI154" i="27"/>
  <c r="HJ154" i="27"/>
  <c r="HK154" i="27"/>
  <c r="HL154" i="27"/>
  <c r="HM154" i="27"/>
  <c r="HN154" i="27"/>
  <c r="HO154" i="27"/>
  <c r="HP154" i="27"/>
  <c r="HQ154" i="27"/>
  <c r="HR154" i="27"/>
  <c r="HS154" i="27"/>
  <c r="HT154" i="27"/>
  <c r="HU154" i="27"/>
  <c r="HV154" i="27"/>
  <c r="HW154" i="27"/>
  <c r="HX154" i="27"/>
  <c r="HY154" i="27"/>
  <c r="HZ154" i="27"/>
  <c r="IA154" i="27"/>
  <c r="IB154" i="27"/>
  <c r="IC154" i="27"/>
  <c r="ID154" i="27"/>
  <c r="IE154" i="27"/>
  <c r="IF154" i="27"/>
  <c r="IG154" i="27"/>
  <c r="IH154" i="27"/>
  <c r="II154" i="27"/>
  <c r="IJ154" i="27"/>
  <c r="IK154" i="27"/>
  <c r="IL154" i="27"/>
  <c r="IM154" i="27"/>
  <c r="IN154" i="27"/>
  <c r="IO154" i="27"/>
  <c r="IP154" i="27"/>
  <c r="IQ154" i="27"/>
  <c r="IR154" i="27"/>
  <c r="IS154" i="27"/>
  <c r="IT154" i="27"/>
  <c r="IU154" i="27"/>
  <c r="IV154" i="27"/>
  <c r="A153" i="27"/>
  <c r="C153" i="27"/>
  <c r="D153" i="27"/>
  <c r="E153" i="27"/>
  <c r="F153" i="27"/>
  <c r="G153" i="27"/>
  <c r="H153" i="27"/>
  <c r="I153" i="27"/>
  <c r="J153" i="27"/>
  <c r="K153" i="27"/>
  <c r="L153" i="27"/>
  <c r="M153" i="27"/>
  <c r="N153" i="27"/>
  <c r="O153" i="27"/>
  <c r="P153" i="27"/>
  <c r="Q153" i="27"/>
  <c r="R153" i="27"/>
  <c r="S153" i="27"/>
  <c r="T153" i="27"/>
  <c r="U153" i="27"/>
  <c r="V153" i="27"/>
  <c r="W153" i="27"/>
  <c r="X153" i="27"/>
  <c r="Y153" i="27"/>
  <c r="Z153" i="27"/>
  <c r="AA153" i="27"/>
  <c r="AB153" i="27"/>
  <c r="AC153" i="27"/>
  <c r="AD153" i="27"/>
  <c r="AE153" i="27"/>
  <c r="AF153" i="27"/>
  <c r="AG153" i="27"/>
  <c r="AH153" i="27"/>
  <c r="AI153" i="27"/>
  <c r="AJ153" i="27"/>
  <c r="AK153" i="27"/>
  <c r="AL153" i="27"/>
  <c r="AM153" i="27"/>
  <c r="AN153" i="27"/>
  <c r="AO153" i="27"/>
  <c r="AP153" i="27"/>
  <c r="AQ153" i="27"/>
  <c r="AR153" i="27"/>
  <c r="AS153" i="27"/>
  <c r="AT153" i="27"/>
  <c r="AU153" i="27"/>
  <c r="AV153" i="27"/>
  <c r="AW153" i="27"/>
  <c r="AX153" i="27"/>
  <c r="AY153" i="27"/>
  <c r="AZ153" i="27"/>
  <c r="BA153" i="27"/>
  <c r="BB153" i="27"/>
  <c r="BC153" i="27"/>
  <c r="BD153" i="27"/>
  <c r="BE153" i="27"/>
  <c r="BF153" i="27"/>
  <c r="BG153" i="27"/>
  <c r="BH153" i="27"/>
  <c r="BI153" i="27"/>
  <c r="BJ153" i="27"/>
  <c r="BK153" i="27"/>
  <c r="BL153" i="27"/>
  <c r="BM153" i="27"/>
  <c r="BN153" i="27"/>
  <c r="BO153" i="27"/>
  <c r="BP153" i="27"/>
  <c r="BQ153" i="27"/>
  <c r="BR153" i="27"/>
  <c r="BS153" i="27"/>
  <c r="BT153" i="27"/>
  <c r="BU153" i="27"/>
  <c r="BV153" i="27"/>
  <c r="BW153" i="27"/>
  <c r="BX153" i="27"/>
  <c r="BY153" i="27"/>
  <c r="BZ153" i="27"/>
  <c r="CA153" i="27"/>
  <c r="CB153" i="27"/>
  <c r="CC153" i="27"/>
  <c r="CD153" i="27"/>
  <c r="CE153" i="27"/>
  <c r="CF153" i="27"/>
  <c r="CG153" i="27"/>
  <c r="CH153" i="27"/>
  <c r="CI153" i="27"/>
  <c r="CJ153" i="27"/>
  <c r="CK153" i="27"/>
  <c r="CL153" i="27"/>
  <c r="CM153" i="27"/>
  <c r="CN153" i="27"/>
  <c r="CO153" i="27"/>
  <c r="CP153" i="27"/>
  <c r="CQ153" i="27"/>
  <c r="CR153" i="27"/>
  <c r="CS153" i="27"/>
  <c r="CT153" i="27"/>
  <c r="CU153" i="27"/>
  <c r="CV153" i="27"/>
  <c r="CW153" i="27"/>
  <c r="CX153" i="27"/>
  <c r="CY153" i="27"/>
  <c r="CZ153" i="27"/>
  <c r="DA153" i="27"/>
  <c r="DB153" i="27"/>
  <c r="DC153" i="27"/>
  <c r="DD153" i="27"/>
  <c r="DE153" i="27"/>
  <c r="DF153" i="27"/>
  <c r="DG153" i="27"/>
  <c r="DH153" i="27"/>
  <c r="DI153" i="27"/>
  <c r="DJ153" i="27"/>
  <c r="DK153" i="27"/>
  <c r="DL153" i="27"/>
  <c r="DM153" i="27"/>
  <c r="DN153" i="27"/>
  <c r="DO153" i="27"/>
  <c r="DP153" i="27"/>
  <c r="DQ153" i="27"/>
  <c r="DR153" i="27"/>
  <c r="DS153" i="27"/>
  <c r="DT153" i="27"/>
  <c r="DU153" i="27"/>
  <c r="DV153" i="27"/>
  <c r="DW153" i="27"/>
  <c r="DX153" i="27"/>
  <c r="DY153" i="27"/>
  <c r="DZ153" i="27"/>
  <c r="EA153" i="27"/>
  <c r="EB153" i="27"/>
  <c r="EC153" i="27"/>
  <c r="ED153" i="27"/>
  <c r="EE153" i="27"/>
  <c r="EF153" i="27"/>
  <c r="EG153" i="27"/>
  <c r="EH153" i="27"/>
  <c r="EI153" i="27"/>
  <c r="EJ153" i="27"/>
  <c r="EK153" i="27"/>
  <c r="EL153" i="27"/>
  <c r="EM153" i="27"/>
  <c r="EN153" i="27"/>
  <c r="EO153" i="27"/>
  <c r="EP153" i="27"/>
  <c r="EQ153" i="27"/>
  <c r="ER153" i="27"/>
  <c r="ES153" i="27"/>
  <c r="ET153" i="27"/>
  <c r="EU153" i="27"/>
  <c r="EV153" i="27"/>
  <c r="EW153" i="27"/>
  <c r="EX153" i="27"/>
  <c r="EY153" i="27"/>
  <c r="EZ153" i="27"/>
  <c r="FA153" i="27"/>
  <c r="FB153" i="27"/>
  <c r="FC153" i="27"/>
  <c r="FD153" i="27"/>
  <c r="FE153" i="27"/>
  <c r="FF153" i="27"/>
  <c r="FG153" i="27"/>
  <c r="FH153" i="27"/>
  <c r="FI153" i="27"/>
  <c r="FJ153" i="27"/>
  <c r="FK153" i="27"/>
  <c r="FL153" i="27"/>
  <c r="FM153" i="27"/>
  <c r="FN153" i="27"/>
  <c r="FO153" i="27"/>
  <c r="FP153" i="27"/>
  <c r="FQ153" i="27"/>
  <c r="FR153" i="27"/>
  <c r="FS153" i="27"/>
  <c r="FT153" i="27"/>
  <c r="FU153" i="27"/>
  <c r="FV153" i="27"/>
  <c r="FW153" i="27"/>
  <c r="FX153" i="27"/>
  <c r="FY153" i="27"/>
  <c r="FZ153" i="27"/>
  <c r="GA153" i="27"/>
  <c r="GB153" i="27"/>
  <c r="GC153" i="27"/>
  <c r="GD153" i="27"/>
  <c r="GE153" i="27"/>
  <c r="GF153" i="27"/>
  <c r="GG153" i="27"/>
  <c r="GH153" i="27"/>
  <c r="GI153" i="27"/>
  <c r="GJ153" i="27"/>
  <c r="GK153" i="27"/>
  <c r="GL153" i="27"/>
  <c r="GM153" i="27"/>
  <c r="GN153" i="27"/>
  <c r="GO153" i="27"/>
  <c r="GP153" i="27"/>
  <c r="GQ153" i="27"/>
  <c r="GR153" i="27"/>
  <c r="GS153" i="27"/>
  <c r="GT153" i="27"/>
  <c r="GU153" i="27"/>
  <c r="GV153" i="27"/>
  <c r="GW153" i="27"/>
  <c r="GX153" i="27"/>
  <c r="GY153" i="27"/>
  <c r="GZ153" i="27"/>
  <c r="HA153" i="27"/>
  <c r="HB153" i="27"/>
  <c r="HC153" i="27"/>
  <c r="HD153" i="27"/>
  <c r="HE153" i="27"/>
  <c r="HF153" i="27"/>
  <c r="HG153" i="27"/>
  <c r="HH153" i="27"/>
  <c r="HI153" i="27"/>
  <c r="HJ153" i="27"/>
  <c r="HK153" i="27"/>
  <c r="HL153" i="27"/>
  <c r="HM153" i="27"/>
  <c r="HN153" i="27"/>
  <c r="HO153" i="27"/>
  <c r="HP153" i="27"/>
  <c r="HQ153" i="27"/>
  <c r="HR153" i="27"/>
  <c r="HS153" i="27"/>
  <c r="HT153" i="27"/>
  <c r="HU153" i="27"/>
  <c r="HV153" i="27"/>
  <c r="HW153" i="27"/>
  <c r="HX153" i="27"/>
  <c r="HY153" i="27"/>
  <c r="HZ153" i="27"/>
  <c r="IA153" i="27"/>
  <c r="IB153" i="27"/>
  <c r="IC153" i="27"/>
  <c r="ID153" i="27"/>
  <c r="IE153" i="27"/>
  <c r="IF153" i="27"/>
  <c r="IG153" i="27"/>
  <c r="IH153" i="27"/>
  <c r="II153" i="27"/>
  <c r="IJ153" i="27"/>
  <c r="IK153" i="27"/>
  <c r="IL153" i="27"/>
  <c r="IM153" i="27"/>
  <c r="IN153" i="27"/>
  <c r="IO153" i="27"/>
  <c r="IP153" i="27"/>
  <c r="IQ153" i="27"/>
  <c r="IR153" i="27"/>
  <c r="IS153" i="27"/>
  <c r="IT153" i="27"/>
  <c r="IU153" i="27"/>
  <c r="IV153" i="27"/>
  <c r="A152" i="27"/>
  <c r="B152" i="27"/>
  <c r="C152" i="27"/>
  <c r="D152" i="27"/>
  <c r="E152" i="27"/>
  <c r="F152" i="27"/>
  <c r="G152" i="27"/>
  <c r="H152" i="27"/>
  <c r="I152" i="27"/>
  <c r="J152" i="27"/>
  <c r="K152" i="27"/>
  <c r="L152" i="27"/>
  <c r="M152" i="27"/>
  <c r="N152" i="27"/>
  <c r="O152" i="27"/>
  <c r="P152" i="27"/>
  <c r="Q152" i="27"/>
  <c r="R152" i="27"/>
  <c r="S152" i="27"/>
  <c r="T152" i="27"/>
  <c r="U152" i="27"/>
  <c r="V152" i="27"/>
  <c r="W152" i="27"/>
  <c r="X152" i="27"/>
  <c r="Y152" i="27"/>
  <c r="Z152" i="27"/>
  <c r="AA152" i="27"/>
  <c r="AB152" i="27"/>
  <c r="AC152" i="27"/>
  <c r="AD152" i="27"/>
  <c r="AE152" i="27"/>
  <c r="AF152" i="27"/>
  <c r="AG152" i="27"/>
  <c r="AH152" i="27"/>
  <c r="AI152" i="27"/>
  <c r="AJ152" i="27"/>
  <c r="AK152" i="27"/>
  <c r="AL152" i="27"/>
  <c r="AM152" i="27"/>
  <c r="AN152" i="27"/>
  <c r="AO152" i="27"/>
  <c r="AP152" i="27"/>
  <c r="AQ152" i="27"/>
  <c r="AR152" i="27"/>
  <c r="AS152" i="27"/>
  <c r="AT152" i="27"/>
  <c r="AU152" i="27"/>
  <c r="AV152" i="27"/>
  <c r="AW152" i="27"/>
  <c r="AX152" i="27"/>
  <c r="AY152" i="27"/>
  <c r="AZ152" i="27"/>
  <c r="BA152" i="27"/>
  <c r="BB152" i="27"/>
  <c r="BC152" i="27"/>
  <c r="BD152" i="27"/>
  <c r="BE152" i="27"/>
  <c r="BF152" i="27"/>
  <c r="BG152" i="27"/>
  <c r="BH152" i="27"/>
  <c r="BI152" i="27"/>
  <c r="BJ152" i="27"/>
  <c r="BK152" i="27"/>
  <c r="BL152" i="27"/>
  <c r="BM152" i="27"/>
  <c r="BN152" i="27"/>
  <c r="BO152" i="27"/>
  <c r="BP152" i="27"/>
  <c r="BQ152" i="27"/>
  <c r="BR152" i="27"/>
  <c r="BS152" i="27"/>
  <c r="BT152" i="27"/>
  <c r="BU152" i="27"/>
  <c r="BV152" i="27"/>
  <c r="BW152" i="27"/>
  <c r="BX152" i="27"/>
  <c r="BY152" i="27"/>
  <c r="BZ152" i="27"/>
  <c r="CA152" i="27"/>
  <c r="CB152" i="27"/>
  <c r="CC152" i="27"/>
  <c r="CD152" i="27"/>
  <c r="CE152" i="27"/>
  <c r="CF152" i="27"/>
  <c r="CG152" i="27"/>
  <c r="CH152" i="27"/>
  <c r="CI152" i="27"/>
  <c r="CJ152" i="27"/>
  <c r="CK152" i="27"/>
  <c r="CL152" i="27"/>
  <c r="CM152" i="27"/>
  <c r="CN152" i="27"/>
  <c r="CO152" i="27"/>
  <c r="CP152" i="27"/>
  <c r="CQ152" i="27"/>
  <c r="CR152" i="27"/>
  <c r="CS152" i="27"/>
  <c r="CT152" i="27"/>
  <c r="CU152" i="27"/>
  <c r="CV152" i="27"/>
  <c r="CW152" i="27"/>
  <c r="CX152" i="27"/>
  <c r="CY152" i="27"/>
  <c r="CZ152" i="27"/>
  <c r="DA152" i="27"/>
  <c r="DB152" i="27"/>
  <c r="DC152" i="27"/>
  <c r="DD152" i="27"/>
  <c r="DE152" i="27"/>
  <c r="DF152" i="27"/>
  <c r="DG152" i="27"/>
  <c r="DH152" i="27"/>
  <c r="DI152" i="27"/>
  <c r="DJ152" i="27"/>
  <c r="DK152" i="27"/>
  <c r="DL152" i="27"/>
  <c r="DM152" i="27"/>
  <c r="DN152" i="27"/>
  <c r="DO152" i="27"/>
  <c r="DP152" i="27"/>
  <c r="DQ152" i="27"/>
  <c r="DR152" i="27"/>
  <c r="DS152" i="27"/>
  <c r="DT152" i="27"/>
  <c r="DU152" i="27"/>
  <c r="DV152" i="27"/>
  <c r="DW152" i="27"/>
  <c r="DX152" i="27"/>
  <c r="DY152" i="27"/>
  <c r="DZ152" i="27"/>
  <c r="EA152" i="27"/>
  <c r="EB152" i="27"/>
  <c r="EC152" i="27"/>
  <c r="ED152" i="27"/>
  <c r="EE152" i="27"/>
  <c r="EF152" i="27"/>
  <c r="EG152" i="27"/>
  <c r="EH152" i="27"/>
  <c r="EI152" i="27"/>
  <c r="EJ152" i="27"/>
  <c r="EK152" i="27"/>
  <c r="EL152" i="27"/>
  <c r="EM152" i="27"/>
  <c r="EN152" i="27"/>
  <c r="EO152" i="27"/>
  <c r="EP152" i="27"/>
  <c r="EQ152" i="27"/>
  <c r="ER152" i="27"/>
  <c r="ES152" i="27"/>
  <c r="ET152" i="27"/>
  <c r="EU152" i="27"/>
  <c r="EV152" i="27"/>
  <c r="EW152" i="27"/>
  <c r="EX152" i="27"/>
  <c r="EY152" i="27"/>
  <c r="EZ152" i="27"/>
  <c r="FA152" i="27"/>
  <c r="FB152" i="27"/>
  <c r="FC152" i="27"/>
  <c r="FD152" i="27"/>
  <c r="FE152" i="27"/>
  <c r="FF152" i="27"/>
  <c r="FG152" i="27"/>
  <c r="FH152" i="27"/>
  <c r="FI152" i="27"/>
  <c r="FJ152" i="27"/>
  <c r="FK152" i="27"/>
  <c r="FL152" i="27"/>
  <c r="FM152" i="27"/>
  <c r="FN152" i="27"/>
  <c r="FO152" i="27"/>
  <c r="FP152" i="27"/>
  <c r="FQ152" i="27"/>
  <c r="FR152" i="27"/>
  <c r="FS152" i="27"/>
  <c r="FT152" i="27"/>
  <c r="FU152" i="27"/>
  <c r="FV152" i="27"/>
  <c r="FW152" i="27"/>
  <c r="FX152" i="27"/>
  <c r="FY152" i="27"/>
  <c r="FZ152" i="27"/>
  <c r="GA152" i="27"/>
  <c r="GB152" i="27"/>
  <c r="GC152" i="27"/>
  <c r="GD152" i="27"/>
  <c r="GE152" i="27"/>
  <c r="GF152" i="27"/>
  <c r="GG152" i="27"/>
  <c r="GH152" i="27"/>
  <c r="GI152" i="27"/>
  <c r="GJ152" i="27"/>
  <c r="GK152" i="27"/>
  <c r="GL152" i="27"/>
  <c r="GM152" i="27"/>
  <c r="GN152" i="27"/>
  <c r="GO152" i="27"/>
  <c r="GP152" i="27"/>
  <c r="GQ152" i="27"/>
  <c r="GR152" i="27"/>
  <c r="GS152" i="27"/>
  <c r="GT152" i="27"/>
  <c r="GU152" i="27"/>
  <c r="GV152" i="27"/>
  <c r="GW152" i="27"/>
  <c r="GX152" i="27"/>
  <c r="GY152" i="27"/>
  <c r="GZ152" i="27"/>
  <c r="HA152" i="27"/>
  <c r="HB152" i="27"/>
  <c r="HC152" i="27"/>
  <c r="HD152" i="27"/>
  <c r="HE152" i="27"/>
  <c r="HF152" i="27"/>
  <c r="HG152" i="27"/>
  <c r="HH152" i="27"/>
  <c r="HI152" i="27"/>
  <c r="HJ152" i="27"/>
  <c r="HK152" i="27"/>
  <c r="HL152" i="27"/>
  <c r="HM152" i="27"/>
  <c r="HN152" i="27"/>
  <c r="HO152" i="27"/>
  <c r="HP152" i="27"/>
  <c r="HQ152" i="27"/>
  <c r="HR152" i="27"/>
  <c r="HS152" i="27"/>
  <c r="HT152" i="27"/>
  <c r="HU152" i="27"/>
  <c r="HV152" i="27"/>
  <c r="HW152" i="27"/>
  <c r="HX152" i="27"/>
  <c r="HY152" i="27"/>
  <c r="HZ152" i="27"/>
  <c r="IA152" i="27"/>
  <c r="IB152" i="27"/>
  <c r="IC152" i="27"/>
  <c r="ID152" i="27"/>
  <c r="IE152" i="27"/>
  <c r="IF152" i="27"/>
  <c r="IG152" i="27"/>
  <c r="IH152" i="27"/>
  <c r="II152" i="27"/>
  <c r="IJ152" i="27"/>
  <c r="IK152" i="27"/>
  <c r="IL152" i="27"/>
  <c r="IM152" i="27"/>
  <c r="IN152" i="27"/>
  <c r="IO152" i="27"/>
  <c r="IP152" i="27"/>
  <c r="IQ152" i="27"/>
  <c r="IR152" i="27"/>
  <c r="IS152" i="27"/>
  <c r="IT152" i="27"/>
  <c r="IU152" i="27"/>
  <c r="IV152" i="27"/>
  <c r="A151" i="27"/>
  <c r="B151" i="27"/>
  <c r="C151" i="27"/>
  <c r="D151" i="27"/>
  <c r="E151" i="27"/>
  <c r="F151" i="27"/>
  <c r="G151" i="27"/>
  <c r="H151" i="27"/>
  <c r="I151" i="27"/>
  <c r="J151" i="27"/>
  <c r="K151" i="27"/>
  <c r="L151" i="27"/>
  <c r="M151" i="27"/>
  <c r="N151" i="27"/>
  <c r="O151" i="27"/>
  <c r="P151" i="27"/>
  <c r="Q151" i="27"/>
  <c r="R151" i="27"/>
  <c r="S151" i="27"/>
  <c r="T151" i="27"/>
  <c r="U151" i="27"/>
  <c r="V151" i="27"/>
  <c r="W151" i="27"/>
  <c r="X151" i="27"/>
  <c r="Y151" i="27"/>
  <c r="Z151" i="27"/>
  <c r="AA151" i="27"/>
  <c r="AC151" i="27"/>
  <c r="AD151" i="27"/>
  <c r="AE151" i="27"/>
  <c r="AF151" i="27"/>
  <c r="AG151" i="27"/>
  <c r="AH151" i="27"/>
  <c r="AI151" i="27"/>
  <c r="AJ151" i="27"/>
  <c r="AK151" i="27"/>
  <c r="AL151" i="27"/>
  <c r="AM151" i="27"/>
  <c r="AN151" i="27"/>
  <c r="AO151" i="27"/>
  <c r="AP151" i="27"/>
  <c r="AQ151" i="27"/>
  <c r="AR151" i="27"/>
  <c r="AS151" i="27"/>
  <c r="AT151" i="27"/>
  <c r="AU151" i="27"/>
  <c r="AV151" i="27"/>
  <c r="AW151" i="27"/>
  <c r="AX151" i="27"/>
  <c r="AY151" i="27"/>
  <c r="AZ151" i="27"/>
  <c r="BA151" i="27"/>
  <c r="BB151" i="27"/>
  <c r="BC151" i="27"/>
  <c r="BD151" i="27"/>
  <c r="BE151" i="27"/>
  <c r="BF151" i="27"/>
  <c r="BG151" i="27"/>
  <c r="BH151" i="27"/>
  <c r="BI151" i="27"/>
  <c r="BJ151" i="27"/>
  <c r="BK151" i="27"/>
  <c r="BL151" i="27"/>
  <c r="BM151" i="27"/>
  <c r="BN151" i="27"/>
  <c r="BO151" i="27"/>
  <c r="BP151" i="27"/>
  <c r="BQ151" i="27"/>
  <c r="BR151" i="27"/>
  <c r="BS151" i="27"/>
  <c r="BT151" i="27"/>
  <c r="BU151" i="27"/>
  <c r="BV151" i="27"/>
  <c r="BW151" i="27"/>
  <c r="BX151" i="27"/>
  <c r="BY151" i="27"/>
  <c r="BZ151" i="27"/>
  <c r="CA151" i="27"/>
  <c r="CB151" i="27"/>
  <c r="CC151" i="27"/>
  <c r="CD151" i="27"/>
  <c r="CE151" i="27"/>
  <c r="CF151" i="27"/>
  <c r="CG151" i="27"/>
  <c r="CH151" i="27"/>
  <c r="CI151" i="27"/>
  <c r="CJ151" i="27"/>
  <c r="CK151" i="27"/>
  <c r="CL151" i="27"/>
  <c r="CM151" i="27"/>
  <c r="CN151" i="27"/>
  <c r="CO151" i="27"/>
  <c r="CP151" i="27"/>
  <c r="CQ151" i="27"/>
  <c r="CR151" i="27"/>
  <c r="CS151" i="27"/>
  <c r="CT151" i="27"/>
  <c r="CU151" i="27"/>
  <c r="CV151" i="27"/>
  <c r="CW151" i="27"/>
  <c r="CX151" i="27"/>
  <c r="CY151" i="27"/>
  <c r="CZ151" i="27"/>
  <c r="DA151" i="27"/>
  <c r="DB151" i="27"/>
  <c r="DC151" i="27"/>
  <c r="DD151" i="27"/>
  <c r="DE151" i="27"/>
  <c r="DF151" i="27"/>
  <c r="DG151" i="27"/>
  <c r="DH151" i="27"/>
  <c r="DI151" i="27"/>
  <c r="DJ151" i="27"/>
  <c r="DK151" i="27"/>
  <c r="DL151" i="27"/>
  <c r="DM151" i="27"/>
  <c r="DN151" i="27"/>
  <c r="DO151" i="27"/>
  <c r="DP151" i="27"/>
  <c r="DQ151" i="27"/>
  <c r="DR151" i="27"/>
  <c r="DS151" i="27"/>
  <c r="DT151" i="27"/>
  <c r="DU151" i="27"/>
  <c r="DV151" i="27"/>
  <c r="DW151" i="27"/>
  <c r="DX151" i="27"/>
  <c r="DY151" i="27"/>
  <c r="DZ151" i="27"/>
  <c r="EA151" i="27"/>
  <c r="EB151" i="27"/>
  <c r="EC151" i="27"/>
  <c r="ED151" i="27"/>
  <c r="EE151" i="27"/>
  <c r="EF151" i="27"/>
  <c r="EG151" i="27"/>
  <c r="EH151" i="27"/>
  <c r="EI151" i="27"/>
  <c r="EJ151" i="27"/>
  <c r="EK151" i="27"/>
  <c r="EL151" i="27"/>
  <c r="EM151" i="27"/>
  <c r="EN151" i="27"/>
  <c r="EO151" i="27"/>
  <c r="EP151" i="27"/>
  <c r="EQ151" i="27"/>
  <c r="ER151" i="27"/>
  <c r="ES151" i="27"/>
  <c r="ET151" i="27"/>
  <c r="EU151" i="27"/>
  <c r="EV151" i="27"/>
  <c r="EW151" i="27"/>
  <c r="EX151" i="27"/>
  <c r="EY151" i="27"/>
  <c r="EZ151" i="27"/>
  <c r="FA151" i="27"/>
  <c r="FB151" i="27"/>
  <c r="FC151" i="27"/>
  <c r="FD151" i="27"/>
  <c r="FE151" i="27"/>
  <c r="FF151" i="27"/>
  <c r="FG151" i="27"/>
  <c r="FH151" i="27"/>
  <c r="FI151" i="27"/>
  <c r="FJ151" i="27"/>
  <c r="FK151" i="27"/>
  <c r="FL151" i="27"/>
  <c r="FM151" i="27"/>
  <c r="FN151" i="27"/>
  <c r="FO151" i="27"/>
  <c r="FP151" i="27"/>
  <c r="FQ151" i="27"/>
  <c r="FR151" i="27"/>
  <c r="FS151" i="27"/>
  <c r="FT151" i="27"/>
  <c r="FU151" i="27"/>
  <c r="FV151" i="27"/>
  <c r="FW151" i="27"/>
  <c r="FX151" i="27"/>
  <c r="FY151" i="27"/>
  <c r="FZ151" i="27"/>
  <c r="GA151" i="27"/>
  <c r="GB151" i="27"/>
  <c r="GC151" i="27"/>
  <c r="GD151" i="27"/>
  <c r="GE151" i="27"/>
  <c r="GF151" i="27"/>
  <c r="GG151" i="27"/>
  <c r="GH151" i="27"/>
  <c r="GI151" i="27"/>
  <c r="GJ151" i="27"/>
  <c r="GK151" i="27"/>
  <c r="GL151" i="27"/>
  <c r="GM151" i="27"/>
  <c r="GN151" i="27"/>
  <c r="GO151" i="27"/>
  <c r="GP151" i="27"/>
  <c r="GQ151" i="27"/>
  <c r="GR151" i="27"/>
  <c r="GS151" i="27"/>
  <c r="GT151" i="27"/>
  <c r="GU151" i="27"/>
  <c r="GV151" i="27"/>
  <c r="GW151" i="27"/>
  <c r="GX151" i="27"/>
  <c r="GY151" i="27"/>
  <c r="GZ151" i="27"/>
  <c r="HA151" i="27"/>
  <c r="HB151" i="27"/>
  <c r="HC151" i="27"/>
  <c r="HD151" i="27"/>
  <c r="HE151" i="27"/>
  <c r="HF151" i="27"/>
  <c r="HG151" i="27"/>
  <c r="HH151" i="27"/>
  <c r="HI151" i="27"/>
  <c r="HJ151" i="27"/>
  <c r="HK151" i="27"/>
  <c r="HL151" i="27"/>
  <c r="HM151" i="27"/>
  <c r="HN151" i="27"/>
  <c r="HO151" i="27"/>
  <c r="HP151" i="27"/>
  <c r="HQ151" i="27"/>
  <c r="HR151" i="27"/>
  <c r="HS151" i="27"/>
  <c r="HT151" i="27"/>
  <c r="HU151" i="27"/>
  <c r="HV151" i="27"/>
  <c r="HW151" i="27"/>
  <c r="HX151" i="27"/>
  <c r="HY151" i="27"/>
  <c r="HZ151" i="27"/>
  <c r="IA151" i="27"/>
  <c r="IB151" i="27"/>
  <c r="IC151" i="27"/>
  <c r="ID151" i="27"/>
  <c r="IE151" i="27"/>
  <c r="IF151" i="27"/>
  <c r="IG151" i="27"/>
  <c r="IH151" i="27"/>
  <c r="II151" i="27"/>
  <c r="IJ151" i="27"/>
  <c r="IK151" i="27"/>
  <c r="IL151" i="27"/>
  <c r="IM151" i="27"/>
  <c r="IN151" i="27"/>
  <c r="IO151" i="27"/>
  <c r="IP151" i="27"/>
  <c r="IQ151" i="27"/>
  <c r="IR151" i="27"/>
  <c r="IS151" i="27"/>
  <c r="IT151" i="27"/>
  <c r="IU151" i="27"/>
  <c r="IV151" i="27"/>
  <c r="A150" i="27"/>
  <c r="B150" i="27"/>
  <c r="C150" i="27"/>
  <c r="D150" i="27"/>
  <c r="E150" i="27"/>
  <c r="F150" i="27"/>
  <c r="G150" i="27"/>
  <c r="H150" i="27"/>
  <c r="I150" i="27"/>
  <c r="J150" i="27"/>
  <c r="K150" i="27"/>
  <c r="L150" i="27"/>
  <c r="M150" i="27"/>
  <c r="N150" i="27"/>
  <c r="O150" i="27"/>
  <c r="P150" i="27"/>
  <c r="Q150" i="27"/>
  <c r="R150" i="27"/>
  <c r="S150" i="27"/>
  <c r="T150" i="27"/>
  <c r="U150" i="27"/>
  <c r="V150" i="27"/>
  <c r="W150" i="27"/>
  <c r="X150" i="27"/>
  <c r="Y150" i="27"/>
  <c r="Z150" i="27"/>
  <c r="AA150" i="27"/>
  <c r="AB150" i="27"/>
  <c r="AC150" i="27"/>
  <c r="AD150" i="27"/>
  <c r="AE150" i="27"/>
  <c r="AF150" i="27"/>
  <c r="AG150" i="27"/>
  <c r="AH150" i="27"/>
  <c r="AI150" i="27"/>
  <c r="AJ150" i="27"/>
  <c r="AK150" i="27"/>
  <c r="AL150" i="27"/>
  <c r="AM150" i="27"/>
  <c r="AN150" i="27"/>
  <c r="AO150" i="27"/>
  <c r="AP150" i="27"/>
  <c r="AQ150" i="27"/>
  <c r="AR150" i="27"/>
  <c r="AS150" i="27"/>
  <c r="AT150" i="27"/>
  <c r="AU150" i="27"/>
  <c r="AV150" i="27"/>
  <c r="AW150" i="27"/>
  <c r="AX150" i="27"/>
  <c r="AY150" i="27"/>
  <c r="AZ150" i="27"/>
  <c r="BA150" i="27"/>
  <c r="BB150" i="27"/>
  <c r="BC150" i="27"/>
  <c r="BD150" i="27"/>
  <c r="BE150" i="27"/>
  <c r="BF150" i="27"/>
  <c r="BG150" i="27"/>
  <c r="BH150" i="27"/>
  <c r="BI150" i="27"/>
  <c r="BJ150" i="27"/>
  <c r="BK150" i="27"/>
  <c r="BL150" i="27"/>
  <c r="BM150" i="27"/>
  <c r="BN150" i="27"/>
  <c r="BO150" i="27"/>
  <c r="BP150" i="27"/>
  <c r="BQ150" i="27"/>
  <c r="BR150" i="27"/>
  <c r="BS150" i="27"/>
  <c r="BT150" i="27"/>
  <c r="BU150" i="27"/>
  <c r="BV150" i="27"/>
  <c r="BW150" i="27"/>
  <c r="BX150" i="27"/>
  <c r="BY150" i="27"/>
  <c r="BZ150" i="27"/>
  <c r="CA150" i="27"/>
  <c r="CB150" i="27"/>
  <c r="CC150" i="27"/>
  <c r="CD150" i="27"/>
  <c r="CE150" i="27"/>
  <c r="CF150" i="27"/>
  <c r="CG150" i="27"/>
  <c r="CH150" i="27"/>
  <c r="CI150" i="27"/>
  <c r="CJ150" i="27"/>
  <c r="CK150" i="27"/>
  <c r="CL150" i="27"/>
  <c r="CM150" i="27"/>
  <c r="CN150" i="27"/>
  <c r="CO150" i="27"/>
  <c r="CP150" i="27"/>
  <c r="CQ150" i="27"/>
  <c r="CR150" i="27"/>
  <c r="CS150" i="27"/>
  <c r="CT150" i="27"/>
  <c r="CU150" i="27"/>
  <c r="CV150" i="27"/>
  <c r="CW150" i="27"/>
  <c r="CX150" i="27"/>
  <c r="CY150" i="27"/>
  <c r="CZ150" i="27"/>
  <c r="DA150" i="27"/>
  <c r="DB150" i="27"/>
  <c r="DC150" i="27"/>
  <c r="DD150" i="27"/>
  <c r="DE150" i="27"/>
  <c r="DF150" i="27"/>
  <c r="DG150" i="27"/>
  <c r="DH150" i="27"/>
  <c r="DI150" i="27"/>
  <c r="DJ150" i="27"/>
  <c r="DK150" i="27"/>
  <c r="DL150" i="27"/>
  <c r="DM150" i="27"/>
  <c r="DN150" i="27"/>
  <c r="DO150" i="27"/>
  <c r="DP150" i="27"/>
  <c r="DQ150" i="27"/>
  <c r="DR150" i="27"/>
  <c r="DS150" i="27"/>
  <c r="DT150" i="27"/>
  <c r="DU150" i="27"/>
  <c r="DV150" i="27"/>
  <c r="DW150" i="27"/>
  <c r="DX150" i="27"/>
  <c r="DY150" i="27"/>
  <c r="DZ150" i="27"/>
  <c r="EA150" i="27"/>
  <c r="EB150" i="27"/>
  <c r="EC150" i="27"/>
  <c r="ED150" i="27"/>
  <c r="EE150" i="27"/>
  <c r="EF150" i="27"/>
  <c r="EG150" i="27"/>
  <c r="EH150" i="27"/>
  <c r="EI150" i="27"/>
  <c r="EJ150" i="27"/>
  <c r="EK150" i="27"/>
  <c r="EL150" i="27"/>
  <c r="EM150" i="27"/>
  <c r="EN150" i="27"/>
  <c r="EO150" i="27"/>
  <c r="EP150" i="27"/>
  <c r="EQ150" i="27"/>
  <c r="ER150" i="27"/>
  <c r="ES150" i="27"/>
  <c r="ET150" i="27"/>
  <c r="EU150" i="27"/>
  <c r="EV150" i="27"/>
  <c r="EW150" i="27"/>
  <c r="EX150" i="27"/>
  <c r="EY150" i="27"/>
  <c r="EZ150" i="27"/>
  <c r="FA150" i="27"/>
  <c r="FB150" i="27"/>
  <c r="FC150" i="27"/>
  <c r="FD150" i="27"/>
  <c r="FE150" i="27"/>
  <c r="FF150" i="27"/>
  <c r="FG150" i="27"/>
  <c r="FH150" i="27"/>
  <c r="FI150" i="27"/>
  <c r="FJ150" i="27"/>
  <c r="FK150" i="27"/>
  <c r="FL150" i="27"/>
  <c r="FM150" i="27"/>
  <c r="FN150" i="27"/>
  <c r="FO150" i="27"/>
  <c r="FP150" i="27"/>
  <c r="FQ150" i="27"/>
  <c r="FR150" i="27"/>
  <c r="FS150" i="27"/>
  <c r="FT150" i="27"/>
  <c r="FU150" i="27"/>
  <c r="FV150" i="27"/>
  <c r="FW150" i="27"/>
  <c r="FX150" i="27"/>
  <c r="FY150" i="27"/>
  <c r="FZ150" i="27"/>
  <c r="GA150" i="27"/>
  <c r="GB150" i="27"/>
  <c r="GC150" i="27"/>
  <c r="GD150" i="27"/>
  <c r="GE150" i="27"/>
  <c r="GF150" i="27"/>
  <c r="GG150" i="27"/>
  <c r="GH150" i="27"/>
  <c r="GI150" i="27"/>
  <c r="GJ150" i="27"/>
  <c r="GK150" i="27"/>
  <c r="GL150" i="27"/>
  <c r="GM150" i="27"/>
  <c r="GN150" i="27"/>
  <c r="GO150" i="27"/>
  <c r="GP150" i="27"/>
  <c r="GQ150" i="27"/>
  <c r="GR150" i="27"/>
  <c r="GS150" i="27"/>
  <c r="GT150" i="27"/>
  <c r="GU150" i="27"/>
  <c r="GV150" i="27"/>
  <c r="GW150" i="27"/>
  <c r="GX150" i="27"/>
  <c r="GY150" i="27"/>
  <c r="GZ150" i="27"/>
  <c r="HA150" i="27"/>
  <c r="HB150" i="27"/>
  <c r="HC150" i="27"/>
  <c r="HD150" i="27"/>
  <c r="HE150" i="27"/>
  <c r="HF150" i="27"/>
  <c r="HG150" i="27"/>
  <c r="HH150" i="27"/>
  <c r="HI150" i="27"/>
  <c r="HJ150" i="27"/>
  <c r="HK150" i="27"/>
  <c r="HL150" i="27"/>
  <c r="HM150" i="27"/>
  <c r="HN150" i="27"/>
  <c r="HO150" i="27"/>
  <c r="HP150" i="27"/>
  <c r="HQ150" i="27"/>
  <c r="HR150" i="27"/>
  <c r="HS150" i="27"/>
  <c r="HT150" i="27"/>
  <c r="HU150" i="27"/>
  <c r="HV150" i="27"/>
  <c r="HW150" i="27"/>
  <c r="HX150" i="27"/>
  <c r="HY150" i="27"/>
  <c r="HZ150" i="27"/>
  <c r="IA150" i="27"/>
  <c r="IB150" i="27"/>
  <c r="IC150" i="27"/>
  <c r="ID150" i="27"/>
  <c r="IE150" i="27"/>
  <c r="IF150" i="27"/>
  <c r="IG150" i="27"/>
  <c r="IH150" i="27"/>
  <c r="II150" i="27"/>
  <c r="IJ150" i="27"/>
  <c r="IK150" i="27"/>
  <c r="IL150" i="27"/>
  <c r="IM150" i="27"/>
  <c r="IN150" i="27"/>
  <c r="IO150" i="27"/>
  <c r="IP150" i="27"/>
  <c r="IQ150" i="27"/>
  <c r="IR150" i="27"/>
  <c r="IS150" i="27"/>
  <c r="IT150" i="27"/>
  <c r="IU150" i="27"/>
  <c r="IV150" i="27"/>
  <c r="A149" i="27"/>
  <c r="B149" i="27"/>
  <c r="C149" i="27"/>
  <c r="D149" i="27"/>
  <c r="E149" i="27"/>
  <c r="F149" i="27"/>
  <c r="G149" i="27"/>
  <c r="H149" i="27"/>
  <c r="I149" i="27"/>
  <c r="J149" i="27"/>
  <c r="K149" i="27"/>
  <c r="L149" i="27"/>
  <c r="M149" i="27"/>
  <c r="N149" i="27"/>
  <c r="O149" i="27"/>
  <c r="P149" i="27"/>
  <c r="Q149" i="27"/>
  <c r="R149" i="27"/>
  <c r="S149" i="27"/>
  <c r="T149" i="27"/>
  <c r="U149" i="27"/>
  <c r="V149" i="27"/>
  <c r="W149" i="27"/>
  <c r="X149" i="27"/>
  <c r="Y149" i="27"/>
  <c r="Z149" i="27"/>
  <c r="AA149" i="27"/>
  <c r="AB149" i="27"/>
  <c r="AC149" i="27"/>
  <c r="AD149" i="27"/>
  <c r="AE149" i="27"/>
  <c r="AF149" i="27"/>
  <c r="AG149" i="27"/>
  <c r="AH149" i="27"/>
  <c r="AI149" i="27"/>
  <c r="AJ149" i="27"/>
  <c r="AK149" i="27"/>
  <c r="AL149" i="27"/>
  <c r="AM149" i="27"/>
  <c r="AN149" i="27"/>
  <c r="AO149" i="27"/>
  <c r="AP149" i="27"/>
  <c r="AQ149" i="27"/>
  <c r="AR149" i="27"/>
  <c r="AS149" i="27"/>
  <c r="AT149" i="27"/>
  <c r="AU149" i="27"/>
  <c r="AV149" i="27"/>
  <c r="AW149" i="27"/>
  <c r="AX149" i="27"/>
  <c r="AY149" i="27"/>
  <c r="AZ149" i="27"/>
  <c r="BA149" i="27"/>
  <c r="BB149" i="27"/>
  <c r="BC149" i="27"/>
  <c r="BD149" i="27"/>
  <c r="BE149" i="27"/>
  <c r="BF149" i="27"/>
  <c r="BG149" i="27"/>
  <c r="BH149" i="27"/>
  <c r="BI149" i="27"/>
  <c r="BJ149" i="27"/>
  <c r="BK149" i="27"/>
  <c r="BL149" i="27"/>
  <c r="BM149" i="27"/>
  <c r="BN149" i="27"/>
  <c r="BO149" i="27"/>
  <c r="BP149" i="27"/>
  <c r="BQ149" i="27"/>
  <c r="BR149" i="27"/>
  <c r="BS149" i="27"/>
  <c r="BT149" i="27"/>
  <c r="BU149" i="27"/>
  <c r="BV149" i="27"/>
  <c r="BW149" i="27"/>
  <c r="BX149" i="27"/>
  <c r="BY149" i="27"/>
  <c r="BZ149" i="27"/>
  <c r="CA149" i="27"/>
  <c r="CB149" i="27"/>
  <c r="CC149" i="27"/>
  <c r="CD149" i="27"/>
  <c r="CE149" i="27"/>
  <c r="CF149" i="27"/>
  <c r="CG149" i="27"/>
  <c r="CH149" i="27"/>
  <c r="CI149" i="27"/>
  <c r="CJ149" i="27"/>
  <c r="CK149" i="27"/>
  <c r="CL149" i="27"/>
  <c r="CM149" i="27"/>
  <c r="CN149" i="27"/>
  <c r="CO149" i="27"/>
  <c r="CP149" i="27"/>
  <c r="CQ149" i="27"/>
  <c r="CR149" i="27"/>
  <c r="CS149" i="27"/>
  <c r="CT149" i="27"/>
  <c r="CU149" i="27"/>
  <c r="CV149" i="27"/>
  <c r="CW149" i="27"/>
  <c r="CX149" i="27"/>
  <c r="CY149" i="27"/>
  <c r="CZ149" i="27"/>
  <c r="DA149" i="27"/>
  <c r="DB149" i="27"/>
  <c r="DC149" i="27"/>
  <c r="DD149" i="27"/>
  <c r="DE149" i="27"/>
  <c r="DF149" i="27"/>
  <c r="DG149" i="27"/>
  <c r="DH149" i="27"/>
  <c r="DI149" i="27"/>
  <c r="DJ149" i="27"/>
  <c r="DK149" i="27"/>
  <c r="DL149" i="27"/>
  <c r="DM149" i="27"/>
  <c r="DN149" i="27"/>
  <c r="DO149" i="27"/>
  <c r="DP149" i="27"/>
  <c r="DQ149" i="27"/>
  <c r="DR149" i="27"/>
  <c r="DS149" i="27"/>
  <c r="DT149" i="27"/>
  <c r="DU149" i="27"/>
  <c r="DV149" i="27"/>
  <c r="DW149" i="27"/>
  <c r="DX149" i="27"/>
  <c r="DY149" i="27"/>
  <c r="DZ149" i="27"/>
  <c r="EA149" i="27"/>
  <c r="EB149" i="27"/>
  <c r="EC149" i="27"/>
  <c r="ED149" i="27"/>
  <c r="EE149" i="27"/>
  <c r="EF149" i="27"/>
  <c r="EG149" i="27"/>
  <c r="EH149" i="27"/>
  <c r="EI149" i="27"/>
  <c r="EJ149" i="27"/>
  <c r="EK149" i="27"/>
  <c r="EL149" i="27"/>
  <c r="EM149" i="27"/>
  <c r="EN149" i="27"/>
  <c r="EO149" i="27"/>
  <c r="EP149" i="27"/>
  <c r="EQ149" i="27"/>
  <c r="ER149" i="27"/>
  <c r="ES149" i="27"/>
  <c r="ET149" i="27"/>
  <c r="EU149" i="27"/>
  <c r="EV149" i="27"/>
  <c r="EW149" i="27"/>
  <c r="EX149" i="27"/>
  <c r="EY149" i="27"/>
  <c r="EZ149" i="27"/>
  <c r="FA149" i="27"/>
  <c r="FB149" i="27"/>
  <c r="FC149" i="27"/>
  <c r="FD149" i="27"/>
  <c r="FE149" i="27"/>
  <c r="FF149" i="27"/>
  <c r="FG149" i="27"/>
  <c r="FH149" i="27"/>
  <c r="FI149" i="27"/>
  <c r="FJ149" i="27"/>
  <c r="FK149" i="27"/>
  <c r="FL149" i="27"/>
  <c r="FM149" i="27"/>
  <c r="FN149" i="27"/>
  <c r="FO149" i="27"/>
  <c r="FP149" i="27"/>
  <c r="FQ149" i="27"/>
  <c r="FR149" i="27"/>
  <c r="FS149" i="27"/>
  <c r="FT149" i="27"/>
  <c r="FU149" i="27"/>
  <c r="FV149" i="27"/>
  <c r="FW149" i="27"/>
  <c r="FX149" i="27"/>
  <c r="FY149" i="27"/>
  <c r="FZ149" i="27"/>
  <c r="GA149" i="27"/>
  <c r="GB149" i="27"/>
  <c r="GC149" i="27"/>
  <c r="GD149" i="27"/>
  <c r="GE149" i="27"/>
  <c r="GF149" i="27"/>
  <c r="GG149" i="27"/>
  <c r="GH149" i="27"/>
  <c r="GI149" i="27"/>
  <c r="GJ149" i="27"/>
  <c r="GK149" i="27"/>
  <c r="GL149" i="27"/>
  <c r="GM149" i="27"/>
  <c r="GN149" i="27"/>
  <c r="GO149" i="27"/>
  <c r="GP149" i="27"/>
  <c r="GQ149" i="27"/>
  <c r="GR149" i="27"/>
  <c r="GS149" i="27"/>
  <c r="GT149" i="27"/>
  <c r="GU149" i="27"/>
  <c r="GV149" i="27"/>
  <c r="GW149" i="27"/>
  <c r="GX149" i="27"/>
  <c r="GY149" i="27"/>
  <c r="GZ149" i="27"/>
  <c r="HA149" i="27"/>
  <c r="HB149" i="27"/>
  <c r="HC149" i="27"/>
  <c r="HD149" i="27"/>
  <c r="HE149" i="27"/>
  <c r="HF149" i="27"/>
  <c r="HG149" i="27"/>
  <c r="HH149" i="27"/>
  <c r="HI149" i="27"/>
  <c r="HJ149" i="27"/>
  <c r="HK149" i="27"/>
  <c r="HL149" i="27"/>
  <c r="HM149" i="27"/>
  <c r="HN149" i="27"/>
  <c r="HO149" i="27"/>
  <c r="HP149" i="27"/>
  <c r="HQ149" i="27"/>
  <c r="HR149" i="27"/>
  <c r="HS149" i="27"/>
  <c r="HT149" i="27"/>
  <c r="HU149" i="27"/>
  <c r="HV149" i="27"/>
  <c r="HW149" i="27"/>
  <c r="HX149" i="27"/>
  <c r="HY149" i="27"/>
  <c r="HZ149" i="27"/>
  <c r="IA149" i="27"/>
  <c r="IB149" i="27"/>
  <c r="IC149" i="27"/>
  <c r="ID149" i="27"/>
  <c r="IE149" i="27"/>
  <c r="IF149" i="27"/>
  <c r="IG149" i="27"/>
  <c r="IH149" i="27"/>
  <c r="II149" i="27"/>
  <c r="IJ149" i="27"/>
  <c r="IK149" i="27"/>
  <c r="IL149" i="27"/>
  <c r="IM149" i="27"/>
  <c r="IN149" i="27"/>
  <c r="IO149" i="27"/>
  <c r="IP149" i="27"/>
  <c r="IQ149" i="27"/>
  <c r="IR149" i="27"/>
  <c r="IS149" i="27"/>
  <c r="IT149" i="27"/>
  <c r="IU149" i="27"/>
  <c r="IV149" i="27"/>
  <c r="A148" i="27"/>
  <c r="B148" i="27"/>
  <c r="C148" i="27"/>
  <c r="D148" i="27"/>
  <c r="E148" i="27"/>
  <c r="F148" i="27"/>
  <c r="G148" i="27"/>
  <c r="H148" i="27"/>
  <c r="I148" i="27"/>
  <c r="J148" i="27"/>
  <c r="K148" i="27"/>
  <c r="L148" i="27"/>
  <c r="M148" i="27"/>
  <c r="N148" i="27"/>
  <c r="O148" i="27"/>
  <c r="P148" i="27"/>
  <c r="Q148" i="27"/>
  <c r="R148" i="27"/>
  <c r="S148" i="27"/>
  <c r="T148" i="27"/>
  <c r="U148" i="27"/>
  <c r="V148" i="27"/>
  <c r="W148" i="27"/>
  <c r="X148" i="27"/>
  <c r="Y148" i="27"/>
  <c r="Z148" i="27"/>
  <c r="AA148" i="27"/>
  <c r="AB148" i="27"/>
  <c r="AC148" i="27"/>
  <c r="AD148" i="27"/>
  <c r="AE148" i="27"/>
  <c r="AF148" i="27"/>
  <c r="AG148" i="27"/>
  <c r="AH148" i="27"/>
  <c r="AI148" i="27"/>
  <c r="AJ148" i="27"/>
  <c r="AK148" i="27"/>
  <c r="AL148" i="27"/>
  <c r="AM148" i="27"/>
  <c r="AN148" i="27"/>
  <c r="AO148" i="27"/>
  <c r="AP148" i="27"/>
  <c r="AQ148" i="27"/>
  <c r="AR148" i="27"/>
  <c r="AS148" i="27"/>
  <c r="AT148" i="27"/>
  <c r="AU148" i="27"/>
  <c r="AV148" i="27"/>
  <c r="AW148" i="27"/>
  <c r="AX148" i="27"/>
  <c r="AY148" i="27"/>
  <c r="AZ148" i="27"/>
  <c r="BA148" i="27"/>
  <c r="BB148" i="27"/>
  <c r="BC148" i="27"/>
  <c r="BD148" i="27"/>
  <c r="BE148" i="27"/>
  <c r="BF148" i="27"/>
  <c r="BG148" i="27"/>
  <c r="BH148" i="27"/>
  <c r="BI148" i="27"/>
  <c r="BJ148" i="27"/>
  <c r="BK148" i="27"/>
  <c r="BL148" i="27"/>
  <c r="BM148" i="27"/>
  <c r="BN148" i="27"/>
  <c r="BO148" i="27"/>
  <c r="BP148" i="27"/>
  <c r="BQ148" i="27"/>
  <c r="BR148" i="27"/>
  <c r="BS148" i="27"/>
  <c r="BT148" i="27"/>
  <c r="BU148" i="27"/>
  <c r="BV148" i="27"/>
  <c r="BW148" i="27"/>
  <c r="BX148" i="27"/>
  <c r="BY148" i="27"/>
  <c r="BZ148" i="27"/>
  <c r="CA148" i="27"/>
  <c r="CB148" i="27"/>
  <c r="CC148" i="27"/>
  <c r="CD148" i="27"/>
  <c r="CE148" i="27"/>
  <c r="CF148" i="27"/>
  <c r="CG148" i="27"/>
  <c r="CH148" i="27"/>
  <c r="CI148" i="27"/>
  <c r="CJ148" i="27"/>
  <c r="CK148" i="27"/>
  <c r="CL148" i="27"/>
  <c r="CM148" i="27"/>
  <c r="CN148" i="27"/>
  <c r="CO148" i="27"/>
  <c r="CP148" i="27"/>
  <c r="CQ148" i="27"/>
  <c r="CR148" i="27"/>
  <c r="CS148" i="27"/>
  <c r="CT148" i="27"/>
  <c r="CU148" i="27"/>
  <c r="CV148" i="27"/>
  <c r="CW148" i="27"/>
  <c r="CX148" i="27"/>
  <c r="CY148" i="27"/>
  <c r="CZ148" i="27"/>
  <c r="DA148" i="27"/>
  <c r="DB148" i="27"/>
  <c r="DC148" i="27"/>
  <c r="DD148" i="27"/>
  <c r="DE148" i="27"/>
  <c r="DF148" i="27"/>
  <c r="DG148" i="27"/>
  <c r="DH148" i="27"/>
  <c r="DI148" i="27"/>
  <c r="DJ148" i="27"/>
  <c r="DK148" i="27"/>
  <c r="DL148" i="27"/>
  <c r="DM148" i="27"/>
  <c r="DN148" i="27"/>
  <c r="DO148" i="27"/>
  <c r="DP148" i="27"/>
  <c r="DQ148" i="27"/>
  <c r="DR148" i="27"/>
  <c r="DS148" i="27"/>
  <c r="DT148" i="27"/>
  <c r="DU148" i="27"/>
  <c r="DV148" i="27"/>
  <c r="DW148" i="27"/>
  <c r="DX148" i="27"/>
  <c r="DY148" i="27"/>
  <c r="DZ148" i="27"/>
  <c r="EA148" i="27"/>
  <c r="EB148" i="27"/>
  <c r="EC148" i="27"/>
  <c r="ED148" i="27"/>
  <c r="EE148" i="27"/>
  <c r="EF148" i="27"/>
  <c r="EG148" i="27"/>
  <c r="EH148" i="27"/>
  <c r="EI148" i="27"/>
  <c r="EJ148" i="27"/>
  <c r="EK148" i="27"/>
  <c r="EL148" i="27"/>
  <c r="EM148" i="27"/>
  <c r="EN148" i="27"/>
  <c r="EO148" i="27"/>
  <c r="EP148" i="27"/>
  <c r="EQ148" i="27"/>
  <c r="ER148" i="27"/>
  <c r="ES148" i="27"/>
  <c r="ET148" i="27"/>
  <c r="EU148" i="27"/>
  <c r="EV148" i="27"/>
  <c r="EW148" i="27"/>
  <c r="EX148" i="27"/>
  <c r="EY148" i="27"/>
  <c r="EZ148" i="27"/>
  <c r="FA148" i="27"/>
  <c r="FB148" i="27"/>
  <c r="FC148" i="27"/>
  <c r="FD148" i="27"/>
  <c r="FE148" i="27"/>
  <c r="FF148" i="27"/>
  <c r="FG148" i="27"/>
  <c r="FH148" i="27"/>
  <c r="FI148" i="27"/>
  <c r="FJ148" i="27"/>
  <c r="FK148" i="27"/>
  <c r="FL148" i="27"/>
  <c r="FM148" i="27"/>
  <c r="FN148" i="27"/>
  <c r="FO148" i="27"/>
  <c r="FP148" i="27"/>
  <c r="FQ148" i="27"/>
  <c r="FR148" i="27"/>
  <c r="FS148" i="27"/>
  <c r="FT148" i="27"/>
  <c r="FU148" i="27"/>
  <c r="FV148" i="27"/>
  <c r="FW148" i="27"/>
  <c r="FX148" i="27"/>
  <c r="FY148" i="27"/>
  <c r="FZ148" i="27"/>
  <c r="GA148" i="27"/>
  <c r="GB148" i="27"/>
  <c r="GC148" i="27"/>
  <c r="GD148" i="27"/>
  <c r="GE148" i="27"/>
  <c r="GF148" i="27"/>
  <c r="GG148" i="27"/>
  <c r="GH148" i="27"/>
  <c r="GI148" i="27"/>
  <c r="GJ148" i="27"/>
  <c r="GK148" i="27"/>
  <c r="GL148" i="27"/>
  <c r="GM148" i="27"/>
  <c r="GN148" i="27"/>
  <c r="GO148" i="27"/>
  <c r="GP148" i="27"/>
  <c r="GQ148" i="27"/>
  <c r="GR148" i="27"/>
  <c r="GS148" i="27"/>
  <c r="GT148" i="27"/>
  <c r="GU148" i="27"/>
  <c r="GV148" i="27"/>
  <c r="GW148" i="27"/>
  <c r="GX148" i="27"/>
  <c r="GY148" i="27"/>
  <c r="GZ148" i="27"/>
  <c r="HA148" i="27"/>
  <c r="HB148" i="27"/>
  <c r="HC148" i="27"/>
  <c r="HD148" i="27"/>
  <c r="HE148" i="27"/>
  <c r="HF148" i="27"/>
  <c r="HG148" i="27"/>
  <c r="HH148" i="27"/>
  <c r="HI148" i="27"/>
  <c r="HJ148" i="27"/>
  <c r="HK148" i="27"/>
  <c r="HL148" i="27"/>
  <c r="HM148" i="27"/>
  <c r="HN148" i="27"/>
  <c r="HO148" i="27"/>
  <c r="HP148" i="27"/>
  <c r="HQ148" i="27"/>
  <c r="HR148" i="27"/>
  <c r="HS148" i="27"/>
  <c r="HT148" i="27"/>
  <c r="HU148" i="27"/>
  <c r="HV148" i="27"/>
  <c r="HW148" i="27"/>
  <c r="HX148" i="27"/>
  <c r="HY148" i="27"/>
  <c r="HZ148" i="27"/>
  <c r="IA148" i="27"/>
  <c r="IB148" i="27"/>
  <c r="IC148" i="27"/>
  <c r="ID148" i="27"/>
  <c r="IE148" i="27"/>
  <c r="IF148" i="27"/>
  <c r="IG148" i="27"/>
  <c r="IH148" i="27"/>
  <c r="II148" i="27"/>
  <c r="IJ148" i="27"/>
  <c r="IK148" i="27"/>
  <c r="IL148" i="27"/>
  <c r="IM148" i="27"/>
  <c r="IN148" i="27"/>
  <c r="IO148" i="27"/>
  <c r="IP148" i="27"/>
  <c r="IQ148" i="27"/>
  <c r="IR148" i="27"/>
  <c r="IS148" i="27"/>
  <c r="IT148" i="27"/>
  <c r="IU148" i="27"/>
  <c r="IV148" i="27"/>
  <c r="A147" i="27"/>
  <c r="B147" i="27"/>
  <c r="C147" i="27"/>
  <c r="D147" i="27"/>
  <c r="E147" i="27"/>
  <c r="F147" i="27"/>
  <c r="G147" i="27"/>
  <c r="H147" i="27"/>
  <c r="I147" i="27"/>
  <c r="J147" i="27"/>
  <c r="K147" i="27"/>
  <c r="L147" i="27"/>
  <c r="M147" i="27"/>
  <c r="N147" i="27"/>
  <c r="O147" i="27"/>
  <c r="P147" i="27"/>
  <c r="Q147" i="27"/>
  <c r="R147" i="27"/>
  <c r="S147" i="27"/>
  <c r="T147" i="27"/>
  <c r="U147" i="27"/>
  <c r="V147" i="27"/>
  <c r="W147" i="27"/>
  <c r="X147" i="27"/>
  <c r="Y147" i="27"/>
  <c r="Z147" i="27"/>
  <c r="AA147" i="27"/>
  <c r="AB147" i="27"/>
  <c r="AC147" i="27"/>
  <c r="AD147" i="27"/>
  <c r="AE147" i="27"/>
  <c r="AF147" i="27"/>
  <c r="AG147" i="27"/>
  <c r="AH147" i="27"/>
  <c r="AI147" i="27"/>
  <c r="AJ147" i="27"/>
  <c r="AK147" i="27"/>
  <c r="AL147" i="27"/>
  <c r="AM147" i="27"/>
  <c r="AN147" i="27"/>
  <c r="AO147" i="27"/>
  <c r="AP147" i="27"/>
  <c r="AQ147" i="27"/>
  <c r="AR147" i="27"/>
  <c r="AS147" i="27"/>
  <c r="AT147" i="27"/>
  <c r="AU147" i="27"/>
  <c r="AV147" i="27"/>
  <c r="AW147" i="27"/>
  <c r="AX147" i="27"/>
  <c r="AY147" i="27"/>
  <c r="AZ147" i="27"/>
  <c r="BA147" i="27"/>
  <c r="BB147" i="27"/>
  <c r="BC147" i="27"/>
  <c r="BD147" i="27"/>
  <c r="BE147" i="27"/>
  <c r="BF147" i="27"/>
  <c r="BG147" i="27"/>
  <c r="BH147" i="27"/>
  <c r="BI147" i="27"/>
  <c r="BJ147" i="27"/>
  <c r="BK147" i="27"/>
  <c r="BL147" i="27"/>
  <c r="BM147" i="27"/>
  <c r="BN147" i="27"/>
  <c r="BO147" i="27"/>
  <c r="BP147" i="27"/>
  <c r="BQ147" i="27"/>
  <c r="BR147" i="27"/>
  <c r="BS147" i="27"/>
  <c r="BT147" i="27"/>
  <c r="BU147" i="27"/>
  <c r="BV147" i="27"/>
  <c r="BW147" i="27"/>
  <c r="BX147" i="27"/>
  <c r="BY147" i="27"/>
  <c r="BZ147" i="27"/>
  <c r="CA147" i="27"/>
  <c r="CB147" i="27"/>
  <c r="CC147" i="27"/>
  <c r="CD147" i="27"/>
  <c r="CE147" i="27"/>
  <c r="CF147" i="27"/>
  <c r="CG147" i="27"/>
  <c r="CH147" i="27"/>
  <c r="CI147" i="27"/>
  <c r="CJ147" i="27"/>
  <c r="CK147" i="27"/>
  <c r="CL147" i="27"/>
  <c r="CM147" i="27"/>
  <c r="CN147" i="27"/>
  <c r="CO147" i="27"/>
  <c r="CP147" i="27"/>
  <c r="CQ147" i="27"/>
  <c r="CR147" i="27"/>
  <c r="CS147" i="27"/>
  <c r="CT147" i="27"/>
  <c r="CU147" i="27"/>
  <c r="CV147" i="27"/>
  <c r="CW147" i="27"/>
  <c r="CX147" i="27"/>
  <c r="CY147" i="27"/>
  <c r="CZ147" i="27"/>
  <c r="DA147" i="27"/>
  <c r="DB147" i="27"/>
  <c r="DC147" i="27"/>
  <c r="DD147" i="27"/>
  <c r="DE147" i="27"/>
  <c r="DF147" i="27"/>
  <c r="DG147" i="27"/>
  <c r="DH147" i="27"/>
  <c r="DI147" i="27"/>
  <c r="DJ147" i="27"/>
  <c r="DK147" i="27"/>
  <c r="DL147" i="27"/>
  <c r="DM147" i="27"/>
  <c r="DN147" i="27"/>
  <c r="DO147" i="27"/>
  <c r="DP147" i="27"/>
  <c r="DQ147" i="27"/>
  <c r="DR147" i="27"/>
  <c r="DS147" i="27"/>
  <c r="DT147" i="27"/>
  <c r="DU147" i="27"/>
  <c r="DV147" i="27"/>
  <c r="DW147" i="27"/>
  <c r="DX147" i="27"/>
  <c r="DY147" i="27"/>
  <c r="DZ147" i="27"/>
  <c r="EA147" i="27"/>
  <c r="EB147" i="27"/>
  <c r="EC147" i="27"/>
  <c r="ED147" i="27"/>
  <c r="EE147" i="27"/>
  <c r="EF147" i="27"/>
  <c r="EG147" i="27"/>
  <c r="EH147" i="27"/>
  <c r="EI147" i="27"/>
  <c r="EJ147" i="27"/>
  <c r="EK147" i="27"/>
  <c r="EL147" i="27"/>
  <c r="EM147" i="27"/>
  <c r="EN147" i="27"/>
  <c r="EO147" i="27"/>
  <c r="EP147" i="27"/>
  <c r="EQ147" i="27"/>
  <c r="ER147" i="27"/>
  <c r="ES147" i="27"/>
  <c r="ET147" i="27"/>
  <c r="EU147" i="27"/>
  <c r="EV147" i="27"/>
  <c r="EW147" i="27"/>
  <c r="EX147" i="27"/>
  <c r="EY147" i="27"/>
  <c r="EZ147" i="27"/>
  <c r="FA147" i="27"/>
  <c r="FB147" i="27"/>
  <c r="FC147" i="27"/>
  <c r="FD147" i="27"/>
  <c r="FE147" i="27"/>
  <c r="FF147" i="27"/>
  <c r="FG147" i="27"/>
  <c r="FH147" i="27"/>
  <c r="FI147" i="27"/>
  <c r="FJ147" i="27"/>
  <c r="FK147" i="27"/>
  <c r="FL147" i="27"/>
  <c r="FM147" i="27"/>
  <c r="FN147" i="27"/>
  <c r="FO147" i="27"/>
  <c r="FP147" i="27"/>
  <c r="FQ147" i="27"/>
  <c r="FR147" i="27"/>
  <c r="FS147" i="27"/>
  <c r="FT147" i="27"/>
  <c r="FU147" i="27"/>
  <c r="FV147" i="27"/>
  <c r="FW147" i="27"/>
  <c r="FX147" i="27"/>
  <c r="FY147" i="27"/>
  <c r="FZ147" i="27"/>
  <c r="GA147" i="27"/>
  <c r="GB147" i="27"/>
  <c r="GC147" i="27"/>
  <c r="GD147" i="27"/>
  <c r="GE147" i="27"/>
  <c r="GF147" i="27"/>
  <c r="GG147" i="27"/>
  <c r="GH147" i="27"/>
  <c r="GI147" i="27"/>
  <c r="GJ147" i="27"/>
  <c r="GK147" i="27"/>
  <c r="GL147" i="27"/>
  <c r="GM147" i="27"/>
  <c r="GN147" i="27"/>
  <c r="GO147" i="27"/>
  <c r="GP147" i="27"/>
  <c r="GQ147" i="27"/>
  <c r="GR147" i="27"/>
  <c r="GS147" i="27"/>
  <c r="GT147" i="27"/>
  <c r="GU147" i="27"/>
  <c r="GV147" i="27"/>
  <c r="GW147" i="27"/>
  <c r="GX147" i="27"/>
  <c r="GY147" i="27"/>
  <c r="GZ147" i="27"/>
  <c r="HA147" i="27"/>
  <c r="HB147" i="27"/>
  <c r="HC147" i="27"/>
  <c r="HD147" i="27"/>
  <c r="HE147" i="27"/>
  <c r="HF147" i="27"/>
  <c r="HG147" i="27"/>
  <c r="HH147" i="27"/>
  <c r="HI147" i="27"/>
  <c r="HJ147" i="27"/>
  <c r="HK147" i="27"/>
  <c r="HL147" i="27"/>
  <c r="HM147" i="27"/>
  <c r="HN147" i="27"/>
  <c r="HO147" i="27"/>
  <c r="HP147" i="27"/>
  <c r="HQ147" i="27"/>
  <c r="HR147" i="27"/>
  <c r="HS147" i="27"/>
  <c r="HT147" i="27"/>
  <c r="HU147" i="27"/>
  <c r="HV147" i="27"/>
  <c r="HW147" i="27"/>
  <c r="HX147" i="27"/>
  <c r="HY147" i="27"/>
  <c r="HZ147" i="27"/>
  <c r="IA147" i="27"/>
  <c r="IB147" i="27"/>
  <c r="IC147" i="27"/>
  <c r="ID147" i="27"/>
  <c r="IE147" i="27"/>
  <c r="IF147" i="27"/>
  <c r="IG147" i="27"/>
  <c r="IH147" i="27"/>
  <c r="II147" i="27"/>
  <c r="IJ147" i="27"/>
  <c r="IK147" i="27"/>
  <c r="IL147" i="27"/>
  <c r="IM147" i="27"/>
  <c r="IN147" i="27"/>
  <c r="IO147" i="27"/>
  <c r="IP147" i="27"/>
  <c r="IQ147" i="27"/>
  <c r="IR147" i="27"/>
  <c r="IS147" i="27"/>
  <c r="IT147" i="27"/>
  <c r="IU147" i="27"/>
  <c r="IV147" i="27"/>
  <c r="A146" i="27"/>
  <c r="B146" i="27"/>
  <c r="C146" i="27"/>
  <c r="D146" i="27"/>
  <c r="E146" i="27"/>
  <c r="F146" i="27"/>
  <c r="G146" i="27"/>
  <c r="H146" i="27"/>
  <c r="I146" i="27"/>
  <c r="J146" i="27"/>
  <c r="K146" i="27"/>
  <c r="L146" i="27"/>
  <c r="M146" i="27"/>
  <c r="N146" i="27"/>
  <c r="O146" i="27"/>
  <c r="P146" i="27"/>
  <c r="Q146" i="27"/>
  <c r="R146" i="27"/>
  <c r="S146" i="27"/>
  <c r="T146" i="27"/>
  <c r="U146" i="27"/>
  <c r="V146" i="27"/>
  <c r="W146" i="27"/>
  <c r="X146" i="27"/>
  <c r="Y146" i="27"/>
  <c r="Z146" i="27"/>
  <c r="AA146" i="27"/>
  <c r="AB146" i="27"/>
  <c r="AC146" i="27"/>
  <c r="AD146" i="27"/>
  <c r="AE146" i="27"/>
  <c r="AF146" i="27"/>
  <c r="AG146" i="27"/>
  <c r="AH146" i="27"/>
  <c r="AI146" i="27"/>
  <c r="AJ146" i="27"/>
  <c r="AK146" i="27"/>
  <c r="AL146" i="27"/>
  <c r="AM146" i="27"/>
  <c r="AN146" i="27"/>
  <c r="AO146" i="27"/>
  <c r="AP146" i="27"/>
  <c r="AQ146" i="27"/>
  <c r="AR146" i="27"/>
  <c r="AS146" i="27"/>
  <c r="AT146" i="27"/>
  <c r="AU146" i="27"/>
  <c r="AV146" i="27"/>
  <c r="AW146" i="27"/>
  <c r="AX146" i="27"/>
  <c r="AY146" i="27"/>
  <c r="AZ146" i="27"/>
  <c r="BA146" i="27"/>
  <c r="BB146" i="27"/>
  <c r="BC146" i="27"/>
  <c r="BD146" i="27"/>
  <c r="BE146" i="27"/>
  <c r="BF146" i="27"/>
  <c r="BG146" i="27"/>
  <c r="BH146" i="27"/>
  <c r="BI146" i="27"/>
  <c r="BJ146" i="27"/>
  <c r="BK146" i="27"/>
  <c r="BL146" i="27"/>
  <c r="BM146" i="27"/>
  <c r="BN146" i="27"/>
  <c r="BO146" i="27"/>
  <c r="BP146" i="27"/>
  <c r="BQ146" i="27"/>
  <c r="BR146" i="27"/>
  <c r="BS146" i="27"/>
  <c r="BT146" i="27"/>
  <c r="BU146" i="27"/>
  <c r="BV146" i="27"/>
  <c r="BW146" i="27"/>
  <c r="BX146" i="27"/>
  <c r="BY146" i="27"/>
  <c r="BZ146" i="27"/>
  <c r="CA146" i="27"/>
  <c r="CB146" i="27"/>
  <c r="CC146" i="27"/>
  <c r="CD146" i="27"/>
  <c r="CE146" i="27"/>
  <c r="CF146" i="27"/>
  <c r="CG146" i="27"/>
  <c r="CH146" i="27"/>
  <c r="CI146" i="27"/>
  <c r="CJ146" i="27"/>
  <c r="CK146" i="27"/>
  <c r="CL146" i="27"/>
  <c r="CM146" i="27"/>
  <c r="CN146" i="27"/>
  <c r="CO146" i="27"/>
  <c r="CP146" i="27"/>
  <c r="CQ146" i="27"/>
  <c r="CR146" i="27"/>
  <c r="CS146" i="27"/>
  <c r="CT146" i="27"/>
  <c r="CU146" i="27"/>
  <c r="CV146" i="27"/>
  <c r="CW146" i="27"/>
  <c r="CX146" i="27"/>
  <c r="CY146" i="27"/>
  <c r="CZ146" i="27"/>
  <c r="DA146" i="27"/>
  <c r="DB146" i="27"/>
  <c r="DC146" i="27"/>
  <c r="DD146" i="27"/>
  <c r="DE146" i="27"/>
  <c r="DF146" i="27"/>
  <c r="DG146" i="27"/>
  <c r="DH146" i="27"/>
  <c r="DI146" i="27"/>
  <c r="DJ146" i="27"/>
  <c r="DK146" i="27"/>
  <c r="DL146" i="27"/>
  <c r="DM146" i="27"/>
  <c r="DN146" i="27"/>
  <c r="DO146" i="27"/>
  <c r="DP146" i="27"/>
  <c r="DQ146" i="27"/>
  <c r="DR146" i="27"/>
  <c r="DS146" i="27"/>
  <c r="DT146" i="27"/>
  <c r="DU146" i="27"/>
  <c r="DV146" i="27"/>
  <c r="DW146" i="27"/>
  <c r="DX146" i="27"/>
  <c r="DY146" i="27"/>
  <c r="DZ146" i="27"/>
  <c r="EA146" i="27"/>
  <c r="EB146" i="27"/>
  <c r="EC146" i="27"/>
  <c r="ED146" i="27"/>
  <c r="EE146" i="27"/>
  <c r="EF146" i="27"/>
  <c r="EG146" i="27"/>
  <c r="EH146" i="27"/>
  <c r="EI146" i="27"/>
  <c r="EJ146" i="27"/>
  <c r="EK146" i="27"/>
  <c r="EL146" i="27"/>
  <c r="EM146" i="27"/>
  <c r="EN146" i="27"/>
  <c r="EO146" i="27"/>
  <c r="EP146" i="27"/>
  <c r="EQ146" i="27"/>
  <c r="ER146" i="27"/>
  <c r="ES146" i="27"/>
  <c r="ET146" i="27"/>
  <c r="EU146" i="27"/>
  <c r="EV146" i="27"/>
  <c r="EW146" i="27"/>
  <c r="EX146" i="27"/>
  <c r="EY146" i="27"/>
  <c r="EZ146" i="27"/>
  <c r="FA146" i="27"/>
  <c r="FB146" i="27"/>
  <c r="FC146" i="27"/>
  <c r="FD146" i="27"/>
  <c r="FE146" i="27"/>
  <c r="FF146" i="27"/>
  <c r="FG146" i="27"/>
  <c r="FH146" i="27"/>
  <c r="FI146" i="27"/>
  <c r="FJ146" i="27"/>
  <c r="FK146" i="27"/>
  <c r="FL146" i="27"/>
  <c r="FM146" i="27"/>
  <c r="FN146" i="27"/>
  <c r="FO146" i="27"/>
  <c r="FP146" i="27"/>
  <c r="FQ146" i="27"/>
  <c r="FR146" i="27"/>
  <c r="FS146" i="27"/>
  <c r="FT146" i="27"/>
  <c r="FU146" i="27"/>
  <c r="FV146" i="27"/>
  <c r="FW146" i="27"/>
  <c r="FX146" i="27"/>
  <c r="FY146" i="27"/>
  <c r="FZ146" i="27"/>
  <c r="GA146" i="27"/>
  <c r="GB146" i="27"/>
  <c r="GC146" i="27"/>
  <c r="GD146" i="27"/>
  <c r="GE146" i="27"/>
  <c r="GF146" i="27"/>
  <c r="GG146" i="27"/>
  <c r="GH146" i="27"/>
  <c r="GI146" i="27"/>
  <c r="GJ146" i="27"/>
  <c r="GK146" i="27"/>
  <c r="GL146" i="27"/>
  <c r="GM146" i="27"/>
  <c r="GN146" i="27"/>
  <c r="GO146" i="27"/>
  <c r="GP146" i="27"/>
  <c r="GQ146" i="27"/>
  <c r="GR146" i="27"/>
  <c r="GS146" i="27"/>
  <c r="GT146" i="27"/>
  <c r="GU146" i="27"/>
  <c r="GV146" i="27"/>
  <c r="GW146" i="27"/>
  <c r="GX146" i="27"/>
  <c r="GY146" i="27"/>
  <c r="GZ146" i="27"/>
  <c r="HA146" i="27"/>
  <c r="HB146" i="27"/>
  <c r="HC146" i="27"/>
  <c r="HD146" i="27"/>
  <c r="HE146" i="27"/>
  <c r="HF146" i="27"/>
  <c r="HG146" i="27"/>
  <c r="HH146" i="27"/>
  <c r="HI146" i="27"/>
  <c r="HJ146" i="27"/>
  <c r="HK146" i="27"/>
  <c r="HL146" i="27"/>
  <c r="HM146" i="27"/>
  <c r="HN146" i="27"/>
  <c r="HO146" i="27"/>
  <c r="HP146" i="27"/>
  <c r="HQ146" i="27"/>
  <c r="HR146" i="27"/>
  <c r="HS146" i="27"/>
  <c r="HT146" i="27"/>
  <c r="HU146" i="27"/>
  <c r="HV146" i="27"/>
  <c r="HW146" i="27"/>
  <c r="HX146" i="27"/>
  <c r="HY146" i="27"/>
  <c r="HZ146" i="27"/>
  <c r="IA146" i="27"/>
  <c r="IB146" i="27"/>
  <c r="IC146" i="27"/>
  <c r="ID146" i="27"/>
  <c r="IE146" i="27"/>
  <c r="IF146" i="27"/>
  <c r="IG146" i="27"/>
  <c r="IH146" i="27"/>
  <c r="II146" i="27"/>
  <c r="IJ146" i="27"/>
  <c r="IK146" i="27"/>
  <c r="IL146" i="27"/>
  <c r="IM146" i="27"/>
  <c r="IN146" i="27"/>
  <c r="IO146" i="27"/>
  <c r="IP146" i="27"/>
  <c r="IQ146" i="27"/>
  <c r="IR146" i="27"/>
  <c r="IS146" i="27"/>
  <c r="IT146" i="27"/>
  <c r="IU146" i="27"/>
  <c r="IV146" i="27"/>
  <c r="A145" i="27"/>
  <c r="B145" i="27"/>
  <c r="C145" i="27"/>
  <c r="D145" i="27"/>
  <c r="E145" i="27"/>
  <c r="F145" i="27"/>
  <c r="G145" i="27"/>
  <c r="H145" i="27"/>
  <c r="I145" i="27"/>
  <c r="J145" i="27"/>
  <c r="K145" i="27"/>
  <c r="L145" i="27"/>
  <c r="M145" i="27"/>
  <c r="N145" i="27"/>
  <c r="O145" i="27"/>
  <c r="P145" i="27"/>
  <c r="Q145" i="27"/>
  <c r="R145" i="27"/>
  <c r="S145" i="27"/>
  <c r="T145" i="27"/>
  <c r="U145" i="27"/>
  <c r="V145" i="27"/>
  <c r="W145" i="27"/>
  <c r="X145" i="27"/>
  <c r="Y145" i="27"/>
  <c r="Z145" i="27"/>
  <c r="AA145" i="27"/>
  <c r="AB145" i="27"/>
  <c r="AC145" i="27"/>
  <c r="AD145" i="27"/>
  <c r="AE145" i="27"/>
  <c r="AF145" i="27"/>
  <c r="AG145" i="27"/>
  <c r="AH145" i="27"/>
  <c r="AI145" i="27"/>
  <c r="AJ145" i="27"/>
  <c r="AK145" i="27"/>
  <c r="AL145" i="27"/>
  <c r="AM145" i="27"/>
  <c r="AN145" i="27"/>
  <c r="AO145" i="27"/>
  <c r="AP145" i="27"/>
  <c r="AQ145" i="27"/>
  <c r="AR145" i="27"/>
  <c r="AS145" i="27"/>
  <c r="AT145" i="27"/>
  <c r="AU145" i="27"/>
  <c r="AV145" i="27"/>
  <c r="AW145" i="27"/>
  <c r="AX145" i="27"/>
  <c r="AY145" i="27"/>
  <c r="AZ145" i="27"/>
  <c r="BA145" i="27"/>
  <c r="BB145" i="27"/>
  <c r="BC145" i="27"/>
  <c r="BD145" i="27"/>
  <c r="BE145" i="27"/>
  <c r="BF145" i="27"/>
  <c r="BG145" i="27"/>
  <c r="BH145" i="27"/>
  <c r="BI145" i="27"/>
  <c r="BJ145" i="27"/>
  <c r="BK145" i="27"/>
  <c r="BL145" i="27"/>
  <c r="BM145" i="27"/>
  <c r="BN145" i="27"/>
  <c r="BO145" i="27"/>
  <c r="BP145" i="27"/>
  <c r="BQ145" i="27"/>
  <c r="BR145" i="27"/>
  <c r="BS145" i="27"/>
  <c r="BT145" i="27"/>
  <c r="BU145" i="27"/>
  <c r="BV145" i="27"/>
  <c r="BW145" i="27"/>
  <c r="BX145" i="27"/>
  <c r="BY145" i="27"/>
  <c r="BZ145" i="27"/>
  <c r="CA145" i="27"/>
  <c r="CB145" i="27"/>
  <c r="CC145" i="27"/>
  <c r="CD145" i="27"/>
  <c r="CE145" i="27"/>
  <c r="CF145" i="27"/>
  <c r="CG145" i="27"/>
  <c r="CH145" i="27"/>
  <c r="CI145" i="27"/>
  <c r="CJ145" i="27"/>
  <c r="CK145" i="27"/>
  <c r="CL145" i="27"/>
  <c r="CM145" i="27"/>
  <c r="CN145" i="27"/>
  <c r="CO145" i="27"/>
  <c r="CP145" i="27"/>
  <c r="CQ145" i="27"/>
  <c r="CR145" i="27"/>
  <c r="CS145" i="27"/>
  <c r="CT145" i="27"/>
  <c r="CU145" i="27"/>
  <c r="CV145" i="27"/>
  <c r="CW145" i="27"/>
  <c r="CX145" i="27"/>
  <c r="CY145" i="27"/>
  <c r="CZ145" i="27"/>
  <c r="DA145" i="27"/>
  <c r="DB145" i="27"/>
  <c r="DC145" i="27"/>
  <c r="DD145" i="27"/>
  <c r="DE145" i="27"/>
  <c r="DF145" i="27"/>
  <c r="DG145" i="27"/>
  <c r="DH145" i="27"/>
  <c r="DI145" i="27"/>
  <c r="DJ145" i="27"/>
  <c r="DK145" i="27"/>
  <c r="DL145" i="27"/>
  <c r="DM145" i="27"/>
  <c r="DN145" i="27"/>
  <c r="DO145" i="27"/>
  <c r="DP145" i="27"/>
  <c r="DQ145" i="27"/>
  <c r="DR145" i="27"/>
  <c r="DS145" i="27"/>
  <c r="DT145" i="27"/>
  <c r="DU145" i="27"/>
  <c r="DV145" i="27"/>
  <c r="DW145" i="27"/>
  <c r="DX145" i="27"/>
  <c r="DY145" i="27"/>
  <c r="DZ145" i="27"/>
  <c r="EA145" i="27"/>
  <c r="EB145" i="27"/>
  <c r="EC145" i="27"/>
  <c r="ED145" i="27"/>
  <c r="EE145" i="27"/>
  <c r="EF145" i="27"/>
  <c r="EG145" i="27"/>
  <c r="EH145" i="27"/>
  <c r="EI145" i="27"/>
  <c r="EJ145" i="27"/>
  <c r="EK145" i="27"/>
  <c r="EL145" i="27"/>
  <c r="EM145" i="27"/>
  <c r="EN145" i="27"/>
  <c r="EO145" i="27"/>
  <c r="EP145" i="27"/>
  <c r="EQ145" i="27"/>
  <c r="ER145" i="27"/>
  <c r="ES145" i="27"/>
  <c r="ET145" i="27"/>
  <c r="EU145" i="27"/>
  <c r="EV145" i="27"/>
  <c r="EW145" i="27"/>
  <c r="EX145" i="27"/>
  <c r="EY145" i="27"/>
  <c r="EZ145" i="27"/>
  <c r="FA145" i="27"/>
  <c r="FB145" i="27"/>
  <c r="FC145" i="27"/>
  <c r="FD145" i="27"/>
  <c r="FE145" i="27"/>
  <c r="FF145" i="27"/>
  <c r="FG145" i="27"/>
  <c r="FH145" i="27"/>
  <c r="FI145" i="27"/>
  <c r="FJ145" i="27"/>
  <c r="FK145" i="27"/>
  <c r="FL145" i="27"/>
  <c r="FM145" i="27"/>
  <c r="FN145" i="27"/>
  <c r="FO145" i="27"/>
  <c r="FP145" i="27"/>
  <c r="FQ145" i="27"/>
  <c r="FR145" i="27"/>
  <c r="FS145" i="27"/>
  <c r="FT145" i="27"/>
  <c r="FU145" i="27"/>
  <c r="FV145" i="27"/>
  <c r="FW145" i="27"/>
  <c r="FX145" i="27"/>
  <c r="FY145" i="27"/>
  <c r="FZ145" i="27"/>
  <c r="GA145" i="27"/>
  <c r="GB145" i="27"/>
  <c r="GC145" i="27"/>
  <c r="GD145" i="27"/>
  <c r="GE145" i="27"/>
  <c r="GF145" i="27"/>
  <c r="GG145" i="27"/>
  <c r="GH145" i="27"/>
  <c r="GI145" i="27"/>
  <c r="GJ145" i="27"/>
  <c r="GK145" i="27"/>
  <c r="GL145" i="27"/>
  <c r="GM145" i="27"/>
  <c r="GN145" i="27"/>
  <c r="GO145" i="27"/>
  <c r="GP145" i="27"/>
  <c r="GQ145" i="27"/>
  <c r="GR145" i="27"/>
  <c r="GS145" i="27"/>
  <c r="GT145" i="27"/>
  <c r="GU145" i="27"/>
  <c r="GV145" i="27"/>
  <c r="GW145" i="27"/>
  <c r="GX145" i="27"/>
  <c r="GY145" i="27"/>
  <c r="GZ145" i="27"/>
  <c r="HA145" i="27"/>
  <c r="HB145" i="27"/>
  <c r="HC145" i="27"/>
  <c r="HD145" i="27"/>
  <c r="HE145" i="27"/>
  <c r="HF145" i="27"/>
  <c r="HG145" i="27"/>
  <c r="HH145" i="27"/>
  <c r="HI145" i="27"/>
  <c r="HJ145" i="27"/>
  <c r="HK145" i="27"/>
  <c r="HL145" i="27"/>
  <c r="HM145" i="27"/>
  <c r="HN145" i="27"/>
  <c r="HO145" i="27"/>
  <c r="HP145" i="27"/>
  <c r="HQ145" i="27"/>
  <c r="HR145" i="27"/>
  <c r="HS145" i="27"/>
  <c r="HT145" i="27"/>
  <c r="HU145" i="27"/>
  <c r="HV145" i="27"/>
  <c r="HW145" i="27"/>
  <c r="HX145" i="27"/>
  <c r="HY145" i="27"/>
  <c r="HZ145" i="27"/>
  <c r="IA145" i="27"/>
  <c r="IB145" i="27"/>
  <c r="IC145" i="27"/>
  <c r="ID145" i="27"/>
  <c r="IE145" i="27"/>
  <c r="IF145" i="27"/>
  <c r="IG145" i="27"/>
  <c r="IH145" i="27"/>
  <c r="II145" i="27"/>
  <c r="IJ145" i="27"/>
  <c r="IK145" i="27"/>
  <c r="IL145" i="27"/>
  <c r="IM145" i="27"/>
  <c r="IN145" i="27"/>
  <c r="IO145" i="27"/>
  <c r="IP145" i="27"/>
  <c r="IQ145" i="27"/>
  <c r="IR145" i="27"/>
  <c r="IS145" i="27"/>
  <c r="IT145" i="27"/>
  <c r="IU145" i="27"/>
  <c r="IV145" i="27"/>
  <c r="A144" i="27"/>
  <c r="B144" i="27"/>
  <c r="C144" i="27"/>
  <c r="D144" i="27"/>
  <c r="E144" i="27"/>
  <c r="F144" i="27"/>
  <c r="G144" i="27"/>
  <c r="H144" i="27"/>
  <c r="I144" i="27"/>
  <c r="J144" i="27"/>
  <c r="K144" i="27"/>
  <c r="L144" i="27"/>
  <c r="M144" i="27"/>
  <c r="N144" i="27"/>
  <c r="O144" i="27"/>
  <c r="P144" i="27"/>
  <c r="Q144" i="27"/>
  <c r="R144" i="27"/>
  <c r="S144" i="27"/>
  <c r="T144" i="27"/>
  <c r="U144" i="27"/>
  <c r="V144" i="27"/>
  <c r="W144" i="27"/>
  <c r="X144" i="27"/>
  <c r="Y144" i="27"/>
  <c r="Z144" i="27"/>
  <c r="AA144" i="27"/>
  <c r="AB144" i="27"/>
  <c r="AC144" i="27"/>
  <c r="AD144" i="27"/>
  <c r="AE144" i="27"/>
  <c r="AF144" i="27"/>
  <c r="AG144" i="27"/>
  <c r="AH144" i="27"/>
  <c r="AI144" i="27"/>
  <c r="AJ144" i="27"/>
  <c r="AK144" i="27"/>
  <c r="AL144" i="27"/>
  <c r="AM144" i="27"/>
  <c r="AN144" i="27"/>
  <c r="AO144" i="27"/>
  <c r="AP144" i="27"/>
  <c r="AQ144" i="27"/>
  <c r="AR144" i="27"/>
  <c r="AS144" i="27"/>
  <c r="AT144" i="27"/>
  <c r="AU144" i="27"/>
  <c r="AV144" i="27"/>
  <c r="AW144" i="27"/>
  <c r="AX144" i="27"/>
  <c r="AY144" i="27"/>
  <c r="AZ144" i="27"/>
  <c r="BA144" i="27"/>
  <c r="BB144" i="27"/>
  <c r="BC144" i="27"/>
  <c r="BD144" i="27"/>
  <c r="BE144" i="27"/>
  <c r="BF144" i="27"/>
  <c r="BG144" i="27"/>
  <c r="BH144" i="27"/>
  <c r="BI144" i="27"/>
  <c r="BJ144" i="27"/>
  <c r="BK144" i="27"/>
  <c r="BL144" i="27"/>
  <c r="BM144" i="27"/>
  <c r="BN144" i="27"/>
  <c r="BO144" i="27"/>
  <c r="BP144" i="27"/>
  <c r="BQ144" i="27"/>
  <c r="BR144" i="27"/>
  <c r="BS144" i="27"/>
  <c r="BT144" i="27"/>
  <c r="BU144" i="27"/>
  <c r="BV144" i="27"/>
  <c r="BW144" i="27"/>
  <c r="BX144" i="27"/>
  <c r="BY144" i="27"/>
  <c r="BZ144" i="27"/>
  <c r="CA144" i="27"/>
  <c r="CB144" i="27"/>
  <c r="CC144" i="27"/>
  <c r="CD144" i="27"/>
  <c r="CE144" i="27"/>
  <c r="CF144" i="27"/>
  <c r="CG144" i="27"/>
  <c r="CH144" i="27"/>
  <c r="CI144" i="27"/>
  <c r="CJ144" i="27"/>
  <c r="CK144" i="27"/>
  <c r="CL144" i="27"/>
  <c r="CM144" i="27"/>
  <c r="CN144" i="27"/>
  <c r="CO144" i="27"/>
  <c r="CP144" i="27"/>
  <c r="CQ144" i="27"/>
  <c r="CR144" i="27"/>
  <c r="CS144" i="27"/>
  <c r="CT144" i="27"/>
  <c r="CU144" i="27"/>
  <c r="CV144" i="27"/>
  <c r="CW144" i="27"/>
  <c r="CX144" i="27"/>
  <c r="CY144" i="27"/>
  <c r="CZ144" i="27"/>
  <c r="DA144" i="27"/>
  <c r="DB144" i="27"/>
  <c r="DC144" i="27"/>
  <c r="DD144" i="27"/>
  <c r="DE144" i="27"/>
  <c r="DF144" i="27"/>
  <c r="DG144" i="27"/>
  <c r="DH144" i="27"/>
  <c r="DI144" i="27"/>
  <c r="DJ144" i="27"/>
  <c r="DK144" i="27"/>
  <c r="DL144" i="27"/>
  <c r="DM144" i="27"/>
  <c r="DN144" i="27"/>
  <c r="DO144" i="27"/>
  <c r="DP144" i="27"/>
  <c r="DQ144" i="27"/>
  <c r="DR144" i="27"/>
  <c r="DS144" i="27"/>
  <c r="DT144" i="27"/>
  <c r="DU144" i="27"/>
  <c r="DV144" i="27"/>
  <c r="DW144" i="27"/>
  <c r="DX144" i="27"/>
  <c r="DY144" i="27"/>
  <c r="DZ144" i="27"/>
  <c r="EA144" i="27"/>
  <c r="EB144" i="27"/>
  <c r="EC144" i="27"/>
  <c r="ED144" i="27"/>
  <c r="EE144" i="27"/>
  <c r="EF144" i="27"/>
  <c r="EG144" i="27"/>
  <c r="EH144" i="27"/>
  <c r="EI144" i="27"/>
  <c r="EJ144" i="27"/>
  <c r="EK144" i="27"/>
  <c r="EL144" i="27"/>
  <c r="EM144" i="27"/>
  <c r="EN144" i="27"/>
  <c r="EO144" i="27"/>
  <c r="EP144" i="27"/>
  <c r="EQ144" i="27"/>
  <c r="ER144" i="27"/>
  <c r="ES144" i="27"/>
  <c r="ET144" i="27"/>
  <c r="EU144" i="27"/>
  <c r="EV144" i="27"/>
  <c r="EW144" i="27"/>
  <c r="EX144" i="27"/>
  <c r="EY144" i="27"/>
  <c r="EZ144" i="27"/>
  <c r="FA144" i="27"/>
  <c r="FB144" i="27"/>
  <c r="FC144" i="27"/>
  <c r="FD144" i="27"/>
  <c r="FE144" i="27"/>
  <c r="FF144" i="27"/>
  <c r="FG144" i="27"/>
  <c r="FH144" i="27"/>
  <c r="FI144" i="27"/>
  <c r="FJ144" i="27"/>
  <c r="FK144" i="27"/>
  <c r="FL144" i="27"/>
  <c r="FM144" i="27"/>
  <c r="FN144" i="27"/>
  <c r="FO144" i="27"/>
  <c r="FP144" i="27"/>
  <c r="FQ144" i="27"/>
  <c r="FR144" i="27"/>
  <c r="FS144" i="27"/>
  <c r="FT144" i="27"/>
  <c r="FU144" i="27"/>
  <c r="FV144" i="27"/>
  <c r="FW144" i="27"/>
  <c r="FX144" i="27"/>
  <c r="FY144" i="27"/>
  <c r="FZ144" i="27"/>
  <c r="GA144" i="27"/>
  <c r="GB144" i="27"/>
  <c r="GC144" i="27"/>
  <c r="GD144" i="27"/>
  <c r="GE144" i="27"/>
  <c r="GF144" i="27"/>
  <c r="GG144" i="27"/>
  <c r="GH144" i="27"/>
  <c r="GI144" i="27"/>
  <c r="GJ144" i="27"/>
  <c r="GK144" i="27"/>
  <c r="GL144" i="27"/>
  <c r="GM144" i="27"/>
  <c r="GN144" i="27"/>
  <c r="GO144" i="27"/>
  <c r="GP144" i="27"/>
  <c r="GQ144" i="27"/>
  <c r="GR144" i="27"/>
  <c r="GS144" i="27"/>
  <c r="GT144" i="27"/>
  <c r="GU144" i="27"/>
  <c r="GV144" i="27"/>
  <c r="GW144" i="27"/>
  <c r="GX144" i="27"/>
  <c r="GY144" i="27"/>
  <c r="GZ144" i="27"/>
  <c r="HA144" i="27"/>
  <c r="HB144" i="27"/>
  <c r="HC144" i="27"/>
  <c r="HD144" i="27"/>
  <c r="HE144" i="27"/>
  <c r="HF144" i="27"/>
  <c r="HG144" i="27"/>
  <c r="HH144" i="27"/>
  <c r="HI144" i="27"/>
  <c r="HJ144" i="27"/>
  <c r="HK144" i="27"/>
  <c r="HL144" i="27"/>
  <c r="HM144" i="27"/>
  <c r="HN144" i="27"/>
  <c r="HO144" i="27"/>
  <c r="HP144" i="27"/>
  <c r="HQ144" i="27"/>
  <c r="HR144" i="27"/>
  <c r="HS144" i="27"/>
  <c r="HT144" i="27"/>
  <c r="HU144" i="27"/>
  <c r="HV144" i="27"/>
  <c r="HW144" i="27"/>
  <c r="HX144" i="27"/>
  <c r="HY144" i="27"/>
  <c r="HZ144" i="27"/>
  <c r="IA144" i="27"/>
  <c r="IB144" i="27"/>
  <c r="IC144" i="27"/>
  <c r="ID144" i="27"/>
  <c r="IE144" i="27"/>
  <c r="IF144" i="27"/>
  <c r="IG144" i="27"/>
  <c r="IH144" i="27"/>
  <c r="II144" i="27"/>
  <c r="IJ144" i="27"/>
  <c r="IK144" i="27"/>
  <c r="IL144" i="27"/>
  <c r="IM144" i="27"/>
  <c r="IN144" i="27"/>
  <c r="IO144" i="27"/>
  <c r="IP144" i="27"/>
  <c r="IQ144" i="27"/>
  <c r="IR144" i="27"/>
  <c r="IS144" i="27"/>
  <c r="IT144" i="27"/>
  <c r="IU144" i="27"/>
  <c r="IV144" i="27"/>
  <c r="A143" i="27"/>
  <c r="B143" i="27"/>
  <c r="C143" i="27"/>
  <c r="D143" i="27"/>
  <c r="E143" i="27"/>
  <c r="F143" i="27"/>
  <c r="G143" i="27"/>
  <c r="H143" i="27"/>
  <c r="I143" i="27"/>
  <c r="J143" i="27"/>
  <c r="K143" i="27"/>
  <c r="L143" i="27"/>
  <c r="M143" i="27"/>
  <c r="N143" i="27"/>
  <c r="O143" i="27"/>
  <c r="P143" i="27"/>
  <c r="Q143" i="27"/>
  <c r="R143" i="27"/>
  <c r="S143" i="27"/>
  <c r="T143" i="27"/>
  <c r="U143" i="27"/>
  <c r="V143" i="27"/>
  <c r="W143" i="27"/>
  <c r="X143" i="27"/>
  <c r="Y143" i="27"/>
  <c r="Z143" i="27"/>
  <c r="AA143" i="27"/>
  <c r="AB143" i="27"/>
  <c r="AC143" i="27"/>
  <c r="AD143" i="27"/>
  <c r="AE143" i="27"/>
  <c r="AF143" i="27"/>
  <c r="AG143" i="27"/>
  <c r="AH143" i="27"/>
  <c r="AI143" i="27"/>
  <c r="AJ143" i="27"/>
  <c r="AK143" i="27"/>
  <c r="AL143" i="27"/>
  <c r="AM143" i="27"/>
  <c r="AN143" i="27"/>
  <c r="AO143" i="27"/>
  <c r="AP143" i="27"/>
  <c r="AQ143" i="27"/>
  <c r="AR143" i="27"/>
  <c r="AS143" i="27"/>
  <c r="AT143" i="27"/>
  <c r="AU143" i="27"/>
  <c r="AV143" i="27"/>
  <c r="AW143" i="27"/>
  <c r="AX143" i="27"/>
  <c r="AY143" i="27"/>
  <c r="AZ143" i="27"/>
  <c r="BA143" i="27"/>
  <c r="BB143" i="27"/>
  <c r="BC143" i="27"/>
  <c r="BD143" i="27"/>
  <c r="BE143" i="27"/>
  <c r="BF143" i="27"/>
  <c r="BG143" i="27"/>
  <c r="BH143" i="27"/>
  <c r="BI143" i="27"/>
  <c r="BJ143" i="27"/>
  <c r="BK143" i="27"/>
  <c r="BL143" i="27"/>
  <c r="BM143" i="27"/>
  <c r="BN143" i="27"/>
  <c r="BO143" i="27"/>
  <c r="BP143" i="27"/>
  <c r="BQ143" i="27"/>
  <c r="BR143" i="27"/>
  <c r="BS143" i="27"/>
  <c r="BT143" i="27"/>
  <c r="BU143" i="27"/>
  <c r="BV143" i="27"/>
  <c r="BW143" i="27"/>
  <c r="BX143" i="27"/>
  <c r="BY143" i="27"/>
  <c r="BZ143" i="27"/>
  <c r="CA143" i="27"/>
  <c r="CB143" i="27"/>
  <c r="CC143" i="27"/>
  <c r="CD143" i="27"/>
  <c r="CE143" i="27"/>
  <c r="CF143" i="27"/>
  <c r="CG143" i="27"/>
  <c r="CH143" i="27"/>
  <c r="CI143" i="27"/>
  <c r="CJ143" i="27"/>
  <c r="CK143" i="27"/>
  <c r="CL143" i="27"/>
  <c r="CM143" i="27"/>
  <c r="CN143" i="27"/>
  <c r="CO143" i="27"/>
  <c r="CP143" i="27"/>
  <c r="CQ143" i="27"/>
  <c r="CR143" i="27"/>
  <c r="CS143" i="27"/>
  <c r="CT143" i="27"/>
  <c r="CU143" i="27"/>
  <c r="CV143" i="27"/>
  <c r="CW143" i="27"/>
  <c r="CX143" i="27"/>
  <c r="CY143" i="27"/>
  <c r="CZ143" i="27"/>
  <c r="DA143" i="27"/>
  <c r="DB143" i="27"/>
  <c r="DC143" i="27"/>
  <c r="DD143" i="27"/>
  <c r="DE143" i="27"/>
  <c r="DF143" i="27"/>
  <c r="DG143" i="27"/>
  <c r="DH143" i="27"/>
  <c r="DI143" i="27"/>
  <c r="DJ143" i="27"/>
  <c r="DK143" i="27"/>
  <c r="DL143" i="27"/>
  <c r="DM143" i="27"/>
  <c r="DN143" i="27"/>
  <c r="DO143" i="27"/>
  <c r="DP143" i="27"/>
  <c r="DQ143" i="27"/>
  <c r="DR143" i="27"/>
  <c r="DS143" i="27"/>
  <c r="DT143" i="27"/>
  <c r="DU143" i="27"/>
  <c r="DV143" i="27"/>
  <c r="DW143" i="27"/>
  <c r="DX143" i="27"/>
  <c r="DY143" i="27"/>
  <c r="DZ143" i="27"/>
  <c r="EA143" i="27"/>
  <c r="EB143" i="27"/>
  <c r="EC143" i="27"/>
  <c r="ED143" i="27"/>
  <c r="EE143" i="27"/>
  <c r="EF143" i="27"/>
  <c r="EG143" i="27"/>
  <c r="EH143" i="27"/>
  <c r="EI143" i="27"/>
  <c r="EJ143" i="27"/>
  <c r="EK143" i="27"/>
  <c r="EL143" i="27"/>
  <c r="EM143" i="27"/>
  <c r="EN143" i="27"/>
  <c r="EO143" i="27"/>
  <c r="EP143" i="27"/>
  <c r="EQ143" i="27"/>
  <c r="ER143" i="27"/>
  <c r="ES143" i="27"/>
  <c r="ET143" i="27"/>
  <c r="EU143" i="27"/>
  <c r="EV143" i="27"/>
  <c r="EW143" i="27"/>
  <c r="EX143" i="27"/>
  <c r="EY143" i="27"/>
  <c r="EZ143" i="27"/>
  <c r="FA143" i="27"/>
  <c r="FB143" i="27"/>
  <c r="FC143" i="27"/>
  <c r="FD143" i="27"/>
  <c r="FE143" i="27"/>
  <c r="FF143" i="27"/>
  <c r="FG143" i="27"/>
  <c r="FH143" i="27"/>
  <c r="FI143" i="27"/>
  <c r="FJ143" i="27"/>
  <c r="FK143" i="27"/>
  <c r="FL143" i="27"/>
  <c r="FM143" i="27"/>
  <c r="FN143" i="27"/>
  <c r="FO143" i="27"/>
  <c r="FP143" i="27"/>
  <c r="FQ143" i="27"/>
  <c r="FR143" i="27"/>
  <c r="FS143" i="27"/>
  <c r="FT143" i="27"/>
  <c r="FU143" i="27"/>
  <c r="FV143" i="27"/>
  <c r="FW143" i="27"/>
  <c r="FX143" i="27"/>
  <c r="FY143" i="27"/>
  <c r="FZ143" i="27"/>
  <c r="GA143" i="27"/>
  <c r="GB143" i="27"/>
  <c r="GC143" i="27"/>
  <c r="GD143" i="27"/>
  <c r="GE143" i="27"/>
  <c r="GF143" i="27"/>
  <c r="GG143" i="27"/>
  <c r="GH143" i="27"/>
  <c r="GI143" i="27"/>
  <c r="GJ143" i="27"/>
  <c r="GK143" i="27"/>
  <c r="GL143" i="27"/>
  <c r="GM143" i="27"/>
  <c r="GN143" i="27"/>
  <c r="GO143" i="27"/>
  <c r="GP143" i="27"/>
  <c r="GQ143" i="27"/>
  <c r="GR143" i="27"/>
  <c r="GS143" i="27"/>
  <c r="GT143" i="27"/>
  <c r="GU143" i="27"/>
  <c r="GV143" i="27"/>
  <c r="GW143" i="27"/>
  <c r="GX143" i="27"/>
  <c r="GY143" i="27"/>
  <c r="GZ143" i="27"/>
  <c r="HA143" i="27"/>
  <c r="HB143" i="27"/>
  <c r="HC143" i="27"/>
  <c r="HD143" i="27"/>
  <c r="HE143" i="27"/>
  <c r="HF143" i="27"/>
  <c r="HG143" i="27"/>
  <c r="HH143" i="27"/>
  <c r="HI143" i="27"/>
  <c r="HJ143" i="27"/>
  <c r="HK143" i="27"/>
  <c r="HL143" i="27"/>
  <c r="HM143" i="27"/>
  <c r="HN143" i="27"/>
  <c r="HO143" i="27"/>
  <c r="HP143" i="27"/>
  <c r="HQ143" i="27"/>
  <c r="HR143" i="27"/>
  <c r="HS143" i="27"/>
  <c r="HT143" i="27"/>
  <c r="HU143" i="27"/>
  <c r="HV143" i="27"/>
  <c r="HW143" i="27"/>
  <c r="HX143" i="27"/>
  <c r="HY143" i="27"/>
  <c r="HZ143" i="27"/>
  <c r="IA143" i="27"/>
  <c r="IB143" i="27"/>
  <c r="IC143" i="27"/>
  <c r="ID143" i="27"/>
  <c r="IE143" i="27"/>
  <c r="IF143" i="27"/>
  <c r="IG143" i="27"/>
  <c r="IH143" i="27"/>
  <c r="II143" i="27"/>
  <c r="IJ143" i="27"/>
  <c r="IK143" i="27"/>
  <c r="IL143" i="27"/>
  <c r="IM143" i="27"/>
  <c r="IN143" i="27"/>
  <c r="IO143" i="27"/>
  <c r="IP143" i="27"/>
  <c r="IQ143" i="27"/>
  <c r="IR143" i="27"/>
  <c r="IS143" i="27"/>
  <c r="IT143" i="27"/>
  <c r="IU143" i="27"/>
  <c r="IV143" i="27"/>
  <c r="A142" i="27"/>
  <c r="B142" i="27"/>
  <c r="C142" i="27"/>
  <c r="D142" i="27"/>
  <c r="E142" i="27"/>
  <c r="F142" i="27"/>
  <c r="G142" i="27"/>
  <c r="H142" i="27"/>
  <c r="I142" i="27"/>
  <c r="J142" i="27"/>
  <c r="K142" i="27"/>
  <c r="L142" i="27"/>
  <c r="M142" i="27"/>
  <c r="N142" i="27"/>
  <c r="O142" i="27"/>
  <c r="P142" i="27"/>
  <c r="Q142" i="27"/>
  <c r="R142" i="27"/>
  <c r="S142" i="27"/>
  <c r="T142" i="27"/>
  <c r="U142" i="27"/>
  <c r="V142" i="27"/>
  <c r="W142" i="27"/>
  <c r="X142" i="27"/>
  <c r="Y142" i="27"/>
  <c r="Z142" i="27"/>
  <c r="AA142" i="27"/>
  <c r="AB142" i="27"/>
  <c r="AC142" i="27"/>
  <c r="AD142" i="27"/>
  <c r="AE142" i="27"/>
  <c r="AF142" i="27"/>
  <c r="AG142" i="27"/>
  <c r="AH142" i="27"/>
  <c r="AI142" i="27"/>
  <c r="AJ142" i="27"/>
  <c r="AK142" i="27"/>
  <c r="AL142" i="27"/>
  <c r="AM142" i="27"/>
  <c r="AN142" i="27"/>
  <c r="AO142" i="27"/>
  <c r="AP142" i="27"/>
  <c r="AQ142" i="27"/>
  <c r="AR142" i="27"/>
  <c r="AS142" i="27"/>
  <c r="AT142" i="27"/>
  <c r="AU142" i="27"/>
  <c r="AV142" i="27"/>
  <c r="AW142" i="27"/>
  <c r="AX142" i="27"/>
  <c r="AY142" i="27"/>
  <c r="AZ142" i="27"/>
  <c r="BA142" i="27"/>
  <c r="BB142" i="27"/>
  <c r="BC142" i="27"/>
  <c r="BD142" i="27"/>
  <c r="BE142" i="27"/>
  <c r="BF142" i="27"/>
  <c r="BG142" i="27"/>
  <c r="BH142" i="27"/>
  <c r="BI142" i="27"/>
  <c r="BJ142" i="27"/>
  <c r="BK142" i="27"/>
  <c r="BL142" i="27"/>
  <c r="BM142" i="27"/>
  <c r="BN142" i="27"/>
  <c r="BO142" i="27"/>
  <c r="BP142" i="27"/>
  <c r="BQ142" i="27"/>
  <c r="BR142" i="27"/>
  <c r="BS142" i="27"/>
  <c r="BT142" i="27"/>
  <c r="BU142" i="27"/>
  <c r="BV142" i="27"/>
  <c r="BW142" i="27"/>
  <c r="BX142" i="27"/>
  <c r="BY142" i="27"/>
  <c r="BZ142" i="27"/>
  <c r="CA142" i="27"/>
  <c r="CB142" i="27"/>
  <c r="CC142" i="27"/>
  <c r="CD142" i="27"/>
  <c r="CE142" i="27"/>
  <c r="CF142" i="27"/>
  <c r="CG142" i="27"/>
  <c r="CH142" i="27"/>
  <c r="CI142" i="27"/>
  <c r="CJ142" i="27"/>
  <c r="CK142" i="27"/>
  <c r="CL142" i="27"/>
  <c r="CM142" i="27"/>
  <c r="CN142" i="27"/>
  <c r="CO142" i="27"/>
  <c r="CP142" i="27"/>
  <c r="CQ142" i="27"/>
  <c r="CR142" i="27"/>
  <c r="CS142" i="27"/>
  <c r="CT142" i="27"/>
  <c r="CU142" i="27"/>
  <c r="CV142" i="27"/>
  <c r="CW142" i="27"/>
  <c r="CX142" i="27"/>
  <c r="CY142" i="27"/>
  <c r="CZ142" i="27"/>
  <c r="DA142" i="27"/>
  <c r="DB142" i="27"/>
  <c r="DC142" i="27"/>
  <c r="DD142" i="27"/>
  <c r="DE142" i="27"/>
  <c r="DF142" i="27"/>
  <c r="DG142" i="27"/>
  <c r="DH142" i="27"/>
  <c r="DI142" i="27"/>
  <c r="DJ142" i="27"/>
  <c r="DK142" i="27"/>
  <c r="DL142" i="27"/>
  <c r="DM142" i="27"/>
  <c r="DN142" i="27"/>
  <c r="DO142" i="27"/>
  <c r="DP142" i="27"/>
  <c r="DQ142" i="27"/>
  <c r="DR142" i="27"/>
  <c r="DS142" i="27"/>
  <c r="DT142" i="27"/>
  <c r="DU142" i="27"/>
  <c r="DV142" i="27"/>
  <c r="DW142" i="27"/>
  <c r="DX142" i="27"/>
  <c r="DY142" i="27"/>
  <c r="DZ142" i="27"/>
  <c r="EA142" i="27"/>
  <c r="EB142" i="27"/>
  <c r="EC142" i="27"/>
  <c r="ED142" i="27"/>
  <c r="EE142" i="27"/>
  <c r="EF142" i="27"/>
  <c r="EG142" i="27"/>
  <c r="EH142" i="27"/>
  <c r="EI142" i="27"/>
  <c r="EJ142" i="27"/>
  <c r="EK142" i="27"/>
  <c r="EL142" i="27"/>
  <c r="EM142" i="27"/>
  <c r="EN142" i="27"/>
  <c r="EO142" i="27"/>
  <c r="EP142" i="27"/>
  <c r="EQ142" i="27"/>
  <c r="ER142" i="27"/>
  <c r="ES142" i="27"/>
  <c r="ET142" i="27"/>
  <c r="EU142" i="27"/>
  <c r="EV142" i="27"/>
  <c r="EW142" i="27"/>
  <c r="EX142" i="27"/>
  <c r="EY142" i="27"/>
  <c r="EZ142" i="27"/>
  <c r="FA142" i="27"/>
  <c r="FB142" i="27"/>
  <c r="FC142" i="27"/>
  <c r="FD142" i="27"/>
  <c r="FE142" i="27"/>
  <c r="FF142" i="27"/>
  <c r="FG142" i="27"/>
  <c r="FH142" i="27"/>
  <c r="FI142" i="27"/>
  <c r="FJ142" i="27"/>
  <c r="FK142" i="27"/>
  <c r="FL142" i="27"/>
  <c r="FM142" i="27"/>
  <c r="FN142" i="27"/>
  <c r="FO142" i="27"/>
  <c r="FP142" i="27"/>
  <c r="FQ142" i="27"/>
  <c r="FR142" i="27"/>
  <c r="FS142" i="27"/>
  <c r="FT142" i="27"/>
  <c r="FU142" i="27"/>
  <c r="FV142" i="27"/>
  <c r="FW142" i="27"/>
  <c r="FX142" i="27"/>
  <c r="FY142" i="27"/>
  <c r="FZ142" i="27"/>
  <c r="GA142" i="27"/>
  <c r="GB142" i="27"/>
  <c r="GC142" i="27"/>
  <c r="GD142" i="27"/>
  <c r="GE142" i="27"/>
  <c r="GF142" i="27"/>
  <c r="GG142" i="27"/>
  <c r="GH142" i="27"/>
  <c r="GI142" i="27"/>
  <c r="GJ142" i="27"/>
  <c r="GK142" i="27"/>
  <c r="GL142" i="27"/>
  <c r="GM142" i="27"/>
  <c r="GN142" i="27"/>
  <c r="GO142" i="27"/>
  <c r="GP142" i="27"/>
  <c r="GQ142" i="27"/>
  <c r="GR142" i="27"/>
  <c r="GS142" i="27"/>
  <c r="GT142" i="27"/>
  <c r="GU142" i="27"/>
  <c r="GV142" i="27"/>
  <c r="GW142" i="27"/>
  <c r="GX142" i="27"/>
  <c r="GY142" i="27"/>
  <c r="GZ142" i="27"/>
  <c r="HA142" i="27"/>
  <c r="HB142" i="27"/>
  <c r="HC142" i="27"/>
  <c r="HD142" i="27"/>
  <c r="HE142" i="27"/>
  <c r="HF142" i="27"/>
  <c r="HG142" i="27"/>
  <c r="HH142" i="27"/>
  <c r="HI142" i="27"/>
  <c r="HJ142" i="27"/>
  <c r="HK142" i="27"/>
  <c r="HL142" i="27"/>
  <c r="HM142" i="27"/>
  <c r="HN142" i="27"/>
  <c r="HO142" i="27"/>
  <c r="HP142" i="27"/>
  <c r="HQ142" i="27"/>
  <c r="HR142" i="27"/>
  <c r="HS142" i="27"/>
  <c r="HT142" i="27"/>
  <c r="HU142" i="27"/>
  <c r="HV142" i="27"/>
  <c r="HW142" i="27"/>
  <c r="HX142" i="27"/>
  <c r="HY142" i="27"/>
  <c r="HZ142" i="27"/>
  <c r="IA142" i="27"/>
  <c r="IB142" i="27"/>
  <c r="IC142" i="27"/>
  <c r="ID142" i="27"/>
  <c r="IE142" i="27"/>
  <c r="IF142" i="27"/>
  <c r="IG142" i="27"/>
  <c r="IH142" i="27"/>
  <c r="II142" i="27"/>
  <c r="IJ142" i="27"/>
  <c r="IK142" i="27"/>
  <c r="IL142" i="27"/>
  <c r="IM142" i="27"/>
  <c r="IN142" i="27"/>
  <c r="IO142" i="27"/>
  <c r="IP142" i="27"/>
  <c r="IQ142" i="27"/>
  <c r="IR142" i="27"/>
  <c r="IS142" i="27"/>
  <c r="IT142" i="27"/>
  <c r="IU142" i="27"/>
  <c r="IV142" i="27"/>
  <c r="A141" i="27"/>
  <c r="B141" i="27"/>
  <c r="C141" i="27"/>
  <c r="D141" i="27"/>
  <c r="E141" i="27"/>
  <c r="F141" i="27"/>
  <c r="G141" i="27"/>
  <c r="H141" i="27"/>
  <c r="I141" i="27"/>
  <c r="J141" i="27"/>
  <c r="K141" i="27"/>
  <c r="L141" i="27"/>
  <c r="M141" i="27"/>
  <c r="N141" i="27"/>
  <c r="O141" i="27"/>
  <c r="P141" i="27"/>
  <c r="Q141" i="27"/>
  <c r="R141" i="27"/>
  <c r="S141" i="27"/>
  <c r="T141" i="27"/>
  <c r="U141" i="27"/>
  <c r="V141" i="27"/>
  <c r="W141" i="27"/>
  <c r="X141" i="27"/>
  <c r="Y141" i="27"/>
  <c r="Z141" i="27"/>
  <c r="AA141" i="27"/>
  <c r="AB141" i="27"/>
  <c r="AC141" i="27"/>
  <c r="AD141" i="27"/>
  <c r="AE141" i="27"/>
  <c r="AF141" i="27"/>
  <c r="AG141" i="27"/>
  <c r="AH141" i="27"/>
  <c r="AI141" i="27"/>
  <c r="AJ141" i="27"/>
  <c r="AK141" i="27"/>
  <c r="AL141" i="27"/>
  <c r="AM141" i="27"/>
  <c r="AN141" i="27"/>
  <c r="AO141" i="27"/>
  <c r="AP141" i="27"/>
  <c r="AQ141" i="27"/>
  <c r="AR141" i="27"/>
  <c r="AS141" i="27"/>
  <c r="AT141" i="27"/>
  <c r="AU141" i="27"/>
  <c r="AV141" i="27"/>
  <c r="AW141" i="27"/>
  <c r="AX141" i="27"/>
  <c r="AY141" i="27"/>
  <c r="AZ141" i="27"/>
  <c r="BA141" i="27"/>
  <c r="BB141" i="27"/>
  <c r="BC141" i="27"/>
  <c r="BD141" i="27"/>
  <c r="BE141" i="27"/>
  <c r="BF141" i="27"/>
  <c r="BG141" i="27"/>
  <c r="BH141" i="27"/>
  <c r="BI141" i="27"/>
  <c r="BJ141" i="27"/>
  <c r="BK141" i="27"/>
  <c r="BL141" i="27"/>
  <c r="BM141" i="27"/>
  <c r="BN141" i="27"/>
  <c r="BO141" i="27"/>
  <c r="BP141" i="27"/>
  <c r="BQ141" i="27"/>
  <c r="BR141" i="27"/>
  <c r="BS141" i="27"/>
  <c r="BT141" i="27"/>
  <c r="BU141" i="27"/>
  <c r="BV141" i="27"/>
  <c r="BW141" i="27"/>
  <c r="BX141" i="27"/>
  <c r="BY141" i="27"/>
  <c r="BZ141" i="27"/>
  <c r="CA141" i="27"/>
  <c r="CB141" i="27"/>
  <c r="CC141" i="27"/>
  <c r="CD141" i="27"/>
  <c r="CE141" i="27"/>
  <c r="CF141" i="27"/>
  <c r="CG141" i="27"/>
  <c r="CH141" i="27"/>
  <c r="CI141" i="27"/>
  <c r="CJ141" i="27"/>
  <c r="CK141" i="27"/>
  <c r="CL141" i="27"/>
  <c r="CM141" i="27"/>
  <c r="CN141" i="27"/>
  <c r="CO141" i="27"/>
  <c r="CP141" i="27"/>
  <c r="CQ141" i="27"/>
  <c r="CR141" i="27"/>
  <c r="CS141" i="27"/>
  <c r="CT141" i="27"/>
  <c r="CU141" i="27"/>
  <c r="CV141" i="27"/>
  <c r="CW141" i="27"/>
  <c r="CX141" i="27"/>
  <c r="CY141" i="27"/>
  <c r="CZ141" i="27"/>
  <c r="DA141" i="27"/>
  <c r="DB141" i="27"/>
  <c r="DC141" i="27"/>
  <c r="DD141" i="27"/>
  <c r="DE141" i="27"/>
  <c r="DF141" i="27"/>
  <c r="DG141" i="27"/>
  <c r="DH141" i="27"/>
  <c r="DI141" i="27"/>
  <c r="DJ141" i="27"/>
  <c r="DK141" i="27"/>
  <c r="DL141" i="27"/>
  <c r="DM141" i="27"/>
  <c r="DN141" i="27"/>
  <c r="DO141" i="27"/>
  <c r="DP141" i="27"/>
  <c r="DQ141" i="27"/>
  <c r="DR141" i="27"/>
  <c r="DS141" i="27"/>
  <c r="DT141" i="27"/>
  <c r="DU141" i="27"/>
  <c r="DV141" i="27"/>
  <c r="DW141" i="27"/>
  <c r="DX141" i="27"/>
  <c r="DY141" i="27"/>
  <c r="DZ141" i="27"/>
  <c r="EA141" i="27"/>
  <c r="EB141" i="27"/>
  <c r="EC141" i="27"/>
  <c r="ED141" i="27"/>
  <c r="EE141" i="27"/>
  <c r="EF141" i="27"/>
  <c r="EG141" i="27"/>
  <c r="EH141" i="27"/>
  <c r="EI141" i="27"/>
  <c r="EJ141" i="27"/>
  <c r="EK141" i="27"/>
  <c r="EL141" i="27"/>
  <c r="EM141" i="27"/>
  <c r="EN141" i="27"/>
  <c r="EO141" i="27"/>
  <c r="EP141" i="27"/>
  <c r="EQ141" i="27"/>
  <c r="ER141" i="27"/>
  <c r="ES141" i="27"/>
  <c r="ET141" i="27"/>
  <c r="EU141" i="27"/>
  <c r="EV141" i="27"/>
  <c r="EW141" i="27"/>
  <c r="EX141" i="27"/>
  <c r="EY141" i="27"/>
  <c r="EZ141" i="27"/>
  <c r="FA141" i="27"/>
  <c r="FB141" i="27"/>
  <c r="FC141" i="27"/>
  <c r="FD141" i="27"/>
  <c r="FE141" i="27"/>
  <c r="FF141" i="27"/>
  <c r="FG141" i="27"/>
  <c r="FH141" i="27"/>
  <c r="FI141" i="27"/>
  <c r="FJ141" i="27"/>
  <c r="FK141" i="27"/>
  <c r="FL141" i="27"/>
  <c r="FM141" i="27"/>
  <c r="FN141" i="27"/>
  <c r="FO141" i="27"/>
  <c r="FP141" i="27"/>
  <c r="FQ141" i="27"/>
  <c r="FR141" i="27"/>
  <c r="FS141" i="27"/>
  <c r="FT141" i="27"/>
  <c r="FU141" i="27"/>
  <c r="FV141" i="27"/>
  <c r="FW141" i="27"/>
  <c r="FX141" i="27"/>
  <c r="FY141" i="27"/>
  <c r="FZ141" i="27"/>
  <c r="GA141" i="27"/>
  <c r="GB141" i="27"/>
  <c r="GC141" i="27"/>
  <c r="GD141" i="27"/>
  <c r="GE141" i="27"/>
  <c r="GF141" i="27"/>
  <c r="GG141" i="27"/>
  <c r="GH141" i="27"/>
  <c r="GI141" i="27"/>
  <c r="GJ141" i="27"/>
  <c r="GK141" i="27"/>
  <c r="GL141" i="27"/>
  <c r="GM141" i="27"/>
  <c r="GN141" i="27"/>
  <c r="GO141" i="27"/>
  <c r="GP141" i="27"/>
  <c r="GQ141" i="27"/>
  <c r="GR141" i="27"/>
  <c r="GS141" i="27"/>
  <c r="GT141" i="27"/>
  <c r="GU141" i="27"/>
  <c r="GV141" i="27"/>
  <c r="GW141" i="27"/>
  <c r="GX141" i="27"/>
  <c r="GY141" i="27"/>
  <c r="GZ141" i="27"/>
  <c r="HA141" i="27"/>
  <c r="HB141" i="27"/>
  <c r="HC141" i="27"/>
  <c r="HD141" i="27"/>
  <c r="HE141" i="27"/>
  <c r="HF141" i="27"/>
  <c r="HG141" i="27"/>
  <c r="HH141" i="27"/>
  <c r="HI141" i="27"/>
  <c r="HJ141" i="27"/>
  <c r="HK141" i="27"/>
  <c r="HL141" i="27"/>
  <c r="HM141" i="27"/>
  <c r="HN141" i="27"/>
  <c r="HO141" i="27"/>
  <c r="HP141" i="27"/>
  <c r="HQ141" i="27"/>
  <c r="HR141" i="27"/>
  <c r="HS141" i="27"/>
  <c r="HT141" i="27"/>
  <c r="HU141" i="27"/>
  <c r="HV141" i="27"/>
  <c r="HW141" i="27"/>
  <c r="HX141" i="27"/>
  <c r="HY141" i="27"/>
  <c r="HZ141" i="27"/>
  <c r="IA141" i="27"/>
  <c r="IB141" i="27"/>
  <c r="IC141" i="27"/>
  <c r="ID141" i="27"/>
  <c r="IE141" i="27"/>
  <c r="IF141" i="27"/>
  <c r="IG141" i="27"/>
  <c r="IH141" i="27"/>
  <c r="II141" i="27"/>
  <c r="IJ141" i="27"/>
  <c r="IK141" i="27"/>
  <c r="IL141" i="27"/>
  <c r="IM141" i="27"/>
  <c r="IN141" i="27"/>
  <c r="IO141" i="27"/>
  <c r="IP141" i="27"/>
  <c r="IQ141" i="27"/>
  <c r="IR141" i="27"/>
  <c r="IS141" i="27"/>
  <c r="IT141" i="27"/>
  <c r="IU141" i="27"/>
  <c r="IV141" i="27"/>
  <c r="A140" i="27"/>
  <c r="B140" i="27"/>
  <c r="C140" i="27"/>
  <c r="D140" i="27"/>
  <c r="F140" i="27"/>
  <c r="G140" i="27"/>
  <c r="H140" i="27"/>
  <c r="I140" i="27"/>
  <c r="J140" i="27"/>
  <c r="K140" i="27"/>
  <c r="L140" i="27"/>
  <c r="M140" i="27"/>
  <c r="N140" i="27"/>
  <c r="O140" i="27"/>
  <c r="P140" i="27"/>
  <c r="Q140" i="27"/>
  <c r="R140" i="27"/>
  <c r="S140" i="27"/>
  <c r="T140" i="27"/>
  <c r="U140" i="27"/>
  <c r="V140" i="27"/>
  <c r="W140" i="27"/>
  <c r="X140" i="27"/>
  <c r="Y140" i="27"/>
  <c r="Z140" i="27"/>
  <c r="AA140" i="27"/>
  <c r="AB140" i="27"/>
  <c r="AC140" i="27"/>
  <c r="AD140" i="27"/>
  <c r="AE140" i="27"/>
  <c r="AF140" i="27"/>
  <c r="AG140" i="27"/>
  <c r="AH140" i="27"/>
  <c r="AI140" i="27"/>
  <c r="AJ140" i="27"/>
  <c r="AK140" i="27"/>
  <c r="AL140" i="27"/>
  <c r="AM140" i="27"/>
  <c r="AN140" i="27"/>
  <c r="AO140" i="27"/>
  <c r="AP140" i="27"/>
  <c r="AQ140" i="27"/>
  <c r="AR140" i="27"/>
  <c r="AS140" i="27"/>
  <c r="AT140" i="27"/>
  <c r="AU140" i="27"/>
  <c r="AV140" i="27"/>
  <c r="AW140" i="27"/>
  <c r="AX140" i="27"/>
  <c r="AY140" i="27"/>
  <c r="AZ140" i="27"/>
  <c r="BA140" i="27"/>
  <c r="BB140" i="27"/>
  <c r="BC140" i="27"/>
  <c r="BD140" i="27"/>
  <c r="BE140" i="27"/>
  <c r="BF140" i="27"/>
  <c r="BG140" i="27"/>
  <c r="BH140" i="27"/>
  <c r="BI140" i="27"/>
  <c r="BJ140" i="27"/>
  <c r="BK140" i="27"/>
  <c r="BL140" i="27"/>
  <c r="BM140" i="27"/>
  <c r="BN140" i="27"/>
  <c r="BO140" i="27"/>
  <c r="BP140" i="27"/>
  <c r="BQ140" i="27"/>
  <c r="BR140" i="27"/>
  <c r="BS140" i="27"/>
  <c r="BT140" i="27"/>
  <c r="BU140" i="27"/>
  <c r="BV140" i="27"/>
  <c r="BW140" i="27"/>
  <c r="BX140" i="27"/>
  <c r="BY140" i="27"/>
  <c r="BZ140" i="27"/>
  <c r="CA140" i="27"/>
  <c r="CB140" i="27"/>
  <c r="CC140" i="27"/>
  <c r="CD140" i="27"/>
  <c r="CE140" i="27"/>
  <c r="CF140" i="27"/>
  <c r="CG140" i="27"/>
  <c r="CH140" i="27"/>
  <c r="CI140" i="27"/>
  <c r="CJ140" i="27"/>
  <c r="CK140" i="27"/>
  <c r="CL140" i="27"/>
  <c r="CM140" i="27"/>
  <c r="CN140" i="27"/>
  <c r="CO140" i="27"/>
  <c r="CP140" i="27"/>
  <c r="CQ140" i="27"/>
  <c r="CR140" i="27"/>
  <c r="CS140" i="27"/>
  <c r="CT140" i="27"/>
  <c r="CU140" i="27"/>
  <c r="CV140" i="27"/>
  <c r="CW140" i="27"/>
  <c r="CX140" i="27"/>
  <c r="CY140" i="27"/>
  <c r="CZ140" i="27"/>
  <c r="DA140" i="27"/>
  <c r="DB140" i="27"/>
  <c r="DC140" i="27"/>
  <c r="DD140" i="27"/>
  <c r="DE140" i="27"/>
  <c r="DF140" i="27"/>
  <c r="DG140" i="27"/>
  <c r="DH140" i="27"/>
  <c r="DI140" i="27"/>
  <c r="DJ140" i="27"/>
  <c r="DK140" i="27"/>
  <c r="DL140" i="27"/>
  <c r="DM140" i="27"/>
  <c r="DN140" i="27"/>
  <c r="DO140" i="27"/>
  <c r="DP140" i="27"/>
  <c r="DQ140" i="27"/>
  <c r="DR140" i="27"/>
  <c r="DS140" i="27"/>
  <c r="DT140" i="27"/>
  <c r="DU140" i="27"/>
  <c r="DV140" i="27"/>
  <c r="DW140" i="27"/>
  <c r="DX140" i="27"/>
  <c r="DY140" i="27"/>
  <c r="DZ140" i="27"/>
  <c r="EA140" i="27"/>
  <c r="EB140" i="27"/>
  <c r="EC140" i="27"/>
  <c r="ED140" i="27"/>
  <c r="EE140" i="27"/>
  <c r="EF140" i="27"/>
  <c r="EG140" i="27"/>
  <c r="EH140" i="27"/>
  <c r="EI140" i="27"/>
  <c r="EJ140" i="27"/>
  <c r="EK140" i="27"/>
  <c r="EL140" i="27"/>
  <c r="EM140" i="27"/>
  <c r="EN140" i="27"/>
  <c r="EO140" i="27"/>
  <c r="EP140" i="27"/>
  <c r="EQ140" i="27"/>
  <c r="ER140" i="27"/>
  <c r="ES140" i="27"/>
  <c r="ET140" i="27"/>
  <c r="EU140" i="27"/>
  <c r="EV140" i="27"/>
  <c r="EW140" i="27"/>
  <c r="EX140" i="27"/>
  <c r="EY140" i="27"/>
  <c r="EZ140" i="27"/>
  <c r="FA140" i="27"/>
  <c r="FB140" i="27"/>
  <c r="FC140" i="27"/>
  <c r="FD140" i="27"/>
  <c r="FE140" i="27"/>
  <c r="FF140" i="27"/>
  <c r="FG140" i="27"/>
  <c r="FH140" i="27"/>
  <c r="FI140" i="27"/>
  <c r="FJ140" i="27"/>
  <c r="FK140" i="27"/>
  <c r="FL140" i="27"/>
  <c r="FM140" i="27"/>
  <c r="FN140" i="27"/>
  <c r="FO140" i="27"/>
  <c r="FP140" i="27"/>
  <c r="FQ140" i="27"/>
  <c r="FR140" i="27"/>
  <c r="FS140" i="27"/>
  <c r="FT140" i="27"/>
  <c r="FU140" i="27"/>
  <c r="FV140" i="27"/>
  <c r="FW140" i="27"/>
  <c r="FX140" i="27"/>
  <c r="FY140" i="27"/>
  <c r="FZ140" i="27"/>
  <c r="GA140" i="27"/>
  <c r="GB140" i="27"/>
  <c r="GC140" i="27"/>
  <c r="GD140" i="27"/>
  <c r="GE140" i="27"/>
  <c r="GF140" i="27"/>
  <c r="GG140" i="27"/>
  <c r="GH140" i="27"/>
  <c r="GI140" i="27"/>
  <c r="GJ140" i="27"/>
  <c r="GK140" i="27"/>
  <c r="GL140" i="27"/>
  <c r="GM140" i="27"/>
  <c r="GN140" i="27"/>
  <c r="GO140" i="27"/>
  <c r="GP140" i="27"/>
  <c r="GQ140" i="27"/>
  <c r="GR140" i="27"/>
  <c r="GS140" i="27"/>
  <c r="GT140" i="27"/>
  <c r="GU140" i="27"/>
  <c r="GV140" i="27"/>
  <c r="GW140" i="27"/>
  <c r="GX140" i="27"/>
  <c r="GY140" i="27"/>
  <c r="GZ140" i="27"/>
  <c r="HA140" i="27"/>
  <c r="HB140" i="27"/>
  <c r="HC140" i="27"/>
  <c r="HD140" i="27"/>
  <c r="HE140" i="27"/>
  <c r="HF140" i="27"/>
  <c r="HG140" i="27"/>
  <c r="HH140" i="27"/>
  <c r="HI140" i="27"/>
  <c r="HJ140" i="27"/>
  <c r="HK140" i="27"/>
  <c r="HL140" i="27"/>
  <c r="HM140" i="27"/>
  <c r="HN140" i="27"/>
  <c r="HO140" i="27"/>
  <c r="HP140" i="27"/>
  <c r="HQ140" i="27"/>
  <c r="HR140" i="27"/>
  <c r="HS140" i="27"/>
  <c r="HT140" i="27"/>
  <c r="HU140" i="27"/>
  <c r="HV140" i="27"/>
  <c r="HW140" i="27"/>
  <c r="HX140" i="27"/>
  <c r="HY140" i="27"/>
  <c r="HZ140" i="27"/>
  <c r="IA140" i="27"/>
  <c r="IB140" i="27"/>
  <c r="IC140" i="27"/>
  <c r="ID140" i="27"/>
  <c r="IE140" i="27"/>
  <c r="IF140" i="27"/>
  <c r="IG140" i="27"/>
  <c r="IH140" i="27"/>
  <c r="II140" i="27"/>
  <c r="IJ140" i="27"/>
  <c r="IL140" i="27"/>
  <c r="IM140" i="27"/>
  <c r="IO140" i="27"/>
  <c r="IQ140" i="27"/>
  <c r="IS140" i="27"/>
  <c r="IT140" i="27"/>
  <c r="IU140" i="27"/>
  <c r="IV140" i="27"/>
  <c r="A139" i="27"/>
  <c r="B139" i="27"/>
  <c r="C139" i="27"/>
  <c r="D139" i="27"/>
  <c r="E139" i="27"/>
  <c r="F139" i="27"/>
  <c r="G139" i="27"/>
  <c r="H139" i="27"/>
  <c r="I139" i="27"/>
  <c r="J139" i="27"/>
  <c r="K139" i="27"/>
  <c r="L139" i="27"/>
  <c r="M139" i="27"/>
  <c r="N139" i="27"/>
  <c r="O139" i="27"/>
  <c r="P139" i="27"/>
  <c r="Q139" i="27"/>
  <c r="R139" i="27"/>
  <c r="S139" i="27"/>
  <c r="T139" i="27"/>
  <c r="U139" i="27"/>
  <c r="V139" i="27"/>
  <c r="W139" i="27"/>
  <c r="X139" i="27"/>
  <c r="Y139" i="27"/>
  <c r="Z139" i="27"/>
  <c r="AA139" i="27"/>
  <c r="AB139" i="27"/>
  <c r="AC139" i="27"/>
  <c r="AD139" i="27"/>
  <c r="AE139" i="27"/>
  <c r="AF139" i="27"/>
  <c r="AG139" i="27"/>
  <c r="AH139" i="27"/>
  <c r="AI139" i="27"/>
  <c r="AJ139" i="27"/>
  <c r="AK139" i="27"/>
  <c r="AL139" i="27"/>
  <c r="AM139" i="27"/>
  <c r="AN139" i="27"/>
  <c r="AO139" i="27"/>
  <c r="AP139" i="27"/>
  <c r="AQ139" i="27"/>
  <c r="AR139" i="27"/>
  <c r="AS139" i="27"/>
  <c r="AT139" i="27"/>
  <c r="AU139" i="27"/>
  <c r="AV139" i="27"/>
  <c r="AW139" i="27"/>
  <c r="AX139" i="27"/>
  <c r="AY139" i="27"/>
  <c r="AZ139" i="27"/>
  <c r="BA139" i="27"/>
  <c r="BB139" i="27"/>
  <c r="BC139" i="27"/>
  <c r="BD139" i="27"/>
  <c r="BE139" i="27"/>
  <c r="BF139" i="27"/>
  <c r="BG139" i="27"/>
  <c r="BH139" i="27"/>
  <c r="BI139" i="27"/>
  <c r="BJ139" i="27"/>
  <c r="BK139" i="27"/>
  <c r="BL139" i="27"/>
  <c r="BM139" i="27"/>
  <c r="BN139" i="27"/>
  <c r="BO139" i="27"/>
  <c r="BP139" i="27"/>
  <c r="BQ139" i="27"/>
  <c r="BR139" i="27"/>
  <c r="BS139" i="27"/>
  <c r="BT139" i="27"/>
  <c r="BU139" i="27"/>
  <c r="BV139" i="27"/>
  <c r="BW139" i="27"/>
  <c r="BX139" i="27"/>
  <c r="BY139" i="27"/>
  <c r="BZ139" i="27"/>
  <c r="CA139" i="27"/>
  <c r="CB139" i="27"/>
  <c r="CC139" i="27"/>
  <c r="CD139" i="27"/>
  <c r="CE139" i="27"/>
  <c r="CF139" i="27"/>
  <c r="CG139" i="27"/>
  <c r="CH139" i="27"/>
  <c r="CI139" i="27"/>
  <c r="CJ139" i="27"/>
  <c r="CK139" i="27"/>
  <c r="CL139" i="27"/>
  <c r="CM139" i="27"/>
  <c r="CN139" i="27"/>
  <c r="CO139" i="27"/>
  <c r="CP139" i="27"/>
  <c r="CQ139" i="27"/>
  <c r="CR139" i="27"/>
  <c r="CS139" i="27"/>
  <c r="CT139" i="27"/>
  <c r="CU139" i="27"/>
  <c r="CV139" i="27"/>
  <c r="CW139" i="27"/>
  <c r="CX139" i="27"/>
  <c r="CY139" i="27"/>
  <c r="CZ139" i="27"/>
  <c r="DA139" i="27"/>
  <c r="DB139" i="27"/>
  <c r="DC139" i="27"/>
  <c r="DD139" i="27"/>
  <c r="DE139" i="27"/>
  <c r="DF139" i="27"/>
  <c r="DG139" i="27"/>
  <c r="DH139" i="27"/>
  <c r="DI139" i="27"/>
  <c r="DJ139" i="27"/>
  <c r="DK139" i="27"/>
  <c r="DL139" i="27"/>
  <c r="DM139" i="27"/>
  <c r="DN139" i="27"/>
  <c r="DO139" i="27"/>
  <c r="DP139" i="27"/>
  <c r="DQ139" i="27"/>
  <c r="DR139" i="27"/>
  <c r="DS139" i="27"/>
  <c r="DT139" i="27"/>
  <c r="DU139" i="27"/>
  <c r="DV139" i="27"/>
  <c r="DW139" i="27"/>
  <c r="DX139" i="27"/>
  <c r="DY139" i="27"/>
  <c r="DZ139" i="27"/>
  <c r="EA139" i="27"/>
  <c r="EB139" i="27"/>
  <c r="EC139" i="27"/>
  <c r="ED139" i="27"/>
  <c r="EE139" i="27"/>
  <c r="EF139" i="27"/>
  <c r="EG139" i="27"/>
  <c r="EH139" i="27"/>
  <c r="EI139" i="27"/>
  <c r="EJ139" i="27"/>
  <c r="EK139" i="27"/>
  <c r="EL139" i="27"/>
  <c r="EM139" i="27"/>
  <c r="EN139" i="27"/>
  <c r="EO139" i="27"/>
  <c r="EP139" i="27"/>
  <c r="EQ139" i="27"/>
  <c r="ER139" i="27"/>
  <c r="ES139" i="27"/>
  <c r="ET139" i="27"/>
  <c r="EU139" i="27"/>
  <c r="EV139" i="27"/>
  <c r="EW139" i="27"/>
  <c r="EX139" i="27"/>
  <c r="EY139" i="27"/>
  <c r="EZ139" i="27"/>
  <c r="FA139" i="27"/>
  <c r="FB139" i="27"/>
  <c r="FC139" i="27"/>
  <c r="FD139" i="27"/>
  <c r="FE139" i="27"/>
  <c r="FF139" i="27"/>
  <c r="FG139" i="27"/>
  <c r="FH139" i="27"/>
  <c r="FI139" i="27"/>
  <c r="FJ139" i="27"/>
  <c r="FK139" i="27"/>
  <c r="FL139" i="27"/>
  <c r="FM139" i="27"/>
  <c r="FN139" i="27"/>
  <c r="FO139" i="27"/>
  <c r="FP139" i="27"/>
  <c r="FQ139" i="27"/>
  <c r="FR139" i="27"/>
  <c r="FS139" i="27"/>
  <c r="FT139" i="27"/>
  <c r="FU139" i="27"/>
  <c r="FV139" i="27"/>
  <c r="FW139" i="27"/>
  <c r="FX139" i="27"/>
  <c r="FY139" i="27"/>
  <c r="FZ139" i="27"/>
  <c r="GA139" i="27"/>
  <c r="GB139" i="27"/>
  <c r="GC139" i="27"/>
  <c r="GD139" i="27"/>
  <c r="GE139" i="27"/>
  <c r="GF139" i="27"/>
  <c r="GG139" i="27"/>
  <c r="GH139" i="27"/>
  <c r="GI139" i="27"/>
  <c r="GJ139" i="27"/>
  <c r="GK139" i="27"/>
  <c r="GL139" i="27"/>
  <c r="GM139" i="27"/>
  <c r="GN139" i="27"/>
  <c r="GO139" i="27"/>
  <c r="GP139" i="27"/>
  <c r="GQ139" i="27"/>
  <c r="GR139" i="27"/>
  <c r="GS139" i="27"/>
  <c r="GT139" i="27"/>
  <c r="GU139" i="27"/>
  <c r="GV139" i="27"/>
  <c r="GW139" i="27"/>
  <c r="GX139" i="27"/>
  <c r="GY139" i="27"/>
  <c r="GZ139" i="27"/>
  <c r="HA139" i="27"/>
  <c r="HB139" i="27"/>
  <c r="HC139" i="27"/>
  <c r="HD139" i="27"/>
  <c r="HE139" i="27"/>
  <c r="HF139" i="27"/>
  <c r="HG139" i="27"/>
  <c r="HH139" i="27"/>
  <c r="HI139" i="27"/>
  <c r="HJ139" i="27"/>
  <c r="HK139" i="27"/>
  <c r="HL139" i="27"/>
  <c r="HM139" i="27"/>
  <c r="HN139" i="27"/>
  <c r="HO139" i="27"/>
  <c r="HP139" i="27"/>
  <c r="HQ139" i="27"/>
  <c r="HR139" i="27"/>
  <c r="HS139" i="27"/>
  <c r="HT139" i="27"/>
  <c r="HU139" i="27"/>
  <c r="HV139" i="27"/>
  <c r="HW139" i="27"/>
  <c r="HX139" i="27"/>
  <c r="HY139" i="27"/>
  <c r="HZ139" i="27"/>
  <c r="IA139" i="27"/>
  <c r="IB139" i="27"/>
  <c r="IC139" i="27"/>
  <c r="ID139" i="27"/>
  <c r="IE139" i="27"/>
  <c r="IF139" i="27"/>
  <c r="IG139" i="27"/>
  <c r="IH139" i="27"/>
  <c r="II139" i="27"/>
  <c r="IJ139" i="27"/>
  <c r="IK139" i="27"/>
  <c r="IL139" i="27"/>
  <c r="IM139" i="27"/>
  <c r="IN139" i="27"/>
  <c r="IO139" i="27"/>
  <c r="IP139" i="27"/>
  <c r="IQ139" i="27"/>
  <c r="IR139" i="27"/>
  <c r="IS139" i="27"/>
  <c r="IT139" i="27"/>
  <c r="IU139" i="27"/>
  <c r="IV139" i="27"/>
  <c r="A138" i="27"/>
  <c r="B138" i="27"/>
  <c r="C138" i="27"/>
  <c r="D138" i="27"/>
  <c r="E138" i="27"/>
  <c r="F138" i="27"/>
  <c r="G138" i="27"/>
  <c r="H138" i="27"/>
  <c r="I138" i="27"/>
  <c r="J138" i="27"/>
  <c r="K138" i="27"/>
  <c r="L138" i="27"/>
  <c r="M138" i="27"/>
  <c r="N138" i="27"/>
  <c r="O138" i="27"/>
  <c r="P138" i="27"/>
  <c r="Q138" i="27"/>
  <c r="R138" i="27"/>
  <c r="S138" i="27"/>
  <c r="T138" i="27"/>
  <c r="U138" i="27"/>
  <c r="V138" i="27"/>
  <c r="W138" i="27"/>
  <c r="X138" i="27"/>
  <c r="Y138" i="27"/>
  <c r="Z138" i="27"/>
  <c r="AA138" i="27"/>
  <c r="AB138" i="27"/>
  <c r="AC138" i="27"/>
  <c r="AD138" i="27"/>
  <c r="AE138" i="27"/>
  <c r="AF138" i="27"/>
  <c r="AG138" i="27"/>
  <c r="AH138" i="27"/>
  <c r="AI138" i="27"/>
  <c r="AJ138" i="27"/>
  <c r="AK138" i="27"/>
  <c r="AL138" i="27"/>
  <c r="AM138" i="27"/>
  <c r="AN138" i="27"/>
  <c r="AO138" i="27"/>
  <c r="AP138" i="27"/>
  <c r="AQ138" i="27"/>
  <c r="AR138" i="27"/>
  <c r="AS138" i="27"/>
  <c r="AT138" i="27"/>
  <c r="AU138" i="27"/>
  <c r="AV138" i="27"/>
  <c r="AW138" i="27"/>
  <c r="AX138" i="27"/>
  <c r="AY138" i="27"/>
  <c r="AZ138" i="27"/>
  <c r="BA138" i="27"/>
  <c r="BB138" i="27"/>
  <c r="BC138" i="27"/>
  <c r="BD138" i="27"/>
  <c r="BE138" i="27"/>
  <c r="BF138" i="27"/>
  <c r="BG138" i="27"/>
  <c r="BH138" i="27"/>
  <c r="BI138" i="27"/>
  <c r="BJ138" i="27"/>
  <c r="BK138" i="27"/>
  <c r="BL138" i="27"/>
  <c r="BM138" i="27"/>
  <c r="BN138" i="27"/>
  <c r="BO138" i="27"/>
  <c r="BP138" i="27"/>
  <c r="BQ138" i="27"/>
  <c r="BR138" i="27"/>
  <c r="BS138" i="27"/>
  <c r="BT138" i="27"/>
  <c r="BU138" i="27"/>
  <c r="BV138" i="27"/>
  <c r="BW138" i="27"/>
  <c r="BX138" i="27"/>
  <c r="BY138" i="27"/>
  <c r="BZ138" i="27"/>
  <c r="CA138" i="27"/>
  <c r="CB138" i="27"/>
  <c r="CC138" i="27"/>
  <c r="CD138" i="27"/>
  <c r="CE138" i="27"/>
  <c r="CF138" i="27"/>
  <c r="CG138" i="27"/>
  <c r="CH138" i="27"/>
  <c r="CI138" i="27"/>
  <c r="CJ138" i="27"/>
  <c r="CK138" i="27"/>
  <c r="CL138" i="27"/>
  <c r="CM138" i="27"/>
  <c r="CN138" i="27"/>
  <c r="CO138" i="27"/>
  <c r="CP138" i="27"/>
  <c r="CQ138" i="27"/>
  <c r="CR138" i="27"/>
  <c r="CS138" i="27"/>
  <c r="CT138" i="27"/>
  <c r="CU138" i="27"/>
  <c r="CV138" i="27"/>
  <c r="CW138" i="27"/>
  <c r="CX138" i="27"/>
  <c r="CY138" i="27"/>
  <c r="CZ138" i="27"/>
  <c r="DA138" i="27"/>
  <c r="DB138" i="27"/>
  <c r="DC138" i="27"/>
  <c r="DD138" i="27"/>
  <c r="DE138" i="27"/>
  <c r="DF138" i="27"/>
  <c r="DG138" i="27"/>
  <c r="DH138" i="27"/>
  <c r="DI138" i="27"/>
  <c r="DJ138" i="27"/>
  <c r="DK138" i="27"/>
  <c r="DL138" i="27"/>
  <c r="DM138" i="27"/>
  <c r="DN138" i="27"/>
  <c r="DO138" i="27"/>
  <c r="DP138" i="27"/>
  <c r="DQ138" i="27"/>
  <c r="DR138" i="27"/>
  <c r="DS138" i="27"/>
  <c r="DT138" i="27"/>
  <c r="DU138" i="27"/>
  <c r="DV138" i="27"/>
  <c r="DW138" i="27"/>
  <c r="DX138" i="27"/>
  <c r="DY138" i="27"/>
  <c r="DZ138" i="27"/>
  <c r="EA138" i="27"/>
  <c r="EB138" i="27"/>
  <c r="EC138" i="27"/>
  <c r="ED138" i="27"/>
  <c r="EE138" i="27"/>
  <c r="EF138" i="27"/>
  <c r="EG138" i="27"/>
  <c r="EH138" i="27"/>
  <c r="EI138" i="27"/>
  <c r="EJ138" i="27"/>
  <c r="EK138" i="27"/>
  <c r="EL138" i="27"/>
  <c r="EM138" i="27"/>
  <c r="EN138" i="27"/>
  <c r="EO138" i="27"/>
  <c r="EP138" i="27"/>
  <c r="EQ138" i="27"/>
  <c r="ER138" i="27"/>
  <c r="ES138" i="27"/>
  <c r="ET138" i="27"/>
  <c r="EU138" i="27"/>
  <c r="EV138" i="27"/>
  <c r="EW138" i="27"/>
  <c r="EX138" i="27"/>
  <c r="EY138" i="27"/>
  <c r="EZ138" i="27"/>
  <c r="FA138" i="27"/>
  <c r="FB138" i="27"/>
  <c r="FC138" i="27"/>
  <c r="FD138" i="27"/>
  <c r="FE138" i="27"/>
  <c r="FF138" i="27"/>
  <c r="FG138" i="27"/>
  <c r="FH138" i="27"/>
  <c r="FI138" i="27"/>
  <c r="FJ138" i="27"/>
  <c r="FK138" i="27"/>
  <c r="FL138" i="27"/>
  <c r="FM138" i="27"/>
  <c r="FN138" i="27"/>
  <c r="FO138" i="27"/>
  <c r="FP138" i="27"/>
  <c r="FQ138" i="27"/>
  <c r="FR138" i="27"/>
  <c r="FS138" i="27"/>
  <c r="FT138" i="27"/>
  <c r="FU138" i="27"/>
  <c r="FV138" i="27"/>
  <c r="FW138" i="27"/>
  <c r="FX138" i="27"/>
  <c r="FY138" i="27"/>
  <c r="FZ138" i="27"/>
  <c r="GA138" i="27"/>
  <c r="GB138" i="27"/>
  <c r="GC138" i="27"/>
  <c r="GD138" i="27"/>
  <c r="GE138" i="27"/>
  <c r="GF138" i="27"/>
  <c r="GG138" i="27"/>
  <c r="GH138" i="27"/>
  <c r="GI138" i="27"/>
  <c r="GJ138" i="27"/>
  <c r="GK138" i="27"/>
  <c r="GL138" i="27"/>
  <c r="GM138" i="27"/>
  <c r="GN138" i="27"/>
  <c r="GO138" i="27"/>
  <c r="GP138" i="27"/>
  <c r="GQ138" i="27"/>
  <c r="GR138" i="27"/>
  <c r="GS138" i="27"/>
  <c r="GT138" i="27"/>
  <c r="GU138" i="27"/>
  <c r="GV138" i="27"/>
  <c r="GW138" i="27"/>
  <c r="GX138" i="27"/>
  <c r="GY138" i="27"/>
  <c r="GZ138" i="27"/>
  <c r="HA138" i="27"/>
  <c r="HB138" i="27"/>
  <c r="HC138" i="27"/>
  <c r="HD138" i="27"/>
  <c r="HE138" i="27"/>
  <c r="HF138" i="27"/>
  <c r="HG138" i="27"/>
  <c r="HH138" i="27"/>
  <c r="HI138" i="27"/>
  <c r="HJ138" i="27"/>
  <c r="HK138" i="27"/>
  <c r="HL138" i="27"/>
  <c r="HM138" i="27"/>
  <c r="HN138" i="27"/>
  <c r="HO138" i="27"/>
  <c r="HP138" i="27"/>
  <c r="HQ138" i="27"/>
  <c r="HR138" i="27"/>
  <c r="HS138" i="27"/>
  <c r="HT138" i="27"/>
  <c r="HU138" i="27"/>
  <c r="HV138" i="27"/>
  <c r="HW138" i="27"/>
  <c r="HX138" i="27"/>
  <c r="HY138" i="27"/>
  <c r="HZ138" i="27"/>
  <c r="IA138" i="27"/>
  <c r="IB138" i="27"/>
  <c r="IC138" i="27"/>
  <c r="ID138" i="27"/>
  <c r="IE138" i="27"/>
  <c r="IF138" i="27"/>
  <c r="IG138" i="27"/>
  <c r="IH138" i="27"/>
  <c r="II138" i="27"/>
  <c r="IJ138" i="27"/>
  <c r="IK138" i="27"/>
  <c r="IL138" i="27"/>
  <c r="IM138" i="27"/>
  <c r="IN138" i="27"/>
  <c r="IO138" i="27"/>
  <c r="IP138" i="27"/>
  <c r="IQ138" i="27"/>
  <c r="IR138" i="27"/>
  <c r="IS138" i="27"/>
  <c r="IT138" i="27"/>
  <c r="IU138" i="27"/>
  <c r="IV138" i="27"/>
  <c r="A137" i="27"/>
  <c r="B137" i="27"/>
  <c r="C137" i="27"/>
  <c r="D137" i="27"/>
  <c r="E137" i="27"/>
  <c r="F137" i="27"/>
  <c r="G137" i="27"/>
  <c r="I137" i="27"/>
  <c r="J137" i="27"/>
  <c r="K137" i="27"/>
  <c r="L137" i="27"/>
  <c r="M137" i="27"/>
  <c r="N137" i="27"/>
  <c r="O137" i="27"/>
  <c r="P137" i="27"/>
  <c r="Q137" i="27"/>
  <c r="R137" i="27"/>
  <c r="S137" i="27"/>
  <c r="T137" i="27"/>
  <c r="U137" i="27"/>
  <c r="V137" i="27"/>
  <c r="W137" i="27"/>
  <c r="X137" i="27"/>
  <c r="Y137" i="27"/>
  <c r="Z137" i="27"/>
  <c r="AA137" i="27"/>
  <c r="AB137" i="27"/>
  <c r="AC137" i="27"/>
  <c r="AD137" i="27"/>
  <c r="AE137" i="27"/>
  <c r="AF137" i="27"/>
  <c r="AG137" i="27"/>
  <c r="AH137" i="27"/>
  <c r="AI137" i="27"/>
  <c r="AJ137" i="27"/>
  <c r="AK137" i="27"/>
  <c r="AL137" i="27"/>
  <c r="AM137" i="27"/>
  <c r="AN137" i="27"/>
  <c r="AO137" i="27"/>
  <c r="AP137" i="27"/>
  <c r="AQ137" i="27"/>
  <c r="AR137" i="27"/>
  <c r="AS137" i="27"/>
  <c r="AT137" i="27"/>
  <c r="AU137" i="27"/>
  <c r="AV137" i="27"/>
  <c r="AW137" i="27"/>
  <c r="AX137" i="27"/>
  <c r="AY137" i="27"/>
  <c r="AZ137" i="27"/>
  <c r="BA137" i="27"/>
  <c r="BB137" i="27"/>
  <c r="BC137" i="27"/>
  <c r="BD137" i="27"/>
  <c r="BE137" i="27"/>
  <c r="BF137" i="27"/>
  <c r="BG137" i="27"/>
  <c r="BH137" i="27"/>
  <c r="BI137" i="27"/>
  <c r="BJ137" i="27"/>
  <c r="BK137" i="27"/>
  <c r="BL137" i="27"/>
  <c r="BM137" i="27"/>
  <c r="BN137" i="27"/>
  <c r="BO137" i="27"/>
  <c r="BP137" i="27"/>
  <c r="BQ137" i="27"/>
  <c r="BR137" i="27"/>
  <c r="BS137" i="27"/>
  <c r="BT137" i="27"/>
  <c r="BU137" i="27"/>
  <c r="BV137" i="27"/>
  <c r="BW137" i="27"/>
  <c r="BX137" i="27"/>
  <c r="BY137" i="27"/>
  <c r="BZ137" i="27"/>
  <c r="CA137" i="27"/>
  <c r="CB137" i="27"/>
  <c r="CC137" i="27"/>
  <c r="CD137" i="27"/>
  <c r="CE137" i="27"/>
  <c r="CF137" i="27"/>
  <c r="CG137" i="27"/>
  <c r="CH137" i="27"/>
  <c r="CI137" i="27"/>
  <c r="CJ137" i="27"/>
  <c r="CK137" i="27"/>
  <c r="CL137" i="27"/>
  <c r="CM137" i="27"/>
  <c r="CN137" i="27"/>
  <c r="CO137" i="27"/>
  <c r="CP137" i="27"/>
  <c r="CQ137" i="27"/>
  <c r="CR137" i="27"/>
  <c r="CS137" i="27"/>
  <c r="CT137" i="27"/>
  <c r="CU137" i="27"/>
  <c r="CV137" i="27"/>
  <c r="CW137" i="27"/>
  <c r="CX137" i="27"/>
  <c r="CY137" i="27"/>
  <c r="CZ137" i="27"/>
  <c r="DA137" i="27"/>
  <c r="DB137" i="27"/>
  <c r="DC137" i="27"/>
  <c r="DD137" i="27"/>
  <c r="DE137" i="27"/>
  <c r="DF137" i="27"/>
  <c r="DG137" i="27"/>
  <c r="DH137" i="27"/>
  <c r="DI137" i="27"/>
  <c r="DJ137" i="27"/>
  <c r="DK137" i="27"/>
  <c r="DL137" i="27"/>
  <c r="DM137" i="27"/>
  <c r="DN137" i="27"/>
  <c r="DO137" i="27"/>
  <c r="DP137" i="27"/>
  <c r="DQ137" i="27"/>
  <c r="DR137" i="27"/>
  <c r="DS137" i="27"/>
  <c r="DT137" i="27"/>
  <c r="DU137" i="27"/>
  <c r="DV137" i="27"/>
  <c r="DW137" i="27"/>
  <c r="DX137" i="27"/>
  <c r="DY137" i="27"/>
  <c r="DZ137" i="27"/>
  <c r="EA137" i="27"/>
  <c r="EB137" i="27"/>
  <c r="EC137" i="27"/>
  <c r="ED137" i="27"/>
  <c r="EE137" i="27"/>
  <c r="EF137" i="27"/>
  <c r="EG137" i="27"/>
  <c r="EH137" i="27"/>
  <c r="EI137" i="27"/>
  <c r="EJ137" i="27"/>
  <c r="EK137" i="27"/>
  <c r="EL137" i="27"/>
  <c r="EM137" i="27"/>
  <c r="EN137" i="27"/>
  <c r="EO137" i="27"/>
  <c r="EP137" i="27"/>
  <c r="EQ137" i="27"/>
  <c r="ER137" i="27"/>
  <c r="ES137" i="27"/>
  <c r="ET137" i="27"/>
  <c r="EU137" i="27"/>
  <c r="EV137" i="27"/>
  <c r="EW137" i="27"/>
  <c r="EX137" i="27"/>
  <c r="EY137" i="27"/>
  <c r="EZ137" i="27"/>
  <c r="FA137" i="27"/>
  <c r="FB137" i="27"/>
  <c r="FC137" i="27"/>
  <c r="FD137" i="27"/>
  <c r="FE137" i="27"/>
  <c r="FF137" i="27"/>
  <c r="FG137" i="27"/>
  <c r="FH137" i="27"/>
  <c r="FI137" i="27"/>
  <c r="FJ137" i="27"/>
  <c r="FK137" i="27"/>
  <c r="FL137" i="27"/>
  <c r="FM137" i="27"/>
  <c r="FN137" i="27"/>
  <c r="FO137" i="27"/>
  <c r="FP137" i="27"/>
  <c r="FQ137" i="27"/>
  <c r="FR137" i="27"/>
  <c r="FS137" i="27"/>
  <c r="FT137" i="27"/>
  <c r="FU137" i="27"/>
  <c r="FV137" i="27"/>
  <c r="FW137" i="27"/>
  <c r="FX137" i="27"/>
  <c r="FY137" i="27"/>
  <c r="FZ137" i="27"/>
  <c r="GA137" i="27"/>
  <c r="GB137" i="27"/>
  <c r="GC137" i="27"/>
  <c r="GD137" i="27"/>
  <c r="GE137" i="27"/>
  <c r="GF137" i="27"/>
  <c r="GG137" i="27"/>
  <c r="GH137" i="27"/>
  <c r="GI137" i="27"/>
  <c r="GJ137" i="27"/>
  <c r="GK137" i="27"/>
  <c r="GL137" i="27"/>
  <c r="GM137" i="27"/>
  <c r="GN137" i="27"/>
  <c r="GO137" i="27"/>
  <c r="GP137" i="27"/>
  <c r="GQ137" i="27"/>
  <c r="GR137" i="27"/>
  <c r="GS137" i="27"/>
  <c r="GT137" i="27"/>
  <c r="GU137" i="27"/>
  <c r="GV137" i="27"/>
  <c r="GW137" i="27"/>
  <c r="GX137" i="27"/>
  <c r="GY137" i="27"/>
  <c r="GZ137" i="27"/>
  <c r="HA137" i="27"/>
  <c r="HB137" i="27"/>
  <c r="HC137" i="27"/>
  <c r="HD137" i="27"/>
  <c r="HE137" i="27"/>
  <c r="HF137" i="27"/>
  <c r="HG137" i="27"/>
  <c r="HH137" i="27"/>
  <c r="HI137" i="27"/>
  <c r="HJ137" i="27"/>
  <c r="HK137" i="27"/>
  <c r="HL137" i="27"/>
  <c r="HM137" i="27"/>
  <c r="HN137" i="27"/>
  <c r="HO137" i="27"/>
  <c r="HP137" i="27"/>
  <c r="HQ137" i="27"/>
  <c r="HR137" i="27"/>
  <c r="HS137" i="27"/>
  <c r="HT137" i="27"/>
  <c r="HU137" i="27"/>
  <c r="HV137" i="27"/>
  <c r="HW137" i="27"/>
  <c r="HX137" i="27"/>
  <c r="HY137" i="27"/>
  <c r="HZ137" i="27"/>
  <c r="IA137" i="27"/>
  <c r="IB137" i="27"/>
  <c r="IC137" i="27"/>
  <c r="ID137" i="27"/>
  <c r="IE137" i="27"/>
  <c r="IF137" i="27"/>
  <c r="IG137" i="27"/>
  <c r="IH137" i="27"/>
  <c r="II137" i="27"/>
  <c r="IJ137" i="27"/>
  <c r="IK137" i="27"/>
  <c r="IL137" i="27"/>
  <c r="IM137" i="27"/>
  <c r="IN137" i="27"/>
  <c r="IO137" i="27"/>
  <c r="IP137" i="27"/>
  <c r="IQ137" i="27"/>
  <c r="IR137" i="27"/>
  <c r="IS137" i="27"/>
  <c r="IT137" i="27"/>
  <c r="IU137" i="27"/>
  <c r="IV137" i="27"/>
  <c r="A136" i="27"/>
  <c r="B136" i="27"/>
  <c r="C136" i="27"/>
  <c r="D136" i="27"/>
  <c r="E136" i="27"/>
  <c r="F136" i="27"/>
  <c r="G136" i="27"/>
  <c r="H136" i="27"/>
  <c r="J136" i="27"/>
  <c r="K136" i="27"/>
  <c r="L136" i="27"/>
  <c r="M136" i="27"/>
  <c r="N136" i="27"/>
  <c r="O136" i="27"/>
  <c r="P136" i="27"/>
  <c r="Q136" i="27"/>
  <c r="R136" i="27"/>
  <c r="S136" i="27"/>
  <c r="T136" i="27"/>
  <c r="U136" i="27"/>
  <c r="V136" i="27"/>
  <c r="W136" i="27"/>
  <c r="X136" i="27"/>
  <c r="Y136" i="27"/>
  <c r="Z136" i="27"/>
  <c r="AA136" i="27"/>
  <c r="AB136" i="27"/>
  <c r="AC136" i="27"/>
  <c r="AD136" i="27"/>
  <c r="AE136" i="27"/>
  <c r="AF136" i="27"/>
  <c r="AG136" i="27"/>
  <c r="AH136" i="27"/>
  <c r="AI136" i="27"/>
  <c r="AJ136" i="27"/>
  <c r="AK136" i="27"/>
  <c r="AL136" i="27"/>
  <c r="AM136" i="27"/>
  <c r="AN136" i="27"/>
  <c r="AO136" i="27"/>
  <c r="AP136" i="27"/>
  <c r="AQ136" i="27"/>
  <c r="AR136" i="27"/>
  <c r="AS136" i="27"/>
  <c r="AT136" i="27"/>
  <c r="AU136" i="27"/>
  <c r="AV136" i="27"/>
  <c r="AW136" i="27"/>
  <c r="AX136" i="27"/>
  <c r="AY136" i="27"/>
  <c r="AZ136" i="27"/>
  <c r="BA136" i="27"/>
  <c r="BB136" i="27"/>
  <c r="BC136" i="27"/>
  <c r="BD136" i="27"/>
  <c r="BE136" i="27"/>
  <c r="BF136" i="27"/>
  <c r="BG136" i="27"/>
  <c r="BH136" i="27"/>
  <c r="BI136" i="27"/>
  <c r="BJ136" i="27"/>
  <c r="BK136" i="27"/>
  <c r="BL136" i="27"/>
  <c r="BM136" i="27"/>
  <c r="BN136" i="27"/>
  <c r="BO136" i="27"/>
  <c r="BP136" i="27"/>
  <c r="BQ136" i="27"/>
  <c r="BR136" i="27"/>
  <c r="BS136" i="27"/>
  <c r="BT136" i="27"/>
  <c r="BU136" i="27"/>
  <c r="BV136" i="27"/>
  <c r="BW136" i="27"/>
  <c r="BX136" i="27"/>
  <c r="BY136" i="27"/>
  <c r="BZ136" i="27"/>
  <c r="CA136" i="27"/>
  <c r="CB136" i="27"/>
  <c r="CC136" i="27"/>
  <c r="CD136" i="27"/>
  <c r="CE136" i="27"/>
  <c r="CF136" i="27"/>
  <c r="CG136" i="27"/>
  <c r="CH136" i="27"/>
  <c r="CI136" i="27"/>
  <c r="CJ136" i="27"/>
  <c r="CK136" i="27"/>
  <c r="CL136" i="27"/>
  <c r="CM136" i="27"/>
  <c r="CN136" i="27"/>
  <c r="CO136" i="27"/>
  <c r="CP136" i="27"/>
  <c r="CQ136" i="27"/>
  <c r="CR136" i="27"/>
  <c r="CS136" i="27"/>
  <c r="CT136" i="27"/>
  <c r="CU136" i="27"/>
  <c r="CV136" i="27"/>
  <c r="CW136" i="27"/>
  <c r="CX136" i="27"/>
  <c r="CY136" i="27"/>
  <c r="CZ136" i="27"/>
  <c r="DA136" i="27"/>
  <c r="DB136" i="27"/>
  <c r="DC136" i="27"/>
  <c r="DD136" i="27"/>
  <c r="DE136" i="27"/>
  <c r="DF136" i="27"/>
  <c r="DG136" i="27"/>
  <c r="DH136" i="27"/>
  <c r="DI136" i="27"/>
  <c r="DJ136" i="27"/>
  <c r="DK136" i="27"/>
  <c r="DL136" i="27"/>
  <c r="DM136" i="27"/>
  <c r="DN136" i="27"/>
  <c r="DO136" i="27"/>
  <c r="DP136" i="27"/>
  <c r="DQ136" i="27"/>
  <c r="DR136" i="27"/>
  <c r="DS136" i="27"/>
  <c r="DT136" i="27"/>
  <c r="DU136" i="27"/>
  <c r="DV136" i="27"/>
  <c r="DW136" i="27"/>
  <c r="DX136" i="27"/>
  <c r="DY136" i="27"/>
  <c r="DZ136" i="27"/>
  <c r="EA136" i="27"/>
  <c r="EB136" i="27"/>
  <c r="EC136" i="27"/>
  <c r="ED136" i="27"/>
  <c r="EE136" i="27"/>
  <c r="EF136" i="27"/>
  <c r="EG136" i="27"/>
  <c r="EH136" i="27"/>
  <c r="EI136" i="27"/>
  <c r="EJ136" i="27"/>
  <c r="EK136" i="27"/>
  <c r="EL136" i="27"/>
  <c r="EM136" i="27"/>
  <c r="EN136" i="27"/>
  <c r="EO136" i="27"/>
  <c r="EP136" i="27"/>
  <c r="EQ136" i="27"/>
  <c r="ER136" i="27"/>
  <c r="ES136" i="27"/>
  <c r="ET136" i="27"/>
  <c r="EU136" i="27"/>
  <c r="EV136" i="27"/>
  <c r="EW136" i="27"/>
  <c r="EX136" i="27"/>
  <c r="EY136" i="27"/>
  <c r="EZ136" i="27"/>
  <c r="FA136" i="27"/>
  <c r="FB136" i="27"/>
  <c r="FC136" i="27"/>
  <c r="FD136" i="27"/>
  <c r="FE136" i="27"/>
  <c r="FF136" i="27"/>
  <c r="FG136" i="27"/>
  <c r="FH136" i="27"/>
  <c r="FI136" i="27"/>
  <c r="FJ136" i="27"/>
  <c r="FK136" i="27"/>
  <c r="FL136" i="27"/>
  <c r="FM136" i="27"/>
  <c r="FN136" i="27"/>
  <c r="FO136" i="27"/>
  <c r="FP136" i="27"/>
  <c r="FQ136" i="27"/>
  <c r="FR136" i="27"/>
  <c r="FS136" i="27"/>
  <c r="FT136" i="27"/>
  <c r="FU136" i="27"/>
  <c r="FV136" i="27"/>
  <c r="FW136" i="27"/>
  <c r="FX136" i="27"/>
  <c r="FY136" i="27"/>
  <c r="FZ136" i="27"/>
  <c r="GA136" i="27"/>
  <c r="GB136" i="27"/>
  <c r="GC136" i="27"/>
  <c r="GD136" i="27"/>
  <c r="GE136" i="27"/>
  <c r="GF136" i="27"/>
  <c r="GG136" i="27"/>
  <c r="GH136" i="27"/>
  <c r="GI136" i="27"/>
  <c r="GJ136" i="27"/>
  <c r="GK136" i="27"/>
  <c r="GL136" i="27"/>
  <c r="GM136" i="27"/>
  <c r="GN136" i="27"/>
  <c r="GO136" i="27"/>
  <c r="GP136" i="27"/>
  <c r="GQ136" i="27"/>
  <c r="GR136" i="27"/>
  <c r="GS136" i="27"/>
  <c r="GT136" i="27"/>
  <c r="GU136" i="27"/>
  <c r="GV136" i="27"/>
  <c r="GW136" i="27"/>
  <c r="GX136" i="27"/>
  <c r="GY136" i="27"/>
  <c r="GZ136" i="27"/>
  <c r="HA136" i="27"/>
  <c r="HB136" i="27"/>
  <c r="HC136" i="27"/>
  <c r="HD136" i="27"/>
  <c r="HE136" i="27"/>
  <c r="HF136" i="27"/>
  <c r="HG136" i="27"/>
  <c r="HH136" i="27"/>
  <c r="HI136" i="27"/>
  <c r="HJ136" i="27"/>
  <c r="HK136" i="27"/>
  <c r="HL136" i="27"/>
  <c r="HM136" i="27"/>
  <c r="HN136" i="27"/>
  <c r="HO136" i="27"/>
  <c r="HP136" i="27"/>
  <c r="HQ136" i="27"/>
  <c r="HR136" i="27"/>
  <c r="HS136" i="27"/>
  <c r="HT136" i="27"/>
  <c r="HU136" i="27"/>
  <c r="HV136" i="27"/>
  <c r="HW136" i="27"/>
  <c r="HX136" i="27"/>
  <c r="HY136" i="27"/>
  <c r="HZ136" i="27"/>
  <c r="IA136" i="27"/>
  <c r="IB136" i="27"/>
  <c r="IC136" i="27"/>
  <c r="ID136" i="27"/>
  <c r="IE136" i="27"/>
  <c r="IF136" i="27"/>
  <c r="IG136" i="27"/>
  <c r="IH136" i="27"/>
  <c r="II136" i="27"/>
  <c r="IJ136" i="27"/>
  <c r="IK136" i="27"/>
  <c r="IL136" i="27"/>
  <c r="IM136" i="27"/>
  <c r="IN136" i="27"/>
  <c r="IO136" i="27"/>
  <c r="IP136" i="27"/>
  <c r="IQ136" i="27"/>
  <c r="IR136" i="27"/>
  <c r="IS136" i="27"/>
  <c r="IT136" i="27"/>
  <c r="IU136" i="27"/>
  <c r="IV136" i="27"/>
  <c r="A135" i="27"/>
  <c r="B135" i="27"/>
  <c r="C135" i="27"/>
  <c r="D135" i="27"/>
  <c r="E135" i="27"/>
  <c r="F135" i="27"/>
  <c r="G135" i="27"/>
  <c r="H135" i="27"/>
  <c r="I135" i="27"/>
  <c r="J135" i="27"/>
  <c r="K135" i="27"/>
  <c r="L135" i="27"/>
  <c r="M135" i="27"/>
  <c r="N135" i="27"/>
  <c r="O135" i="27"/>
  <c r="P135" i="27"/>
  <c r="Q135" i="27"/>
  <c r="R135" i="27"/>
  <c r="S135" i="27"/>
  <c r="T135" i="27"/>
  <c r="U135" i="27"/>
  <c r="V135" i="27"/>
  <c r="W135" i="27"/>
  <c r="X135" i="27"/>
  <c r="Y135" i="27"/>
  <c r="Z135" i="27"/>
  <c r="AA135" i="27"/>
  <c r="AB135" i="27"/>
  <c r="AC135" i="27"/>
  <c r="AD135" i="27"/>
  <c r="AE135" i="27"/>
  <c r="AF135" i="27"/>
  <c r="AG135" i="27"/>
  <c r="AH135" i="27"/>
  <c r="AI135" i="27"/>
  <c r="AJ135" i="27"/>
  <c r="AK135" i="27"/>
  <c r="AL135" i="27"/>
  <c r="AM135" i="27"/>
  <c r="AN135" i="27"/>
  <c r="AO135" i="27"/>
  <c r="AP135" i="27"/>
  <c r="AQ135" i="27"/>
  <c r="AR135" i="27"/>
  <c r="AS135" i="27"/>
  <c r="AT135" i="27"/>
  <c r="AU135" i="27"/>
  <c r="AV135" i="27"/>
  <c r="AW135" i="27"/>
  <c r="AX135" i="27"/>
  <c r="AY135" i="27"/>
  <c r="AZ135" i="27"/>
  <c r="BA135" i="27"/>
  <c r="BB135" i="27"/>
  <c r="BC135" i="27"/>
  <c r="BD135" i="27"/>
  <c r="BE135" i="27"/>
  <c r="BF135" i="27"/>
  <c r="BG135" i="27"/>
  <c r="BH135" i="27"/>
  <c r="BI135" i="27"/>
  <c r="BJ135" i="27"/>
  <c r="BK135" i="27"/>
  <c r="BL135" i="27"/>
  <c r="BM135" i="27"/>
  <c r="BN135" i="27"/>
  <c r="BO135" i="27"/>
  <c r="BP135" i="27"/>
  <c r="BQ135" i="27"/>
  <c r="BR135" i="27"/>
  <c r="BS135" i="27"/>
  <c r="BT135" i="27"/>
  <c r="BU135" i="27"/>
  <c r="BV135" i="27"/>
  <c r="BW135" i="27"/>
  <c r="BX135" i="27"/>
  <c r="BY135" i="27"/>
  <c r="BZ135" i="27"/>
  <c r="CA135" i="27"/>
  <c r="CB135" i="27"/>
  <c r="CC135" i="27"/>
  <c r="CD135" i="27"/>
  <c r="CE135" i="27"/>
  <c r="CF135" i="27"/>
  <c r="CG135" i="27"/>
  <c r="CH135" i="27"/>
  <c r="CI135" i="27"/>
  <c r="CJ135" i="27"/>
  <c r="CK135" i="27"/>
  <c r="CL135" i="27"/>
  <c r="CM135" i="27"/>
  <c r="CN135" i="27"/>
  <c r="CO135" i="27"/>
  <c r="CP135" i="27"/>
  <c r="CQ135" i="27"/>
  <c r="CR135" i="27"/>
  <c r="CS135" i="27"/>
  <c r="CT135" i="27"/>
  <c r="CU135" i="27"/>
  <c r="CV135" i="27"/>
  <c r="CW135" i="27"/>
  <c r="CX135" i="27"/>
  <c r="CY135" i="27"/>
  <c r="CZ135" i="27"/>
  <c r="DA135" i="27"/>
  <c r="DB135" i="27"/>
  <c r="DC135" i="27"/>
  <c r="DD135" i="27"/>
  <c r="DE135" i="27"/>
  <c r="DF135" i="27"/>
  <c r="DG135" i="27"/>
  <c r="DH135" i="27"/>
  <c r="DI135" i="27"/>
  <c r="DJ135" i="27"/>
  <c r="DK135" i="27"/>
  <c r="DL135" i="27"/>
  <c r="DM135" i="27"/>
  <c r="DN135" i="27"/>
  <c r="DO135" i="27"/>
  <c r="DP135" i="27"/>
  <c r="DQ135" i="27"/>
  <c r="DR135" i="27"/>
  <c r="DS135" i="27"/>
  <c r="DT135" i="27"/>
  <c r="DU135" i="27"/>
  <c r="DV135" i="27"/>
  <c r="DW135" i="27"/>
  <c r="DX135" i="27"/>
  <c r="DY135" i="27"/>
  <c r="DZ135" i="27"/>
  <c r="EA135" i="27"/>
  <c r="EB135" i="27"/>
  <c r="EC135" i="27"/>
  <c r="ED135" i="27"/>
  <c r="EE135" i="27"/>
  <c r="EF135" i="27"/>
  <c r="EG135" i="27"/>
  <c r="EH135" i="27"/>
  <c r="EI135" i="27"/>
  <c r="EJ135" i="27"/>
  <c r="EK135" i="27"/>
  <c r="EL135" i="27"/>
  <c r="EM135" i="27"/>
  <c r="EN135" i="27"/>
  <c r="EO135" i="27"/>
  <c r="EP135" i="27"/>
  <c r="EQ135" i="27"/>
  <c r="ER135" i="27"/>
  <c r="ES135" i="27"/>
  <c r="ET135" i="27"/>
  <c r="EU135" i="27"/>
  <c r="EV135" i="27"/>
  <c r="EW135" i="27"/>
  <c r="EX135" i="27"/>
  <c r="EY135" i="27"/>
  <c r="EZ135" i="27"/>
  <c r="FA135" i="27"/>
  <c r="FB135" i="27"/>
  <c r="FC135" i="27"/>
  <c r="FD135" i="27"/>
  <c r="FE135" i="27"/>
  <c r="FF135" i="27"/>
  <c r="FG135" i="27"/>
  <c r="FH135" i="27"/>
  <c r="FI135" i="27"/>
  <c r="FJ135" i="27"/>
  <c r="FK135" i="27"/>
  <c r="FL135" i="27"/>
  <c r="FM135" i="27"/>
  <c r="FN135" i="27"/>
  <c r="FO135" i="27"/>
  <c r="FP135" i="27"/>
  <c r="FQ135" i="27"/>
  <c r="FR135" i="27"/>
  <c r="FS135" i="27"/>
  <c r="FT135" i="27"/>
  <c r="FU135" i="27"/>
  <c r="FV135" i="27"/>
  <c r="FW135" i="27"/>
  <c r="FX135" i="27"/>
  <c r="FY135" i="27"/>
  <c r="FZ135" i="27"/>
  <c r="GA135" i="27"/>
  <c r="GB135" i="27"/>
  <c r="GC135" i="27"/>
  <c r="GD135" i="27"/>
  <c r="GE135" i="27"/>
  <c r="GF135" i="27"/>
  <c r="GG135" i="27"/>
  <c r="GH135" i="27"/>
  <c r="GI135" i="27"/>
  <c r="GJ135" i="27"/>
  <c r="GK135" i="27"/>
  <c r="GL135" i="27"/>
  <c r="GM135" i="27"/>
  <c r="GN135" i="27"/>
  <c r="GO135" i="27"/>
  <c r="GP135" i="27"/>
  <c r="GQ135" i="27"/>
  <c r="GR135" i="27"/>
  <c r="GS135" i="27"/>
  <c r="GT135" i="27"/>
  <c r="GU135" i="27"/>
  <c r="GV135" i="27"/>
  <c r="GW135" i="27"/>
  <c r="GX135" i="27"/>
  <c r="GY135" i="27"/>
  <c r="GZ135" i="27"/>
  <c r="HA135" i="27"/>
  <c r="HB135" i="27"/>
  <c r="HC135" i="27"/>
  <c r="HD135" i="27"/>
  <c r="HE135" i="27"/>
  <c r="HF135" i="27"/>
  <c r="HG135" i="27"/>
  <c r="HH135" i="27"/>
  <c r="HI135" i="27"/>
  <c r="HJ135" i="27"/>
  <c r="HK135" i="27"/>
  <c r="HL135" i="27"/>
  <c r="HM135" i="27"/>
  <c r="HN135" i="27"/>
  <c r="HO135" i="27"/>
  <c r="HP135" i="27"/>
  <c r="HQ135" i="27"/>
  <c r="HR135" i="27"/>
  <c r="HS135" i="27"/>
  <c r="HT135" i="27"/>
  <c r="HU135" i="27"/>
  <c r="HV135" i="27"/>
  <c r="HW135" i="27"/>
  <c r="HX135" i="27"/>
  <c r="HY135" i="27"/>
  <c r="HZ135" i="27"/>
  <c r="IA135" i="27"/>
  <c r="IB135" i="27"/>
  <c r="IC135" i="27"/>
  <c r="ID135" i="27"/>
  <c r="IE135" i="27"/>
  <c r="IF135" i="27"/>
  <c r="IG135" i="27"/>
  <c r="IH135" i="27"/>
  <c r="II135" i="27"/>
  <c r="IJ135" i="27"/>
  <c r="IK135" i="27"/>
  <c r="IL135" i="27"/>
  <c r="IM135" i="27"/>
  <c r="IN135" i="27"/>
  <c r="IO135" i="27"/>
  <c r="IP135" i="27"/>
  <c r="IQ135" i="27"/>
  <c r="IR135" i="27"/>
  <c r="IS135" i="27"/>
  <c r="IT135" i="27"/>
  <c r="IU135" i="27"/>
  <c r="IV135" i="27"/>
  <c r="A134" i="27"/>
  <c r="B134" i="27"/>
  <c r="C134" i="27"/>
  <c r="D134" i="27"/>
  <c r="E134" i="27"/>
  <c r="F134" i="27"/>
  <c r="G134" i="27"/>
  <c r="H134" i="27"/>
  <c r="I134" i="27"/>
  <c r="J134" i="27"/>
  <c r="K134" i="27"/>
  <c r="L134" i="27"/>
  <c r="M134" i="27"/>
  <c r="N134" i="27"/>
  <c r="O134" i="27"/>
  <c r="P134" i="27"/>
  <c r="Q134" i="27"/>
  <c r="R134" i="27"/>
  <c r="S134" i="27"/>
  <c r="T134" i="27"/>
  <c r="U134" i="27"/>
  <c r="V134" i="27"/>
  <c r="W134" i="27"/>
  <c r="X134" i="27"/>
  <c r="Y134" i="27"/>
  <c r="Z134" i="27"/>
  <c r="AA134" i="27"/>
  <c r="AB134" i="27"/>
  <c r="AC134" i="27"/>
  <c r="AD134" i="27"/>
  <c r="AE134" i="27"/>
  <c r="AF134" i="27"/>
  <c r="AG134" i="27"/>
  <c r="AH134" i="27"/>
  <c r="AI134" i="27"/>
  <c r="AJ134" i="27"/>
  <c r="AK134" i="27"/>
  <c r="AL134" i="27"/>
  <c r="AM134" i="27"/>
  <c r="AN134" i="27"/>
  <c r="AO134" i="27"/>
  <c r="AP134" i="27"/>
  <c r="AQ134" i="27"/>
  <c r="AR134" i="27"/>
  <c r="AS134" i="27"/>
  <c r="AT134" i="27"/>
  <c r="AU134" i="27"/>
  <c r="AV134" i="27"/>
  <c r="AW134" i="27"/>
  <c r="AX134" i="27"/>
  <c r="AY134" i="27"/>
  <c r="AZ134" i="27"/>
  <c r="BA134" i="27"/>
  <c r="BB134" i="27"/>
  <c r="BC134" i="27"/>
  <c r="BD134" i="27"/>
  <c r="BE134" i="27"/>
  <c r="BF134" i="27"/>
  <c r="BG134" i="27"/>
  <c r="BH134" i="27"/>
  <c r="BI134" i="27"/>
  <c r="BJ134" i="27"/>
  <c r="BK134" i="27"/>
  <c r="BL134" i="27"/>
  <c r="BM134" i="27"/>
  <c r="BN134" i="27"/>
  <c r="BO134" i="27"/>
  <c r="BP134" i="27"/>
  <c r="BQ134" i="27"/>
  <c r="BR134" i="27"/>
  <c r="BS134" i="27"/>
  <c r="BT134" i="27"/>
  <c r="BU134" i="27"/>
  <c r="BV134" i="27"/>
  <c r="BW134" i="27"/>
  <c r="BX134" i="27"/>
  <c r="BY134" i="27"/>
  <c r="BZ134" i="27"/>
  <c r="CA134" i="27"/>
  <c r="CB134" i="27"/>
  <c r="CC134" i="27"/>
  <c r="CD134" i="27"/>
  <c r="CE134" i="27"/>
  <c r="CF134" i="27"/>
  <c r="CG134" i="27"/>
  <c r="CH134" i="27"/>
  <c r="CI134" i="27"/>
  <c r="CJ134" i="27"/>
  <c r="CK134" i="27"/>
  <c r="CL134" i="27"/>
  <c r="CM134" i="27"/>
  <c r="CN134" i="27"/>
  <c r="CO134" i="27"/>
  <c r="CP134" i="27"/>
  <c r="CQ134" i="27"/>
  <c r="CR134" i="27"/>
  <c r="CS134" i="27"/>
  <c r="CT134" i="27"/>
  <c r="CU134" i="27"/>
  <c r="CV134" i="27"/>
  <c r="CW134" i="27"/>
  <c r="CX134" i="27"/>
  <c r="CY134" i="27"/>
  <c r="CZ134" i="27"/>
  <c r="DA134" i="27"/>
  <c r="DB134" i="27"/>
  <c r="DC134" i="27"/>
  <c r="DD134" i="27"/>
  <c r="DE134" i="27"/>
  <c r="DF134" i="27"/>
  <c r="DG134" i="27"/>
  <c r="DH134" i="27"/>
  <c r="DI134" i="27"/>
  <c r="DJ134" i="27"/>
  <c r="DK134" i="27"/>
  <c r="DL134" i="27"/>
  <c r="DM134" i="27"/>
  <c r="DN134" i="27"/>
  <c r="DO134" i="27"/>
  <c r="DP134" i="27"/>
  <c r="DQ134" i="27"/>
  <c r="DR134" i="27"/>
  <c r="DS134" i="27"/>
  <c r="DT134" i="27"/>
  <c r="DU134" i="27"/>
  <c r="DV134" i="27"/>
  <c r="DW134" i="27"/>
  <c r="DX134" i="27"/>
  <c r="DY134" i="27"/>
  <c r="DZ134" i="27"/>
  <c r="EA134" i="27"/>
  <c r="EB134" i="27"/>
  <c r="EC134" i="27"/>
  <c r="ED134" i="27"/>
  <c r="EE134" i="27"/>
  <c r="EF134" i="27"/>
  <c r="EG134" i="27"/>
  <c r="EH134" i="27"/>
  <c r="EI134" i="27"/>
  <c r="EJ134" i="27"/>
  <c r="EK134" i="27"/>
  <c r="EL134" i="27"/>
  <c r="EM134" i="27"/>
  <c r="EN134" i="27"/>
  <c r="EO134" i="27"/>
  <c r="EP134" i="27"/>
  <c r="EQ134" i="27"/>
  <c r="ER134" i="27"/>
  <c r="ES134" i="27"/>
  <c r="ET134" i="27"/>
  <c r="EU134" i="27"/>
  <c r="EV134" i="27"/>
  <c r="EW134" i="27"/>
  <c r="EX134" i="27"/>
  <c r="EY134" i="27"/>
  <c r="EZ134" i="27"/>
  <c r="FA134" i="27"/>
  <c r="FB134" i="27"/>
  <c r="FC134" i="27"/>
  <c r="FD134" i="27"/>
  <c r="FE134" i="27"/>
  <c r="FF134" i="27"/>
  <c r="FG134" i="27"/>
  <c r="FH134" i="27"/>
  <c r="FI134" i="27"/>
  <c r="FJ134" i="27"/>
  <c r="FK134" i="27"/>
  <c r="FL134" i="27"/>
  <c r="FM134" i="27"/>
  <c r="FN134" i="27"/>
  <c r="FO134" i="27"/>
  <c r="FP134" i="27"/>
  <c r="FQ134" i="27"/>
  <c r="FR134" i="27"/>
  <c r="FS134" i="27"/>
  <c r="FT134" i="27"/>
  <c r="FU134" i="27"/>
  <c r="FV134" i="27"/>
  <c r="FW134" i="27"/>
  <c r="FX134" i="27"/>
  <c r="FY134" i="27"/>
  <c r="FZ134" i="27"/>
  <c r="GA134" i="27"/>
  <c r="GB134" i="27"/>
  <c r="GC134" i="27"/>
  <c r="GD134" i="27"/>
  <c r="GE134" i="27"/>
  <c r="GF134" i="27"/>
  <c r="GG134" i="27"/>
  <c r="GH134" i="27"/>
  <c r="GI134" i="27"/>
  <c r="GJ134" i="27"/>
  <c r="GK134" i="27"/>
  <c r="GL134" i="27"/>
  <c r="GM134" i="27"/>
  <c r="GN134" i="27"/>
  <c r="GO134" i="27"/>
  <c r="GP134" i="27"/>
  <c r="GQ134" i="27"/>
  <c r="GR134" i="27"/>
  <c r="GS134" i="27"/>
  <c r="GT134" i="27"/>
  <c r="GU134" i="27"/>
  <c r="GV134" i="27"/>
  <c r="GW134" i="27"/>
  <c r="GX134" i="27"/>
  <c r="GY134" i="27"/>
  <c r="GZ134" i="27"/>
  <c r="HA134" i="27"/>
  <c r="HB134" i="27"/>
  <c r="HC134" i="27"/>
  <c r="HD134" i="27"/>
  <c r="HE134" i="27"/>
  <c r="HF134" i="27"/>
  <c r="HG134" i="27"/>
  <c r="HH134" i="27"/>
  <c r="HI134" i="27"/>
  <c r="HJ134" i="27"/>
  <c r="HK134" i="27"/>
  <c r="HL134" i="27"/>
  <c r="HM134" i="27"/>
  <c r="HN134" i="27"/>
  <c r="HO134" i="27"/>
  <c r="HP134" i="27"/>
  <c r="HQ134" i="27"/>
  <c r="HR134" i="27"/>
  <c r="HS134" i="27"/>
  <c r="HT134" i="27"/>
  <c r="HU134" i="27"/>
  <c r="HV134" i="27"/>
  <c r="HW134" i="27"/>
  <c r="HX134" i="27"/>
  <c r="HY134" i="27"/>
  <c r="HZ134" i="27"/>
  <c r="IA134" i="27"/>
  <c r="IB134" i="27"/>
  <c r="IC134" i="27"/>
  <c r="ID134" i="27"/>
  <c r="IE134" i="27"/>
  <c r="IF134" i="27"/>
  <c r="IG134" i="27"/>
  <c r="IH134" i="27"/>
  <c r="II134" i="27"/>
  <c r="IJ134" i="27"/>
  <c r="IK134" i="27"/>
  <c r="IL134" i="27"/>
  <c r="IM134" i="27"/>
  <c r="IN134" i="27"/>
  <c r="IO134" i="27"/>
  <c r="IP134" i="27"/>
  <c r="IQ134" i="27"/>
  <c r="IR134" i="27"/>
  <c r="IS134" i="27"/>
  <c r="IT134" i="27"/>
  <c r="IU134" i="27"/>
  <c r="IV134" i="27"/>
  <c r="A133" i="27"/>
  <c r="B133" i="27"/>
  <c r="C133" i="27"/>
  <c r="D133" i="27"/>
  <c r="E133" i="27"/>
  <c r="F133" i="27"/>
  <c r="G133" i="27"/>
  <c r="H133" i="27"/>
  <c r="I133" i="27"/>
  <c r="J133" i="27"/>
  <c r="K133" i="27"/>
  <c r="L133" i="27"/>
  <c r="M133" i="27"/>
  <c r="N133" i="27"/>
  <c r="O133" i="27"/>
  <c r="P133" i="27"/>
  <c r="Q133" i="27"/>
  <c r="R133" i="27"/>
  <c r="S133" i="27"/>
  <c r="T133" i="27"/>
  <c r="U133" i="27"/>
  <c r="V133" i="27"/>
  <c r="W133" i="27"/>
  <c r="X133" i="27"/>
  <c r="Y133" i="27"/>
  <c r="Z133" i="27"/>
  <c r="AA133" i="27"/>
  <c r="AB133" i="27"/>
  <c r="AC133" i="27"/>
  <c r="AD133" i="27"/>
  <c r="AE133" i="27"/>
  <c r="AF133" i="27"/>
  <c r="AG133" i="27"/>
  <c r="AH133" i="27"/>
  <c r="AI133" i="27"/>
  <c r="AJ133" i="27"/>
  <c r="AK133" i="27"/>
  <c r="AL133" i="27"/>
  <c r="AM133" i="27"/>
  <c r="AN133" i="27"/>
  <c r="AO133" i="27"/>
  <c r="AP133" i="27"/>
  <c r="AQ133" i="27"/>
  <c r="AR133" i="27"/>
  <c r="AS133" i="27"/>
  <c r="AT133" i="27"/>
  <c r="AU133" i="27"/>
  <c r="AV133" i="27"/>
  <c r="AW133" i="27"/>
  <c r="AX133" i="27"/>
  <c r="AY133" i="27"/>
  <c r="AZ133" i="27"/>
  <c r="BA133" i="27"/>
  <c r="BB133" i="27"/>
  <c r="BC133" i="27"/>
  <c r="BD133" i="27"/>
  <c r="BE133" i="27"/>
  <c r="BF133" i="27"/>
  <c r="BG133" i="27"/>
  <c r="BH133" i="27"/>
  <c r="BI133" i="27"/>
  <c r="BJ133" i="27"/>
  <c r="BK133" i="27"/>
  <c r="BL133" i="27"/>
  <c r="BM133" i="27"/>
  <c r="BN133" i="27"/>
  <c r="BO133" i="27"/>
  <c r="BP133" i="27"/>
  <c r="BQ133" i="27"/>
  <c r="BR133" i="27"/>
  <c r="BS133" i="27"/>
  <c r="BT133" i="27"/>
  <c r="BU133" i="27"/>
  <c r="BV133" i="27"/>
  <c r="BW133" i="27"/>
  <c r="BX133" i="27"/>
  <c r="BY133" i="27"/>
  <c r="BZ133" i="27"/>
  <c r="CA133" i="27"/>
  <c r="CB133" i="27"/>
  <c r="CC133" i="27"/>
  <c r="CD133" i="27"/>
  <c r="CE133" i="27"/>
  <c r="CF133" i="27"/>
  <c r="CG133" i="27"/>
  <c r="CH133" i="27"/>
  <c r="CI133" i="27"/>
  <c r="CJ133" i="27"/>
  <c r="CK133" i="27"/>
  <c r="CL133" i="27"/>
  <c r="CM133" i="27"/>
  <c r="CN133" i="27"/>
  <c r="CO133" i="27"/>
  <c r="CP133" i="27"/>
  <c r="CQ133" i="27"/>
  <c r="CR133" i="27"/>
  <c r="CS133" i="27"/>
  <c r="CT133" i="27"/>
  <c r="CU133" i="27"/>
  <c r="CV133" i="27"/>
  <c r="CW133" i="27"/>
  <c r="CX133" i="27"/>
  <c r="CY133" i="27"/>
  <c r="CZ133" i="27"/>
  <c r="DA133" i="27"/>
  <c r="DB133" i="27"/>
  <c r="DC133" i="27"/>
  <c r="DD133" i="27"/>
  <c r="DE133" i="27"/>
  <c r="DF133" i="27"/>
  <c r="DG133" i="27"/>
  <c r="DH133" i="27"/>
  <c r="DI133" i="27"/>
  <c r="DJ133" i="27"/>
  <c r="DK133" i="27"/>
  <c r="DL133" i="27"/>
  <c r="DM133" i="27"/>
  <c r="DN133" i="27"/>
  <c r="DO133" i="27"/>
  <c r="DP133" i="27"/>
  <c r="DQ133" i="27"/>
  <c r="DR133" i="27"/>
  <c r="DS133" i="27"/>
  <c r="DT133" i="27"/>
  <c r="DU133" i="27"/>
  <c r="DV133" i="27"/>
  <c r="DW133" i="27"/>
  <c r="DX133" i="27"/>
  <c r="DY133" i="27"/>
  <c r="DZ133" i="27"/>
  <c r="EA133" i="27"/>
  <c r="EB133" i="27"/>
  <c r="EC133" i="27"/>
  <c r="ED133" i="27"/>
  <c r="EE133" i="27"/>
  <c r="EF133" i="27"/>
  <c r="EG133" i="27"/>
  <c r="EH133" i="27"/>
  <c r="EI133" i="27"/>
  <c r="EJ133" i="27"/>
  <c r="EK133" i="27"/>
  <c r="EL133" i="27"/>
  <c r="EM133" i="27"/>
  <c r="EN133" i="27"/>
  <c r="EO133" i="27"/>
  <c r="EP133" i="27"/>
  <c r="EQ133" i="27"/>
  <c r="ER133" i="27"/>
  <c r="ES133" i="27"/>
  <c r="ET133" i="27"/>
  <c r="EU133" i="27"/>
  <c r="EV133" i="27"/>
  <c r="EW133" i="27"/>
  <c r="EX133" i="27"/>
  <c r="EY133" i="27"/>
  <c r="EZ133" i="27"/>
  <c r="FA133" i="27"/>
  <c r="FB133" i="27"/>
  <c r="FC133" i="27"/>
  <c r="FD133" i="27"/>
  <c r="FE133" i="27"/>
  <c r="FF133" i="27"/>
  <c r="FG133" i="27"/>
  <c r="FH133" i="27"/>
  <c r="FI133" i="27"/>
  <c r="FJ133" i="27"/>
  <c r="FK133" i="27"/>
  <c r="FL133" i="27"/>
  <c r="FM133" i="27"/>
  <c r="FN133" i="27"/>
  <c r="FO133" i="27"/>
  <c r="FP133" i="27"/>
  <c r="FQ133" i="27"/>
  <c r="FR133" i="27"/>
  <c r="FS133" i="27"/>
  <c r="FT133" i="27"/>
  <c r="FU133" i="27"/>
  <c r="FV133" i="27"/>
  <c r="FW133" i="27"/>
  <c r="FX133" i="27"/>
  <c r="FY133" i="27"/>
  <c r="FZ133" i="27"/>
  <c r="GA133" i="27"/>
  <c r="GB133" i="27"/>
  <c r="GC133" i="27"/>
  <c r="GD133" i="27"/>
  <c r="GE133" i="27"/>
  <c r="GF133" i="27"/>
  <c r="GG133" i="27"/>
  <c r="GH133" i="27"/>
  <c r="GI133" i="27"/>
  <c r="GJ133" i="27"/>
  <c r="GK133" i="27"/>
  <c r="GL133" i="27"/>
  <c r="GM133" i="27"/>
  <c r="GN133" i="27"/>
  <c r="GO133" i="27"/>
  <c r="GP133" i="27"/>
  <c r="GQ133" i="27"/>
  <c r="GR133" i="27"/>
  <c r="GS133" i="27"/>
  <c r="GT133" i="27"/>
  <c r="GU133" i="27"/>
  <c r="GV133" i="27"/>
  <c r="GW133" i="27"/>
  <c r="GX133" i="27"/>
  <c r="GY133" i="27"/>
  <c r="GZ133" i="27"/>
  <c r="HA133" i="27"/>
  <c r="HB133" i="27"/>
  <c r="HC133" i="27"/>
  <c r="HD133" i="27"/>
  <c r="HE133" i="27"/>
  <c r="HF133" i="27"/>
  <c r="HG133" i="27"/>
  <c r="HH133" i="27"/>
  <c r="HI133" i="27"/>
  <c r="HJ133" i="27"/>
  <c r="HK133" i="27"/>
  <c r="HL133" i="27"/>
  <c r="HM133" i="27"/>
  <c r="HN133" i="27"/>
  <c r="HO133" i="27"/>
  <c r="HP133" i="27"/>
  <c r="HQ133" i="27"/>
  <c r="HR133" i="27"/>
  <c r="HS133" i="27"/>
  <c r="HT133" i="27"/>
  <c r="HU133" i="27"/>
  <c r="HV133" i="27"/>
  <c r="HW133" i="27"/>
  <c r="HX133" i="27"/>
  <c r="HY133" i="27"/>
  <c r="HZ133" i="27"/>
  <c r="IA133" i="27"/>
  <c r="IB133" i="27"/>
  <c r="IC133" i="27"/>
  <c r="ID133" i="27"/>
  <c r="IE133" i="27"/>
  <c r="IF133" i="27"/>
  <c r="IG133" i="27"/>
  <c r="IH133" i="27"/>
  <c r="II133" i="27"/>
  <c r="IJ133" i="27"/>
  <c r="IK133" i="27"/>
  <c r="IL133" i="27"/>
  <c r="IM133" i="27"/>
  <c r="IN133" i="27"/>
  <c r="IO133" i="27"/>
  <c r="IP133" i="27"/>
  <c r="IQ133" i="27"/>
  <c r="IR133" i="27"/>
  <c r="IS133" i="27"/>
  <c r="IT133" i="27"/>
  <c r="IU133" i="27"/>
  <c r="IV133" i="27"/>
  <c r="A132" i="27"/>
  <c r="B132" i="27"/>
  <c r="C132" i="27"/>
  <c r="D132" i="27"/>
  <c r="E132" i="27"/>
  <c r="F132" i="27"/>
  <c r="G132" i="27"/>
  <c r="H132" i="27"/>
  <c r="I132" i="27"/>
  <c r="J132" i="27"/>
  <c r="K132" i="27"/>
  <c r="L132" i="27"/>
  <c r="M132" i="27"/>
  <c r="N132" i="27"/>
  <c r="O132" i="27"/>
  <c r="P132" i="27"/>
  <c r="Q132" i="27"/>
  <c r="R132" i="27"/>
  <c r="S132" i="27"/>
  <c r="T132" i="27"/>
  <c r="U132" i="27"/>
  <c r="V132" i="27"/>
  <c r="W132" i="27"/>
  <c r="X132" i="27"/>
  <c r="Y132" i="27"/>
  <c r="Z132" i="27"/>
  <c r="AA132" i="27"/>
  <c r="AB132" i="27"/>
  <c r="AC132" i="27"/>
  <c r="AD132" i="27"/>
  <c r="AE132" i="27"/>
  <c r="AF132" i="27"/>
  <c r="AG132" i="27"/>
  <c r="AH132" i="27"/>
  <c r="AI132" i="27"/>
  <c r="AJ132" i="27"/>
  <c r="AK132" i="27"/>
  <c r="AL132" i="27"/>
  <c r="AM132" i="27"/>
  <c r="AN132" i="27"/>
  <c r="AO132" i="27"/>
  <c r="AP132" i="27"/>
  <c r="AQ132" i="27"/>
  <c r="AR132" i="27"/>
  <c r="AS132" i="27"/>
  <c r="AT132" i="27"/>
  <c r="AU132" i="27"/>
  <c r="AV132" i="27"/>
  <c r="AW132" i="27"/>
  <c r="AX132" i="27"/>
  <c r="AY132" i="27"/>
  <c r="AZ132" i="27"/>
  <c r="BA132" i="27"/>
  <c r="BB132" i="27"/>
  <c r="BC132" i="27"/>
  <c r="BD132" i="27"/>
  <c r="BE132" i="27"/>
  <c r="BF132" i="27"/>
  <c r="BG132" i="27"/>
  <c r="BH132" i="27"/>
  <c r="BI132" i="27"/>
  <c r="BJ132" i="27"/>
  <c r="BK132" i="27"/>
  <c r="BL132" i="27"/>
  <c r="BM132" i="27"/>
  <c r="BN132" i="27"/>
  <c r="BO132" i="27"/>
  <c r="BP132" i="27"/>
  <c r="BQ132" i="27"/>
  <c r="BR132" i="27"/>
  <c r="BS132" i="27"/>
  <c r="BT132" i="27"/>
  <c r="BU132" i="27"/>
  <c r="BV132" i="27"/>
  <c r="BW132" i="27"/>
  <c r="BX132" i="27"/>
  <c r="BY132" i="27"/>
  <c r="BZ132" i="27"/>
  <c r="CA132" i="27"/>
  <c r="CB132" i="27"/>
  <c r="CC132" i="27"/>
  <c r="CD132" i="27"/>
  <c r="CE132" i="27"/>
  <c r="CF132" i="27"/>
  <c r="CG132" i="27"/>
  <c r="CH132" i="27"/>
  <c r="CI132" i="27"/>
  <c r="CJ132" i="27"/>
  <c r="CK132" i="27"/>
  <c r="CL132" i="27"/>
  <c r="CM132" i="27"/>
  <c r="CN132" i="27"/>
  <c r="CO132" i="27"/>
  <c r="CP132" i="27"/>
  <c r="CQ132" i="27"/>
  <c r="CR132" i="27"/>
  <c r="CS132" i="27"/>
  <c r="CT132" i="27"/>
  <c r="CU132" i="27"/>
  <c r="CV132" i="27"/>
  <c r="CW132" i="27"/>
  <c r="CX132" i="27"/>
  <c r="CY132" i="27"/>
  <c r="CZ132" i="27"/>
  <c r="DA132" i="27"/>
  <c r="DB132" i="27"/>
  <c r="DC132" i="27"/>
  <c r="DD132" i="27"/>
  <c r="DE132" i="27"/>
  <c r="DF132" i="27"/>
  <c r="DG132" i="27"/>
  <c r="DH132" i="27"/>
  <c r="DI132" i="27"/>
  <c r="DJ132" i="27"/>
  <c r="DK132" i="27"/>
  <c r="DL132" i="27"/>
  <c r="DM132" i="27"/>
  <c r="DN132" i="27"/>
  <c r="DO132" i="27"/>
  <c r="DP132" i="27"/>
  <c r="DQ132" i="27"/>
  <c r="DR132" i="27"/>
  <c r="DS132" i="27"/>
  <c r="DT132" i="27"/>
  <c r="DU132" i="27"/>
  <c r="DV132" i="27"/>
  <c r="DW132" i="27"/>
  <c r="DX132" i="27"/>
  <c r="DY132" i="27"/>
  <c r="DZ132" i="27"/>
  <c r="EA132" i="27"/>
  <c r="EB132" i="27"/>
  <c r="EC132" i="27"/>
  <c r="ED132" i="27"/>
  <c r="EE132" i="27"/>
  <c r="EF132" i="27"/>
  <c r="EG132" i="27"/>
  <c r="EH132" i="27"/>
  <c r="EI132" i="27"/>
  <c r="EJ132" i="27"/>
  <c r="EK132" i="27"/>
  <c r="EL132" i="27"/>
  <c r="EM132" i="27"/>
  <c r="EN132" i="27"/>
  <c r="EO132" i="27"/>
  <c r="EP132" i="27"/>
  <c r="EQ132" i="27"/>
  <c r="ER132" i="27"/>
  <c r="ES132" i="27"/>
  <c r="ET132" i="27"/>
  <c r="EU132" i="27"/>
  <c r="EV132" i="27"/>
  <c r="EW132" i="27"/>
  <c r="EX132" i="27"/>
  <c r="EY132" i="27"/>
  <c r="EZ132" i="27"/>
  <c r="FA132" i="27"/>
  <c r="FB132" i="27"/>
  <c r="FC132" i="27"/>
  <c r="FD132" i="27"/>
  <c r="FE132" i="27"/>
  <c r="FF132" i="27"/>
  <c r="FG132" i="27"/>
  <c r="FH132" i="27"/>
  <c r="FI132" i="27"/>
  <c r="FJ132" i="27"/>
  <c r="FK132" i="27"/>
  <c r="FL132" i="27"/>
  <c r="FM132" i="27"/>
  <c r="FN132" i="27"/>
  <c r="FO132" i="27"/>
  <c r="FP132" i="27"/>
  <c r="FQ132" i="27"/>
  <c r="FR132" i="27"/>
  <c r="FS132" i="27"/>
  <c r="FT132" i="27"/>
  <c r="FU132" i="27"/>
  <c r="FV132" i="27"/>
  <c r="FW132" i="27"/>
  <c r="FX132" i="27"/>
  <c r="FY132" i="27"/>
  <c r="FZ132" i="27"/>
  <c r="GA132" i="27"/>
  <c r="GB132" i="27"/>
  <c r="GC132" i="27"/>
  <c r="GD132" i="27"/>
  <c r="GE132" i="27"/>
  <c r="GF132" i="27"/>
  <c r="GG132" i="27"/>
  <c r="GH132" i="27"/>
  <c r="GI132" i="27"/>
  <c r="GJ132" i="27"/>
  <c r="GK132" i="27"/>
  <c r="GL132" i="27"/>
  <c r="GM132" i="27"/>
  <c r="GN132" i="27"/>
  <c r="GO132" i="27"/>
  <c r="GP132" i="27"/>
  <c r="GQ132" i="27"/>
  <c r="GR132" i="27"/>
  <c r="GS132" i="27"/>
  <c r="GT132" i="27"/>
  <c r="GU132" i="27"/>
  <c r="GV132" i="27"/>
  <c r="GW132" i="27"/>
  <c r="GX132" i="27"/>
  <c r="GY132" i="27"/>
  <c r="GZ132" i="27"/>
  <c r="HA132" i="27"/>
  <c r="HB132" i="27"/>
  <c r="HC132" i="27"/>
  <c r="HD132" i="27"/>
  <c r="HE132" i="27"/>
  <c r="HF132" i="27"/>
  <c r="HG132" i="27"/>
  <c r="HH132" i="27"/>
  <c r="HI132" i="27"/>
  <c r="HJ132" i="27"/>
  <c r="HK132" i="27"/>
  <c r="HL132" i="27"/>
  <c r="HM132" i="27"/>
  <c r="HN132" i="27"/>
  <c r="HO132" i="27"/>
  <c r="HP132" i="27"/>
  <c r="HQ132" i="27"/>
  <c r="HR132" i="27"/>
  <c r="HS132" i="27"/>
  <c r="HT132" i="27"/>
  <c r="HU132" i="27"/>
  <c r="HV132" i="27"/>
  <c r="HW132" i="27"/>
  <c r="HX132" i="27"/>
  <c r="HY132" i="27"/>
  <c r="HZ132" i="27"/>
  <c r="IA132" i="27"/>
  <c r="IB132" i="27"/>
  <c r="IC132" i="27"/>
  <c r="ID132" i="27"/>
  <c r="IE132" i="27"/>
  <c r="IF132" i="27"/>
  <c r="IG132" i="27"/>
  <c r="IH132" i="27"/>
  <c r="II132" i="27"/>
  <c r="IJ132" i="27"/>
  <c r="IK132" i="27"/>
  <c r="IL132" i="27"/>
  <c r="IM132" i="27"/>
  <c r="IN132" i="27"/>
  <c r="IO132" i="27"/>
  <c r="IP132" i="27"/>
  <c r="IQ132" i="27"/>
  <c r="IR132" i="27"/>
  <c r="IS132" i="27"/>
  <c r="IT132" i="27"/>
  <c r="IU132" i="27"/>
  <c r="IV132" i="27"/>
  <c r="A131" i="27"/>
  <c r="B131" i="27"/>
  <c r="C131" i="27"/>
  <c r="D131" i="27"/>
  <c r="E131" i="27"/>
  <c r="F131" i="27"/>
  <c r="G131" i="27"/>
  <c r="H131" i="27"/>
  <c r="I131" i="27"/>
  <c r="J131" i="27"/>
  <c r="K131" i="27"/>
  <c r="L131" i="27"/>
  <c r="M131" i="27"/>
  <c r="N131" i="27"/>
  <c r="O131" i="27"/>
  <c r="P131" i="27"/>
  <c r="Q131" i="27"/>
  <c r="R131" i="27"/>
  <c r="S131" i="27"/>
  <c r="T131" i="27"/>
  <c r="U131" i="27"/>
  <c r="V131" i="27"/>
  <c r="W131" i="27"/>
  <c r="X131" i="27"/>
  <c r="Y131" i="27"/>
  <c r="Z131" i="27"/>
  <c r="AA131" i="27"/>
  <c r="AB131" i="27"/>
  <c r="AC131" i="27"/>
  <c r="AD131" i="27"/>
  <c r="AE131" i="27"/>
  <c r="AF131" i="27"/>
  <c r="AG131" i="27"/>
  <c r="AH131" i="27"/>
  <c r="AI131" i="27"/>
  <c r="AJ131" i="27"/>
  <c r="AK131" i="27"/>
  <c r="AL131" i="27"/>
  <c r="AM131" i="27"/>
  <c r="AN131" i="27"/>
  <c r="AO131" i="27"/>
  <c r="AP131" i="27"/>
  <c r="AQ131" i="27"/>
  <c r="AR131" i="27"/>
  <c r="AS131" i="27"/>
  <c r="AT131" i="27"/>
  <c r="AU131" i="27"/>
  <c r="AV131" i="27"/>
  <c r="AW131" i="27"/>
  <c r="AX131" i="27"/>
  <c r="AY131" i="27"/>
  <c r="AZ131" i="27"/>
  <c r="BA131" i="27"/>
  <c r="BB131" i="27"/>
  <c r="BC131" i="27"/>
  <c r="BD131" i="27"/>
  <c r="BE131" i="27"/>
  <c r="BF131" i="27"/>
  <c r="BG131" i="27"/>
  <c r="BH131" i="27"/>
  <c r="BI131" i="27"/>
  <c r="BJ131" i="27"/>
  <c r="BK131" i="27"/>
  <c r="BL131" i="27"/>
  <c r="BM131" i="27"/>
  <c r="BN131" i="27"/>
  <c r="BO131" i="27"/>
  <c r="BP131" i="27"/>
  <c r="BQ131" i="27"/>
  <c r="BR131" i="27"/>
  <c r="BS131" i="27"/>
  <c r="BT131" i="27"/>
  <c r="BU131" i="27"/>
  <c r="BV131" i="27"/>
  <c r="BW131" i="27"/>
  <c r="BX131" i="27"/>
  <c r="BY131" i="27"/>
  <c r="BZ131" i="27"/>
  <c r="CA131" i="27"/>
  <c r="CB131" i="27"/>
  <c r="CC131" i="27"/>
  <c r="CD131" i="27"/>
  <c r="CE131" i="27"/>
  <c r="CF131" i="27"/>
  <c r="CG131" i="27"/>
  <c r="CH131" i="27"/>
  <c r="CI131" i="27"/>
  <c r="CJ131" i="27"/>
  <c r="CK131" i="27"/>
  <c r="CL131" i="27"/>
  <c r="CM131" i="27"/>
  <c r="CN131" i="27"/>
  <c r="CO131" i="27"/>
  <c r="CP131" i="27"/>
  <c r="CQ131" i="27"/>
  <c r="CR131" i="27"/>
  <c r="CS131" i="27"/>
  <c r="CT131" i="27"/>
  <c r="CU131" i="27"/>
  <c r="CV131" i="27"/>
  <c r="CW131" i="27"/>
  <c r="CX131" i="27"/>
  <c r="CY131" i="27"/>
  <c r="CZ131" i="27"/>
  <c r="DA131" i="27"/>
  <c r="DB131" i="27"/>
  <c r="DC131" i="27"/>
  <c r="DD131" i="27"/>
  <c r="DE131" i="27"/>
  <c r="DF131" i="27"/>
  <c r="DG131" i="27"/>
  <c r="DH131" i="27"/>
  <c r="DI131" i="27"/>
  <c r="DJ131" i="27"/>
  <c r="DK131" i="27"/>
  <c r="DL131" i="27"/>
  <c r="DM131" i="27"/>
  <c r="DN131" i="27"/>
  <c r="DO131" i="27"/>
  <c r="DP131" i="27"/>
  <c r="DQ131" i="27"/>
  <c r="DR131" i="27"/>
  <c r="DS131" i="27"/>
  <c r="DT131" i="27"/>
  <c r="DU131" i="27"/>
  <c r="DV131" i="27"/>
  <c r="DW131" i="27"/>
  <c r="DX131" i="27"/>
  <c r="DY131" i="27"/>
  <c r="DZ131" i="27"/>
  <c r="EA131" i="27"/>
  <c r="EB131" i="27"/>
  <c r="EC131" i="27"/>
  <c r="ED131" i="27"/>
  <c r="EE131" i="27"/>
  <c r="EF131" i="27"/>
  <c r="EG131" i="27"/>
  <c r="EH131" i="27"/>
  <c r="EI131" i="27"/>
  <c r="EJ131" i="27"/>
  <c r="EK131" i="27"/>
  <c r="EL131" i="27"/>
  <c r="EM131" i="27"/>
  <c r="EN131" i="27"/>
  <c r="EO131" i="27"/>
  <c r="EP131" i="27"/>
  <c r="EQ131" i="27"/>
  <c r="ER131" i="27"/>
  <c r="ES131" i="27"/>
  <c r="ET131" i="27"/>
  <c r="EU131" i="27"/>
  <c r="EV131" i="27"/>
  <c r="EW131" i="27"/>
  <c r="EX131" i="27"/>
  <c r="EY131" i="27"/>
  <c r="EZ131" i="27"/>
  <c r="FA131" i="27"/>
  <c r="FB131" i="27"/>
  <c r="FC131" i="27"/>
  <c r="FD131" i="27"/>
  <c r="FE131" i="27"/>
  <c r="FF131" i="27"/>
  <c r="FG131" i="27"/>
  <c r="FH131" i="27"/>
  <c r="FI131" i="27"/>
  <c r="FJ131" i="27"/>
  <c r="FK131" i="27"/>
  <c r="FL131" i="27"/>
  <c r="FM131" i="27"/>
  <c r="FN131" i="27"/>
  <c r="FO131" i="27"/>
  <c r="FP131" i="27"/>
  <c r="FQ131" i="27"/>
  <c r="FR131" i="27"/>
  <c r="FS131" i="27"/>
  <c r="FT131" i="27"/>
  <c r="FU131" i="27"/>
  <c r="FV131" i="27"/>
  <c r="FW131" i="27"/>
  <c r="FX131" i="27"/>
  <c r="FY131" i="27"/>
  <c r="FZ131" i="27"/>
  <c r="GA131" i="27"/>
  <c r="GB131" i="27"/>
  <c r="GC131" i="27"/>
  <c r="GD131" i="27"/>
  <c r="GE131" i="27"/>
  <c r="GF131" i="27"/>
  <c r="GG131" i="27"/>
  <c r="GH131" i="27"/>
  <c r="GI131" i="27"/>
  <c r="GJ131" i="27"/>
  <c r="GK131" i="27"/>
  <c r="GL131" i="27"/>
  <c r="GM131" i="27"/>
  <c r="GN131" i="27"/>
  <c r="GO131" i="27"/>
  <c r="GP131" i="27"/>
  <c r="GQ131" i="27"/>
  <c r="GR131" i="27"/>
  <c r="GS131" i="27"/>
  <c r="GT131" i="27"/>
  <c r="GU131" i="27"/>
  <c r="GV131" i="27"/>
  <c r="GW131" i="27"/>
  <c r="GX131" i="27"/>
  <c r="GY131" i="27"/>
  <c r="GZ131" i="27"/>
  <c r="HA131" i="27"/>
  <c r="HB131" i="27"/>
  <c r="HC131" i="27"/>
  <c r="HD131" i="27"/>
  <c r="HE131" i="27"/>
  <c r="HF131" i="27"/>
  <c r="HG131" i="27"/>
  <c r="HH131" i="27"/>
  <c r="HI131" i="27"/>
  <c r="HJ131" i="27"/>
  <c r="HK131" i="27"/>
  <c r="HL131" i="27"/>
  <c r="HM131" i="27"/>
  <c r="HN131" i="27"/>
  <c r="HO131" i="27"/>
  <c r="HP131" i="27"/>
  <c r="HQ131" i="27"/>
  <c r="HR131" i="27"/>
  <c r="HS131" i="27"/>
  <c r="HT131" i="27"/>
  <c r="HU131" i="27"/>
  <c r="HV131" i="27"/>
  <c r="HW131" i="27"/>
  <c r="HX131" i="27"/>
  <c r="HY131" i="27"/>
  <c r="HZ131" i="27"/>
  <c r="IA131" i="27"/>
  <c r="IB131" i="27"/>
  <c r="IC131" i="27"/>
  <c r="ID131" i="27"/>
  <c r="IE131" i="27"/>
  <c r="IF131" i="27"/>
  <c r="IG131" i="27"/>
  <c r="IH131" i="27"/>
  <c r="II131" i="27"/>
  <c r="IJ131" i="27"/>
  <c r="IK131" i="27"/>
  <c r="IL131" i="27"/>
  <c r="IM131" i="27"/>
  <c r="IN131" i="27"/>
  <c r="IO131" i="27"/>
  <c r="IP131" i="27"/>
  <c r="IQ131" i="27"/>
  <c r="IR131" i="27"/>
  <c r="IS131" i="27"/>
  <c r="IT131" i="27"/>
  <c r="IU131" i="27"/>
  <c r="IV131" i="27"/>
  <c r="A130" i="27"/>
  <c r="B130" i="27"/>
  <c r="C130" i="27"/>
  <c r="D130" i="27"/>
  <c r="E130" i="27"/>
  <c r="F130" i="27"/>
  <c r="G130" i="27"/>
  <c r="H130" i="27"/>
  <c r="I130" i="27"/>
  <c r="J130" i="27"/>
  <c r="K130" i="27"/>
  <c r="L130" i="27"/>
  <c r="M130" i="27"/>
  <c r="N130" i="27"/>
  <c r="O130" i="27"/>
  <c r="P130" i="27"/>
  <c r="Q130" i="27"/>
  <c r="R130" i="27"/>
  <c r="S130" i="27"/>
  <c r="T130" i="27"/>
  <c r="U130" i="27"/>
  <c r="V130" i="27"/>
  <c r="W130" i="27"/>
  <c r="X130" i="27"/>
  <c r="Y130" i="27"/>
  <c r="Z130" i="27"/>
  <c r="AA130" i="27"/>
  <c r="AB130" i="27"/>
  <c r="AC130" i="27"/>
  <c r="AD130" i="27"/>
  <c r="AE130" i="27"/>
  <c r="AF130" i="27"/>
  <c r="AG130" i="27"/>
  <c r="AH130" i="27"/>
  <c r="AI130" i="27"/>
  <c r="AJ130" i="27"/>
  <c r="AK130" i="27"/>
  <c r="AL130" i="27"/>
  <c r="AM130" i="27"/>
  <c r="AN130" i="27"/>
  <c r="AO130" i="27"/>
  <c r="AP130" i="27"/>
  <c r="AQ130" i="27"/>
  <c r="AR130" i="27"/>
  <c r="AS130" i="27"/>
  <c r="AT130" i="27"/>
  <c r="AU130" i="27"/>
  <c r="AV130" i="27"/>
  <c r="AW130" i="27"/>
  <c r="AX130" i="27"/>
  <c r="AY130" i="27"/>
  <c r="AZ130" i="27"/>
  <c r="BA130" i="27"/>
  <c r="BB130" i="27"/>
  <c r="BC130" i="27"/>
  <c r="BD130" i="27"/>
  <c r="BE130" i="27"/>
  <c r="BF130" i="27"/>
  <c r="BG130" i="27"/>
  <c r="BH130" i="27"/>
  <c r="BI130" i="27"/>
  <c r="BJ130" i="27"/>
  <c r="BK130" i="27"/>
  <c r="BL130" i="27"/>
  <c r="BM130" i="27"/>
  <c r="BN130" i="27"/>
  <c r="BO130" i="27"/>
  <c r="BP130" i="27"/>
  <c r="BQ130" i="27"/>
  <c r="BR130" i="27"/>
  <c r="BS130" i="27"/>
  <c r="BT130" i="27"/>
  <c r="BU130" i="27"/>
  <c r="BV130" i="27"/>
  <c r="BW130" i="27"/>
  <c r="BX130" i="27"/>
  <c r="BY130" i="27"/>
  <c r="BZ130" i="27"/>
  <c r="CA130" i="27"/>
  <c r="CB130" i="27"/>
  <c r="CC130" i="27"/>
  <c r="CD130" i="27"/>
  <c r="CE130" i="27"/>
  <c r="CF130" i="27"/>
  <c r="CG130" i="27"/>
  <c r="CH130" i="27"/>
  <c r="CI130" i="27"/>
  <c r="CJ130" i="27"/>
  <c r="CK130" i="27"/>
  <c r="CL130" i="27"/>
  <c r="CM130" i="27"/>
  <c r="CN130" i="27"/>
  <c r="CO130" i="27"/>
  <c r="CP130" i="27"/>
  <c r="CQ130" i="27"/>
  <c r="CR130" i="27"/>
  <c r="CS130" i="27"/>
  <c r="CT130" i="27"/>
  <c r="CU130" i="27"/>
  <c r="CV130" i="27"/>
  <c r="CW130" i="27"/>
  <c r="CX130" i="27"/>
  <c r="CY130" i="27"/>
  <c r="CZ130" i="27"/>
  <c r="DA130" i="27"/>
  <c r="DB130" i="27"/>
  <c r="DC130" i="27"/>
  <c r="DD130" i="27"/>
  <c r="DE130" i="27"/>
  <c r="DF130" i="27"/>
  <c r="DG130" i="27"/>
  <c r="DH130" i="27"/>
  <c r="DI130" i="27"/>
  <c r="DJ130" i="27"/>
  <c r="DK130" i="27"/>
  <c r="DL130" i="27"/>
  <c r="DM130" i="27"/>
  <c r="DN130" i="27"/>
  <c r="DO130" i="27"/>
  <c r="DP130" i="27"/>
  <c r="DQ130" i="27"/>
  <c r="DR130" i="27"/>
  <c r="DS130" i="27"/>
  <c r="DT130" i="27"/>
  <c r="DU130" i="27"/>
  <c r="DV130" i="27"/>
  <c r="DW130" i="27"/>
  <c r="DX130" i="27"/>
  <c r="DY130" i="27"/>
  <c r="DZ130" i="27"/>
  <c r="EA130" i="27"/>
  <c r="EB130" i="27"/>
  <c r="EC130" i="27"/>
  <c r="ED130" i="27"/>
  <c r="EE130" i="27"/>
  <c r="EF130" i="27"/>
  <c r="EG130" i="27"/>
  <c r="EH130" i="27"/>
  <c r="EI130" i="27"/>
  <c r="EJ130" i="27"/>
  <c r="EK130" i="27"/>
  <c r="EL130" i="27"/>
  <c r="EM130" i="27"/>
  <c r="EN130" i="27"/>
  <c r="EO130" i="27"/>
  <c r="EP130" i="27"/>
  <c r="EQ130" i="27"/>
  <c r="ER130" i="27"/>
  <c r="ES130" i="27"/>
  <c r="ET130" i="27"/>
  <c r="EU130" i="27"/>
  <c r="EV130" i="27"/>
  <c r="EW130" i="27"/>
  <c r="EX130" i="27"/>
  <c r="EY130" i="27"/>
  <c r="EZ130" i="27"/>
  <c r="FA130" i="27"/>
  <c r="FB130" i="27"/>
  <c r="FC130" i="27"/>
  <c r="FD130" i="27"/>
  <c r="FE130" i="27"/>
  <c r="FF130" i="27"/>
  <c r="FG130" i="27"/>
  <c r="FH130" i="27"/>
  <c r="FI130" i="27"/>
  <c r="FJ130" i="27"/>
  <c r="FK130" i="27"/>
  <c r="FL130" i="27"/>
  <c r="FM130" i="27"/>
  <c r="FN130" i="27"/>
  <c r="FO130" i="27"/>
  <c r="FP130" i="27"/>
  <c r="FQ130" i="27"/>
  <c r="FR130" i="27"/>
  <c r="FS130" i="27"/>
  <c r="FT130" i="27"/>
  <c r="FU130" i="27"/>
  <c r="FV130" i="27"/>
  <c r="FW130" i="27"/>
  <c r="FX130" i="27"/>
  <c r="FY130" i="27"/>
  <c r="FZ130" i="27"/>
  <c r="GA130" i="27"/>
  <c r="GB130" i="27"/>
  <c r="GC130" i="27"/>
  <c r="GD130" i="27"/>
  <c r="GE130" i="27"/>
  <c r="GF130" i="27"/>
  <c r="GG130" i="27"/>
  <c r="GH130" i="27"/>
  <c r="GI130" i="27"/>
  <c r="GJ130" i="27"/>
  <c r="GK130" i="27"/>
  <c r="GL130" i="27"/>
  <c r="GM130" i="27"/>
  <c r="GN130" i="27"/>
  <c r="GO130" i="27"/>
  <c r="GP130" i="27"/>
  <c r="GQ130" i="27"/>
  <c r="GR130" i="27"/>
  <c r="GS130" i="27"/>
  <c r="GT130" i="27"/>
  <c r="GU130" i="27"/>
  <c r="GV130" i="27"/>
  <c r="GW130" i="27"/>
  <c r="GX130" i="27"/>
  <c r="GY130" i="27"/>
  <c r="GZ130" i="27"/>
  <c r="HA130" i="27"/>
  <c r="HB130" i="27"/>
  <c r="HC130" i="27"/>
  <c r="HD130" i="27"/>
  <c r="HE130" i="27"/>
  <c r="HF130" i="27"/>
  <c r="HG130" i="27"/>
  <c r="HH130" i="27"/>
  <c r="HI130" i="27"/>
  <c r="HJ130" i="27"/>
  <c r="HK130" i="27"/>
  <c r="HL130" i="27"/>
  <c r="HM130" i="27"/>
  <c r="HN130" i="27"/>
  <c r="HO130" i="27"/>
  <c r="HP130" i="27"/>
  <c r="HQ130" i="27"/>
  <c r="HR130" i="27"/>
  <c r="HS130" i="27"/>
  <c r="HT130" i="27"/>
  <c r="HU130" i="27"/>
  <c r="HV130" i="27"/>
  <c r="HW130" i="27"/>
  <c r="HX130" i="27"/>
  <c r="HY130" i="27"/>
  <c r="HZ130" i="27"/>
  <c r="IA130" i="27"/>
  <c r="IB130" i="27"/>
  <c r="IC130" i="27"/>
  <c r="ID130" i="27"/>
  <c r="IE130" i="27"/>
  <c r="IF130" i="27"/>
  <c r="IG130" i="27"/>
  <c r="IH130" i="27"/>
  <c r="II130" i="27"/>
  <c r="IJ130" i="27"/>
  <c r="IK130" i="27"/>
  <c r="IL130" i="27"/>
  <c r="IM130" i="27"/>
  <c r="IN130" i="27"/>
  <c r="IO130" i="27"/>
  <c r="IP130" i="27"/>
  <c r="IQ130" i="27"/>
  <c r="IR130" i="27"/>
  <c r="IS130" i="27"/>
  <c r="IT130" i="27"/>
  <c r="IU130" i="27"/>
  <c r="IV130" i="27"/>
  <c r="A129" i="27"/>
  <c r="B129" i="27"/>
  <c r="C129" i="27"/>
  <c r="D129" i="27"/>
  <c r="E129" i="27"/>
  <c r="F129" i="27"/>
  <c r="G129" i="27"/>
  <c r="H129" i="27"/>
  <c r="I129" i="27"/>
  <c r="J129" i="27"/>
  <c r="K129" i="27"/>
  <c r="L129" i="27"/>
  <c r="M129" i="27"/>
  <c r="N129" i="27"/>
  <c r="O129" i="27"/>
  <c r="P129" i="27"/>
  <c r="Q129" i="27"/>
  <c r="R129" i="27"/>
  <c r="S129" i="27"/>
  <c r="T129" i="27"/>
  <c r="U129" i="27"/>
  <c r="V129" i="27"/>
  <c r="W129" i="27"/>
  <c r="X129" i="27"/>
  <c r="Y129" i="27"/>
  <c r="Z129" i="27"/>
  <c r="AA129" i="27"/>
  <c r="AB129" i="27"/>
  <c r="AC129" i="27"/>
  <c r="AD129" i="27"/>
  <c r="AE129" i="27"/>
  <c r="AF129" i="27"/>
  <c r="AG129" i="27"/>
  <c r="AH129" i="27"/>
  <c r="AI129" i="27"/>
  <c r="AJ129" i="27"/>
  <c r="AK129" i="27"/>
  <c r="AL129" i="27"/>
  <c r="AM129" i="27"/>
  <c r="AN129" i="27"/>
  <c r="AO129" i="27"/>
  <c r="AP129" i="27"/>
  <c r="AQ129" i="27"/>
  <c r="AR129" i="27"/>
  <c r="AS129" i="27"/>
  <c r="AT129" i="27"/>
  <c r="AU129" i="27"/>
  <c r="AV129" i="27"/>
  <c r="AW129" i="27"/>
  <c r="AX129" i="27"/>
  <c r="AY129" i="27"/>
  <c r="AZ129" i="27"/>
  <c r="BA129" i="27"/>
  <c r="BB129" i="27"/>
  <c r="BC129" i="27"/>
  <c r="BD129" i="27"/>
  <c r="BE129" i="27"/>
  <c r="BF129" i="27"/>
  <c r="BG129" i="27"/>
  <c r="BH129" i="27"/>
  <c r="BI129" i="27"/>
  <c r="BJ129" i="27"/>
  <c r="BK129" i="27"/>
  <c r="BL129" i="27"/>
  <c r="BM129" i="27"/>
  <c r="BN129" i="27"/>
  <c r="BO129" i="27"/>
  <c r="BP129" i="27"/>
  <c r="BQ129" i="27"/>
  <c r="BR129" i="27"/>
  <c r="BS129" i="27"/>
  <c r="BT129" i="27"/>
  <c r="BU129" i="27"/>
  <c r="BV129" i="27"/>
  <c r="BW129" i="27"/>
  <c r="BX129" i="27"/>
  <c r="BY129" i="27"/>
  <c r="BZ129" i="27"/>
  <c r="CA129" i="27"/>
  <c r="CB129" i="27"/>
  <c r="CC129" i="27"/>
  <c r="CD129" i="27"/>
  <c r="CE129" i="27"/>
  <c r="CF129" i="27"/>
  <c r="CG129" i="27"/>
  <c r="CH129" i="27"/>
  <c r="CI129" i="27"/>
  <c r="CJ129" i="27"/>
  <c r="CK129" i="27"/>
  <c r="CL129" i="27"/>
  <c r="CM129" i="27"/>
  <c r="CN129" i="27"/>
  <c r="CO129" i="27"/>
  <c r="CP129" i="27"/>
  <c r="CQ129" i="27"/>
  <c r="CR129" i="27"/>
  <c r="CS129" i="27"/>
  <c r="CT129" i="27"/>
  <c r="CU129" i="27"/>
  <c r="CV129" i="27"/>
  <c r="CW129" i="27"/>
  <c r="CX129" i="27"/>
  <c r="CY129" i="27"/>
  <c r="CZ129" i="27"/>
  <c r="DA129" i="27"/>
  <c r="DB129" i="27"/>
  <c r="DC129" i="27"/>
  <c r="DD129" i="27"/>
  <c r="DE129" i="27"/>
  <c r="DF129" i="27"/>
  <c r="DG129" i="27"/>
  <c r="DH129" i="27"/>
  <c r="DI129" i="27"/>
  <c r="DJ129" i="27"/>
  <c r="DK129" i="27"/>
  <c r="DL129" i="27"/>
  <c r="DM129" i="27"/>
  <c r="DN129" i="27"/>
  <c r="DO129" i="27"/>
  <c r="DP129" i="27"/>
  <c r="DQ129" i="27"/>
  <c r="DR129" i="27"/>
  <c r="DS129" i="27"/>
  <c r="DT129" i="27"/>
  <c r="DU129" i="27"/>
  <c r="DV129" i="27"/>
  <c r="DW129" i="27"/>
  <c r="DX129" i="27"/>
  <c r="DY129" i="27"/>
  <c r="DZ129" i="27"/>
  <c r="EA129" i="27"/>
  <c r="EB129" i="27"/>
  <c r="EC129" i="27"/>
  <c r="ED129" i="27"/>
  <c r="EE129" i="27"/>
  <c r="EF129" i="27"/>
  <c r="EG129" i="27"/>
  <c r="EH129" i="27"/>
  <c r="EI129" i="27"/>
  <c r="EJ129" i="27"/>
  <c r="EK129" i="27"/>
  <c r="EL129" i="27"/>
  <c r="EM129" i="27"/>
  <c r="EN129" i="27"/>
  <c r="EO129" i="27"/>
  <c r="EP129" i="27"/>
  <c r="EQ129" i="27"/>
  <c r="ER129" i="27"/>
  <c r="ES129" i="27"/>
  <c r="ET129" i="27"/>
  <c r="EU129" i="27"/>
  <c r="EV129" i="27"/>
  <c r="EW129" i="27"/>
  <c r="EX129" i="27"/>
  <c r="EY129" i="27"/>
  <c r="EZ129" i="27"/>
  <c r="FA129" i="27"/>
  <c r="FB129" i="27"/>
  <c r="FC129" i="27"/>
  <c r="FD129" i="27"/>
  <c r="FE129" i="27"/>
  <c r="FF129" i="27"/>
  <c r="FG129" i="27"/>
  <c r="FH129" i="27"/>
  <c r="FI129" i="27"/>
  <c r="FJ129" i="27"/>
  <c r="FK129" i="27"/>
  <c r="FL129" i="27"/>
  <c r="FM129" i="27"/>
  <c r="FN129" i="27"/>
  <c r="FO129" i="27"/>
  <c r="FP129" i="27"/>
  <c r="FQ129" i="27"/>
  <c r="FR129" i="27"/>
  <c r="FS129" i="27"/>
  <c r="FT129" i="27"/>
  <c r="FU129" i="27"/>
  <c r="FV129" i="27"/>
  <c r="FW129" i="27"/>
  <c r="FX129" i="27"/>
  <c r="FY129" i="27"/>
  <c r="FZ129" i="27"/>
  <c r="GA129" i="27"/>
  <c r="GB129" i="27"/>
  <c r="GC129" i="27"/>
  <c r="GD129" i="27"/>
  <c r="GE129" i="27"/>
  <c r="GF129" i="27"/>
  <c r="GG129" i="27"/>
  <c r="GH129" i="27"/>
  <c r="GI129" i="27"/>
  <c r="GJ129" i="27"/>
  <c r="GK129" i="27"/>
  <c r="GL129" i="27"/>
  <c r="GM129" i="27"/>
  <c r="GN129" i="27"/>
  <c r="GO129" i="27"/>
  <c r="GP129" i="27"/>
  <c r="GQ129" i="27"/>
  <c r="GR129" i="27"/>
  <c r="GS129" i="27"/>
  <c r="GT129" i="27"/>
  <c r="GU129" i="27"/>
  <c r="GV129" i="27"/>
  <c r="GW129" i="27"/>
  <c r="GX129" i="27"/>
  <c r="GY129" i="27"/>
  <c r="GZ129" i="27"/>
  <c r="HA129" i="27"/>
  <c r="HB129" i="27"/>
  <c r="HC129" i="27"/>
  <c r="HD129" i="27"/>
  <c r="HE129" i="27"/>
  <c r="HF129" i="27"/>
  <c r="HG129" i="27"/>
  <c r="HH129" i="27"/>
  <c r="HI129" i="27"/>
  <c r="HJ129" i="27"/>
  <c r="HK129" i="27"/>
  <c r="HL129" i="27"/>
  <c r="HM129" i="27"/>
  <c r="HN129" i="27"/>
  <c r="HO129" i="27"/>
  <c r="HP129" i="27"/>
  <c r="HQ129" i="27"/>
  <c r="HR129" i="27"/>
  <c r="HS129" i="27"/>
  <c r="HT129" i="27"/>
  <c r="HU129" i="27"/>
  <c r="HV129" i="27"/>
  <c r="HW129" i="27"/>
  <c r="HX129" i="27"/>
  <c r="HY129" i="27"/>
  <c r="HZ129" i="27"/>
  <c r="IA129" i="27"/>
  <c r="IB129" i="27"/>
  <c r="IC129" i="27"/>
  <c r="ID129" i="27"/>
  <c r="IE129" i="27"/>
  <c r="IF129" i="27"/>
  <c r="IG129" i="27"/>
  <c r="IH129" i="27"/>
  <c r="II129" i="27"/>
  <c r="IJ129" i="27"/>
  <c r="IK129" i="27"/>
  <c r="IL129" i="27"/>
  <c r="IM129" i="27"/>
  <c r="IN129" i="27"/>
  <c r="IO129" i="27"/>
  <c r="IP129" i="27"/>
  <c r="IQ129" i="27"/>
  <c r="IR129" i="27"/>
  <c r="IS129" i="27"/>
  <c r="IT129" i="27"/>
  <c r="IU129" i="27"/>
  <c r="IV129" i="27"/>
  <c r="A128" i="27"/>
  <c r="B128" i="27"/>
  <c r="C128" i="27"/>
  <c r="D128" i="27"/>
  <c r="E128" i="27"/>
  <c r="F128" i="27"/>
  <c r="G128" i="27"/>
  <c r="H128" i="27"/>
  <c r="I128" i="27"/>
  <c r="J128" i="27"/>
  <c r="K128" i="27"/>
  <c r="L128" i="27"/>
  <c r="M128" i="27"/>
  <c r="N128" i="27"/>
  <c r="O128" i="27"/>
  <c r="P128" i="27"/>
  <c r="Q128" i="27"/>
  <c r="R128" i="27"/>
  <c r="S128" i="27"/>
  <c r="T128" i="27"/>
  <c r="U128" i="27"/>
  <c r="V128" i="27"/>
  <c r="W128" i="27"/>
  <c r="X128" i="27"/>
  <c r="Y128" i="27"/>
  <c r="Z128" i="27"/>
  <c r="AA128" i="27"/>
  <c r="AB128" i="27"/>
  <c r="AC128" i="27"/>
  <c r="AD128" i="27"/>
  <c r="AE128" i="27"/>
  <c r="AF128" i="27"/>
  <c r="AG128" i="27"/>
  <c r="AH128" i="27"/>
  <c r="AI128" i="27"/>
  <c r="AJ128" i="27"/>
  <c r="AK128" i="27"/>
  <c r="AL128" i="27"/>
  <c r="AM128" i="27"/>
  <c r="AN128" i="27"/>
  <c r="AO128" i="27"/>
  <c r="AP128" i="27"/>
  <c r="AQ128" i="27"/>
  <c r="AR128" i="27"/>
  <c r="AS128" i="27"/>
  <c r="AT128" i="27"/>
  <c r="AU128" i="27"/>
  <c r="AV128" i="27"/>
  <c r="AW128" i="27"/>
  <c r="AX128" i="27"/>
  <c r="AY128" i="27"/>
  <c r="AZ128" i="27"/>
  <c r="BA128" i="27"/>
  <c r="BB128" i="27"/>
  <c r="BC128" i="27"/>
  <c r="BD128" i="27"/>
  <c r="BE128" i="27"/>
  <c r="BF128" i="27"/>
  <c r="BG128" i="27"/>
  <c r="BH128" i="27"/>
  <c r="BI128" i="27"/>
  <c r="BJ128" i="27"/>
  <c r="BK128" i="27"/>
  <c r="BL128" i="27"/>
  <c r="BM128" i="27"/>
  <c r="BN128" i="27"/>
  <c r="BO128" i="27"/>
  <c r="BP128" i="27"/>
  <c r="BQ128" i="27"/>
  <c r="BR128" i="27"/>
  <c r="BS128" i="27"/>
  <c r="BT128" i="27"/>
  <c r="BU128" i="27"/>
  <c r="BV128" i="27"/>
  <c r="BW128" i="27"/>
  <c r="BX128" i="27"/>
  <c r="BY128" i="27"/>
  <c r="BZ128" i="27"/>
  <c r="CA128" i="27"/>
  <c r="CB128" i="27"/>
  <c r="CC128" i="27"/>
  <c r="CD128" i="27"/>
  <c r="CE128" i="27"/>
  <c r="CF128" i="27"/>
  <c r="CG128" i="27"/>
  <c r="CH128" i="27"/>
  <c r="CI128" i="27"/>
  <c r="CJ128" i="27"/>
  <c r="CK128" i="27"/>
  <c r="CL128" i="27"/>
  <c r="CM128" i="27"/>
  <c r="CN128" i="27"/>
  <c r="CO128" i="27"/>
  <c r="CP128" i="27"/>
  <c r="CQ128" i="27"/>
  <c r="CR128" i="27"/>
  <c r="CS128" i="27"/>
  <c r="CT128" i="27"/>
  <c r="CU128" i="27"/>
  <c r="CV128" i="27"/>
  <c r="CW128" i="27"/>
  <c r="CX128" i="27"/>
  <c r="CY128" i="27"/>
  <c r="CZ128" i="27"/>
  <c r="DA128" i="27"/>
  <c r="DB128" i="27"/>
  <c r="DC128" i="27"/>
  <c r="DD128" i="27"/>
  <c r="DE128" i="27"/>
  <c r="DF128" i="27"/>
  <c r="DG128" i="27"/>
  <c r="DH128" i="27"/>
  <c r="DI128" i="27"/>
  <c r="DJ128" i="27"/>
  <c r="DK128" i="27"/>
  <c r="DL128" i="27"/>
  <c r="DM128" i="27"/>
  <c r="DN128" i="27"/>
  <c r="DO128" i="27"/>
  <c r="DP128" i="27"/>
  <c r="DQ128" i="27"/>
  <c r="DR128" i="27"/>
  <c r="DS128" i="27"/>
  <c r="DT128" i="27"/>
  <c r="DU128" i="27"/>
  <c r="DV128" i="27"/>
  <c r="DW128" i="27"/>
  <c r="DX128" i="27"/>
  <c r="DY128" i="27"/>
  <c r="DZ128" i="27"/>
  <c r="EA128" i="27"/>
  <c r="EB128" i="27"/>
  <c r="EC128" i="27"/>
  <c r="ED128" i="27"/>
  <c r="EE128" i="27"/>
  <c r="EF128" i="27"/>
  <c r="EG128" i="27"/>
  <c r="EH128" i="27"/>
  <c r="EI128" i="27"/>
  <c r="EJ128" i="27"/>
  <c r="EK128" i="27"/>
  <c r="EL128" i="27"/>
  <c r="EM128" i="27"/>
  <c r="EN128" i="27"/>
  <c r="EO128" i="27"/>
  <c r="EP128" i="27"/>
  <c r="EQ128" i="27"/>
  <c r="ER128" i="27"/>
  <c r="ES128" i="27"/>
  <c r="ET128" i="27"/>
  <c r="EU128" i="27"/>
  <c r="EV128" i="27"/>
  <c r="EW128" i="27"/>
  <c r="EX128" i="27"/>
  <c r="EY128" i="27"/>
  <c r="EZ128" i="27"/>
  <c r="FA128" i="27"/>
  <c r="FB128" i="27"/>
  <c r="FC128" i="27"/>
  <c r="FD128" i="27"/>
  <c r="FE128" i="27"/>
  <c r="FF128" i="27"/>
  <c r="FG128" i="27"/>
  <c r="FH128" i="27"/>
  <c r="FI128" i="27"/>
  <c r="FJ128" i="27"/>
  <c r="FK128" i="27"/>
  <c r="FL128" i="27"/>
  <c r="FM128" i="27"/>
  <c r="FN128" i="27"/>
  <c r="FO128" i="27"/>
  <c r="FP128" i="27"/>
  <c r="FQ128" i="27"/>
  <c r="FR128" i="27"/>
  <c r="FS128" i="27"/>
  <c r="FT128" i="27"/>
  <c r="FU128" i="27"/>
  <c r="FV128" i="27"/>
  <c r="FW128" i="27"/>
  <c r="FX128" i="27"/>
  <c r="FY128" i="27"/>
  <c r="FZ128" i="27"/>
  <c r="GA128" i="27"/>
  <c r="GB128" i="27"/>
  <c r="GC128" i="27"/>
  <c r="GD128" i="27"/>
  <c r="GE128" i="27"/>
  <c r="GF128" i="27"/>
  <c r="GG128" i="27"/>
  <c r="GH128" i="27"/>
  <c r="GI128" i="27"/>
  <c r="GJ128" i="27"/>
  <c r="GK128" i="27"/>
  <c r="GL128" i="27"/>
  <c r="GM128" i="27"/>
  <c r="GN128" i="27"/>
  <c r="GO128" i="27"/>
  <c r="GP128" i="27"/>
  <c r="GQ128" i="27"/>
  <c r="GR128" i="27"/>
  <c r="GS128" i="27"/>
  <c r="GT128" i="27"/>
  <c r="GU128" i="27"/>
  <c r="GV128" i="27"/>
  <c r="GW128" i="27"/>
  <c r="GX128" i="27"/>
  <c r="GY128" i="27"/>
  <c r="GZ128" i="27"/>
  <c r="HA128" i="27"/>
  <c r="HB128" i="27"/>
  <c r="HC128" i="27"/>
  <c r="HD128" i="27"/>
  <c r="HE128" i="27"/>
  <c r="HF128" i="27"/>
  <c r="HG128" i="27"/>
  <c r="HH128" i="27"/>
  <c r="HI128" i="27"/>
  <c r="HJ128" i="27"/>
  <c r="HK128" i="27"/>
  <c r="HL128" i="27"/>
  <c r="HM128" i="27"/>
  <c r="HN128" i="27"/>
  <c r="HO128" i="27"/>
  <c r="HP128" i="27"/>
  <c r="HQ128" i="27"/>
  <c r="HR128" i="27"/>
  <c r="HS128" i="27"/>
  <c r="HT128" i="27"/>
  <c r="HU128" i="27"/>
  <c r="HV128" i="27"/>
  <c r="HW128" i="27"/>
  <c r="HX128" i="27"/>
  <c r="HY128" i="27"/>
  <c r="HZ128" i="27"/>
  <c r="IA128" i="27"/>
  <c r="IB128" i="27"/>
  <c r="IC128" i="27"/>
  <c r="ID128" i="27"/>
  <c r="IE128" i="27"/>
  <c r="IF128" i="27"/>
  <c r="IG128" i="27"/>
  <c r="IH128" i="27"/>
  <c r="II128" i="27"/>
  <c r="IJ128" i="27"/>
  <c r="IK128" i="27"/>
  <c r="IL128" i="27"/>
  <c r="IM128" i="27"/>
  <c r="IN128" i="27"/>
  <c r="IO128" i="27"/>
  <c r="IP128" i="27"/>
  <c r="IQ128" i="27"/>
  <c r="IR128" i="27"/>
  <c r="IS128" i="27"/>
  <c r="IT128" i="27"/>
  <c r="IU128" i="27"/>
  <c r="IV128" i="27"/>
  <c r="A127" i="27"/>
  <c r="B127" i="27"/>
  <c r="C127" i="27"/>
  <c r="D127" i="27"/>
  <c r="E127" i="27"/>
  <c r="F127" i="27"/>
  <c r="G127" i="27"/>
  <c r="H127" i="27"/>
  <c r="I127" i="27"/>
  <c r="J127" i="27"/>
  <c r="K127" i="27"/>
  <c r="L127" i="27"/>
  <c r="M127" i="27"/>
  <c r="N127" i="27"/>
  <c r="O127" i="27"/>
  <c r="P127" i="27"/>
  <c r="Q127" i="27"/>
  <c r="R127" i="27"/>
  <c r="S127" i="27"/>
  <c r="T127" i="27"/>
  <c r="U127" i="27"/>
  <c r="V127" i="27"/>
  <c r="W127" i="27"/>
  <c r="X127" i="27"/>
  <c r="Y127" i="27"/>
  <c r="Z127" i="27"/>
  <c r="AA127" i="27"/>
  <c r="AB127" i="27"/>
  <c r="AC127" i="27"/>
  <c r="AD127" i="27"/>
  <c r="AE127" i="27"/>
  <c r="AF127" i="27"/>
  <c r="AG127" i="27"/>
  <c r="AH127" i="27"/>
  <c r="AI127" i="27"/>
  <c r="AJ127" i="27"/>
  <c r="AK127" i="27"/>
  <c r="AL127" i="27"/>
  <c r="AM127" i="27"/>
  <c r="AN127" i="27"/>
  <c r="AO127" i="27"/>
  <c r="AP127" i="27"/>
  <c r="AQ127" i="27"/>
  <c r="AR127" i="27"/>
  <c r="AS127" i="27"/>
  <c r="AT127" i="27"/>
  <c r="AU127" i="27"/>
  <c r="AV127" i="27"/>
  <c r="AW127" i="27"/>
  <c r="AX127" i="27"/>
  <c r="AY127" i="27"/>
  <c r="AZ127" i="27"/>
  <c r="BA127" i="27"/>
  <c r="BB127" i="27"/>
  <c r="BC127" i="27"/>
  <c r="BD127" i="27"/>
  <c r="BE127" i="27"/>
  <c r="BF127" i="27"/>
  <c r="BG127" i="27"/>
  <c r="BH127" i="27"/>
  <c r="BI127" i="27"/>
  <c r="BJ127" i="27"/>
  <c r="BK127" i="27"/>
  <c r="BL127" i="27"/>
  <c r="BM127" i="27"/>
  <c r="BN127" i="27"/>
  <c r="BO127" i="27"/>
  <c r="BP127" i="27"/>
  <c r="BQ127" i="27"/>
  <c r="BR127" i="27"/>
  <c r="BS127" i="27"/>
  <c r="BT127" i="27"/>
  <c r="BU127" i="27"/>
  <c r="BV127" i="27"/>
  <c r="BW127" i="27"/>
  <c r="BX127" i="27"/>
  <c r="BY127" i="27"/>
  <c r="BZ127" i="27"/>
  <c r="CA127" i="27"/>
  <c r="CB127" i="27"/>
  <c r="CC127" i="27"/>
  <c r="CD127" i="27"/>
  <c r="CE127" i="27"/>
  <c r="CF127" i="27"/>
  <c r="CG127" i="27"/>
  <c r="CH127" i="27"/>
  <c r="CI127" i="27"/>
  <c r="CJ127" i="27"/>
  <c r="CK127" i="27"/>
  <c r="CL127" i="27"/>
  <c r="CM127" i="27"/>
  <c r="CN127" i="27"/>
  <c r="CO127" i="27"/>
  <c r="CP127" i="27"/>
  <c r="CQ127" i="27"/>
  <c r="CR127" i="27"/>
  <c r="CS127" i="27"/>
  <c r="CT127" i="27"/>
  <c r="CU127" i="27"/>
  <c r="CV127" i="27"/>
  <c r="CW127" i="27"/>
  <c r="CX127" i="27"/>
  <c r="CY127" i="27"/>
  <c r="CZ127" i="27"/>
  <c r="DA127" i="27"/>
  <c r="DB127" i="27"/>
  <c r="DC127" i="27"/>
  <c r="DD127" i="27"/>
  <c r="DE127" i="27"/>
  <c r="DF127" i="27"/>
  <c r="DG127" i="27"/>
  <c r="DH127" i="27"/>
  <c r="DI127" i="27"/>
  <c r="DJ127" i="27"/>
  <c r="DK127" i="27"/>
  <c r="DL127" i="27"/>
  <c r="DM127" i="27"/>
  <c r="DN127" i="27"/>
  <c r="DO127" i="27"/>
  <c r="DP127" i="27"/>
  <c r="DQ127" i="27"/>
  <c r="DR127" i="27"/>
  <c r="DS127" i="27"/>
  <c r="DT127" i="27"/>
  <c r="DU127" i="27"/>
  <c r="DV127" i="27"/>
  <c r="DW127" i="27"/>
  <c r="DX127" i="27"/>
  <c r="DY127" i="27"/>
  <c r="DZ127" i="27"/>
  <c r="EA127" i="27"/>
  <c r="EB127" i="27"/>
  <c r="EC127" i="27"/>
  <c r="ED127" i="27"/>
  <c r="EE127" i="27"/>
  <c r="EF127" i="27"/>
  <c r="EG127" i="27"/>
  <c r="EH127" i="27"/>
  <c r="EI127" i="27"/>
  <c r="EJ127" i="27"/>
  <c r="EK127" i="27"/>
  <c r="EL127" i="27"/>
  <c r="EM127" i="27"/>
  <c r="EN127" i="27"/>
  <c r="EO127" i="27"/>
  <c r="EP127" i="27"/>
  <c r="EQ127" i="27"/>
  <c r="ER127" i="27"/>
  <c r="ES127" i="27"/>
  <c r="ET127" i="27"/>
  <c r="EU127" i="27"/>
  <c r="EV127" i="27"/>
  <c r="EW127" i="27"/>
  <c r="EX127" i="27"/>
  <c r="EY127" i="27"/>
  <c r="EZ127" i="27"/>
  <c r="FA127" i="27"/>
  <c r="FB127" i="27"/>
  <c r="FC127" i="27"/>
  <c r="FD127" i="27"/>
  <c r="FE127" i="27"/>
  <c r="FF127" i="27"/>
  <c r="FG127" i="27"/>
  <c r="FH127" i="27"/>
  <c r="FI127" i="27"/>
  <c r="FJ127" i="27"/>
  <c r="FK127" i="27"/>
  <c r="FL127" i="27"/>
  <c r="FM127" i="27"/>
  <c r="FN127" i="27"/>
  <c r="FO127" i="27"/>
  <c r="FP127" i="27"/>
  <c r="FQ127" i="27"/>
  <c r="FR127" i="27"/>
  <c r="FS127" i="27"/>
  <c r="FT127" i="27"/>
  <c r="FU127" i="27"/>
  <c r="FV127" i="27"/>
  <c r="FW127" i="27"/>
  <c r="FX127" i="27"/>
  <c r="FY127" i="27"/>
  <c r="FZ127" i="27"/>
  <c r="GA127" i="27"/>
  <c r="GB127" i="27"/>
  <c r="GC127" i="27"/>
  <c r="GD127" i="27"/>
  <c r="GE127" i="27"/>
  <c r="GF127" i="27"/>
  <c r="GG127" i="27"/>
  <c r="GH127" i="27"/>
  <c r="GI127" i="27"/>
  <c r="GJ127" i="27"/>
  <c r="GK127" i="27"/>
  <c r="GL127" i="27"/>
  <c r="GM127" i="27"/>
  <c r="GN127" i="27"/>
  <c r="GO127" i="27"/>
  <c r="GP127" i="27"/>
  <c r="GQ127" i="27"/>
  <c r="GR127" i="27"/>
  <c r="GS127" i="27"/>
  <c r="GT127" i="27"/>
  <c r="GU127" i="27"/>
  <c r="GV127" i="27"/>
  <c r="GW127" i="27"/>
  <c r="GX127" i="27"/>
  <c r="GY127" i="27"/>
  <c r="GZ127" i="27"/>
  <c r="HA127" i="27"/>
  <c r="HB127" i="27"/>
  <c r="HC127" i="27"/>
  <c r="HD127" i="27"/>
  <c r="HE127" i="27"/>
  <c r="HF127" i="27"/>
  <c r="HG127" i="27"/>
  <c r="HH127" i="27"/>
  <c r="HI127" i="27"/>
  <c r="HJ127" i="27"/>
  <c r="HK127" i="27"/>
  <c r="HL127" i="27"/>
  <c r="HM127" i="27"/>
  <c r="HN127" i="27"/>
  <c r="HO127" i="27"/>
  <c r="HP127" i="27"/>
  <c r="HQ127" i="27"/>
  <c r="HR127" i="27"/>
  <c r="HS127" i="27"/>
  <c r="HT127" i="27"/>
  <c r="HU127" i="27"/>
  <c r="HV127" i="27"/>
  <c r="HW127" i="27"/>
  <c r="HX127" i="27"/>
  <c r="HY127" i="27"/>
  <c r="HZ127" i="27"/>
  <c r="IA127" i="27"/>
  <c r="IB127" i="27"/>
  <c r="IC127" i="27"/>
  <c r="ID127" i="27"/>
  <c r="IE127" i="27"/>
  <c r="IF127" i="27"/>
  <c r="IG127" i="27"/>
  <c r="IH127" i="27"/>
  <c r="II127" i="27"/>
  <c r="IJ127" i="27"/>
  <c r="IK127" i="27"/>
  <c r="IL127" i="27"/>
  <c r="IM127" i="27"/>
  <c r="IN127" i="27"/>
  <c r="IO127" i="27"/>
  <c r="IP127" i="27"/>
  <c r="IQ127" i="27"/>
  <c r="IR127" i="27"/>
  <c r="IS127" i="27"/>
  <c r="IT127" i="27"/>
  <c r="IU127" i="27"/>
  <c r="IV127" i="27"/>
  <c r="A126" i="27"/>
  <c r="B126" i="27"/>
  <c r="C126" i="27"/>
  <c r="D126" i="27"/>
  <c r="E126" i="27"/>
  <c r="F126" i="27"/>
  <c r="G126" i="27"/>
  <c r="H126" i="27"/>
  <c r="I126" i="27"/>
  <c r="J126" i="27"/>
  <c r="K126" i="27"/>
  <c r="L126" i="27"/>
  <c r="M126" i="27"/>
  <c r="N126" i="27"/>
  <c r="O126" i="27"/>
  <c r="P126" i="27"/>
  <c r="Q126"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BP126" i="27"/>
  <c r="BQ126" i="27"/>
  <c r="BR126" i="27"/>
  <c r="BS126" i="27"/>
  <c r="BT126" i="27"/>
  <c r="BU126" i="27"/>
  <c r="BV126" i="27"/>
  <c r="BW126" i="27"/>
  <c r="BX126" i="27"/>
  <c r="BY126" i="27"/>
  <c r="BZ126" i="27"/>
  <c r="CA126" i="27"/>
  <c r="CB126" i="27"/>
  <c r="CC126" i="27"/>
  <c r="CD126" i="27"/>
  <c r="CE126" i="27"/>
  <c r="CF126" i="27"/>
  <c r="CG126" i="27"/>
  <c r="CH126" i="27"/>
  <c r="CI126" i="27"/>
  <c r="CJ126" i="27"/>
  <c r="CK126" i="27"/>
  <c r="CL126" i="27"/>
  <c r="CM126" i="27"/>
  <c r="CN126" i="27"/>
  <c r="CO126" i="27"/>
  <c r="CP126" i="27"/>
  <c r="CQ126" i="27"/>
  <c r="CR126" i="27"/>
  <c r="CS126" i="27"/>
  <c r="CT126" i="27"/>
  <c r="CU126" i="27"/>
  <c r="CV126" i="27"/>
  <c r="CW126" i="27"/>
  <c r="CX126" i="27"/>
  <c r="CY126" i="27"/>
  <c r="CZ126" i="27"/>
  <c r="DA126" i="27"/>
  <c r="DB126" i="27"/>
  <c r="DC126" i="27"/>
  <c r="DD126" i="27"/>
  <c r="DE126" i="27"/>
  <c r="DF126" i="27"/>
  <c r="DG126" i="27"/>
  <c r="DH126" i="27"/>
  <c r="DI126" i="27"/>
  <c r="DJ126" i="27"/>
  <c r="DK126" i="27"/>
  <c r="DL126" i="27"/>
  <c r="DM126" i="27"/>
  <c r="DN126" i="27"/>
  <c r="DO126" i="27"/>
  <c r="DP126" i="27"/>
  <c r="DQ126" i="27"/>
  <c r="DR126" i="27"/>
  <c r="DS126" i="27"/>
  <c r="DT126" i="27"/>
  <c r="DU126" i="27"/>
  <c r="DV126" i="27"/>
  <c r="DW126" i="27"/>
  <c r="DX126" i="27"/>
  <c r="DY126" i="27"/>
  <c r="DZ126" i="27"/>
  <c r="EA126" i="27"/>
  <c r="EB126" i="27"/>
  <c r="EC126" i="27"/>
  <c r="ED126" i="27"/>
  <c r="EE126" i="27"/>
  <c r="EF126" i="27"/>
  <c r="EG126" i="27"/>
  <c r="EH126" i="27"/>
  <c r="EI126" i="27"/>
  <c r="EJ126" i="27"/>
  <c r="EK126" i="27"/>
  <c r="EL126" i="27"/>
  <c r="EM126" i="27"/>
  <c r="EN126" i="27"/>
  <c r="EO126" i="27"/>
  <c r="EP126" i="27"/>
  <c r="EQ126" i="27"/>
  <c r="ER126" i="27"/>
  <c r="ES126" i="27"/>
  <c r="ET126" i="27"/>
  <c r="EU126" i="27"/>
  <c r="EV126" i="27"/>
  <c r="EW126" i="27"/>
  <c r="EX126" i="27"/>
  <c r="EY126" i="27"/>
  <c r="EZ126" i="27"/>
  <c r="FA126" i="27"/>
  <c r="FB126" i="27"/>
  <c r="FC126" i="27"/>
  <c r="FD126" i="27"/>
  <c r="FE126" i="27"/>
  <c r="FF126" i="27"/>
  <c r="FG126" i="27"/>
  <c r="FH126" i="27"/>
  <c r="FI126" i="27"/>
  <c r="FJ126" i="27"/>
  <c r="FK126" i="27"/>
  <c r="FL126" i="27"/>
  <c r="FM126" i="27"/>
  <c r="FN126" i="27"/>
  <c r="FO126" i="27"/>
  <c r="FP126" i="27"/>
  <c r="FQ126" i="27"/>
  <c r="FR126" i="27"/>
  <c r="FS126" i="27"/>
  <c r="FT126" i="27"/>
  <c r="FU126" i="27"/>
  <c r="FV126" i="27"/>
  <c r="FW126" i="27"/>
  <c r="FX126" i="27"/>
  <c r="FY126" i="27"/>
  <c r="FZ126" i="27"/>
  <c r="GA126" i="27"/>
  <c r="GB126" i="27"/>
  <c r="GC126" i="27"/>
  <c r="GD126" i="27"/>
  <c r="GE126" i="27"/>
  <c r="GF126" i="27"/>
  <c r="GG126" i="27"/>
  <c r="GH126" i="27"/>
  <c r="GI126" i="27"/>
  <c r="GJ126" i="27"/>
  <c r="GK126" i="27"/>
  <c r="GL126" i="27"/>
  <c r="GM126" i="27"/>
  <c r="GN126" i="27"/>
  <c r="GO126" i="27"/>
  <c r="GP126" i="27"/>
  <c r="GQ126" i="27"/>
  <c r="GR126" i="27"/>
  <c r="GS126" i="27"/>
  <c r="GT126" i="27"/>
  <c r="GU126" i="27"/>
  <c r="GV126" i="27"/>
  <c r="GW126" i="27"/>
  <c r="GX126" i="27"/>
  <c r="GY126" i="27"/>
  <c r="GZ126" i="27"/>
  <c r="HA126" i="27"/>
  <c r="HB126" i="27"/>
  <c r="HC126" i="27"/>
  <c r="HD126" i="27"/>
  <c r="HE126" i="27"/>
  <c r="HF126" i="27"/>
  <c r="HG126" i="27"/>
  <c r="HH126" i="27"/>
  <c r="HI126" i="27"/>
  <c r="HJ126" i="27"/>
  <c r="HK126" i="27"/>
  <c r="HL126" i="27"/>
  <c r="HM126" i="27"/>
  <c r="HN126" i="27"/>
  <c r="HO126" i="27"/>
  <c r="HP126" i="27"/>
  <c r="HQ126" i="27"/>
  <c r="HR126" i="27"/>
  <c r="HS126" i="27"/>
  <c r="HT126" i="27"/>
  <c r="HU126" i="27"/>
  <c r="HV126" i="27"/>
  <c r="HW126" i="27"/>
  <c r="HX126" i="27"/>
  <c r="HY126" i="27"/>
  <c r="HZ126" i="27"/>
  <c r="IA126" i="27"/>
  <c r="IB126" i="27"/>
  <c r="IC126" i="27"/>
  <c r="ID126" i="27"/>
  <c r="IE126" i="27"/>
  <c r="IF126" i="27"/>
  <c r="IG126" i="27"/>
  <c r="IH126" i="27"/>
  <c r="II126" i="27"/>
  <c r="IJ126" i="27"/>
  <c r="IK126" i="27"/>
  <c r="IL126" i="27"/>
  <c r="IM126" i="27"/>
  <c r="IN126" i="27"/>
  <c r="IO126" i="27"/>
  <c r="IP126" i="27"/>
  <c r="IQ126" i="27"/>
  <c r="IR126" i="27"/>
  <c r="IS126" i="27"/>
  <c r="IT126" i="27"/>
  <c r="IU126" i="27"/>
  <c r="IV126" i="27"/>
  <c r="A125" i="27"/>
  <c r="B125" i="27"/>
  <c r="C125" i="27"/>
  <c r="D125" i="27"/>
  <c r="E125" i="27"/>
  <c r="F125" i="27"/>
  <c r="G125" i="27"/>
  <c r="H125" i="27"/>
  <c r="I125" i="27"/>
  <c r="J125" i="27"/>
  <c r="K125" i="27"/>
  <c r="L125" i="27"/>
  <c r="M125" i="27"/>
  <c r="N125" i="27"/>
  <c r="O125" i="27"/>
  <c r="P125" i="27"/>
  <c r="Q125" i="27"/>
  <c r="R125" i="27"/>
  <c r="S125" i="27"/>
  <c r="T125" i="27"/>
  <c r="U125" i="27"/>
  <c r="V125" i="27"/>
  <c r="W125" i="27"/>
  <c r="X125" i="27"/>
  <c r="Y125" i="27"/>
  <c r="Z125" i="27"/>
  <c r="AA125" i="27"/>
  <c r="AB125" i="27"/>
  <c r="AC125" i="27"/>
  <c r="AD125" i="27"/>
  <c r="AE125" i="27"/>
  <c r="AF125" i="27"/>
  <c r="AG125" i="27"/>
  <c r="AH125" i="27"/>
  <c r="AI125" i="27"/>
  <c r="AJ125" i="27"/>
  <c r="AK125" i="27"/>
  <c r="AL125" i="27"/>
  <c r="AM125" i="27"/>
  <c r="AN125" i="27"/>
  <c r="AO125" i="27"/>
  <c r="AP125" i="27"/>
  <c r="AQ125" i="27"/>
  <c r="AR125" i="27"/>
  <c r="AS125" i="27"/>
  <c r="AT125" i="27"/>
  <c r="AU125" i="27"/>
  <c r="AV125" i="27"/>
  <c r="AW125" i="27"/>
  <c r="AX125" i="27"/>
  <c r="AY125" i="27"/>
  <c r="AZ125" i="27"/>
  <c r="BA125" i="27"/>
  <c r="BB125" i="27"/>
  <c r="BC125" i="27"/>
  <c r="BD125" i="27"/>
  <c r="BE125" i="27"/>
  <c r="BF125" i="27"/>
  <c r="BG125" i="27"/>
  <c r="BH125" i="27"/>
  <c r="BI125" i="27"/>
  <c r="BJ125" i="27"/>
  <c r="BK125" i="27"/>
  <c r="BL125" i="27"/>
  <c r="BM125" i="27"/>
  <c r="BN125" i="27"/>
  <c r="BO125" i="27"/>
  <c r="BP125" i="27"/>
  <c r="BQ125" i="27"/>
  <c r="BR125" i="27"/>
  <c r="BS125" i="27"/>
  <c r="BT125" i="27"/>
  <c r="BU125" i="27"/>
  <c r="BV125" i="27"/>
  <c r="BW125" i="27"/>
  <c r="BX125" i="27"/>
  <c r="BY125" i="27"/>
  <c r="BZ125" i="27"/>
  <c r="CA125" i="27"/>
  <c r="CB125" i="27"/>
  <c r="CC125" i="27"/>
  <c r="CD125" i="27"/>
  <c r="CE125" i="27"/>
  <c r="CF125" i="27"/>
  <c r="CG125" i="27"/>
  <c r="CH125" i="27"/>
  <c r="CI125" i="27"/>
  <c r="CJ125" i="27"/>
  <c r="CK125" i="27"/>
  <c r="CL125" i="27"/>
  <c r="CM125" i="27"/>
  <c r="CN125" i="27"/>
  <c r="CO125" i="27"/>
  <c r="CP125" i="27"/>
  <c r="CQ125" i="27"/>
  <c r="CR125" i="27"/>
  <c r="CS125" i="27"/>
  <c r="CT125" i="27"/>
  <c r="CU125" i="27"/>
  <c r="CV125" i="27"/>
  <c r="CW125" i="27"/>
  <c r="CX125" i="27"/>
  <c r="CY125" i="27"/>
  <c r="CZ125" i="27"/>
  <c r="DA125" i="27"/>
  <c r="DB125" i="27"/>
  <c r="DC125" i="27"/>
  <c r="DD125" i="27"/>
  <c r="DE125" i="27"/>
  <c r="DF125" i="27"/>
  <c r="DG125" i="27"/>
  <c r="DH125" i="27"/>
  <c r="DI125" i="27"/>
  <c r="DJ125" i="27"/>
  <c r="DK125" i="27"/>
  <c r="DL125" i="27"/>
  <c r="DM125" i="27"/>
  <c r="DN125" i="27"/>
  <c r="DO125" i="27"/>
  <c r="DP125" i="27"/>
  <c r="DQ125" i="27"/>
  <c r="DR125" i="27"/>
  <c r="DS125" i="27"/>
  <c r="DT125" i="27"/>
  <c r="DU125" i="27"/>
  <c r="DV125" i="27"/>
  <c r="DW125" i="27"/>
  <c r="DX125" i="27"/>
  <c r="DY125" i="27"/>
  <c r="DZ125" i="27"/>
  <c r="EA125" i="27"/>
  <c r="EB125" i="27"/>
  <c r="EC125" i="27"/>
  <c r="ED125" i="27"/>
  <c r="EE125" i="27"/>
  <c r="EF125" i="27"/>
  <c r="EG125" i="27"/>
  <c r="EH125" i="27"/>
  <c r="EI125" i="27"/>
  <c r="EJ125" i="27"/>
  <c r="EK125" i="27"/>
  <c r="EL125" i="27"/>
  <c r="EM125" i="27"/>
  <c r="EN125" i="27"/>
  <c r="EO125" i="27"/>
  <c r="EP125" i="27"/>
  <c r="EQ125" i="27"/>
  <c r="ER125" i="27"/>
  <c r="ES125" i="27"/>
  <c r="ET125" i="27"/>
  <c r="EU125" i="27"/>
  <c r="EV125" i="27"/>
  <c r="EW125" i="27"/>
  <c r="EX125" i="27"/>
  <c r="EY125" i="27"/>
  <c r="EZ125" i="27"/>
  <c r="FA125" i="27"/>
  <c r="FB125" i="27"/>
  <c r="FC125" i="27"/>
  <c r="FD125" i="27"/>
  <c r="FE125" i="27"/>
  <c r="FF125" i="27"/>
  <c r="FG125" i="27"/>
  <c r="FH125" i="27"/>
  <c r="FI125" i="27"/>
  <c r="FJ125" i="27"/>
  <c r="FK125" i="27"/>
  <c r="FL125" i="27"/>
  <c r="FM125" i="27"/>
  <c r="FN125" i="27"/>
  <c r="FO125" i="27"/>
  <c r="FP125" i="27"/>
  <c r="FQ125" i="27"/>
  <c r="FR125" i="27"/>
  <c r="FS125" i="27"/>
  <c r="FT125" i="27"/>
  <c r="FU125" i="27"/>
  <c r="FV125" i="27"/>
  <c r="FW125" i="27"/>
  <c r="FX125" i="27"/>
  <c r="FY125" i="27"/>
  <c r="FZ125" i="27"/>
  <c r="GA125" i="27"/>
  <c r="GB125" i="27"/>
  <c r="GC125" i="27"/>
  <c r="GD125" i="27"/>
  <c r="GE125" i="27"/>
  <c r="GF125" i="27"/>
  <c r="GG125" i="27"/>
  <c r="GH125" i="27"/>
  <c r="GI125" i="27"/>
  <c r="GJ125" i="27"/>
  <c r="GK125" i="27"/>
  <c r="GL125" i="27"/>
  <c r="GM125" i="27"/>
  <c r="GN125" i="27"/>
  <c r="GO125" i="27"/>
  <c r="GP125" i="27"/>
  <c r="GQ125" i="27"/>
  <c r="GR125" i="27"/>
  <c r="GS125" i="27"/>
  <c r="GT125" i="27"/>
  <c r="GU125" i="27"/>
  <c r="GV125" i="27"/>
  <c r="GW125" i="27"/>
  <c r="GX125" i="27"/>
  <c r="GY125" i="27"/>
  <c r="GZ125" i="27"/>
  <c r="HA125" i="27"/>
  <c r="HB125" i="27"/>
  <c r="HC125" i="27"/>
  <c r="HD125" i="27"/>
  <c r="HE125" i="27"/>
  <c r="HF125" i="27"/>
  <c r="HG125" i="27"/>
  <c r="HH125" i="27"/>
  <c r="HI125" i="27"/>
  <c r="HJ125" i="27"/>
  <c r="HK125" i="27"/>
  <c r="HL125" i="27"/>
  <c r="HM125" i="27"/>
  <c r="HN125" i="27"/>
  <c r="HO125" i="27"/>
  <c r="HP125" i="27"/>
  <c r="HQ125" i="27"/>
  <c r="HR125" i="27"/>
  <c r="HS125" i="27"/>
  <c r="HT125" i="27"/>
  <c r="HU125" i="27"/>
  <c r="HV125" i="27"/>
  <c r="HW125" i="27"/>
  <c r="HX125" i="27"/>
  <c r="HY125" i="27"/>
  <c r="HZ125" i="27"/>
  <c r="IA125" i="27"/>
  <c r="IB125" i="27"/>
  <c r="IC125" i="27"/>
  <c r="ID125" i="27"/>
  <c r="IE125" i="27"/>
  <c r="IF125" i="27"/>
  <c r="IG125" i="27"/>
  <c r="IH125" i="27"/>
  <c r="II125" i="27"/>
  <c r="IJ125" i="27"/>
  <c r="IK125" i="27"/>
  <c r="IL125" i="27"/>
  <c r="IM125" i="27"/>
  <c r="IN125" i="27"/>
  <c r="IO125" i="27"/>
  <c r="IP125" i="27"/>
  <c r="IQ125" i="27"/>
  <c r="IR125" i="27"/>
  <c r="IS125" i="27"/>
  <c r="IT125" i="27"/>
  <c r="IU125" i="27"/>
  <c r="IV125" i="27"/>
  <c r="A124" i="27"/>
  <c r="B124" i="27"/>
  <c r="C124" i="27"/>
  <c r="D124" i="27"/>
  <c r="E124" i="27"/>
  <c r="F124" i="27"/>
  <c r="G124" i="27"/>
  <c r="H124" i="27"/>
  <c r="I124" i="27"/>
  <c r="J124" i="27"/>
  <c r="K124" i="27"/>
  <c r="L124" i="27"/>
  <c r="M124" i="27"/>
  <c r="N124" i="27"/>
  <c r="O124" i="27"/>
  <c r="P124" i="27"/>
  <c r="Q124" i="27"/>
  <c r="R124" i="27"/>
  <c r="S124" i="27"/>
  <c r="T124" i="27"/>
  <c r="U124" i="27"/>
  <c r="V124" i="27"/>
  <c r="W124" i="27"/>
  <c r="X124" i="27"/>
  <c r="Y124" i="27"/>
  <c r="Z124" i="27"/>
  <c r="AA124" i="27"/>
  <c r="AB124" i="27"/>
  <c r="AC124" i="27"/>
  <c r="AD124" i="27"/>
  <c r="AE124" i="27"/>
  <c r="AF124" i="27"/>
  <c r="AG124" i="27"/>
  <c r="AH124" i="27"/>
  <c r="AI124" i="27"/>
  <c r="AJ124" i="27"/>
  <c r="AK124" i="27"/>
  <c r="AL124" i="27"/>
  <c r="AM124" i="27"/>
  <c r="AN124" i="27"/>
  <c r="AO124" i="27"/>
  <c r="AP124" i="27"/>
  <c r="AQ124" i="27"/>
  <c r="AR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BO124" i="27"/>
  <c r="BP124" i="27"/>
  <c r="BQ124" i="27"/>
  <c r="BR124" i="27"/>
  <c r="BS124" i="27"/>
  <c r="BT124" i="27"/>
  <c r="BU124" i="27"/>
  <c r="BV124" i="27"/>
  <c r="BW124" i="27"/>
  <c r="BX124" i="27"/>
  <c r="BY124" i="27"/>
  <c r="BZ124" i="27"/>
  <c r="CA124" i="27"/>
  <c r="CB124" i="27"/>
  <c r="CC124" i="27"/>
  <c r="CD124" i="27"/>
  <c r="CE124" i="27"/>
  <c r="CF124" i="27"/>
  <c r="CG124" i="27"/>
  <c r="CH124" i="27"/>
  <c r="CI124" i="27"/>
  <c r="CJ124" i="27"/>
  <c r="CK124" i="27"/>
  <c r="CL124" i="27"/>
  <c r="CM124" i="27"/>
  <c r="CN124" i="27"/>
  <c r="CO124" i="27"/>
  <c r="CP124" i="27"/>
  <c r="CQ124" i="27"/>
  <c r="CR124" i="27"/>
  <c r="CS124" i="27"/>
  <c r="CT124" i="27"/>
  <c r="CU124" i="27"/>
  <c r="CV124" i="27"/>
  <c r="CW124" i="27"/>
  <c r="CX124" i="27"/>
  <c r="CY124" i="27"/>
  <c r="CZ124" i="27"/>
  <c r="DA124" i="27"/>
  <c r="DB124" i="27"/>
  <c r="DC124" i="27"/>
  <c r="DD124" i="27"/>
  <c r="DE124" i="27"/>
  <c r="DF124" i="27"/>
  <c r="DG124" i="27"/>
  <c r="DH124" i="27"/>
  <c r="DI124" i="27"/>
  <c r="DJ124" i="27"/>
  <c r="DK124" i="27"/>
  <c r="DL124" i="27"/>
  <c r="DM124" i="27"/>
  <c r="DN124" i="27"/>
  <c r="DO124" i="27"/>
  <c r="DP124" i="27"/>
  <c r="DQ124" i="27"/>
  <c r="DR124" i="27"/>
  <c r="DS124" i="27"/>
  <c r="DT124" i="27"/>
  <c r="DU124" i="27"/>
  <c r="DV124" i="27"/>
  <c r="DW124" i="27"/>
  <c r="DX124" i="27"/>
  <c r="DY124" i="27"/>
  <c r="DZ124" i="27"/>
  <c r="EA124" i="27"/>
  <c r="EB124" i="27"/>
  <c r="EC124" i="27"/>
  <c r="ED124" i="27"/>
  <c r="EE124" i="27"/>
  <c r="EF124" i="27"/>
  <c r="EG124" i="27"/>
  <c r="EH124" i="27"/>
  <c r="EI124" i="27"/>
  <c r="EJ124" i="27"/>
  <c r="EK124" i="27"/>
  <c r="EL124" i="27"/>
  <c r="EM124" i="27"/>
  <c r="EN124" i="27"/>
  <c r="EO124" i="27"/>
  <c r="EP124" i="27"/>
  <c r="EQ124" i="27"/>
  <c r="ER124" i="27"/>
  <c r="ES124" i="27"/>
  <c r="ET124" i="27"/>
  <c r="EU124" i="27"/>
  <c r="EV124" i="27"/>
  <c r="EW124" i="27"/>
  <c r="EX124" i="27"/>
  <c r="EY124" i="27"/>
  <c r="EZ124" i="27"/>
  <c r="FA124" i="27"/>
  <c r="FB124" i="27"/>
  <c r="FC124" i="27"/>
  <c r="FD124" i="27"/>
  <c r="FE124" i="27"/>
  <c r="FF124" i="27"/>
  <c r="FG124" i="27"/>
  <c r="FH124" i="27"/>
  <c r="FI124" i="27"/>
  <c r="FJ124" i="27"/>
  <c r="FK124" i="27"/>
  <c r="FL124" i="27"/>
  <c r="FM124" i="27"/>
  <c r="FN124" i="27"/>
  <c r="FO124" i="27"/>
  <c r="FP124" i="27"/>
  <c r="FQ124" i="27"/>
  <c r="FR124" i="27"/>
  <c r="FS124" i="27"/>
  <c r="FT124" i="27"/>
  <c r="FU124" i="27"/>
  <c r="FV124" i="27"/>
  <c r="FW124" i="27"/>
  <c r="FX124" i="27"/>
  <c r="FY124" i="27"/>
  <c r="FZ124" i="27"/>
  <c r="GA124" i="27"/>
  <c r="GB124" i="27"/>
  <c r="GC124" i="27"/>
  <c r="GD124" i="27"/>
  <c r="GE124" i="27"/>
  <c r="GF124" i="27"/>
  <c r="GG124" i="27"/>
  <c r="GH124" i="27"/>
  <c r="GI124" i="27"/>
  <c r="GJ124" i="27"/>
  <c r="GK124" i="27"/>
  <c r="GL124" i="27"/>
  <c r="GM124" i="27"/>
  <c r="GN124" i="27"/>
  <c r="GO124" i="27"/>
  <c r="GP124" i="27"/>
  <c r="GQ124" i="27"/>
  <c r="GR124" i="27"/>
  <c r="GS124" i="27"/>
  <c r="GT124" i="27"/>
  <c r="GU124" i="27"/>
  <c r="GV124" i="27"/>
  <c r="GW124" i="27"/>
  <c r="GX124" i="27"/>
  <c r="GY124" i="27"/>
  <c r="GZ124" i="27"/>
  <c r="HA124" i="27"/>
  <c r="HB124" i="27"/>
  <c r="HC124" i="27"/>
  <c r="HD124" i="27"/>
  <c r="HE124" i="27"/>
  <c r="HF124" i="27"/>
  <c r="HG124" i="27"/>
  <c r="HH124" i="27"/>
  <c r="HI124" i="27"/>
  <c r="HJ124" i="27"/>
  <c r="HK124" i="27"/>
  <c r="HL124" i="27"/>
  <c r="HM124" i="27"/>
  <c r="HN124" i="27"/>
  <c r="HO124" i="27"/>
  <c r="HP124" i="27"/>
  <c r="HQ124" i="27"/>
  <c r="HR124" i="27"/>
  <c r="HS124" i="27"/>
  <c r="HT124" i="27"/>
  <c r="HU124" i="27"/>
  <c r="HV124" i="27"/>
  <c r="HW124" i="27"/>
  <c r="HX124" i="27"/>
  <c r="HY124" i="27"/>
  <c r="HZ124" i="27"/>
  <c r="IA124" i="27"/>
  <c r="IB124" i="27"/>
  <c r="IC124" i="27"/>
  <c r="ID124" i="27"/>
  <c r="IE124" i="27"/>
  <c r="IF124" i="27"/>
  <c r="IG124" i="27"/>
  <c r="IH124" i="27"/>
  <c r="II124" i="27"/>
  <c r="IJ124" i="27"/>
  <c r="IK124" i="27"/>
  <c r="IL124" i="27"/>
  <c r="IM124" i="27"/>
  <c r="IN124" i="27"/>
  <c r="IO124" i="27"/>
  <c r="IP124" i="27"/>
  <c r="IQ124" i="27"/>
  <c r="IR124" i="27"/>
  <c r="IS124" i="27"/>
  <c r="IT124" i="27"/>
  <c r="IU124" i="27"/>
  <c r="IV124" i="27"/>
  <c r="A123" i="27"/>
  <c r="B123" i="27"/>
  <c r="C123" i="27"/>
  <c r="D123" i="27"/>
  <c r="E123" i="27"/>
  <c r="F123" i="27"/>
  <c r="G123" i="27"/>
  <c r="H123" i="27"/>
  <c r="I123" i="27"/>
  <c r="J123" i="27"/>
  <c r="K123" i="27"/>
  <c r="L123" i="27"/>
  <c r="M123" i="27"/>
  <c r="N123" i="27"/>
  <c r="O123" i="27"/>
  <c r="P123" i="27"/>
  <c r="Q123" i="27"/>
  <c r="R123" i="27"/>
  <c r="S123" i="27"/>
  <c r="T123" i="27"/>
  <c r="U123" i="27"/>
  <c r="V123" i="27"/>
  <c r="W123" i="27"/>
  <c r="X123" i="27"/>
  <c r="Y123" i="27"/>
  <c r="Z123" i="27"/>
  <c r="AA123" i="27"/>
  <c r="AB123" i="27"/>
  <c r="AC123" i="27"/>
  <c r="AD123" i="27"/>
  <c r="AE123" i="27"/>
  <c r="AF123" i="27"/>
  <c r="AG123" i="27"/>
  <c r="AH123" i="27"/>
  <c r="AI123" i="27"/>
  <c r="AJ123" i="27"/>
  <c r="AK123" i="27"/>
  <c r="AL123" i="27"/>
  <c r="AM123" i="27"/>
  <c r="AN123" i="27"/>
  <c r="AO123" i="27"/>
  <c r="AP123" i="27"/>
  <c r="AQ123" i="27"/>
  <c r="AR123" i="27"/>
  <c r="AS123" i="27"/>
  <c r="AT123" i="27"/>
  <c r="AU123" i="27"/>
  <c r="AV123" i="27"/>
  <c r="AW123" i="27"/>
  <c r="AX123" i="27"/>
  <c r="AY123" i="27"/>
  <c r="AZ123" i="27"/>
  <c r="BA123" i="27"/>
  <c r="BB123" i="27"/>
  <c r="BC123" i="27"/>
  <c r="BD123" i="27"/>
  <c r="BE123" i="27"/>
  <c r="BF123" i="27"/>
  <c r="BG123" i="27"/>
  <c r="BH123" i="27"/>
  <c r="BI123" i="27"/>
  <c r="BJ123" i="27"/>
  <c r="BK123" i="27"/>
  <c r="BL123" i="27"/>
  <c r="BM123" i="27"/>
  <c r="BN123" i="27"/>
  <c r="BO123" i="27"/>
  <c r="BP123" i="27"/>
  <c r="BQ123" i="27"/>
  <c r="BR123" i="27"/>
  <c r="BS123" i="27"/>
  <c r="BT123" i="27"/>
  <c r="BU123" i="27"/>
  <c r="BV123" i="27"/>
  <c r="BW123" i="27"/>
  <c r="BX123" i="27"/>
  <c r="BY123" i="27"/>
  <c r="BZ123" i="27"/>
  <c r="CA123" i="27"/>
  <c r="CB123" i="27"/>
  <c r="CC123" i="27"/>
  <c r="CD123" i="27"/>
  <c r="CE123" i="27"/>
  <c r="CF123" i="27"/>
  <c r="CG123" i="27"/>
  <c r="CH123" i="27"/>
  <c r="CI123" i="27"/>
  <c r="CJ123" i="27"/>
  <c r="CK123" i="27"/>
  <c r="CL123" i="27"/>
  <c r="CM123" i="27"/>
  <c r="CN123" i="27"/>
  <c r="CO123" i="27"/>
  <c r="CP123" i="27"/>
  <c r="CQ123" i="27"/>
  <c r="CR123" i="27"/>
  <c r="CS123" i="27"/>
  <c r="CT123" i="27"/>
  <c r="CU123" i="27"/>
  <c r="CV123" i="27"/>
  <c r="CW123" i="27"/>
  <c r="CX123" i="27"/>
  <c r="CY123" i="27"/>
  <c r="CZ123" i="27"/>
  <c r="DA123" i="27"/>
  <c r="DB123" i="27"/>
  <c r="DC123" i="27"/>
  <c r="DD123" i="27"/>
  <c r="DE123" i="27"/>
  <c r="DF123" i="27"/>
  <c r="DG123" i="27"/>
  <c r="DH123" i="27"/>
  <c r="DI123" i="27"/>
  <c r="DJ123" i="27"/>
  <c r="DK123" i="27"/>
  <c r="DL123" i="27"/>
  <c r="DM123" i="27"/>
  <c r="DN123" i="27"/>
  <c r="DO123" i="27"/>
  <c r="DP123" i="27"/>
  <c r="DQ123" i="27"/>
  <c r="DR123" i="27"/>
  <c r="DS123" i="27"/>
  <c r="DT123" i="27"/>
  <c r="DU123" i="27"/>
  <c r="DV123" i="27"/>
  <c r="DW123" i="27"/>
  <c r="DX123" i="27"/>
  <c r="DY123" i="27"/>
  <c r="DZ123" i="27"/>
  <c r="EA123" i="27"/>
  <c r="EB123" i="27"/>
  <c r="EC123" i="27"/>
  <c r="ED123" i="27"/>
  <c r="EE123" i="27"/>
  <c r="EF123" i="27"/>
  <c r="EG123" i="27"/>
  <c r="EH123" i="27"/>
  <c r="EI123" i="27"/>
  <c r="EJ123" i="27"/>
  <c r="EK123" i="27"/>
  <c r="EL123" i="27"/>
  <c r="EM123" i="27"/>
  <c r="EN123" i="27"/>
  <c r="EO123" i="27"/>
  <c r="EP123" i="27"/>
  <c r="EQ123" i="27"/>
  <c r="ER123" i="27"/>
  <c r="ES123" i="27"/>
  <c r="ET123" i="27"/>
  <c r="EU123" i="27"/>
  <c r="EV123" i="27"/>
  <c r="EW123" i="27"/>
  <c r="EX123" i="27"/>
  <c r="EY123" i="27"/>
  <c r="EZ123" i="27"/>
  <c r="FA123" i="27"/>
  <c r="FB123" i="27"/>
  <c r="FC123" i="27"/>
  <c r="FD123" i="27"/>
  <c r="FE123" i="27"/>
  <c r="FF123" i="27"/>
  <c r="FG123" i="27"/>
  <c r="FH123" i="27"/>
  <c r="FI123" i="27"/>
  <c r="FJ123" i="27"/>
  <c r="FK123" i="27"/>
  <c r="FL123" i="27"/>
  <c r="FM123" i="27"/>
  <c r="FN123" i="27"/>
  <c r="FO123" i="27"/>
  <c r="FP123" i="27"/>
  <c r="FQ123" i="27"/>
  <c r="FR123" i="27"/>
  <c r="FS123" i="27"/>
  <c r="FT123" i="27"/>
  <c r="FU123" i="27"/>
  <c r="FV123" i="27"/>
  <c r="FW123" i="27"/>
  <c r="FX123" i="27"/>
  <c r="FY123" i="27"/>
  <c r="FZ123" i="27"/>
  <c r="GA123" i="27"/>
  <c r="GB123" i="27"/>
  <c r="GC123" i="27"/>
  <c r="GD123" i="27"/>
  <c r="GE123" i="27"/>
  <c r="GF123" i="27"/>
  <c r="GG123" i="27"/>
  <c r="GH123" i="27"/>
  <c r="GI123" i="27"/>
  <c r="GJ123" i="27"/>
  <c r="GK123" i="27"/>
  <c r="GL123" i="27"/>
  <c r="GM123" i="27"/>
  <c r="GN123" i="27"/>
  <c r="GO123" i="27"/>
  <c r="GP123" i="27"/>
  <c r="GQ123" i="27"/>
  <c r="GR123" i="27"/>
  <c r="GS123" i="27"/>
  <c r="GT123" i="27"/>
  <c r="GU123" i="27"/>
  <c r="GV123" i="27"/>
  <c r="GW123" i="27"/>
  <c r="GX123" i="27"/>
  <c r="GY123" i="27"/>
  <c r="GZ123" i="27"/>
  <c r="HA123" i="27"/>
  <c r="HB123" i="27"/>
  <c r="HC123" i="27"/>
  <c r="HD123" i="27"/>
  <c r="HE123" i="27"/>
  <c r="HF123" i="27"/>
  <c r="HG123" i="27"/>
  <c r="HH123" i="27"/>
  <c r="HI123" i="27"/>
  <c r="HJ123" i="27"/>
  <c r="HK123" i="27"/>
  <c r="HL123" i="27"/>
  <c r="HM123" i="27"/>
  <c r="HN123" i="27"/>
  <c r="HO123" i="27"/>
  <c r="HP123" i="27"/>
  <c r="HQ123" i="27"/>
  <c r="HR123" i="27"/>
  <c r="HS123" i="27"/>
  <c r="HT123" i="27"/>
  <c r="HU123" i="27"/>
  <c r="HV123" i="27"/>
  <c r="HW123" i="27"/>
  <c r="HX123" i="27"/>
  <c r="HY123" i="27"/>
  <c r="HZ123" i="27"/>
  <c r="IA123" i="27"/>
  <c r="IB123" i="27"/>
  <c r="IC123" i="27"/>
  <c r="ID123" i="27"/>
  <c r="IE123" i="27"/>
  <c r="IF123" i="27"/>
  <c r="IG123" i="27"/>
  <c r="IH123" i="27"/>
  <c r="II123" i="27"/>
  <c r="IJ123" i="27"/>
  <c r="IK123" i="27"/>
  <c r="IL123" i="27"/>
  <c r="IM123" i="27"/>
  <c r="IN123" i="27"/>
  <c r="IO123" i="27"/>
  <c r="IP123" i="27"/>
  <c r="IQ123" i="27"/>
  <c r="IR123" i="27"/>
  <c r="IS123" i="27"/>
  <c r="IT123" i="27"/>
  <c r="IU123" i="27"/>
  <c r="IV123" i="27"/>
  <c r="A122" i="27"/>
  <c r="B122" i="27"/>
  <c r="C122" i="27"/>
  <c r="D122" i="27"/>
  <c r="E122" i="27"/>
  <c r="F122" i="27"/>
  <c r="G122" i="27"/>
  <c r="H122" i="27"/>
  <c r="I122" i="27"/>
  <c r="J122" i="27"/>
  <c r="K122" i="27"/>
  <c r="L122" i="27"/>
  <c r="M122" i="27"/>
  <c r="N122" i="27"/>
  <c r="O122" i="27"/>
  <c r="P122" i="27"/>
  <c r="Q122" i="27"/>
  <c r="R122" i="27"/>
  <c r="S122" i="27"/>
  <c r="T122" i="27"/>
  <c r="U122" i="27"/>
  <c r="V122" i="27"/>
  <c r="W122" i="27"/>
  <c r="X122" i="27"/>
  <c r="Y122" i="27"/>
  <c r="Z122" i="27"/>
  <c r="AA122" i="27"/>
  <c r="AB122" i="27"/>
  <c r="AC122" i="27"/>
  <c r="AD122" i="27"/>
  <c r="AE122" i="27"/>
  <c r="AF122" i="27"/>
  <c r="AG122" i="27"/>
  <c r="AH122" i="27"/>
  <c r="AI122" i="27"/>
  <c r="AJ122" i="27"/>
  <c r="AK122" i="27"/>
  <c r="AL122" i="27"/>
  <c r="AM122" i="27"/>
  <c r="AN122" i="27"/>
  <c r="AO122" i="27"/>
  <c r="AP122" i="27"/>
  <c r="AQ122" i="27"/>
  <c r="AR122" i="27"/>
  <c r="AS122" i="27"/>
  <c r="AT122" i="27"/>
  <c r="AU122" i="27"/>
  <c r="AV122" i="27"/>
  <c r="AW122" i="27"/>
  <c r="AX122" i="27"/>
  <c r="AY122" i="27"/>
  <c r="AZ122" i="27"/>
  <c r="BA122" i="27"/>
  <c r="BB122" i="27"/>
  <c r="BC122" i="27"/>
  <c r="BD122" i="27"/>
  <c r="BE122" i="27"/>
  <c r="BF122" i="27"/>
  <c r="BG122" i="27"/>
  <c r="BH122" i="27"/>
  <c r="BI122" i="27"/>
  <c r="BJ122" i="27"/>
  <c r="BK122" i="27"/>
  <c r="BL122" i="27"/>
  <c r="BM122" i="27"/>
  <c r="BN122" i="27"/>
  <c r="BO122" i="27"/>
  <c r="BP122" i="27"/>
  <c r="BQ122" i="27"/>
  <c r="BR122" i="27"/>
  <c r="BS122" i="27"/>
  <c r="BT122" i="27"/>
  <c r="BU122" i="27"/>
  <c r="BV122" i="27"/>
  <c r="BW122" i="27"/>
  <c r="BX122" i="27"/>
  <c r="BY122" i="27"/>
  <c r="BZ122" i="27"/>
  <c r="CA122" i="27"/>
  <c r="CB122" i="27"/>
  <c r="CC122" i="27"/>
  <c r="CD122" i="27"/>
  <c r="CE122" i="27"/>
  <c r="CF122" i="27"/>
  <c r="CG122" i="27"/>
  <c r="CH122" i="27"/>
  <c r="CI122" i="27"/>
  <c r="CJ122" i="27"/>
  <c r="CK122" i="27"/>
  <c r="CL122" i="27"/>
  <c r="CM122" i="27"/>
  <c r="CN122" i="27"/>
  <c r="CO122" i="27"/>
  <c r="CP122" i="27"/>
  <c r="CQ122" i="27"/>
  <c r="CR122" i="27"/>
  <c r="CS122" i="27"/>
  <c r="CT122" i="27"/>
  <c r="CU122" i="27"/>
  <c r="CV122" i="27"/>
  <c r="CW122" i="27"/>
  <c r="CX122" i="27"/>
  <c r="CY122" i="27"/>
  <c r="CZ122" i="27"/>
  <c r="DA122" i="27"/>
  <c r="DB122" i="27"/>
  <c r="DC122" i="27"/>
  <c r="DD122" i="27"/>
  <c r="DE122" i="27"/>
  <c r="DF122" i="27"/>
  <c r="DG122" i="27"/>
  <c r="DH122" i="27"/>
  <c r="DI122" i="27"/>
  <c r="DJ122" i="27"/>
  <c r="DK122" i="27"/>
  <c r="DL122" i="27"/>
  <c r="DM122" i="27"/>
  <c r="DN122" i="27"/>
  <c r="DO122" i="27"/>
  <c r="DP122" i="27"/>
  <c r="DQ122" i="27"/>
  <c r="DR122" i="27"/>
  <c r="DS122" i="27"/>
  <c r="DT122" i="27"/>
  <c r="DU122" i="27"/>
  <c r="DV122" i="27"/>
  <c r="DW122" i="27"/>
  <c r="DX122" i="27"/>
  <c r="DY122" i="27"/>
  <c r="DZ122" i="27"/>
  <c r="EA122" i="27"/>
  <c r="EB122" i="27"/>
  <c r="EC122" i="27"/>
  <c r="ED122" i="27"/>
  <c r="EE122" i="27"/>
  <c r="EF122" i="27"/>
  <c r="EG122" i="27"/>
  <c r="EH122" i="27"/>
  <c r="EI122" i="27"/>
  <c r="EJ122" i="27"/>
  <c r="EK122" i="27"/>
  <c r="EL122" i="27"/>
  <c r="EM122" i="27"/>
  <c r="EN122" i="27"/>
  <c r="EO122" i="27"/>
  <c r="EP122" i="27"/>
  <c r="EQ122" i="27"/>
  <c r="ER122" i="27"/>
  <c r="ES122" i="27"/>
  <c r="ET122" i="27"/>
  <c r="EU122" i="27"/>
  <c r="EV122" i="27"/>
  <c r="EW122" i="27"/>
  <c r="EX122" i="27"/>
  <c r="EY122" i="27"/>
  <c r="EZ122" i="27"/>
  <c r="FA122" i="27"/>
  <c r="FB122" i="27"/>
  <c r="FC122" i="27"/>
  <c r="FD122" i="27"/>
  <c r="FE122" i="27"/>
  <c r="FF122" i="27"/>
  <c r="FG122" i="27"/>
  <c r="FH122" i="27"/>
  <c r="FI122" i="27"/>
  <c r="FJ122" i="27"/>
  <c r="FK122" i="27"/>
  <c r="FL122" i="27"/>
  <c r="FM122" i="27"/>
  <c r="FN122" i="27"/>
  <c r="FO122" i="27"/>
  <c r="FP122" i="27"/>
  <c r="FQ122" i="27"/>
  <c r="FR122" i="27"/>
  <c r="FS122" i="27"/>
  <c r="FT122" i="27"/>
  <c r="FU122" i="27"/>
  <c r="FV122" i="27"/>
  <c r="FW122" i="27"/>
  <c r="FX122" i="27"/>
  <c r="FY122" i="27"/>
  <c r="FZ122" i="27"/>
  <c r="GA122" i="27"/>
  <c r="GB122" i="27"/>
  <c r="GC122" i="27"/>
  <c r="GD122" i="27"/>
  <c r="GE122" i="27"/>
  <c r="GF122" i="27"/>
  <c r="GG122" i="27"/>
  <c r="GH122" i="27"/>
  <c r="GI122" i="27"/>
  <c r="GJ122" i="27"/>
  <c r="GK122" i="27"/>
  <c r="GL122" i="27"/>
  <c r="GM122" i="27"/>
  <c r="GN122" i="27"/>
  <c r="GO122" i="27"/>
  <c r="GP122" i="27"/>
  <c r="GQ122" i="27"/>
  <c r="GR122" i="27"/>
  <c r="GS122" i="27"/>
  <c r="GT122" i="27"/>
  <c r="GU122" i="27"/>
  <c r="GV122" i="27"/>
  <c r="GW122" i="27"/>
  <c r="GX122" i="27"/>
  <c r="GY122" i="27"/>
  <c r="GZ122" i="27"/>
  <c r="HA122" i="27"/>
  <c r="HB122" i="27"/>
  <c r="HC122" i="27"/>
  <c r="HD122" i="27"/>
  <c r="HE122" i="27"/>
  <c r="HF122" i="27"/>
  <c r="HG122" i="27"/>
  <c r="HH122" i="27"/>
  <c r="HI122" i="27"/>
  <c r="HJ122" i="27"/>
  <c r="HK122" i="27"/>
  <c r="HL122" i="27"/>
  <c r="HM122" i="27"/>
  <c r="HN122" i="27"/>
  <c r="HO122" i="27"/>
  <c r="HP122" i="27"/>
  <c r="HQ122" i="27"/>
  <c r="HR122" i="27"/>
  <c r="HS122" i="27"/>
  <c r="HT122" i="27"/>
  <c r="HU122" i="27"/>
  <c r="HV122" i="27"/>
  <c r="HW122" i="27"/>
  <c r="HX122" i="27"/>
  <c r="HY122" i="27"/>
  <c r="HZ122" i="27"/>
  <c r="IA122" i="27"/>
  <c r="IB122" i="27"/>
  <c r="IC122" i="27"/>
  <c r="ID122" i="27"/>
  <c r="IE122" i="27"/>
  <c r="IF122" i="27"/>
  <c r="IG122" i="27"/>
  <c r="IH122" i="27"/>
  <c r="II122" i="27"/>
  <c r="IJ122" i="27"/>
  <c r="IK122" i="27"/>
  <c r="IL122" i="27"/>
  <c r="IM122" i="27"/>
  <c r="IN122" i="27"/>
  <c r="IO122" i="27"/>
  <c r="IP122" i="27"/>
  <c r="IQ122" i="27"/>
  <c r="IR122" i="27"/>
  <c r="IS122" i="27"/>
  <c r="IT122" i="27"/>
  <c r="IU122" i="27"/>
  <c r="IV122" i="27"/>
  <c r="A121" i="27"/>
  <c r="B121" i="27"/>
  <c r="C121" i="27"/>
  <c r="D121" i="27"/>
  <c r="E121" i="27"/>
  <c r="F121" i="27"/>
  <c r="G121" i="27"/>
  <c r="H121" i="27"/>
  <c r="I121" i="27"/>
  <c r="J121" i="27"/>
  <c r="K121" i="27"/>
  <c r="L121" i="27"/>
  <c r="M121" i="27"/>
  <c r="N121" i="27"/>
  <c r="O121" i="27"/>
  <c r="P121" i="27"/>
  <c r="Q121" i="27"/>
  <c r="R121" i="27"/>
  <c r="S121" i="27"/>
  <c r="T121" i="27"/>
  <c r="U121" i="27"/>
  <c r="V121" i="27"/>
  <c r="W121" i="27"/>
  <c r="X121" i="27"/>
  <c r="Y121" i="27"/>
  <c r="Z121" i="27"/>
  <c r="AA121" i="27"/>
  <c r="AB121" i="27"/>
  <c r="AC121" i="27"/>
  <c r="AD121" i="27"/>
  <c r="AE121" i="27"/>
  <c r="AF121" i="27"/>
  <c r="AG121" i="27"/>
  <c r="AH121" i="27"/>
  <c r="AI121" i="27"/>
  <c r="AJ121" i="27"/>
  <c r="AK121" i="27"/>
  <c r="AL121" i="27"/>
  <c r="AM121" i="27"/>
  <c r="AN121" i="27"/>
  <c r="AO121" i="27"/>
  <c r="AP121" i="27"/>
  <c r="AQ121" i="27"/>
  <c r="AR121" i="27"/>
  <c r="AS121" i="27"/>
  <c r="AT121" i="27"/>
  <c r="AU121" i="27"/>
  <c r="AV121" i="27"/>
  <c r="AW121" i="27"/>
  <c r="AX121" i="27"/>
  <c r="AY121" i="27"/>
  <c r="AZ121" i="27"/>
  <c r="BA121" i="27"/>
  <c r="BB121" i="27"/>
  <c r="BC121" i="27"/>
  <c r="BD121" i="27"/>
  <c r="BE121" i="27"/>
  <c r="BF121" i="27"/>
  <c r="BG121" i="27"/>
  <c r="BH121" i="27"/>
  <c r="BI121" i="27"/>
  <c r="BJ121" i="27"/>
  <c r="BK121" i="27"/>
  <c r="BL121" i="27"/>
  <c r="BM121" i="27"/>
  <c r="BN121" i="27"/>
  <c r="BO121" i="27"/>
  <c r="BP121" i="27"/>
  <c r="BQ121" i="27"/>
  <c r="BR121" i="27"/>
  <c r="BS121" i="27"/>
  <c r="BT121" i="27"/>
  <c r="BU121" i="27"/>
  <c r="BV121" i="27"/>
  <c r="BW121" i="27"/>
  <c r="BX121" i="27"/>
  <c r="BY121" i="27"/>
  <c r="BZ121" i="27"/>
  <c r="CA121" i="27"/>
  <c r="CB121" i="27"/>
  <c r="CC121" i="27"/>
  <c r="CD121" i="27"/>
  <c r="CE121" i="27"/>
  <c r="CF121" i="27"/>
  <c r="CG121" i="27"/>
  <c r="CH121" i="27"/>
  <c r="CI121" i="27"/>
  <c r="CJ121" i="27"/>
  <c r="CK121" i="27"/>
  <c r="CL121" i="27"/>
  <c r="CM121" i="27"/>
  <c r="CN121" i="27"/>
  <c r="CO121" i="27"/>
  <c r="CP121" i="27"/>
  <c r="CQ121" i="27"/>
  <c r="CR121" i="27"/>
  <c r="CS121" i="27"/>
  <c r="CT121" i="27"/>
  <c r="CU121" i="27"/>
  <c r="CV121" i="27"/>
  <c r="CW121" i="27"/>
  <c r="CX121" i="27"/>
  <c r="CY121" i="27"/>
  <c r="CZ121" i="27"/>
  <c r="DA121" i="27"/>
  <c r="DB121" i="27"/>
  <c r="DC121" i="27"/>
  <c r="DD121" i="27"/>
  <c r="DE121" i="27"/>
  <c r="DF121" i="27"/>
  <c r="DG121" i="27"/>
  <c r="DH121" i="27"/>
  <c r="DI121" i="27"/>
  <c r="DJ121" i="27"/>
  <c r="DK121" i="27"/>
  <c r="DL121" i="27"/>
  <c r="DM121" i="27"/>
  <c r="DN121" i="27"/>
  <c r="DO121" i="27"/>
  <c r="DP121" i="27"/>
  <c r="DQ121" i="27"/>
  <c r="DR121" i="27"/>
  <c r="DS121" i="27"/>
  <c r="DT121" i="27"/>
  <c r="DU121" i="27"/>
  <c r="DV121" i="27"/>
  <c r="DW121" i="27"/>
  <c r="DX121" i="27"/>
  <c r="DY121" i="27"/>
  <c r="DZ121" i="27"/>
  <c r="EA121" i="27"/>
  <c r="EB121" i="27"/>
  <c r="EC121" i="27"/>
  <c r="ED121" i="27"/>
  <c r="EE121" i="27"/>
  <c r="EF121" i="27"/>
  <c r="EG121" i="27"/>
  <c r="EH121" i="27"/>
  <c r="EI121" i="27"/>
  <c r="EJ121" i="27"/>
  <c r="EK121" i="27"/>
  <c r="EL121" i="27"/>
  <c r="EM121" i="27"/>
  <c r="EN121" i="27"/>
  <c r="EO121" i="27"/>
  <c r="EP121" i="27"/>
  <c r="EQ121" i="27"/>
  <c r="ER121" i="27"/>
  <c r="ES121" i="27"/>
  <c r="ET121" i="27"/>
  <c r="EU121" i="27"/>
  <c r="EV121" i="27"/>
  <c r="EW121" i="27"/>
  <c r="EX121" i="27"/>
  <c r="EY121" i="27"/>
  <c r="EZ121" i="27"/>
  <c r="FA121" i="27"/>
  <c r="FB121" i="27"/>
  <c r="FC121" i="27"/>
  <c r="FD121" i="27"/>
  <c r="FE121" i="27"/>
  <c r="FF121" i="27"/>
  <c r="FG121" i="27"/>
  <c r="FH121" i="27"/>
  <c r="FI121" i="27"/>
  <c r="FJ121" i="27"/>
  <c r="FK121" i="27"/>
  <c r="FL121" i="27"/>
  <c r="FM121" i="27"/>
  <c r="FN121" i="27"/>
  <c r="FO121" i="27"/>
  <c r="FP121" i="27"/>
  <c r="FQ121" i="27"/>
  <c r="FR121" i="27"/>
  <c r="FS121" i="27"/>
  <c r="FT121" i="27"/>
  <c r="FU121" i="27"/>
  <c r="FV121" i="27"/>
  <c r="FW121" i="27"/>
  <c r="FX121" i="27"/>
  <c r="FY121" i="27"/>
  <c r="FZ121" i="27"/>
  <c r="GA121" i="27"/>
  <c r="GB121" i="27"/>
  <c r="GC121" i="27"/>
  <c r="GD121" i="27"/>
  <c r="GE121" i="27"/>
  <c r="GF121" i="27"/>
  <c r="GG121" i="27"/>
  <c r="GH121" i="27"/>
  <c r="GI121" i="27"/>
  <c r="GJ121" i="27"/>
  <c r="GK121" i="27"/>
  <c r="GL121" i="27"/>
  <c r="GM121" i="27"/>
  <c r="GN121" i="27"/>
  <c r="GO121" i="27"/>
  <c r="GP121" i="27"/>
  <c r="GQ121" i="27"/>
  <c r="GR121" i="27"/>
  <c r="GS121" i="27"/>
  <c r="GT121" i="27"/>
  <c r="GU121" i="27"/>
  <c r="GV121" i="27"/>
  <c r="GW121" i="27"/>
  <c r="GX121" i="27"/>
  <c r="GY121" i="27"/>
  <c r="GZ121" i="27"/>
  <c r="HA121" i="27"/>
  <c r="HB121" i="27"/>
  <c r="HC121" i="27"/>
  <c r="HD121" i="27"/>
  <c r="HE121" i="27"/>
  <c r="HF121" i="27"/>
  <c r="HG121" i="27"/>
  <c r="HH121" i="27"/>
  <c r="HI121" i="27"/>
  <c r="HJ121" i="27"/>
  <c r="HK121" i="27"/>
  <c r="HL121" i="27"/>
  <c r="HM121" i="27"/>
  <c r="HN121" i="27"/>
  <c r="HO121" i="27"/>
  <c r="HP121" i="27"/>
  <c r="HQ121" i="27"/>
  <c r="HR121" i="27"/>
  <c r="HS121" i="27"/>
  <c r="HT121" i="27"/>
  <c r="HU121" i="27"/>
  <c r="HV121" i="27"/>
  <c r="HW121" i="27"/>
  <c r="HX121" i="27"/>
  <c r="HY121" i="27"/>
  <c r="HZ121" i="27"/>
  <c r="IA121" i="27"/>
  <c r="IB121" i="27"/>
  <c r="IC121" i="27"/>
  <c r="ID121" i="27"/>
  <c r="IE121" i="27"/>
  <c r="IF121" i="27"/>
  <c r="IG121" i="27"/>
  <c r="IH121" i="27"/>
  <c r="II121" i="27"/>
  <c r="IJ121" i="27"/>
  <c r="IK121" i="27"/>
  <c r="IL121" i="27"/>
  <c r="IM121" i="27"/>
  <c r="IN121" i="27"/>
  <c r="IO121" i="27"/>
  <c r="IP121" i="27"/>
  <c r="IQ121" i="27"/>
  <c r="IR121" i="27"/>
  <c r="IS121" i="27"/>
  <c r="IT121" i="27"/>
  <c r="IU121" i="27"/>
  <c r="IV121" i="27"/>
  <c r="A120" i="27"/>
  <c r="B120" i="27"/>
  <c r="C120" i="27"/>
  <c r="D120" i="27"/>
  <c r="E120" i="27"/>
  <c r="F120" i="27"/>
  <c r="G120" i="27"/>
  <c r="H120" i="27"/>
  <c r="I120" i="2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AL120" i="27"/>
  <c r="AM120" i="27"/>
  <c r="AN120" i="27"/>
  <c r="AO120" i="27"/>
  <c r="AP120" i="27"/>
  <c r="AQ120" i="27"/>
  <c r="AR120" i="27"/>
  <c r="AS120" i="27"/>
  <c r="AT120" i="27"/>
  <c r="AU120" i="27"/>
  <c r="AV120" i="27"/>
  <c r="AW120" i="27"/>
  <c r="AX120" i="27"/>
  <c r="AY120" i="27"/>
  <c r="AZ120" i="27"/>
  <c r="BA120" i="27"/>
  <c r="BB120" i="27"/>
  <c r="BC120" i="27"/>
  <c r="BD120" i="27"/>
  <c r="BE120" i="27"/>
  <c r="BF120" i="27"/>
  <c r="BG120" i="27"/>
  <c r="BH120" i="27"/>
  <c r="BI120" i="27"/>
  <c r="BJ120" i="27"/>
  <c r="BK120" i="27"/>
  <c r="BL120" i="27"/>
  <c r="BM120" i="27"/>
  <c r="BN120" i="27"/>
  <c r="BO120" i="27"/>
  <c r="BP120" i="27"/>
  <c r="BQ120" i="27"/>
  <c r="BR120" i="27"/>
  <c r="BS120" i="27"/>
  <c r="BT120" i="27"/>
  <c r="BU120" i="27"/>
  <c r="BV120" i="27"/>
  <c r="BW120" i="27"/>
  <c r="BX120" i="27"/>
  <c r="BY120" i="27"/>
  <c r="BZ120" i="27"/>
  <c r="CA120" i="27"/>
  <c r="CB120" i="27"/>
  <c r="CC120" i="27"/>
  <c r="CD120" i="27"/>
  <c r="CE120" i="27"/>
  <c r="CF120" i="27"/>
  <c r="CG120" i="27"/>
  <c r="CH120" i="27"/>
  <c r="CI120" i="27"/>
  <c r="CJ120" i="27"/>
  <c r="CK120" i="27"/>
  <c r="CL120" i="27"/>
  <c r="CM120" i="27"/>
  <c r="CN120" i="27"/>
  <c r="CO120" i="27"/>
  <c r="CP120" i="27"/>
  <c r="CQ120" i="27"/>
  <c r="CR120" i="27"/>
  <c r="CS120" i="27"/>
  <c r="CT120" i="27"/>
  <c r="CU120" i="27"/>
  <c r="CV120" i="27"/>
  <c r="CW120" i="27"/>
  <c r="CX120" i="27"/>
  <c r="CY120" i="27"/>
  <c r="CZ120" i="27"/>
  <c r="DA120" i="27"/>
  <c r="DB120" i="27"/>
  <c r="DC120" i="27"/>
  <c r="DD120" i="27"/>
  <c r="DE120" i="27"/>
  <c r="DF120" i="27"/>
  <c r="DG120" i="27"/>
  <c r="DH120" i="27"/>
  <c r="DI120" i="27"/>
  <c r="DJ120" i="27"/>
  <c r="DK120" i="27"/>
  <c r="DL120" i="27"/>
  <c r="DM120" i="27"/>
  <c r="DN120" i="27"/>
  <c r="DO120" i="27"/>
  <c r="DP120" i="27"/>
  <c r="DQ120" i="27"/>
  <c r="DR120" i="27"/>
  <c r="DS120" i="27"/>
  <c r="DT120" i="27"/>
  <c r="DU120" i="27"/>
  <c r="DV120" i="27"/>
  <c r="DW120" i="27"/>
  <c r="DX120" i="27"/>
  <c r="DY120" i="27"/>
  <c r="DZ120" i="27"/>
  <c r="EA120" i="27"/>
  <c r="EB120" i="27"/>
  <c r="EC120" i="27"/>
  <c r="ED120" i="27"/>
  <c r="EE120" i="27"/>
  <c r="EF120" i="27"/>
  <c r="EG120" i="27"/>
  <c r="EH120" i="27"/>
  <c r="EI120" i="27"/>
  <c r="EJ120" i="27"/>
  <c r="EK120" i="27"/>
  <c r="EL120" i="27"/>
  <c r="EM120" i="27"/>
  <c r="EN120" i="27"/>
  <c r="EO120" i="27"/>
  <c r="EP120" i="27"/>
  <c r="EQ120" i="27"/>
  <c r="ER120" i="27"/>
  <c r="ES120" i="27"/>
  <c r="ET120" i="27"/>
  <c r="EU120" i="27"/>
  <c r="EV120" i="27"/>
  <c r="EW120" i="27"/>
  <c r="EX120" i="27"/>
  <c r="EY120" i="27"/>
  <c r="EZ120" i="27"/>
  <c r="FA120" i="27"/>
  <c r="FB120" i="27"/>
  <c r="FC120" i="27"/>
  <c r="FD120" i="27"/>
  <c r="FE120" i="27"/>
  <c r="FF120" i="27"/>
  <c r="FG120" i="27"/>
  <c r="FH120" i="27"/>
  <c r="FI120" i="27"/>
  <c r="FJ120" i="27"/>
  <c r="FK120" i="27"/>
  <c r="FL120" i="27"/>
  <c r="FM120" i="27"/>
  <c r="FN120" i="27"/>
  <c r="FO120" i="27"/>
  <c r="FP120" i="27"/>
  <c r="FQ120" i="27"/>
  <c r="FR120" i="27"/>
  <c r="FS120" i="27"/>
  <c r="FT120" i="27"/>
  <c r="FU120" i="27"/>
  <c r="FV120" i="27"/>
  <c r="FW120" i="27"/>
  <c r="FX120" i="27"/>
  <c r="FY120" i="27"/>
  <c r="FZ120" i="27"/>
  <c r="GA120" i="27"/>
  <c r="GB120" i="27"/>
  <c r="GC120" i="27"/>
  <c r="GD120" i="27"/>
  <c r="GE120" i="27"/>
  <c r="GF120" i="27"/>
  <c r="GG120" i="27"/>
  <c r="GH120" i="27"/>
  <c r="GI120" i="27"/>
  <c r="GJ120" i="27"/>
  <c r="GK120" i="27"/>
  <c r="GL120" i="27"/>
  <c r="GM120" i="27"/>
  <c r="GN120" i="27"/>
  <c r="GO120" i="27"/>
  <c r="GP120" i="27"/>
  <c r="GQ120" i="27"/>
  <c r="GR120" i="27"/>
  <c r="GS120" i="27"/>
  <c r="GT120" i="27"/>
  <c r="GU120" i="27"/>
  <c r="GV120" i="27"/>
  <c r="GW120" i="27"/>
  <c r="GX120" i="27"/>
  <c r="GY120" i="27"/>
  <c r="GZ120" i="27"/>
  <c r="HA120" i="27"/>
  <c r="HB120" i="27"/>
  <c r="HC120" i="27"/>
  <c r="HD120" i="27"/>
  <c r="HE120" i="27"/>
  <c r="HF120" i="27"/>
  <c r="HG120" i="27"/>
  <c r="HH120" i="27"/>
  <c r="HI120" i="27"/>
  <c r="HJ120" i="27"/>
  <c r="HK120" i="27"/>
  <c r="HL120" i="27"/>
  <c r="HM120" i="27"/>
  <c r="HN120" i="27"/>
  <c r="HO120" i="27"/>
  <c r="HP120" i="27"/>
  <c r="HQ120" i="27"/>
  <c r="HR120" i="27"/>
  <c r="HS120" i="27"/>
  <c r="HT120" i="27"/>
  <c r="HU120" i="27"/>
  <c r="HV120" i="27"/>
  <c r="HW120" i="27"/>
  <c r="HX120" i="27"/>
  <c r="HY120" i="27"/>
  <c r="HZ120" i="27"/>
  <c r="IA120" i="27"/>
  <c r="IB120" i="27"/>
  <c r="IC120" i="27"/>
  <c r="ID120" i="27"/>
  <c r="IE120" i="27"/>
  <c r="IF120" i="27"/>
  <c r="IG120" i="27"/>
  <c r="IH120" i="27"/>
  <c r="II120" i="27"/>
  <c r="IJ120" i="27"/>
  <c r="IK120" i="27"/>
  <c r="IL120" i="27"/>
  <c r="IM120" i="27"/>
  <c r="IN120" i="27"/>
  <c r="IO120" i="27"/>
  <c r="IP120" i="27"/>
  <c r="IQ120" i="27"/>
  <c r="IR120" i="27"/>
  <c r="IS120" i="27"/>
  <c r="IT120" i="27"/>
  <c r="IU120" i="27"/>
  <c r="IV120" i="27"/>
  <c r="A119" i="27"/>
  <c r="B119" i="27"/>
  <c r="C119" i="27"/>
  <c r="D119" i="27"/>
  <c r="E119" i="27"/>
  <c r="F119" i="27"/>
  <c r="G119" i="27"/>
  <c r="H119" i="27"/>
  <c r="I119" i="27"/>
  <c r="J119" i="27"/>
  <c r="K119" i="27"/>
  <c r="L119" i="27"/>
  <c r="M119" i="27"/>
  <c r="N119" i="27"/>
  <c r="O119" i="27"/>
  <c r="P119" i="27"/>
  <c r="Q119" i="27"/>
  <c r="R119" i="27"/>
  <c r="S119" i="27"/>
  <c r="T119" i="27"/>
  <c r="U119" i="27"/>
  <c r="V119" i="27"/>
  <c r="W119" i="27"/>
  <c r="X119" i="27"/>
  <c r="Y119" i="27"/>
  <c r="Z119" i="27"/>
  <c r="AA119" i="27"/>
  <c r="AB119" i="27"/>
  <c r="AC119" i="27"/>
  <c r="AD119" i="27"/>
  <c r="AE119" i="27"/>
  <c r="AF119" i="27"/>
  <c r="AG119" i="27"/>
  <c r="AH119" i="27"/>
  <c r="AI119" i="27"/>
  <c r="AJ119" i="27"/>
  <c r="AK119" i="27"/>
  <c r="AL119" i="27"/>
  <c r="AM119" i="27"/>
  <c r="AN119" i="27"/>
  <c r="AO119" i="27"/>
  <c r="AP119" i="27"/>
  <c r="AQ119" i="27"/>
  <c r="AR119" i="27"/>
  <c r="AS119" i="27"/>
  <c r="AT119" i="27"/>
  <c r="AU119" i="27"/>
  <c r="AV119" i="27"/>
  <c r="AW119" i="27"/>
  <c r="AX119" i="27"/>
  <c r="AY119" i="27"/>
  <c r="AZ119" i="27"/>
  <c r="BA119" i="27"/>
  <c r="BB119" i="27"/>
  <c r="BC119" i="27"/>
  <c r="BD119" i="27"/>
  <c r="BE119" i="27"/>
  <c r="BF119" i="27"/>
  <c r="BG119" i="27"/>
  <c r="BH119" i="27"/>
  <c r="BI119" i="27"/>
  <c r="BJ119" i="27"/>
  <c r="BK119" i="27"/>
  <c r="BL119" i="27"/>
  <c r="BM119" i="27"/>
  <c r="BN119" i="27"/>
  <c r="BO119" i="27"/>
  <c r="BP119" i="27"/>
  <c r="BQ119" i="27"/>
  <c r="BR119" i="27"/>
  <c r="BS119" i="27"/>
  <c r="BT119" i="27"/>
  <c r="BU119" i="27"/>
  <c r="BV119" i="27"/>
  <c r="BW119" i="27"/>
  <c r="BX119" i="27"/>
  <c r="BY119" i="27"/>
  <c r="BZ119" i="27"/>
  <c r="CA119" i="27"/>
  <c r="CB119" i="27"/>
  <c r="CC119" i="27"/>
  <c r="CD119" i="27"/>
  <c r="CE119" i="27"/>
  <c r="CF119" i="27"/>
  <c r="CG119" i="27"/>
  <c r="CH119" i="27"/>
  <c r="CI119" i="27"/>
  <c r="CJ119" i="27"/>
  <c r="CK119" i="27"/>
  <c r="CL119" i="27"/>
  <c r="CM119" i="27"/>
  <c r="CN119" i="27"/>
  <c r="CO119" i="27"/>
  <c r="CP119" i="27"/>
  <c r="CQ119" i="27"/>
  <c r="CR119" i="27"/>
  <c r="CS119" i="27"/>
  <c r="CT119" i="27"/>
  <c r="CU119" i="27"/>
  <c r="CV119" i="27"/>
  <c r="CW119" i="27"/>
  <c r="CX119" i="27"/>
  <c r="CY119" i="27"/>
  <c r="CZ119" i="27"/>
  <c r="DA119" i="27"/>
  <c r="DB119" i="27"/>
  <c r="DC119" i="27"/>
  <c r="DD119" i="27"/>
  <c r="DE119" i="27"/>
  <c r="DF119" i="27"/>
  <c r="DG119" i="27"/>
  <c r="DH119" i="27"/>
  <c r="DI119" i="27"/>
  <c r="DJ119" i="27"/>
  <c r="DK119" i="27"/>
  <c r="DL119" i="27"/>
  <c r="DM119" i="27"/>
  <c r="DN119" i="27"/>
  <c r="DO119" i="27"/>
  <c r="DP119" i="27"/>
  <c r="DQ119" i="27"/>
  <c r="DR119" i="27"/>
  <c r="DS119" i="27"/>
  <c r="DT119" i="27"/>
  <c r="DU119" i="27"/>
  <c r="DV119" i="27"/>
  <c r="DW119" i="27"/>
  <c r="DX119" i="27"/>
  <c r="DY119" i="27"/>
  <c r="DZ119" i="27"/>
  <c r="EA119" i="27"/>
  <c r="EB119" i="27"/>
  <c r="EC119" i="27"/>
  <c r="ED119" i="27"/>
  <c r="EE119" i="27"/>
  <c r="EF119" i="27"/>
  <c r="EG119" i="27"/>
  <c r="EH119" i="27"/>
  <c r="EI119" i="27"/>
  <c r="EJ119" i="27"/>
  <c r="EK119" i="27"/>
  <c r="EL119" i="27"/>
  <c r="EM119" i="27"/>
  <c r="EN119" i="27"/>
  <c r="EO119" i="27"/>
  <c r="EP119" i="27"/>
  <c r="EQ119" i="27"/>
  <c r="ER119" i="27"/>
  <c r="ES119" i="27"/>
  <c r="ET119" i="27"/>
  <c r="EU119" i="27"/>
  <c r="EV119" i="27"/>
  <c r="EW119" i="27"/>
  <c r="EX119" i="27"/>
  <c r="EY119" i="27"/>
  <c r="EZ119" i="27"/>
  <c r="FA119" i="27"/>
  <c r="FB119" i="27"/>
  <c r="FC119" i="27"/>
  <c r="FD119" i="27"/>
  <c r="FE119" i="27"/>
  <c r="FF119" i="27"/>
  <c r="FG119" i="27"/>
  <c r="FH119" i="27"/>
  <c r="FI119" i="27"/>
  <c r="FJ119" i="27"/>
  <c r="FK119" i="27"/>
  <c r="FL119" i="27"/>
  <c r="FM119" i="27"/>
  <c r="FN119" i="27"/>
  <c r="FO119" i="27"/>
  <c r="FP119" i="27"/>
  <c r="FQ119" i="27"/>
  <c r="FR119" i="27"/>
  <c r="FS119" i="27"/>
  <c r="FT119" i="27"/>
  <c r="FU119" i="27"/>
  <c r="FV119" i="27"/>
  <c r="FW119" i="27"/>
  <c r="FX119" i="27"/>
  <c r="FY119" i="27"/>
  <c r="FZ119" i="27"/>
  <c r="GA119" i="27"/>
  <c r="GB119" i="27"/>
  <c r="GC119" i="27"/>
  <c r="GD119" i="27"/>
  <c r="GE119" i="27"/>
  <c r="GF119" i="27"/>
  <c r="GG119" i="27"/>
  <c r="GH119" i="27"/>
  <c r="GI119" i="27"/>
  <c r="GJ119" i="27"/>
  <c r="GK119" i="27"/>
  <c r="GL119" i="27"/>
  <c r="GM119" i="27"/>
  <c r="GN119" i="27"/>
  <c r="GO119" i="27"/>
  <c r="GP119" i="27"/>
  <c r="GQ119" i="27"/>
  <c r="GR119" i="27"/>
  <c r="GS119" i="27"/>
  <c r="GT119" i="27"/>
  <c r="GU119" i="27"/>
  <c r="GV119" i="27"/>
  <c r="GW119" i="27"/>
  <c r="GX119" i="27"/>
  <c r="GY119" i="27"/>
  <c r="GZ119" i="27"/>
  <c r="HA119" i="27"/>
  <c r="HB119" i="27"/>
  <c r="HC119" i="27"/>
  <c r="HD119" i="27"/>
  <c r="HE119" i="27"/>
  <c r="HF119" i="27"/>
  <c r="HG119" i="27"/>
  <c r="HH119" i="27"/>
  <c r="HI119" i="27"/>
  <c r="HJ119" i="27"/>
  <c r="HK119" i="27"/>
  <c r="HL119" i="27"/>
  <c r="HM119" i="27"/>
  <c r="HN119" i="27"/>
  <c r="HO119" i="27"/>
  <c r="HP119" i="27"/>
  <c r="HQ119" i="27"/>
  <c r="HR119" i="27"/>
  <c r="HS119" i="27"/>
  <c r="HT119" i="27"/>
  <c r="HU119" i="27"/>
  <c r="HV119" i="27"/>
  <c r="HW119" i="27"/>
  <c r="HX119" i="27"/>
  <c r="HY119" i="27"/>
  <c r="HZ119" i="27"/>
  <c r="IA119" i="27"/>
  <c r="IB119" i="27"/>
  <c r="IC119" i="27"/>
  <c r="ID119" i="27"/>
  <c r="IE119" i="27"/>
  <c r="IF119" i="27"/>
  <c r="IG119" i="27"/>
  <c r="IH119" i="27"/>
  <c r="II119" i="27"/>
  <c r="IJ119" i="27"/>
  <c r="IK119" i="27"/>
  <c r="IL119" i="27"/>
  <c r="IM119" i="27"/>
  <c r="IN119" i="27"/>
  <c r="IO119" i="27"/>
  <c r="IP119" i="27"/>
  <c r="IQ119" i="27"/>
  <c r="IR119" i="27"/>
  <c r="IS119" i="27"/>
  <c r="IT119" i="27"/>
  <c r="IU119" i="27"/>
  <c r="IV119" i="27"/>
  <c r="A118" i="27"/>
  <c r="B118" i="27"/>
  <c r="C118" i="27"/>
  <c r="D118" i="27"/>
  <c r="E118" i="27"/>
  <c r="F118" i="27"/>
  <c r="G118" i="27"/>
  <c r="H118" i="27"/>
  <c r="I118" i="27"/>
  <c r="J118" i="27"/>
  <c r="K118" i="27"/>
  <c r="L118" i="27"/>
  <c r="M118" i="27"/>
  <c r="N118" i="27"/>
  <c r="O118" i="27"/>
  <c r="P118" i="27"/>
  <c r="Q118" i="27"/>
  <c r="R118" i="27"/>
  <c r="S118" i="27"/>
  <c r="T118" i="27"/>
  <c r="U118" i="27"/>
  <c r="V118" i="27"/>
  <c r="W118" i="27"/>
  <c r="X118" i="27"/>
  <c r="Y118" i="27"/>
  <c r="Z118" i="27"/>
  <c r="AA118" i="27"/>
  <c r="AB118" i="27"/>
  <c r="AC118" i="27"/>
  <c r="AD118" i="27"/>
  <c r="AE118" i="27"/>
  <c r="AF118" i="27"/>
  <c r="AG118" i="27"/>
  <c r="AH118" i="27"/>
  <c r="AI118" i="27"/>
  <c r="AJ118" i="27"/>
  <c r="AK118" i="27"/>
  <c r="AL118" i="27"/>
  <c r="AM118" i="27"/>
  <c r="AN118" i="27"/>
  <c r="AO118" i="27"/>
  <c r="AP118" i="27"/>
  <c r="AQ118" i="27"/>
  <c r="AR118" i="27"/>
  <c r="AS118" i="27"/>
  <c r="AT118" i="27"/>
  <c r="AU118" i="27"/>
  <c r="AV118" i="27"/>
  <c r="AW118" i="27"/>
  <c r="AX118" i="27"/>
  <c r="AY118" i="27"/>
  <c r="AZ118" i="27"/>
  <c r="BA118" i="27"/>
  <c r="BB118" i="27"/>
  <c r="BC118" i="27"/>
  <c r="BD118" i="27"/>
  <c r="BE118" i="27"/>
  <c r="BF118" i="27"/>
  <c r="BG118" i="27"/>
  <c r="BH118" i="27"/>
  <c r="BI118" i="27"/>
  <c r="BJ118" i="27"/>
  <c r="BK118" i="27"/>
  <c r="BL118" i="27"/>
  <c r="BM118" i="27"/>
  <c r="BN118" i="27"/>
  <c r="BO118" i="27"/>
  <c r="BP118" i="27"/>
  <c r="BQ118" i="27"/>
  <c r="BR118" i="27"/>
  <c r="BS118" i="27"/>
  <c r="BT118" i="27"/>
  <c r="BU118" i="27"/>
  <c r="BV118" i="27"/>
  <c r="BW118" i="27"/>
  <c r="BX118" i="27"/>
  <c r="BY118" i="27"/>
  <c r="BZ118" i="27"/>
  <c r="CA118" i="27"/>
  <c r="CB118" i="27"/>
  <c r="CC118" i="27"/>
  <c r="CD118" i="27"/>
  <c r="CE118" i="27"/>
  <c r="CF118" i="27"/>
  <c r="CG118" i="27"/>
  <c r="CH118" i="27"/>
  <c r="CI118" i="27"/>
  <c r="CJ118" i="27"/>
  <c r="CK118" i="27"/>
  <c r="CL118" i="27"/>
  <c r="CM118" i="27"/>
  <c r="CN118" i="27"/>
  <c r="CO118" i="27"/>
  <c r="CP118" i="27"/>
  <c r="CQ118" i="27"/>
  <c r="CR118" i="27"/>
  <c r="CS118" i="27"/>
  <c r="CT118" i="27"/>
  <c r="CU118" i="27"/>
  <c r="CV118" i="27"/>
  <c r="CW118" i="27"/>
  <c r="CX118" i="27"/>
  <c r="CY118" i="27"/>
  <c r="CZ118" i="27"/>
  <c r="DA118" i="27"/>
  <c r="DB118" i="27"/>
  <c r="DC118" i="27"/>
  <c r="DD118" i="27"/>
  <c r="DE118" i="27"/>
  <c r="DF118" i="27"/>
  <c r="DG118" i="27"/>
  <c r="DH118" i="27"/>
  <c r="DI118" i="27"/>
  <c r="DJ118" i="27"/>
  <c r="DK118" i="27"/>
  <c r="DL118" i="27"/>
  <c r="DM118" i="27"/>
  <c r="DN118" i="27"/>
  <c r="DO118" i="27"/>
  <c r="DP118" i="27"/>
  <c r="DQ118" i="27"/>
  <c r="DR118" i="27"/>
  <c r="DS118" i="27"/>
  <c r="DT118" i="27"/>
  <c r="DU118" i="27"/>
  <c r="DV118" i="27"/>
  <c r="DW118" i="27"/>
  <c r="DX118" i="27"/>
  <c r="DY118" i="27"/>
  <c r="DZ118" i="27"/>
  <c r="EA118" i="27"/>
  <c r="EB118" i="27"/>
  <c r="EC118" i="27"/>
  <c r="ED118" i="27"/>
  <c r="EE118" i="27"/>
  <c r="EF118" i="27"/>
  <c r="EG118" i="27"/>
  <c r="EH118" i="27"/>
  <c r="EI118" i="27"/>
  <c r="EJ118" i="27"/>
  <c r="EK118" i="27"/>
  <c r="EL118" i="27"/>
  <c r="EM118" i="27"/>
  <c r="EN118" i="27"/>
  <c r="EO118" i="27"/>
  <c r="EP118" i="27"/>
  <c r="EQ118" i="27"/>
  <c r="ER118" i="27"/>
  <c r="ES118" i="27"/>
  <c r="ET118" i="27"/>
  <c r="EU118" i="27"/>
  <c r="EV118" i="27"/>
  <c r="EW118" i="27"/>
  <c r="EX118" i="27"/>
  <c r="EY118" i="27"/>
  <c r="EZ118" i="27"/>
  <c r="FA118" i="27"/>
  <c r="FB118" i="27"/>
  <c r="FC118" i="27"/>
  <c r="FD118" i="27"/>
  <c r="FE118" i="27"/>
  <c r="FF118" i="27"/>
  <c r="FG118" i="27"/>
  <c r="FH118" i="27"/>
  <c r="FI118" i="27"/>
  <c r="FJ118" i="27"/>
  <c r="FK118" i="27"/>
  <c r="FL118" i="27"/>
  <c r="FM118" i="27"/>
  <c r="FN118" i="27"/>
  <c r="FO118" i="27"/>
  <c r="FP118" i="27"/>
  <c r="FQ118" i="27"/>
  <c r="FR118" i="27"/>
  <c r="FS118" i="27"/>
  <c r="FT118" i="27"/>
  <c r="FU118" i="27"/>
  <c r="FV118" i="27"/>
  <c r="FW118" i="27"/>
  <c r="FX118" i="27"/>
  <c r="FY118" i="27"/>
  <c r="FZ118" i="27"/>
  <c r="GA118" i="27"/>
  <c r="GB118" i="27"/>
  <c r="GC118" i="27"/>
  <c r="GD118" i="27"/>
  <c r="GE118" i="27"/>
  <c r="GF118" i="27"/>
  <c r="GG118" i="27"/>
  <c r="GH118" i="27"/>
  <c r="GI118" i="27"/>
  <c r="GJ118" i="27"/>
  <c r="GK118" i="27"/>
  <c r="GL118" i="27"/>
  <c r="GM118" i="27"/>
  <c r="GN118" i="27"/>
  <c r="GO118" i="27"/>
  <c r="GP118" i="27"/>
  <c r="GQ118" i="27"/>
  <c r="GR118" i="27"/>
  <c r="GS118" i="27"/>
  <c r="GT118" i="27"/>
  <c r="GU118" i="27"/>
  <c r="GV118" i="27"/>
  <c r="GW118" i="27"/>
  <c r="GX118" i="27"/>
  <c r="GY118" i="27"/>
  <c r="GZ118" i="27"/>
  <c r="HA118" i="27"/>
  <c r="HB118" i="27"/>
  <c r="HC118" i="27"/>
  <c r="HD118" i="27"/>
  <c r="HE118" i="27"/>
  <c r="HF118" i="27"/>
  <c r="HG118" i="27"/>
  <c r="HH118" i="27"/>
  <c r="HI118" i="27"/>
  <c r="HJ118" i="27"/>
  <c r="HK118" i="27"/>
  <c r="HL118" i="27"/>
  <c r="HM118" i="27"/>
  <c r="HN118" i="27"/>
  <c r="HO118" i="27"/>
  <c r="HP118" i="27"/>
  <c r="HQ118" i="27"/>
  <c r="HR118" i="27"/>
  <c r="HS118" i="27"/>
  <c r="HT118" i="27"/>
  <c r="HU118" i="27"/>
  <c r="HV118" i="27"/>
  <c r="HW118" i="27"/>
  <c r="HX118" i="27"/>
  <c r="HY118" i="27"/>
  <c r="HZ118" i="27"/>
  <c r="IA118" i="27"/>
  <c r="IB118" i="27"/>
  <c r="IC118" i="27"/>
  <c r="ID118" i="27"/>
  <c r="IE118" i="27"/>
  <c r="IF118" i="27"/>
  <c r="IG118" i="27"/>
  <c r="IH118" i="27"/>
  <c r="II118" i="27"/>
  <c r="IJ118" i="27"/>
  <c r="IK118" i="27"/>
  <c r="IL118" i="27"/>
  <c r="IM118" i="27"/>
  <c r="IN118" i="27"/>
  <c r="IO118" i="27"/>
  <c r="IP118" i="27"/>
  <c r="IQ118" i="27"/>
  <c r="IR118" i="27"/>
  <c r="IS118" i="27"/>
  <c r="IT118" i="27"/>
  <c r="IU118" i="27"/>
  <c r="IV118" i="27"/>
  <c r="A117" i="27"/>
  <c r="B117" i="27"/>
  <c r="C117" i="27"/>
  <c r="D117" i="27"/>
  <c r="E117" i="27"/>
  <c r="F117" i="27"/>
  <c r="G117" i="27"/>
  <c r="H117" i="27"/>
  <c r="I117" i="27"/>
  <c r="J117" i="27"/>
  <c r="K117" i="27"/>
  <c r="L117" i="27"/>
  <c r="M117" i="27"/>
  <c r="N117" i="27"/>
  <c r="O117" i="27"/>
  <c r="P117" i="27"/>
  <c r="Q117" i="27"/>
  <c r="R117" i="27"/>
  <c r="S117" i="27"/>
  <c r="T117" i="27"/>
  <c r="U117" i="27"/>
  <c r="V117" i="27"/>
  <c r="W117" i="27"/>
  <c r="X117" i="27"/>
  <c r="Y117" i="27"/>
  <c r="Z117" i="27"/>
  <c r="AA117" i="27"/>
  <c r="AB117" i="27"/>
  <c r="AC117" i="27"/>
  <c r="AD117" i="27"/>
  <c r="AE117" i="27"/>
  <c r="AF117" i="27"/>
  <c r="AG117" i="27"/>
  <c r="AH117" i="27"/>
  <c r="AI117" i="27"/>
  <c r="AJ117" i="27"/>
  <c r="AK117" i="27"/>
  <c r="AL117" i="27"/>
  <c r="AM117" i="27"/>
  <c r="AN117" i="27"/>
  <c r="AO117" i="27"/>
  <c r="AP117" i="27"/>
  <c r="AQ117" i="27"/>
  <c r="AR117" i="27"/>
  <c r="AS117" i="27"/>
  <c r="AT117" i="27"/>
  <c r="AU117" i="27"/>
  <c r="AV117" i="27"/>
  <c r="AW117" i="27"/>
  <c r="AX117" i="27"/>
  <c r="AY117" i="27"/>
  <c r="AZ117" i="27"/>
  <c r="BA117" i="27"/>
  <c r="BB117" i="27"/>
  <c r="BC117" i="27"/>
  <c r="BD117" i="27"/>
  <c r="BE117" i="27"/>
  <c r="BF117" i="27"/>
  <c r="BG117" i="27"/>
  <c r="BH117" i="27"/>
  <c r="BI117" i="27"/>
  <c r="BJ117" i="27"/>
  <c r="BK117" i="27"/>
  <c r="BL117" i="27"/>
  <c r="BM117" i="27"/>
  <c r="BN117" i="27"/>
  <c r="BO117" i="27"/>
  <c r="BP117" i="27"/>
  <c r="BQ117" i="27"/>
  <c r="BR117" i="27"/>
  <c r="BS117" i="27"/>
  <c r="BT117" i="27"/>
  <c r="BU117" i="27"/>
  <c r="BV117" i="27"/>
  <c r="BW117" i="27"/>
  <c r="BX117" i="27"/>
  <c r="BY117" i="27"/>
  <c r="BZ117" i="27"/>
  <c r="CA117" i="27"/>
  <c r="CB117" i="27"/>
  <c r="CC117" i="27"/>
  <c r="CD117" i="27"/>
  <c r="CE117" i="27"/>
  <c r="CF117" i="27"/>
  <c r="CG117" i="27"/>
  <c r="CH117" i="27"/>
  <c r="CI117" i="27"/>
  <c r="CJ117" i="27"/>
  <c r="CK117" i="27"/>
  <c r="CL117" i="27"/>
  <c r="CM117" i="27"/>
  <c r="CN117" i="27"/>
  <c r="CO117" i="27"/>
  <c r="CP117" i="27"/>
  <c r="CQ117" i="27"/>
  <c r="CR117" i="27"/>
  <c r="CS117" i="27"/>
  <c r="CT117" i="27"/>
  <c r="CU117" i="27"/>
  <c r="CV117" i="27"/>
  <c r="CW117" i="27"/>
  <c r="CX117" i="27"/>
  <c r="CY117" i="27"/>
  <c r="CZ117" i="27"/>
  <c r="DA117" i="27"/>
  <c r="DB117" i="27"/>
  <c r="DC117" i="27"/>
  <c r="DD117" i="27"/>
  <c r="DE117" i="27"/>
  <c r="DF117" i="27"/>
  <c r="DG117" i="27"/>
  <c r="DH117" i="27"/>
  <c r="DI117" i="27"/>
  <c r="DJ117" i="27"/>
  <c r="DK117" i="27"/>
  <c r="DL117" i="27"/>
  <c r="DM117" i="27"/>
  <c r="DN117" i="27"/>
  <c r="DO117" i="27"/>
  <c r="DP117" i="27"/>
  <c r="DQ117" i="27"/>
  <c r="DR117" i="27"/>
  <c r="DS117" i="27"/>
  <c r="DT117" i="27"/>
  <c r="DU117" i="27"/>
  <c r="DV117" i="27"/>
  <c r="DW117" i="27"/>
  <c r="DX117" i="27"/>
  <c r="DY117" i="27"/>
  <c r="DZ117" i="27"/>
  <c r="EA117" i="27"/>
  <c r="EB117" i="27"/>
  <c r="EC117" i="27"/>
  <c r="ED117" i="27"/>
  <c r="EE117" i="27"/>
  <c r="EF117" i="27"/>
  <c r="EG117" i="27"/>
  <c r="EH117" i="27"/>
  <c r="EI117" i="27"/>
  <c r="EJ117" i="27"/>
  <c r="EK117" i="27"/>
  <c r="EL117" i="27"/>
  <c r="EM117" i="27"/>
  <c r="EN117" i="27"/>
  <c r="EO117" i="27"/>
  <c r="EP117" i="27"/>
  <c r="EQ117" i="27"/>
  <c r="ER117" i="27"/>
  <c r="ES117" i="27"/>
  <c r="ET117" i="27"/>
  <c r="EU117" i="27"/>
  <c r="EV117" i="27"/>
  <c r="EW117" i="27"/>
  <c r="EX117" i="27"/>
  <c r="EY117" i="27"/>
  <c r="EZ117" i="27"/>
  <c r="FA117" i="27"/>
  <c r="FB117" i="27"/>
  <c r="FC117" i="27"/>
  <c r="FD117" i="27"/>
  <c r="FE117" i="27"/>
  <c r="FF117" i="27"/>
  <c r="FG117" i="27"/>
  <c r="FH117" i="27"/>
  <c r="FI117" i="27"/>
  <c r="FJ117" i="27"/>
  <c r="FK117" i="27"/>
  <c r="FL117" i="27"/>
  <c r="FM117" i="27"/>
  <c r="FN117" i="27"/>
  <c r="FO117" i="27"/>
  <c r="FP117" i="27"/>
  <c r="FQ117" i="27"/>
  <c r="FR117" i="27"/>
  <c r="FS117" i="27"/>
  <c r="FT117" i="27"/>
  <c r="FU117" i="27"/>
  <c r="FV117" i="27"/>
  <c r="FW117" i="27"/>
  <c r="FX117" i="27"/>
  <c r="FY117" i="27"/>
  <c r="FZ117" i="27"/>
  <c r="GA117" i="27"/>
  <c r="GB117" i="27"/>
  <c r="GC117" i="27"/>
  <c r="GD117" i="27"/>
  <c r="GE117" i="27"/>
  <c r="GF117" i="27"/>
  <c r="GG117" i="27"/>
  <c r="GH117" i="27"/>
  <c r="GI117" i="27"/>
  <c r="GJ117" i="27"/>
  <c r="GK117" i="27"/>
  <c r="GL117" i="27"/>
  <c r="GM117" i="27"/>
  <c r="GN117" i="27"/>
  <c r="GO117" i="27"/>
  <c r="GP117" i="27"/>
  <c r="GQ117" i="27"/>
  <c r="GR117" i="27"/>
  <c r="GS117" i="27"/>
  <c r="GT117" i="27"/>
  <c r="GU117" i="27"/>
  <c r="GV117" i="27"/>
  <c r="GW117" i="27"/>
  <c r="GX117" i="27"/>
  <c r="GY117" i="27"/>
  <c r="GZ117" i="27"/>
  <c r="HA117" i="27"/>
  <c r="HB117" i="27"/>
  <c r="HC117" i="27"/>
  <c r="HD117" i="27"/>
  <c r="HE117" i="27"/>
  <c r="HF117" i="27"/>
  <c r="HG117" i="27"/>
  <c r="HH117" i="27"/>
  <c r="HI117" i="27"/>
  <c r="HJ117" i="27"/>
  <c r="HK117" i="27"/>
  <c r="HL117" i="27"/>
  <c r="HM117" i="27"/>
  <c r="HN117" i="27"/>
  <c r="HO117" i="27"/>
  <c r="HP117" i="27"/>
  <c r="HQ117" i="27"/>
  <c r="HR117" i="27"/>
  <c r="HS117" i="27"/>
  <c r="HT117" i="27"/>
  <c r="HU117" i="27"/>
  <c r="HV117" i="27"/>
  <c r="HW117" i="27"/>
  <c r="HX117" i="27"/>
  <c r="HY117" i="27"/>
  <c r="HZ117" i="27"/>
  <c r="IA117" i="27"/>
  <c r="IB117" i="27"/>
  <c r="IC117" i="27"/>
  <c r="ID117" i="27"/>
  <c r="IE117" i="27"/>
  <c r="IF117" i="27"/>
  <c r="IG117" i="27"/>
  <c r="IH117" i="27"/>
  <c r="II117" i="27"/>
  <c r="IJ117" i="27"/>
  <c r="IK117" i="27"/>
  <c r="IL117" i="27"/>
  <c r="IM117" i="27"/>
  <c r="IN117" i="27"/>
  <c r="IO117" i="27"/>
  <c r="IP117" i="27"/>
  <c r="IQ117" i="27"/>
  <c r="IR117" i="27"/>
  <c r="IS117" i="27"/>
  <c r="IT117" i="27"/>
  <c r="IU117" i="27"/>
  <c r="IV117" i="27"/>
  <c r="A116" i="27"/>
  <c r="B116" i="27"/>
  <c r="C116" i="27"/>
  <c r="D116" i="27"/>
  <c r="E116" i="27"/>
  <c r="F116" i="27"/>
  <c r="G116" i="27"/>
  <c r="H116" i="27"/>
  <c r="I116" i="27"/>
  <c r="J116" i="27"/>
  <c r="K116" i="27"/>
  <c r="L116" i="27"/>
  <c r="M116" i="27"/>
  <c r="N116" i="27"/>
  <c r="O116" i="27"/>
  <c r="P116" i="27"/>
  <c r="Q116" i="27"/>
  <c r="R116" i="27"/>
  <c r="S116" i="27"/>
  <c r="T116" i="27"/>
  <c r="U116" i="27"/>
  <c r="V116" i="27"/>
  <c r="W116" i="27"/>
  <c r="X116" i="27"/>
  <c r="Y116" i="27"/>
  <c r="Z116" i="27"/>
  <c r="AA116" i="27"/>
  <c r="AB116" i="27"/>
  <c r="AC116" i="27"/>
  <c r="AD116" i="27"/>
  <c r="AE116" i="27"/>
  <c r="AF116" i="27"/>
  <c r="AG116" i="27"/>
  <c r="AH116" i="27"/>
  <c r="AI116" i="27"/>
  <c r="AJ116" i="27"/>
  <c r="AK116" i="27"/>
  <c r="AL116" i="27"/>
  <c r="AM116" i="27"/>
  <c r="AN116" i="27"/>
  <c r="AO116" i="27"/>
  <c r="AP116" i="27"/>
  <c r="AQ116" i="27"/>
  <c r="AR116" i="27"/>
  <c r="AS116" i="27"/>
  <c r="AT116" i="27"/>
  <c r="AU116" i="27"/>
  <c r="AV116" i="27"/>
  <c r="AW116" i="27"/>
  <c r="AX116" i="27"/>
  <c r="AY116" i="27"/>
  <c r="AZ116" i="27"/>
  <c r="BA116" i="27"/>
  <c r="BB116" i="27"/>
  <c r="BC116" i="27"/>
  <c r="BD116" i="27"/>
  <c r="BE116" i="27"/>
  <c r="BF116" i="27"/>
  <c r="BG116" i="27"/>
  <c r="BH116" i="27"/>
  <c r="BI116" i="27"/>
  <c r="BJ116" i="27"/>
  <c r="BK116" i="27"/>
  <c r="BL116" i="27"/>
  <c r="BM116" i="27"/>
  <c r="BN116" i="27"/>
  <c r="BO116" i="27"/>
  <c r="BP116" i="27"/>
  <c r="BQ116" i="27"/>
  <c r="BR116" i="27"/>
  <c r="BS116" i="27"/>
  <c r="BT116" i="27"/>
  <c r="BU116" i="27"/>
  <c r="BV116" i="27"/>
  <c r="BW116" i="27"/>
  <c r="BX116" i="27"/>
  <c r="BY116" i="27"/>
  <c r="BZ116" i="27"/>
  <c r="CA116" i="27"/>
  <c r="CB116" i="27"/>
  <c r="CC116" i="27"/>
  <c r="CD116" i="27"/>
  <c r="CE116" i="27"/>
  <c r="CF116" i="27"/>
  <c r="CG116" i="27"/>
  <c r="CH116" i="27"/>
  <c r="CI116" i="27"/>
  <c r="CJ116" i="27"/>
  <c r="CK116" i="27"/>
  <c r="CL116" i="27"/>
  <c r="CM116" i="27"/>
  <c r="CN116" i="27"/>
  <c r="CO116" i="27"/>
  <c r="CP116" i="27"/>
  <c r="CQ116" i="27"/>
  <c r="CR116" i="27"/>
  <c r="CS116" i="27"/>
  <c r="CT116" i="27"/>
  <c r="CU116" i="27"/>
  <c r="CV116" i="27"/>
  <c r="CW116" i="27"/>
  <c r="CX116" i="27"/>
  <c r="CY116" i="27"/>
  <c r="CZ116" i="27"/>
  <c r="DA116" i="27"/>
  <c r="DB116" i="27"/>
  <c r="DC116" i="27"/>
  <c r="DD116" i="27"/>
  <c r="DE116" i="27"/>
  <c r="DF116" i="27"/>
  <c r="DG116" i="27"/>
  <c r="DH116" i="27"/>
  <c r="DI116" i="27"/>
  <c r="DJ116" i="27"/>
  <c r="DK116" i="27"/>
  <c r="DL116" i="27"/>
  <c r="DM116" i="27"/>
  <c r="DN116" i="27"/>
  <c r="DO116" i="27"/>
  <c r="DP116" i="27"/>
  <c r="DQ116" i="27"/>
  <c r="DR116" i="27"/>
  <c r="DS116" i="27"/>
  <c r="DT116" i="27"/>
  <c r="DU116" i="27"/>
  <c r="DV116" i="27"/>
  <c r="DW116" i="27"/>
  <c r="DX116" i="27"/>
  <c r="DY116" i="27"/>
  <c r="DZ116" i="27"/>
  <c r="EA116" i="27"/>
  <c r="EB116" i="27"/>
  <c r="EC116" i="27"/>
  <c r="ED116" i="27"/>
  <c r="EE116" i="27"/>
  <c r="EF116" i="27"/>
  <c r="EG116" i="27"/>
  <c r="EH116" i="27"/>
  <c r="EI116" i="27"/>
  <c r="EJ116" i="27"/>
  <c r="EK116" i="27"/>
  <c r="EL116" i="27"/>
  <c r="EM116" i="27"/>
  <c r="EN116" i="27"/>
  <c r="EO116" i="27"/>
  <c r="EP116" i="27"/>
  <c r="EQ116" i="27"/>
  <c r="ER116" i="27"/>
  <c r="ES116" i="27"/>
  <c r="ET116" i="27"/>
  <c r="EU116" i="27"/>
  <c r="EV116" i="27"/>
  <c r="EW116" i="27"/>
  <c r="EX116" i="27"/>
  <c r="EY116" i="27"/>
  <c r="EZ116" i="27"/>
  <c r="FA116" i="27"/>
  <c r="FB116" i="27"/>
  <c r="FC116" i="27"/>
  <c r="FD116" i="27"/>
  <c r="FE116" i="27"/>
  <c r="FF116" i="27"/>
  <c r="FG116" i="27"/>
  <c r="FH116" i="27"/>
  <c r="FI116" i="27"/>
  <c r="FJ116" i="27"/>
  <c r="FK116" i="27"/>
  <c r="FL116" i="27"/>
  <c r="FM116" i="27"/>
  <c r="FN116" i="27"/>
  <c r="FO116" i="27"/>
  <c r="FP116" i="27"/>
  <c r="FQ116" i="27"/>
  <c r="FR116" i="27"/>
  <c r="FS116" i="27"/>
  <c r="FT116" i="27"/>
  <c r="FU116" i="27"/>
  <c r="FV116" i="27"/>
  <c r="FW116" i="27"/>
  <c r="FX116" i="27"/>
  <c r="FY116" i="27"/>
  <c r="FZ116" i="27"/>
  <c r="GA116" i="27"/>
  <c r="GB116" i="27"/>
  <c r="GC116" i="27"/>
  <c r="GD116" i="27"/>
  <c r="GE116" i="27"/>
  <c r="GF116" i="27"/>
  <c r="GG116" i="27"/>
  <c r="GH116" i="27"/>
  <c r="GI116" i="27"/>
  <c r="GJ116" i="27"/>
  <c r="GK116" i="27"/>
  <c r="GL116" i="27"/>
  <c r="GM116" i="27"/>
  <c r="GN116" i="27"/>
  <c r="GO116" i="27"/>
  <c r="GP116" i="27"/>
  <c r="GQ116" i="27"/>
  <c r="GR116" i="27"/>
  <c r="GS116" i="27"/>
  <c r="GT116" i="27"/>
  <c r="GU116" i="27"/>
  <c r="GV116" i="27"/>
  <c r="GW116" i="27"/>
  <c r="GX116" i="27"/>
  <c r="GY116" i="27"/>
  <c r="GZ116" i="27"/>
  <c r="HA116" i="27"/>
  <c r="HB116" i="27"/>
  <c r="HC116" i="27"/>
  <c r="HD116" i="27"/>
  <c r="HE116" i="27"/>
  <c r="HF116" i="27"/>
  <c r="HG116" i="27"/>
  <c r="HH116" i="27"/>
  <c r="HI116" i="27"/>
  <c r="HJ116" i="27"/>
  <c r="HK116" i="27"/>
  <c r="HL116" i="27"/>
  <c r="HM116" i="27"/>
  <c r="HN116" i="27"/>
  <c r="HO116" i="27"/>
  <c r="HP116" i="27"/>
  <c r="HQ116" i="27"/>
  <c r="HR116" i="27"/>
  <c r="HS116" i="27"/>
  <c r="HT116" i="27"/>
  <c r="HU116" i="27"/>
  <c r="HV116" i="27"/>
  <c r="HW116" i="27"/>
  <c r="HX116" i="27"/>
  <c r="HY116" i="27"/>
  <c r="HZ116" i="27"/>
  <c r="IA116" i="27"/>
  <c r="IB116" i="27"/>
  <c r="IC116" i="27"/>
  <c r="ID116" i="27"/>
  <c r="IE116" i="27"/>
  <c r="IF116" i="27"/>
  <c r="IG116" i="27"/>
  <c r="IH116" i="27"/>
  <c r="II116" i="27"/>
  <c r="IJ116" i="27"/>
  <c r="IK116" i="27"/>
  <c r="IL116" i="27"/>
  <c r="IM116" i="27"/>
  <c r="IN116" i="27"/>
  <c r="IO116" i="27"/>
  <c r="IP116" i="27"/>
  <c r="IQ116" i="27"/>
  <c r="IR116" i="27"/>
  <c r="IS116" i="27"/>
  <c r="IT116" i="27"/>
  <c r="IU116" i="27"/>
  <c r="IV116" i="27"/>
  <c r="A115" i="27"/>
  <c r="B115" i="27"/>
  <c r="C115" i="27"/>
  <c r="D115" i="27"/>
  <c r="E115" i="27"/>
  <c r="F115" i="27"/>
  <c r="G115" i="27"/>
  <c r="H115" i="27"/>
  <c r="I115" i="27"/>
  <c r="J115" i="27"/>
  <c r="K115" i="27"/>
  <c r="L115" i="27"/>
  <c r="M115" i="27"/>
  <c r="N115" i="27"/>
  <c r="O115" i="27"/>
  <c r="P115" i="27"/>
  <c r="Q115" i="27"/>
  <c r="R115" i="27"/>
  <c r="S115" i="27"/>
  <c r="T115" i="27"/>
  <c r="U115" i="27"/>
  <c r="V115" i="27"/>
  <c r="W115" i="27"/>
  <c r="X115" i="27"/>
  <c r="Y115" i="27"/>
  <c r="Z115" i="27"/>
  <c r="AA115" i="27"/>
  <c r="AB115" i="27"/>
  <c r="AC115" i="27"/>
  <c r="AD115" i="27"/>
  <c r="AE115" i="27"/>
  <c r="AF115" i="27"/>
  <c r="AG115" i="27"/>
  <c r="AH115" i="27"/>
  <c r="AI115" i="27"/>
  <c r="AJ115" i="27"/>
  <c r="AK115" i="27"/>
  <c r="AL115" i="27"/>
  <c r="AM115" i="27"/>
  <c r="AN115" i="27"/>
  <c r="AO115" i="27"/>
  <c r="AP115" i="27"/>
  <c r="AQ115" i="27"/>
  <c r="AR115" i="27"/>
  <c r="AS115" i="27"/>
  <c r="AT115" i="27"/>
  <c r="AU115" i="27"/>
  <c r="AV115" i="27"/>
  <c r="AW115" i="27"/>
  <c r="AX115" i="27"/>
  <c r="AY115" i="27"/>
  <c r="AZ115" i="27"/>
  <c r="BA115" i="27"/>
  <c r="BB115" i="27"/>
  <c r="BC115" i="27"/>
  <c r="BD115" i="27"/>
  <c r="BE115" i="27"/>
  <c r="BF115" i="27"/>
  <c r="BG115" i="27"/>
  <c r="BH115" i="27"/>
  <c r="BI115" i="27"/>
  <c r="BJ115" i="27"/>
  <c r="BK115" i="27"/>
  <c r="BL115" i="27"/>
  <c r="BM115" i="27"/>
  <c r="BN115" i="27"/>
  <c r="BO115" i="27"/>
  <c r="BP115" i="27"/>
  <c r="BQ115" i="27"/>
  <c r="BR115" i="27"/>
  <c r="BS115" i="27"/>
  <c r="BT115" i="27"/>
  <c r="BU115" i="27"/>
  <c r="BV115" i="27"/>
  <c r="BW115" i="27"/>
  <c r="BX115" i="27"/>
  <c r="BY115" i="27"/>
  <c r="BZ115" i="27"/>
  <c r="CA115" i="27"/>
  <c r="CB115" i="27"/>
  <c r="CC115" i="27"/>
  <c r="CD115" i="27"/>
  <c r="CE115" i="27"/>
  <c r="CF115" i="27"/>
  <c r="CG115" i="27"/>
  <c r="CH115" i="27"/>
  <c r="CI115" i="27"/>
  <c r="CJ115" i="27"/>
  <c r="CK115" i="27"/>
  <c r="CL115" i="27"/>
  <c r="CM115" i="27"/>
  <c r="CN115" i="27"/>
  <c r="CO115" i="27"/>
  <c r="CP115" i="27"/>
  <c r="CQ115" i="27"/>
  <c r="CR115" i="27"/>
  <c r="CS115" i="27"/>
  <c r="CT115" i="27"/>
  <c r="CU115" i="27"/>
  <c r="CV115" i="27"/>
  <c r="CW115" i="27"/>
  <c r="CX115" i="27"/>
  <c r="CY115" i="27"/>
  <c r="CZ115" i="27"/>
  <c r="DA115" i="27"/>
  <c r="DB115" i="27"/>
  <c r="DC115" i="27"/>
  <c r="DD115" i="27"/>
  <c r="DE115" i="27"/>
  <c r="DF115" i="27"/>
  <c r="DG115" i="27"/>
  <c r="DH115" i="27"/>
  <c r="DI115" i="27"/>
  <c r="DJ115" i="27"/>
  <c r="DK115" i="27"/>
  <c r="DL115" i="27"/>
  <c r="DM115" i="27"/>
  <c r="DN115" i="27"/>
  <c r="DO115" i="27"/>
  <c r="DP115" i="27"/>
  <c r="DQ115" i="27"/>
  <c r="DR115" i="27"/>
  <c r="DS115" i="27"/>
  <c r="DT115" i="27"/>
  <c r="DU115" i="27"/>
  <c r="DV115" i="27"/>
  <c r="DW115" i="27"/>
  <c r="DX115" i="27"/>
  <c r="DY115" i="27"/>
  <c r="DZ115" i="27"/>
  <c r="EA115" i="27"/>
  <c r="EB115" i="27"/>
  <c r="EC115" i="27"/>
  <c r="ED115" i="27"/>
  <c r="EE115" i="27"/>
  <c r="EF115" i="27"/>
  <c r="EG115" i="27"/>
  <c r="EH115" i="27"/>
  <c r="EI115" i="27"/>
  <c r="EJ115" i="27"/>
  <c r="EK115" i="27"/>
  <c r="EL115" i="27"/>
  <c r="EM115" i="27"/>
  <c r="EN115" i="27"/>
  <c r="EO115" i="27"/>
  <c r="EP115" i="27"/>
  <c r="EQ115" i="27"/>
  <c r="ER115" i="27"/>
  <c r="ES115" i="27"/>
  <c r="ET115" i="27"/>
  <c r="EU115" i="27"/>
  <c r="EV115" i="27"/>
  <c r="EW115" i="27"/>
  <c r="EX115" i="27"/>
  <c r="EY115" i="27"/>
  <c r="EZ115" i="27"/>
  <c r="FA115" i="27"/>
  <c r="FB115" i="27"/>
  <c r="FC115" i="27"/>
  <c r="FD115" i="27"/>
  <c r="FE115" i="27"/>
  <c r="FF115" i="27"/>
  <c r="FG115" i="27"/>
  <c r="FH115" i="27"/>
  <c r="FI115" i="27"/>
  <c r="FJ115" i="27"/>
  <c r="FK115" i="27"/>
  <c r="FL115" i="27"/>
  <c r="FM115" i="27"/>
  <c r="FN115" i="27"/>
  <c r="FO115" i="27"/>
  <c r="FP115" i="27"/>
  <c r="FQ115" i="27"/>
  <c r="FR115" i="27"/>
  <c r="FS115" i="27"/>
  <c r="FT115" i="27"/>
  <c r="FU115" i="27"/>
  <c r="FV115" i="27"/>
  <c r="FW115" i="27"/>
  <c r="FX115" i="27"/>
  <c r="FY115" i="27"/>
  <c r="FZ115" i="27"/>
  <c r="GA115" i="27"/>
  <c r="GB115" i="27"/>
  <c r="GC115" i="27"/>
  <c r="GD115" i="27"/>
  <c r="GE115" i="27"/>
  <c r="GF115" i="27"/>
  <c r="GG115" i="27"/>
  <c r="GH115" i="27"/>
  <c r="GI115" i="27"/>
  <c r="GJ115" i="27"/>
  <c r="GK115" i="27"/>
  <c r="GL115" i="27"/>
  <c r="GM115" i="27"/>
  <c r="GN115" i="27"/>
  <c r="GO115" i="27"/>
  <c r="GP115" i="27"/>
  <c r="GQ115" i="27"/>
  <c r="GR115" i="27"/>
  <c r="GS115" i="27"/>
  <c r="GT115" i="27"/>
  <c r="GU115" i="27"/>
  <c r="GV115" i="27"/>
  <c r="GW115" i="27"/>
  <c r="GX115" i="27"/>
  <c r="GY115" i="27"/>
  <c r="GZ115" i="27"/>
  <c r="HA115" i="27"/>
  <c r="HB115" i="27"/>
  <c r="HC115" i="27"/>
  <c r="HD115" i="27"/>
  <c r="HE115" i="27"/>
  <c r="HF115" i="27"/>
  <c r="HG115" i="27"/>
  <c r="HH115" i="27"/>
  <c r="HI115" i="27"/>
  <c r="HJ115" i="27"/>
  <c r="HK115" i="27"/>
  <c r="HL115" i="27"/>
  <c r="HM115" i="27"/>
  <c r="HN115" i="27"/>
  <c r="HO115" i="27"/>
  <c r="HP115" i="27"/>
  <c r="HQ115" i="27"/>
  <c r="HR115" i="27"/>
  <c r="HS115" i="27"/>
  <c r="HT115" i="27"/>
  <c r="HU115" i="27"/>
  <c r="HV115" i="27"/>
  <c r="HW115" i="27"/>
  <c r="HX115" i="27"/>
  <c r="HY115" i="27"/>
  <c r="HZ115" i="27"/>
  <c r="IA115" i="27"/>
  <c r="IB115" i="27"/>
  <c r="IC115" i="27"/>
  <c r="ID115" i="27"/>
  <c r="IE115" i="27"/>
  <c r="IF115" i="27"/>
  <c r="IG115" i="27"/>
  <c r="IH115" i="27"/>
  <c r="II115" i="27"/>
  <c r="IJ115" i="27"/>
  <c r="IK115" i="27"/>
  <c r="IL115" i="27"/>
  <c r="IM115" i="27"/>
  <c r="IN115" i="27"/>
  <c r="IO115" i="27"/>
  <c r="IP115" i="27"/>
  <c r="IQ115" i="27"/>
  <c r="IR115" i="27"/>
  <c r="IS115" i="27"/>
  <c r="IT115" i="27"/>
  <c r="IU115" i="27"/>
  <c r="IV115" i="27"/>
  <c r="A114" i="27"/>
  <c r="B114" i="27"/>
  <c r="C114" i="27"/>
  <c r="D114" i="27"/>
  <c r="E114" i="27"/>
  <c r="F114" i="27"/>
  <c r="G114" i="27"/>
  <c r="H114" i="27"/>
  <c r="I114" i="27"/>
  <c r="J114" i="27"/>
  <c r="K114" i="27"/>
  <c r="L114" i="27"/>
  <c r="M114" i="27"/>
  <c r="N114" i="27"/>
  <c r="O114" i="27"/>
  <c r="P114" i="27"/>
  <c r="Q114" i="27"/>
  <c r="R114" i="27"/>
  <c r="S114" i="27"/>
  <c r="T114" i="27"/>
  <c r="U114" i="27"/>
  <c r="V114" i="27"/>
  <c r="W114" i="27"/>
  <c r="X114" i="27"/>
  <c r="Y114" i="27"/>
  <c r="Z114" i="27"/>
  <c r="AA114" i="27"/>
  <c r="AB114" i="27"/>
  <c r="AC114" i="27"/>
  <c r="AD114" i="27"/>
  <c r="AE114" i="27"/>
  <c r="AF114" i="27"/>
  <c r="AG114" i="27"/>
  <c r="AH114" i="27"/>
  <c r="AI114" i="27"/>
  <c r="AJ114" i="27"/>
  <c r="AK114" i="27"/>
  <c r="AL114" i="27"/>
  <c r="AM114" i="27"/>
  <c r="AN114" i="27"/>
  <c r="AO114" i="27"/>
  <c r="AP114" i="27"/>
  <c r="AQ114" i="27"/>
  <c r="AR114" i="27"/>
  <c r="AS114" i="27"/>
  <c r="AT114" i="27"/>
  <c r="AU114" i="27"/>
  <c r="AV114" i="27"/>
  <c r="AW114" i="27"/>
  <c r="AX114" i="27"/>
  <c r="AY114" i="27"/>
  <c r="AZ114" i="27"/>
  <c r="BA114" i="27"/>
  <c r="BB114" i="27"/>
  <c r="BC114" i="27"/>
  <c r="BD114" i="27"/>
  <c r="BE114" i="27"/>
  <c r="BF114" i="27"/>
  <c r="BG114" i="27"/>
  <c r="BH114" i="27"/>
  <c r="BI114" i="27"/>
  <c r="BJ114" i="27"/>
  <c r="BK114" i="27"/>
  <c r="BL114" i="27"/>
  <c r="BM114" i="27"/>
  <c r="BN114" i="27"/>
  <c r="BO114" i="27"/>
  <c r="BP114" i="27"/>
  <c r="BQ114" i="27"/>
  <c r="BR114" i="27"/>
  <c r="BS114" i="27"/>
  <c r="BT114" i="27"/>
  <c r="BU114" i="27"/>
  <c r="BV114" i="27"/>
  <c r="BW114" i="27"/>
  <c r="BX114" i="27"/>
  <c r="BY114" i="27"/>
  <c r="BZ114" i="27"/>
  <c r="CA114" i="27"/>
  <c r="CB114" i="27"/>
  <c r="CC114" i="27"/>
  <c r="CD114" i="27"/>
  <c r="CE114" i="27"/>
  <c r="CF114" i="27"/>
  <c r="CG114" i="27"/>
  <c r="CH114" i="27"/>
  <c r="CI114" i="27"/>
  <c r="CJ114" i="27"/>
  <c r="CK114" i="27"/>
  <c r="CL114" i="27"/>
  <c r="CM114" i="27"/>
  <c r="CN114" i="27"/>
  <c r="CO114" i="27"/>
  <c r="CP114" i="27"/>
  <c r="CQ114" i="27"/>
  <c r="CR114" i="27"/>
  <c r="CS114" i="27"/>
  <c r="CT114" i="27"/>
  <c r="CU114" i="27"/>
  <c r="CV114" i="27"/>
  <c r="CW114" i="27"/>
  <c r="CX114" i="27"/>
  <c r="CY114" i="27"/>
  <c r="CZ114" i="27"/>
  <c r="DA114" i="27"/>
  <c r="DB114" i="27"/>
  <c r="DC114" i="27"/>
  <c r="DD114" i="27"/>
  <c r="DE114" i="27"/>
  <c r="DF114" i="27"/>
  <c r="DG114" i="27"/>
  <c r="DH114" i="27"/>
  <c r="DI114" i="27"/>
  <c r="DJ114" i="27"/>
  <c r="DK114" i="27"/>
  <c r="DL114" i="27"/>
  <c r="DM114" i="27"/>
  <c r="DN114" i="27"/>
  <c r="DO114" i="27"/>
  <c r="DP114" i="27"/>
  <c r="DQ114" i="27"/>
  <c r="DR114" i="27"/>
  <c r="DS114" i="27"/>
  <c r="DT114" i="27"/>
  <c r="DU114" i="27"/>
  <c r="DV114" i="27"/>
  <c r="DW114" i="27"/>
  <c r="DX114" i="27"/>
  <c r="DY114" i="27"/>
  <c r="DZ114" i="27"/>
  <c r="EA114" i="27"/>
  <c r="EB114" i="27"/>
  <c r="EC114" i="27"/>
  <c r="ED114" i="27"/>
  <c r="EE114" i="27"/>
  <c r="EF114" i="27"/>
  <c r="EG114" i="27"/>
  <c r="EH114" i="27"/>
  <c r="EI114" i="27"/>
  <c r="EJ114" i="27"/>
  <c r="EK114" i="27"/>
  <c r="EL114" i="27"/>
  <c r="EM114" i="27"/>
  <c r="EN114" i="27"/>
  <c r="EO114" i="27"/>
  <c r="EP114" i="27"/>
  <c r="EQ114" i="27"/>
  <c r="ER114" i="27"/>
  <c r="ES114" i="27"/>
  <c r="ET114" i="27"/>
  <c r="EU114" i="27"/>
  <c r="EV114" i="27"/>
  <c r="EW114" i="27"/>
  <c r="EX114" i="27"/>
  <c r="EY114" i="27"/>
  <c r="EZ114" i="27"/>
  <c r="FA114" i="27"/>
  <c r="FB114" i="27"/>
  <c r="FC114" i="27"/>
  <c r="FD114" i="27"/>
  <c r="FE114" i="27"/>
  <c r="FF114" i="27"/>
  <c r="FG114" i="27"/>
  <c r="FH114" i="27"/>
  <c r="FI114" i="27"/>
  <c r="FJ114" i="27"/>
  <c r="FK114" i="27"/>
  <c r="FL114" i="27"/>
  <c r="FM114" i="27"/>
  <c r="FN114" i="27"/>
  <c r="FO114" i="27"/>
  <c r="FP114" i="27"/>
  <c r="FQ114" i="27"/>
  <c r="FR114" i="27"/>
  <c r="FS114" i="27"/>
  <c r="FT114" i="27"/>
  <c r="FU114" i="27"/>
  <c r="FV114" i="27"/>
  <c r="FW114" i="27"/>
  <c r="FX114" i="27"/>
  <c r="FY114" i="27"/>
  <c r="FZ114" i="27"/>
  <c r="GA114" i="27"/>
  <c r="GB114" i="27"/>
  <c r="GC114" i="27"/>
  <c r="GD114" i="27"/>
  <c r="GE114" i="27"/>
  <c r="GF114" i="27"/>
  <c r="GG114" i="27"/>
  <c r="GH114" i="27"/>
  <c r="GI114" i="27"/>
  <c r="GJ114" i="27"/>
  <c r="GK114" i="27"/>
  <c r="GL114" i="27"/>
  <c r="GM114" i="27"/>
  <c r="GN114" i="27"/>
  <c r="GO114" i="27"/>
  <c r="GP114" i="27"/>
  <c r="GQ114" i="27"/>
  <c r="GR114" i="27"/>
  <c r="GS114" i="27"/>
  <c r="GT114" i="27"/>
  <c r="GU114" i="27"/>
  <c r="GV114" i="27"/>
  <c r="GW114" i="27"/>
  <c r="GX114" i="27"/>
  <c r="GY114" i="27"/>
  <c r="GZ114" i="27"/>
  <c r="HA114" i="27"/>
  <c r="HB114" i="27"/>
  <c r="HC114" i="27"/>
  <c r="HD114" i="27"/>
  <c r="HE114" i="27"/>
  <c r="HF114" i="27"/>
  <c r="HG114" i="27"/>
  <c r="HH114" i="27"/>
  <c r="HI114" i="27"/>
  <c r="HJ114" i="27"/>
  <c r="HK114" i="27"/>
  <c r="HL114" i="27"/>
  <c r="HM114" i="27"/>
  <c r="HN114" i="27"/>
  <c r="HO114" i="27"/>
  <c r="HP114" i="27"/>
  <c r="HQ114" i="27"/>
  <c r="HR114" i="27"/>
  <c r="HS114" i="27"/>
  <c r="HT114" i="27"/>
  <c r="HU114" i="27"/>
  <c r="HV114" i="27"/>
  <c r="HW114" i="27"/>
  <c r="HX114" i="27"/>
  <c r="HY114" i="27"/>
  <c r="HZ114" i="27"/>
  <c r="IA114" i="27"/>
  <c r="IB114" i="27"/>
  <c r="IC114" i="27"/>
  <c r="ID114" i="27"/>
  <c r="IE114" i="27"/>
  <c r="IF114" i="27"/>
  <c r="IG114" i="27"/>
  <c r="IH114" i="27"/>
  <c r="II114" i="27"/>
  <c r="IJ114" i="27"/>
  <c r="IK114" i="27"/>
  <c r="IL114" i="27"/>
  <c r="IM114" i="27"/>
  <c r="IN114" i="27"/>
  <c r="IO114" i="27"/>
  <c r="IP114" i="27"/>
  <c r="IQ114" i="27"/>
  <c r="IR114" i="27"/>
  <c r="IS114" i="27"/>
  <c r="IT114" i="27"/>
  <c r="IU114" i="27"/>
  <c r="IV114" i="27"/>
  <c r="A113" i="27"/>
  <c r="B113" i="27"/>
  <c r="C113" i="27"/>
  <c r="D113" i="27"/>
  <c r="E113" i="27"/>
  <c r="F113" i="27"/>
  <c r="G113" i="27"/>
  <c r="H113" i="27"/>
  <c r="I113" i="27"/>
  <c r="J113" i="27"/>
  <c r="K113" i="27"/>
  <c r="L113" i="27"/>
  <c r="M113" i="27"/>
  <c r="N113" i="27"/>
  <c r="O113" i="27"/>
  <c r="P113" i="27"/>
  <c r="Q113" i="27"/>
  <c r="R113" i="27"/>
  <c r="S113" i="27"/>
  <c r="T113" i="27"/>
  <c r="U113" i="27"/>
  <c r="V113" i="27"/>
  <c r="W113" i="27"/>
  <c r="X113" i="27"/>
  <c r="Y113" i="27"/>
  <c r="Z113" i="27"/>
  <c r="AA113" i="27"/>
  <c r="AB113" i="27"/>
  <c r="AC113" i="27"/>
  <c r="AD113" i="27"/>
  <c r="AE113" i="27"/>
  <c r="AF113" i="27"/>
  <c r="AG113" i="27"/>
  <c r="AH113" i="27"/>
  <c r="AI113" i="27"/>
  <c r="AJ113" i="27"/>
  <c r="AK113" i="27"/>
  <c r="AL113" i="27"/>
  <c r="AM113" i="27"/>
  <c r="AN113" i="27"/>
  <c r="AO113" i="27"/>
  <c r="AP113" i="27"/>
  <c r="AQ113" i="27"/>
  <c r="AR113" i="27"/>
  <c r="AS113" i="27"/>
  <c r="AT113" i="27"/>
  <c r="AU113" i="27"/>
  <c r="AV113" i="27"/>
  <c r="AW113" i="27"/>
  <c r="AX113" i="27"/>
  <c r="AY113" i="27"/>
  <c r="AZ113" i="27"/>
  <c r="BA113" i="27"/>
  <c r="BB113" i="27"/>
  <c r="BC113" i="27"/>
  <c r="BD113" i="27"/>
  <c r="BE113" i="27"/>
  <c r="BF113" i="27"/>
  <c r="BG113" i="27"/>
  <c r="BH113" i="27"/>
  <c r="BI113" i="27"/>
  <c r="BJ113" i="27"/>
  <c r="BK113" i="27"/>
  <c r="BL113" i="27"/>
  <c r="BM113" i="27"/>
  <c r="BN113" i="27"/>
  <c r="BO113" i="27"/>
  <c r="BP113" i="27"/>
  <c r="BQ113" i="27"/>
  <c r="BR113" i="27"/>
  <c r="BS113" i="27"/>
  <c r="BT113" i="27"/>
  <c r="BU113" i="27"/>
  <c r="BV113" i="27"/>
  <c r="BW113" i="27"/>
  <c r="BX113" i="27"/>
  <c r="BY113" i="27"/>
  <c r="BZ113" i="27"/>
  <c r="CA113" i="27"/>
  <c r="CB113" i="27"/>
  <c r="CC113" i="27"/>
  <c r="CD113" i="27"/>
  <c r="CE113" i="27"/>
  <c r="CF113" i="27"/>
  <c r="CG113" i="27"/>
  <c r="CH113" i="27"/>
  <c r="CI113" i="27"/>
  <c r="CJ113" i="27"/>
  <c r="CK113" i="27"/>
  <c r="CL113" i="27"/>
  <c r="CM113" i="27"/>
  <c r="CN113" i="27"/>
  <c r="CO113" i="27"/>
  <c r="CP113" i="27"/>
  <c r="CQ113" i="27"/>
  <c r="CR113" i="27"/>
  <c r="CS113" i="27"/>
  <c r="CT113" i="27"/>
  <c r="CU113" i="27"/>
  <c r="CV113" i="27"/>
  <c r="CW113" i="27"/>
  <c r="CX113" i="27"/>
  <c r="CY113" i="27"/>
  <c r="CZ113" i="27"/>
  <c r="DA113" i="27"/>
  <c r="DB113" i="27"/>
  <c r="DC113" i="27"/>
  <c r="DD113" i="27"/>
  <c r="DE113" i="27"/>
  <c r="DF113" i="27"/>
  <c r="DG113" i="27"/>
  <c r="DH113" i="27"/>
  <c r="DI113" i="27"/>
  <c r="DJ113" i="27"/>
  <c r="DK113" i="27"/>
  <c r="DL113" i="27"/>
  <c r="DM113" i="27"/>
  <c r="DN113" i="27"/>
  <c r="DO113" i="27"/>
  <c r="DP113" i="27"/>
  <c r="DQ113" i="27"/>
  <c r="DR113" i="27"/>
  <c r="DS113" i="27"/>
  <c r="DT113" i="27"/>
  <c r="DU113" i="27"/>
  <c r="DV113" i="27"/>
  <c r="DW113" i="27"/>
  <c r="DX113" i="27"/>
  <c r="DY113" i="27"/>
  <c r="DZ113" i="27"/>
  <c r="EA113" i="27"/>
  <c r="EB113" i="27"/>
  <c r="EC113" i="27"/>
  <c r="ED113" i="27"/>
  <c r="EE113" i="27"/>
  <c r="EF113" i="27"/>
  <c r="EG113" i="27"/>
  <c r="EH113" i="27"/>
  <c r="EI113" i="27"/>
  <c r="EJ113" i="27"/>
  <c r="EK113" i="27"/>
  <c r="EL113" i="27"/>
  <c r="EM113" i="27"/>
  <c r="EN113" i="27"/>
  <c r="EO113" i="27"/>
  <c r="EP113" i="27"/>
  <c r="EQ113" i="27"/>
  <c r="ER113" i="27"/>
  <c r="ES113" i="27"/>
  <c r="ET113" i="27"/>
  <c r="EU113" i="27"/>
  <c r="EV113" i="27"/>
  <c r="EW113" i="27"/>
  <c r="EX113" i="27"/>
  <c r="EY113" i="27"/>
  <c r="EZ113" i="27"/>
  <c r="FA113" i="27"/>
  <c r="FB113" i="27"/>
  <c r="FC113" i="27"/>
  <c r="FD113" i="27"/>
  <c r="FE113" i="27"/>
  <c r="FF113" i="27"/>
  <c r="FG113" i="27"/>
  <c r="FH113" i="27"/>
  <c r="FI113" i="27"/>
  <c r="FJ113" i="27"/>
  <c r="FK113" i="27"/>
  <c r="FL113" i="27"/>
  <c r="FM113" i="27"/>
  <c r="FN113" i="27"/>
  <c r="FO113" i="27"/>
  <c r="FP113" i="27"/>
  <c r="FQ113" i="27"/>
  <c r="FR113" i="27"/>
  <c r="FS113" i="27"/>
  <c r="FT113" i="27"/>
  <c r="FU113" i="27"/>
  <c r="FV113" i="27"/>
  <c r="FW113" i="27"/>
  <c r="FX113" i="27"/>
  <c r="FY113" i="27"/>
  <c r="FZ113" i="27"/>
  <c r="GA113" i="27"/>
  <c r="GB113" i="27"/>
  <c r="GC113" i="27"/>
  <c r="GD113" i="27"/>
  <c r="GE113" i="27"/>
  <c r="GF113" i="27"/>
  <c r="GG113" i="27"/>
  <c r="GH113" i="27"/>
  <c r="GI113" i="27"/>
  <c r="GJ113" i="27"/>
  <c r="GK113" i="27"/>
  <c r="GL113" i="27"/>
  <c r="GM113" i="27"/>
  <c r="GN113" i="27"/>
  <c r="GO113" i="27"/>
  <c r="GP113" i="27"/>
  <c r="GQ113" i="27"/>
  <c r="GR113" i="27"/>
  <c r="GS113" i="27"/>
  <c r="GT113" i="27"/>
  <c r="GU113" i="27"/>
  <c r="GV113" i="27"/>
  <c r="GW113" i="27"/>
  <c r="GX113" i="27"/>
  <c r="GY113" i="27"/>
  <c r="GZ113" i="27"/>
  <c r="HA113" i="27"/>
  <c r="HB113" i="27"/>
  <c r="HC113" i="27"/>
  <c r="HD113" i="27"/>
  <c r="HE113" i="27"/>
  <c r="HF113" i="27"/>
  <c r="HG113" i="27"/>
  <c r="HH113" i="27"/>
  <c r="HI113" i="27"/>
  <c r="HJ113" i="27"/>
  <c r="HK113" i="27"/>
  <c r="HL113" i="27"/>
  <c r="HM113" i="27"/>
  <c r="HN113" i="27"/>
  <c r="HO113" i="27"/>
  <c r="HP113" i="27"/>
  <c r="HQ113" i="27"/>
  <c r="HR113" i="27"/>
  <c r="HS113" i="27"/>
  <c r="HT113" i="27"/>
  <c r="HU113" i="27"/>
  <c r="HV113" i="27"/>
  <c r="HW113" i="27"/>
  <c r="HX113" i="27"/>
  <c r="HY113" i="27"/>
  <c r="HZ113" i="27"/>
  <c r="IA113" i="27"/>
  <c r="IB113" i="27"/>
  <c r="IC113" i="27"/>
  <c r="ID113" i="27"/>
  <c r="IE113" i="27"/>
  <c r="IF113" i="27"/>
  <c r="IG113" i="27"/>
  <c r="IH113" i="27"/>
  <c r="II113" i="27"/>
  <c r="IJ113" i="27"/>
  <c r="IK113" i="27"/>
  <c r="IL113" i="27"/>
  <c r="IM113" i="27"/>
  <c r="IN113" i="27"/>
  <c r="IO113" i="27"/>
  <c r="IP113" i="27"/>
  <c r="IQ113" i="27"/>
  <c r="IR113" i="27"/>
  <c r="IS113" i="27"/>
  <c r="IT113" i="27"/>
  <c r="IU113" i="27"/>
  <c r="IV113" i="27"/>
  <c r="A112" i="27"/>
  <c r="B112" i="27"/>
  <c r="C112" i="27"/>
  <c r="D112" i="27"/>
  <c r="E112" i="27"/>
  <c r="F112" i="27"/>
  <c r="G112" i="27"/>
  <c r="H112" i="27"/>
  <c r="I112" i="27"/>
  <c r="J112" i="27"/>
  <c r="K112" i="27"/>
  <c r="L112" i="27"/>
  <c r="M112" i="27"/>
  <c r="N112" i="27"/>
  <c r="O112" i="27"/>
  <c r="P112" i="27"/>
  <c r="Q112" i="27"/>
  <c r="R112" i="27"/>
  <c r="S112" i="27"/>
  <c r="T112" i="27"/>
  <c r="U112" i="27"/>
  <c r="V112" i="27"/>
  <c r="W112" i="27"/>
  <c r="X112" i="27"/>
  <c r="Y112" i="27"/>
  <c r="Z112" i="27"/>
  <c r="AA112" i="27"/>
  <c r="AB112" i="27"/>
  <c r="AC112" i="27"/>
  <c r="AD112" i="27"/>
  <c r="AE112" i="27"/>
  <c r="AF112" i="27"/>
  <c r="AG112" i="27"/>
  <c r="AH112" i="27"/>
  <c r="AI112" i="27"/>
  <c r="AJ112" i="27"/>
  <c r="AK112" i="27"/>
  <c r="AL112" i="27"/>
  <c r="AM112" i="27"/>
  <c r="AN112" i="27"/>
  <c r="AO112" i="27"/>
  <c r="AP112" i="27"/>
  <c r="AQ112" i="27"/>
  <c r="AR112" i="27"/>
  <c r="AS112" i="27"/>
  <c r="AT112" i="27"/>
  <c r="AU112" i="27"/>
  <c r="AV112" i="27"/>
  <c r="AW112" i="27"/>
  <c r="AX112" i="27"/>
  <c r="AY112" i="27"/>
  <c r="AZ112" i="27"/>
  <c r="BA112" i="27"/>
  <c r="BB112" i="27"/>
  <c r="BC112" i="27"/>
  <c r="BD112" i="27"/>
  <c r="BE112" i="27"/>
  <c r="BF112" i="27"/>
  <c r="BG112" i="27"/>
  <c r="BH112" i="27"/>
  <c r="BI112" i="27"/>
  <c r="BJ112" i="27"/>
  <c r="BK112" i="27"/>
  <c r="BL112" i="27"/>
  <c r="BM112" i="27"/>
  <c r="BN112" i="27"/>
  <c r="BO112" i="27"/>
  <c r="BP112" i="27"/>
  <c r="BQ112" i="27"/>
  <c r="BR112" i="27"/>
  <c r="BS112" i="27"/>
  <c r="BT112" i="27"/>
  <c r="BU112" i="27"/>
  <c r="BV112" i="27"/>
  <c r="BW112" i="27"/>
  <c r="BX112" i="27"/>
  <c r="BY112" i="27"/>
  <c r="BZ112" i="27"/>
  <c r="CA112" i="27"/>
  <c r="CB112" i="27"/>
  <c r="CC112" i="27"/>
  <c r="CD112" i="27"/>
  <c r="CE112" i="27"/>
  <c r="CF112" i="27"/>
  <c r="CG112" i="27"/>
  <c r="CH112" i="27"/>
  <c r="CI112" i="27"/>
  <c r="CJ112" i="27"/>
  <c r="CK112" i="27"/>
  <c r="CL112" i="27"/>
  <c r="CM112" i="27"/>
  <c r="CN112" i="27"/>
  <c r="CO112" i="27"/>
  <c r="CP112" i="27"/>
  <c r="CQ112" i="27"/>
  <c r="CR112" i="27"/>
  <c r="CS112" i="27"/>
  <c r="CT112" i="27"/>
  <c r="CU112" i="27"/>
  <c r="CV112" i="27"/>
  <c r="CW112" i="27"/>
  <c r="CX112" i="27"/>
  <c r="CY112" i="27"/>
  <c r="CZ112" i="27"/>
  <c r="DA112" i="27"/>
  <c r="DB112" i="27"/>
  <c r="DC112" i="27"/>
  <c r="DD112" i="27"/>
  <c r="DE112" i="27"/>
  <c r="DF112" i="27"/>
  <c r="DG112" i="27"/>
  <c r="DH112" i="27"/>
  <c r="DI112" i="27"/>
  <c r="DJ112" i="27"/>
  <c r="DK112" i="27"/>
  <c r="DL112" i="27"/>
  <c r="DM112" i="27"/>
  <c r="DN112" i="27"/>
  <c r="DO112" i="27"/>
  <c r="DP112" i="27"/>
  <c r="DQ112" i="27"/>
  <c r="DR112" i="27"/>
  <c r="DS112" i="27"/>
  <c r="DT112" i="27"/>
  <c r="DU112" i="27"/>
  <c r="DV112" i="27"/>
  <c r="DW112" i="27"/>
  <c r="DX112" i="27"/>
  <c r="DY112" i="27"/>
  <c r="DZ112" i="27"/>
  <c r="EA112" i="27"/>
  <c r="EB112" i="27"/>
  <c r="EC112" i="27"/>
  <c r="ED112" i="27"/>
  <c r="EE112" i="27"/>
  <c r="EF112" i="27"/>
  <c r="EG112" i="27"/>
  <c r="EH112" i="27"/>
  <c r="EI112" i="27"/>
  <c r="EJ112" i="27"/>
  <c r="EK112" i="27"/>
  <c r="EL112" i="27"/>
  <c r="EM112" i="27"/>
  <c r="EN112" i="27"/>
  <c r="EO112" i="27"/>
  <c r="EP112" i="27"/>
  <c r="EQ112" i="27"/>
  <c r="ER112" i="27"/>
  <c r="ES112" i="27"/>
  <c r="ET112" i="27"/>
  <c r="EU112" i="27"/>
  <c r="EV112" i="27"/>
  <c r="EW112" i="27"/>
  <c r="EX112" i="27"/>
  <c r="EY112" i="27"/>
  <c r="EZ112" i="27"/>
  <c r="FA112" i="27"/>
  <c r="FB112" i="27"/>
  <c r="FC112" i="27"/>
  <c r="FD112" i="27"/>
  <c r="FE112" i="27"/>
  <c r="FF112" i="27"/>
  <c r="FG112" i="27"/>
  <c r="FH112" i="27"/>
  <c r="FI112" i="27"/>
  <c r="FJ112" i="27"/>
  <c r="FK112" i="27"/>
  <c r="FL112" i="27"/>
  <c r="FM112" i="27"/>
  <c r="FN112" i="27"/>
  <c r="FO112" i="27"/>
  <c r="FP112" i="27"/>
  <c r="FQ112" i="27"/>
  <c r="FR112" i="27"/>
  <c r="FS112" i="27"/>
  <c r="FT112" i="27"/>
  <c r="FU112" i="27"/>
  <c r="FV112" i="27"/>
  <c r="FW112" i="27"/>
  <c r="FX112" i="27"/>
  <c r="FY112" i="27"/>
  <c r="FZ112" i="27"/>
  <c r="GA112" i="27"/>
  <c r="GB112" i="27"/>
  <c r="GC112" i="27"/>
  <c r="GD112" i="27"/>
  <c r="GE112" i="27"/>
  <c r="GF112" i="27"/>
  <c r="GG112" i="27"/>
  <c r="GH112" i="27"/>
  <c r="GI112" i="27"/>
  <c r="GJ112" i="27"/>
  <c r="GK112" i="27"/>
  <c r="GL112" i="27"/>
  <c r="GM112" i="27"/>
  <c r="GN112" i="27"/>
  <c r="GO112" i="27"/>
  <c r="GP112" i="27"/>
  <c r="GQ112" i="27"/>
  <c r="GR112" i="27"/>
  <c r="GS112" i="27"/>
  <c r="GT112" i="27"/>
  <c r="GU112" i="27"/>
  <c r="GV112" i="27"/>
  <c r="GW112" i="27"/>
  <c r="GX112" i="27"/>
  <c r="GY112" i="27"/>
  <c r="GZ112" i="27"/>
  <c r="HA112" i="27"/>
  <c r="HB112" i="27"/>
  <c r="HC112" i="27"/>
  <c r="HD112" i="27"/>
  <c r="HE112" i="27"/>
  <c r="HF112" i="27"/>
  <c r="HG112" i="27"/>
  <c r="HH112" i="27"/>
  <c r="HI112" i="27"/>
  <c r="HJ112" i="27"/>
  <c r="HK112" i="27"/>
  <c r="HL112" i="27"/>
  <c r="HM112" i="27"/>
  <c r="HN112" i="27"/>
  <c r="HO112" i="27"/>
  <c r="HP112" i="27"/>
  <c r="HQ112" i="27"/>
  <c r="HR112" i="27"/>
  <c r="HS112" i="27"/>
  <c r="HT112" i="27"/>
  <c r="HU112" i="27"/>
  <c r="HV112" i="27"/>
  <c r="HW112" i="27"/>
  <c r="HX112" i="27"/>
  <c r="HY112" i="27"/>
  <c r="HZ112" i="27"/>
  <c r="IA112" i="27"/>
  <c r="IB112" i="27"/>
  <c r="IC112" i="27"/>
  <c r="ID112" i="27"/>
  <c r="IE112" i="27"/>
  <c r="IF112" i="27"/>
  <c r="IG112" i="27"/>
  <c r="IH112" i="27"/>
  <c r="II112" i="27"/>
  <c r="IJ112" i="27"/>
  <c r="IK112" i="27"/>
  <c r="IL112" i="27"/>
  <c r="IM112" i="27"/>
  <c r="IN112" i="27"/>
  <c r="IO112" i="27"/>
  <c r="IP112" i="27"/>
  <c r="IQ112" i="27"/>
  <c r="IR112" i="27"/>
  <c r="IS112" i="27"/>
  <c r="IT112" i="27"/>
  <c r="IU112" i="27"/>
  <c r="IV112" i="27"/>
  <c r="A111" i="27"/>
  <c r="B111" i="27"/>
  <c r="C111" i="27"/>
  <c r="D111" i="27"/>
  <c r="E111" i="27"/>
  <c r="F111" i="27"/>
  <c r="G111" i="27"/>
  <c r="H111" i="27"/>
  <c r="I111" i="27"/>
  <c r="J111" i="27"/>
  <c r="K111" i="27"/>
  <c r="L111" i="27"/>
  <c r="M111" i="27"/>
  <c r="N111" i="27"/>
  <c r="O111" i="27"/>
  <c r="P111" i="27"/>
  <c r="Q111" i="27"/>
  <c r="R111" i="27"/>
  <c r="S111" i="27"/>
  <c r="T111" i="27"/>
  <c r="U111" i="27"/>
  <c r="V111" i="27"/>
  <c r="W111" i="27"/>
  <c r="X111" i="27"/>
  <c r="Y111" i="27"/>
  <c r="Z111" i="27"/>
  <c r="AA111" i="27"/>
  <c r="AB111" i="27"/>
  <c r="AC111" i="27"/>
  <c r="AD111" i="27"/>
  <c r="AE111" i="27"/>
  <c r="AF111" i="27"/>
  <c r="AG111" i="27"/>
  <c r="AH111" i="27"/>
  <c r="AI111" i="27"/>
  <c r="AJ111" i="27"/>
  <c r="AK111" i="27"/>
  <c r="AL111" i="27"/>
  <c r="AM111" i="27"/>
  <c r="AN111" i="27"/>
  <c r="AO111" i="27"/>
  <c r="AP111" i="27"/>
  <c r="AQ111" i="27"/>
  <c r="AR111" i="27"/>
  <c r="AS111" i="27"/>
  <c r="AT111" i="27"/>
  <c r="AU111" i="27"/>
  <c r="AV111" i="27"/>
  <c r="AW111" i="27"/>
  <c r="AX111" i="27"/>
  <c r="AY111" i="27"/>
  <c r="AZ111" i="27"/>
  <c r="BA111" i="27"/>
  <c r="BB111" i="27"/>
  <c r="BC111" i="27"/>
  <c r="BD111" i="27"/>
  <c r="BE111" i="27"/>
  <c r="BF111" i="27"/>
  <c r="BG111" i="27"/>
  <c r="BH111" i="27"/>
  <c r="BI111" i="27"/>
  <c r="BJ111" i="27"/>
  <c r="BK111" i="27"/>
  <c r="BL111" i="27"/>
  <c r="BM111" i="27"/>
  <c r="BN111" i="27"/>
  <c r="BO111" i="27"/>
  <c r="BP111" i="27"/>
  <c r="BQ111" i="27"/>
  <c r="BR111" i="27"/>
  <c r="BS111" i="27"/>
  <c r="BT111" i="27"/>
  <c r="BU111" i="27"/>
  <c r="BV111" i="27"/>
  <c r="BW111" i="27"/>
  <c r="BX111" i="27"/>
  <c r="BY111" i="27"/>
  <c r="BZ111" i="27"/>
  <c r="CA111" i="27"/>
  <c r="CB111" i="27"/>
  <c r="CC111" i="27"/>
  <c r="CD111" i="27"/>
  <c r="CE111" i="27"/>
  <c r="CF111" i="27"/>
  <c r="CG111" i="27"/>
  <c r="CH111" i="27"/>
  <c r="CI111" i="27"/>
  <c r="CJ111" i="27"/>
  <c r="CK111" i="27"/>
  <c r="CL111" i="27"/>
  <c r="CM111" i="27"/>
  <c r="CN111" i="27"/>
  <c r="CO111" i="27"/>
  <c r="CP111" i="27"/>
  <c r="CQ111" i="27"/>
  <c r="CR111" i="27"/>
  <c r="CS111" i="27"/>
  <c r="CT111" i="27"/>
  <c r="CU111" i="27"/>
  <c r="CV111" i="27"/>
  <c r="CW111" i="27"/>
  <c r="CX111" i="27"/>
  <c r="CY111" i="27"/>
  <c r="CZ111" i="27"/>
  <c r="DA111" i="27"/>
  <c r="DB111" i="27"/>
  <c r="DC111" i="27"/>
  <c r="DD111" i="27"/>
  <c r="DE111" i="27"/>
  <c r="DF111" i="27"/>
  <c r="DG111" i="27"/>
  <c r="DH111" i="27"/>
  <c r="DI111" i="27"/>
  <c r="DJ111" i="27"/>
  <c r="DK111" i="27"/>
  <c r="DL111" i="27"/>
  <c r="DM111" i="27"/>
  <c r="DN111" i="27"/>
  <c r="DO111" i="27"/>
  <c r="DP111" i="27"/>
  <c r="DQ111" i="27"/>
  <c r="DR111" i="27"/>
  <c r="DS111" i="27"/>
  <c r="DT111" i="27"/>
  <c r="DU111" i="27"/>
  <c r="DV111" i="27"/>
  <c r="DW111" i="27"/>
  <c r="DX111" i="27"/>
  <c r="DY111" i="27"/>
  <c r="DZ111" i="27"/>
  <c r="EA111" i="27"/>
  <c r="EB111" i="27"/>
  <c r="EC111" i="27"/>
  <c r="ED111" i="27"/>
  <c r="EE111" i="27"/>
  <c r="EF111" i="27"/>
  <c r="EG111" i="27"/>
  <c r="EH111" i="27"/>
  <c r="EI111" i="27"/>
  <c r="EJ111" i="27"/>
  <c r="EK111" i="27"/>
  <c r="EL111" i="27"/>
  <c r="EM111" i="27"/>
  <c r="EN111" i="27"/>
  <c r="EO111" i="27"/>
  <c r="EP111" i="27"/>
  <c r="EQ111" i="27"/>
  <c r="ER111" i="27"/>
  <c r="ES111" i="27"/>
  <c r="ET111" i="27"/>
  <c r="EU111" i="27"/>
  <c r="EV111" i="27"/>
  <c r="EW111" i="27"/>
  <c r="EX111" i="27"/>
  <c r="EY111" i="27"/>
  <c r="EZ111" i="27"/>
  <c r="FA111" i="27"/>
  <c r="FB111" i="27"/>
  <c r="FC111" i="27"/>
  <c r="FD111" i="27"/>
  <c r="FE111" i="27"/>
  <c r="FF111" i="27"/>
  <c r="FG111" i="27"/>
  <c r="FH111" i="27"/>
  <c r="FI111" i="27"/>
  <c r="FJ111" i="27"/>
  <c r="FK111" i="27"/>
  <c r="FL111" i="27"/>
  <c r="FM111" i="27"/>
  <c r="FN111" i="27"/>
  <c r="FO111" i="27"/>
  <c r="FP111" i="27"/>
  <c r="FQ111" i="27"/>
  <c r="FR111" i="27"/>
  <c r="FS111" i="27"/>
  <c r="FT111" i="27"/>
  <c r="FU111" i="27"/>
  <c r="FV111" i="27"/>
  <c r="FW111" i="27"/>
  <c r="FX111" i="27"/>
  <c r="FY111" i="27"/>
  <c r="FZ111" i="27"/>
  <c r="GA111" i="27"/>
  <c r="GB111" i="27"/>
  <c r="GC111" i="27"/>
  <c r="GD111" i="27"/>
  <c r="GE111" i="27"/>
  <c r="GF111" i="27"/>
  <c r="GG111" i="27"/>
  <c r="GH111" i="27"/>
  <c r="GI111" i="27"/>
  <c r="GJ111" i="27"/>
  <c r="GK111" i="27"/>
  <c r="GL111" i="27"/>
  <c r="GM111" i="27"/>
  <c r="GN111" i="27"/>
  <c r="GO111" i="27"/>
  <c r="GP111" i="27"/>
  <c r="GQ111" i="27"/>
  <c r="GR111" i="27"/>
  <c r="GS111" i="27"/>
  <c r="GT111" i="27"/>
  <c r="GU111" i="27"/>
  <c r="GV111" i="27"/>
  <c r="GW111" i="27"/>
  <c r="GX111" i="27"/>
  <c r="GY111" i="27"/>
  <c r="GZ111" i="27"/>
  <c r="HA111" i="27"/>
  <c r="HB111" i="27"/>
  <c r="HC111" i="27"/>
  <c r="HD111" i="27"/>
  <c r="HE111" i="27"/>
  <c r="HF111" i="27"/>
  <c r="HG111" i="27"/>
  <c r="HH111" i="27"/>
  <c r="HI111" i="27"/>
  <c r="HJ111" i="27"/>
  <c r="HK111" i="27"/>
  <c r="HL111" i="27"/>
  <c r="HM111" i="27"/>
  <c r="HN111" i="27"/>
  <c r="HO111" i="27"/>
  <c r="HP111" i="27"/>
  <c r="HQ111" i="27"/>
  <c r="HR111" i="27"/>
  <c r="HS111" i="27"/>
  <c r="HT111" i="27"/>
  <c r="HU111" i="27"/>
  <c r="HV111" i="27"/>
  <c r="HW111" i="27"/>
  <c r="HX111" i="27"/>
  <c r="HY111" i="27"/>
  <c r="HZ111" i="27"/>
  <c r="IA111" i="27"/>
  <c r="IB111" i="27"/>
  <c r="IC111" i="27"/>
  <c r="ID111" i="27"/>
  <c r="IE111" i="27"/>
  <c r="IF111" i="27"/>
  <c r="IG111" i="27"/>
  <c r="IH111" i="27"/>
  <c r="II111" i="27"/>
  <c r="IJ111" i="27"/>
  <c r="IK111" i="27"/>
  <c r="IL111" i="27"/>
  <c r="IM111" i="27"/>
  <c r="IN111" i="27"/>
  <c r="IO111" i="27"/>
  <c r="IP111" i="27"/>
  <c r="IQ111" i="27"/>
  <c r="IR111" i="27"/>
  <c r="IS111" i="27"/>
  <c r="IT111" i="27"/>
  <c r="IU111" i="27"/>
  <c r="IV111" i="27"/>
  <c r="A110" i="27"/>
  <c r="B110" i="27"/>
  <c r="C110" i="27"/>
  <c r="D110" i="27"/>
  <c r="E110" i="27"/>
  <c r="F110" i="27"/>
  <c r="G110" i="27"/>
  <c r="H110" i="27"/>
  <c r="I110" i="27"/>
  <c r="J110" i="27"/>
  <c r="K110" i="27"/>
  <c r="L110" i="27"/>
  <c r="M110" i="27"/>
  <c r="N110" i="27"/>
  <c r="O110" i="27"/>
  <c r="P110" i="27"/>
  <c r="Q110" i="27"/>
  <c r="R110" i="27"/>
  <c r="S110" i="27"/>
  <c r="T110" i="27"/>
  <c r="U110" i="27"/>
  <c r="V110" i="27"/>
  <c r="W110" i="27"/>
  <c r="X110" i="27"/>
  <c r="Y110" i="27"/>
  <c r="Z110" i="27"/>
  <c r="AA110" i="27"/>
  <c r="AB110" i="27"/>
  <c r="AC110" i="27"/>
  <c r="AD110" i="27"/>
  <c r="AE110" i="27"/>
  <c r="AF110" i="27"/>
  <c r="AG110" i="27"/>
  <c r="AH110" i="27"/>
  <c r="AI110" i="27"/>
  <c r="AJ110" i="27"/>
  <c r="AK110" i="27"/>
  <c r="AL110" i="27"/>
  <c r="AM110" i="27"/>
  <c r="AN110" i="27"/>
  <c r="AO110" i="27"/>
  <c r="AP110" i="27"/>
  <c r="AQ110" i="27"/>
  <c r="AR110" i="27"/>
  <c r="AS110" i="27"/>
  <c r="AT110" i="27"/>
  <c r="AU110" i="27"/>
  <c r="AV110" i="27"/>
  <c r="AW110" i="27"/>
  <c r="AX110" i="27"/>
  <c r="AY110" i="27"/>
  <c r="AZ110" i="27"/>
  <c r="BA110" i="27"/>
  <c r="BB110" i="27"/>
  <c r="BC110" i="27"/>
  <c r="BD110" i="27"/>
  <c r="BE110" i="27"/>
  <c r="BF110" i="27"/>
  <c r="BG110" i="27"/>
  <c r="BH110" i="27"/>
  <c r="BI110" i="27"/>
  <c r="BJ110" i="27"/>
  <c r="BK110" i="27"/>
  <c r="BL110" i="27"/>
  <c r="BM110" i="27"/>
  <c r="BN110" i="27"/>
  <c r="BO110" i="27"/>
  <c r="BP110" i="27"/>
  <c r="BQ110" i="27"/>
  <c r="BR110" i="27"/>
  <c r="BS110" i="27"/>
  <c r="BT110" i="27"/>
  <c r="BU110" i="27"/>
  <c r="BV110" i="27"/>
  <c r="BW110" i="27"/>
  <c r="BX110" i="27"/>
  <c r="BY110" i="27"/>
  <c r="BZ110" i="27"/>
  <c r="CA110" i="27"/>
  <c r="CB110" i="27"/>
  <c r="CC110" i="27"/>
  <c r="CD110" i="27"/>
  <c r="CE110" i="27"/>
  <c r="CF110" i="27"/>
  <c r="CG110" i="27"/>
  <c r="CH110" i="27"/>
  <c r="CI110" i="27"/>
  <c r="CJ110" i="27"/>
  <c r="CK110" i="27"/>
  <c r="CL110" i="27"/>
  <c r="CM110" i="27"/>
  <c r="CN110" i="27"/>
  <c r="CO110" i="27"/>
  <c r="CP110" i="27"/>
  <c r="CQ110" i="27"/>
  <c r="CR110" i="27"/>
  <c r="CS110" i="27"/>
  <c r="CT110" i="27"/>
  <c r="CU110" i="27"/>
  <c r="CV110" i="27"/>
  <c r="CW110" i="27"/>
  <c r="CX110" i="27"/>
  <c r="CY110" i="27"/>
  <c r="CZ110" i="27"/>
  <c r="DA110" i="27"/>
  <c r="DB110" i="27"/>
  <c r="DC110" i="27"/>
  <c r="DD110" i="27"/>
  <c r="DE110" i="27"/>
  <c r="DF110" i="27"/>
  <c r="DG110" i="27"/>
  <c r="DH110" i="27"/>
  <c r="DI110" i="27"/>
  <c r="DJ110" i="27"/>
  <c r="DK110" i="27"/>
  <c r="DL110" i="27"/>
  <c r="DM110" i="27"/>
  <c r="DN110" i="27"/>
  <c r="DO110" i="27"/>
  <c r="DP110" i="27"/>
  <c r="DQ110" i="27"/>
  <c r="DR110" i="27"/>
  <c r="DS110" i="27"/>
  <c r="DT110" i="27"/>
  <c r="DU110" i="27"/>
  <c r="DV110" i="27"/>
  <c r="DW110" i="27"/>
  <c r="DX110" i="27"/>
  <c r="DY110" i="27"/>
  <c r="DZ110" i="27"/>
  <c r="EA110" i="27"/>
  <c r="EB110" i="27"/>
  <c r="EC110" i="27"/>
  <c r="ED110" i="27"/>
  <c r="EE110" i="27"/>
  <c r="EF110" i="27"/>
  <c r="EG110" i="27"/>
  <c r="EH110" i="27"/>
  <c r="EI110" i="27"/>
  <c r="EJ110" i="27"/>
  <c r="EK110" i="27"/>
  <c r="EL110" i="27"/>
  <c r="EM110" i="27"/>
  <c r="EN110" i="27"/>
  <c r="EO110" i="27"/>
  <c r="EP110" i="27"/>
  <c r="EQ110" i="27"/>
  <c r="ER110" i="27"/>
  <c r="ES110" i="27"/>
  <c r="ET110" i="27"/>
  <c r="EU110" i="27"/>
  <c r="EV110" i="27"/>
  <c r="EW110" i="27"/>
  <c r="EX110" i="27"/>
  <c r="EY110" i="27"/>
  <c r="EZ110" i="27"/>
  <c r="FA110" i="27"/>
  <c r="FB110" i="27"/>
  <c r="FC110" i="27"/>
  <c r="FD110" i="27"/>
  <c r="FE110" i="27"/>
  <c r="FF110" i="27"/>
  <c r="FG110" i="27"/>
  <c r="FH110" i="27"/>
  <c r="FI110" i="27"/>
  <c r="FJ110" i="27"/>
  <c r="FK110" i="27"/>
  <c r="FL110" i="27"/>
  <c r="FM110" i="27"/>
  <c r="FN110" i="27"/>
  <c r="FO110" i="27"/>
  <c r="FP110" i="27"/>
  <c r="FQ110" i="27"/>
  <c r="FR110" i="27"/>
  <c r="FS110" i="27"/>
  <c r="FT110" i="27"/>
  <c r="FU110" i="27"/>
  <c r="FV110" i="27"/>
  <c r="FW110" i="27"/>
  <c r="FX110" i="27"/>
  <c r="FY110" i="27"/>
  <c r="FZ110" i="27"/>
  <c r="GA110" i="27"/>
  <c r="GB110" i="27"/>
  <c r="GC110" i="27"/>
  <c r="GD110" i="27"/>
  <c r="GE110" i="27"/>
  <c r="GF110" i="27"/>
  <c r="GG110" i="27"/>
  <c r="GH110" i="27"/>
  <c r="GI110" i="27"/>
  <c r="GJ110" i="27"/>
  <c r="GK110" i="27"/>
  <c r="GL110" i="27"/>
  <c r="GM110" i="27"/>
  <c r="GN110" i="27"/>
  <c r="GO110" i="27"/>
  <c r="GP110" i="27"/>
  <c r="GQ110" i="27"/>
  <c r="GR110" i="27"/>
  <c r="GS110" i="27"/>
  <c r="GT110" i="27"/>
  <c r="GU110" i="27"/>
  <c r="GV110" i="27"/>
  <c r="GW110" i="27"/>
  <c r="GX110" i="27"/>
  <c r="GY110" i="27"/>
  <c r="GZ110" i="27"/>
  <c r="HA110" i="27"/>
  <c r="HB110" i="27"/>
  <c r="HC110" i="27"/>
  <c r="HD110" i="27"/>
  <c r="HE110" i="27"/>
  <c r="HF110" i="27"/>
  <c r="HG110" i="27"/>
  <c r="HH110" i="27"/>
  <c r="HI110" i="27"/>
  <c r="HJ110" i="27"/>
  <c r="HK110" i="27"/>
  <c r="HL110" i="27"/>
  <c r="HM110" i="27"/>
  <c r="HN110" i="27"/>
  <c r="HO110" i="27"/>
  <c r="HP110" i="27"/>
  <c r="HQ110" i="27"/>
  <c r="HR110" i="27"/>
  <c r="HS110" i="27"/>
  <c r="HT110" i="27"/>
  <c r="HU110" i="27"/>
  <c r="HV110" i="27"/>
  <c r="HW110" i="27"/>
  <c r="HX110" i="27"/>
  <c r="HY110" i="27"/>
  <c r="HZ110" i="27"/>
  <c r="IA110" i="27"/>
  <c r="IB110" i="27"/>
  <c r="IC110" i="27"/>
  <c r="ID110" i="27"/>
  <c r="IE110" i="27"/>
  <c r="IF110" i="27"/>
  <c r="IG110" i="27"/>
  <c r="IH110" i="27"/>
  <c r="II110" i="27"/>
  <c r="IJ110" i="27"/>
  <c r="IK110" i="27"/>
  <c r="IL110" i="27"/>
  <c r="IM110" i="27"/>
  <c r="IN110" i="27"/>
  <c r="IO110" i="27"/>
  <c r="IP110" i="27"/>
  <c r="IQ110" i="27"/>
  <c r="IR110" i="27"/>
  <c r="IS110" i="27"/>
  <c r="IT110" i="27"/>
  <c r="IU110" i="27"/>
  <c r="IV110" i="27"/>
  <c r="A109" i="27"/>
  <c r="B109" i="27"/>
  <c r="C109" i="27"/>
  <c r="D109" i="27"/>
  <c r="E109" i="27"/>
  <c r="F109" i="27"/>
  <c r="G109" i="27"/>
  <c r="H109" i="27"/>
  <c r="I109" i="27"/>
  <c r="J109" i="27"/>
  <c r="K109" i="27"/>
  <c r="L109" i="27"/>
  <c r="M109" i="27"/>
  <c r="N109" i="27"/>
  <c r="O109" i="27"/>
  <c r="P109" i="27"/>
  <c r="Q109" i="27"/>
  <c r="R109" i="27"/>
  <c r="S109" i="27"/>
  <c r="T109" i="27"/>
  <c r="U109" i="27"/>
  <c r="V109" i="27"/>
  <c r="W109" i="27"/>
  <c r="X109" i="27"/>
  <c r="Y109" i="27"/>
  <c r="Z109" i="27"/>
  <c r="AA109" i="27"/>
  <c r="AB109" i="27"/>
  <c r="AC109" i="27"/>
  <c r="AD109" i="27"/>
  <c r="AE109" i="27"/>
  <c r="AF109" i="27"/>
  <c r="AG109" i="27"/>
  <c r="AH109" i="27"/>
  <c r="AI109" i="27"/>
  <c r="AJ109" i="27"/>
  <c r="AK109" i="27"/>
  <c r="AL109" i="27"/>
  <c r="AM109" i="27"/>
  <c r="AN109" i="27"/>
  <c r="AO109" i="27"/>
  <c r="AP109" i="27"/>
  <c r="AQ109" i="27"/>
  <c r="AR109" i="27"/>
  <c r="AS109" i="27"/>
  <c r="AT109" i="27"/>
  <c r="AU109" i="27"/>
  <c r="AV109" i="27"/>
  <c r="AW109" i="27"/>
  <c r="AX109" i="27"/>
  <c r="AY109" i="27"/>
  <c r="AZ109" i="27"/>
  <c r="BA109" i="27"/>
  <c r="BB109" i="27"/>
  <c r="BC109" i="27"/>
  <c r="BD109" i="27"/>
  <c r="BE109" i="27"/>
  <c r="BF109" i="27"/>
  <c r="BG109" i="27"/>
  <c r="BH109" i="27"/>
  <c r="BI109" i="27"/>
  <c r="BJ109" i="27"/>
  <c r="BK109" i="27"/>
  <c r="BL109" i="27"/>
  <c r="BM109" i="27"/>
  <c r="BN109" i="27"/>
  <c r="BO109" i="27"/>
  <c r="BP109" i="27"/>
  <c r="BQ109" i="27"/>
  <c r="BR109" i="27"/>
  <c r="BS109" i="27"/>
  <c r="BT109" i="27"/>
  <c r="BU109" i="27"/>
  <c r="BV109" i="27"/>
  <c r="BW109" i="27"/>
  <c r="BX109" i="27"/>
  <c r="BY109" i="27"/>
  <c r="BZ109" i="27"/>
  <c r="CA109" i="27"/>
  <c r="CB109" i="27"/>
  <c r="CC109" i="27"/>
  <c r="CD109" i="27"/>
  <c r="CE109" i="27"/>
  <c r="CF109" i="27"/>
  <c r="CG109" i="27"/>
  <c r="CH109" i="27"/>
  <c r="CI109" i="27"/>
  <c r="CJ109" i="27"/>
  <c r="CK109" i="27"/>
  <c r="CL109" i="27"/>
  <c r="CM109" i="27"/>
  <c r="CN109" i="27"/>
  <c r="CO109" i="27"/>
  <c r="CP109" i="27"/>
  <c r="CQ109" i="27"/>
  <c r="CR109" i="27"/>
  <c r="CS109" i="27"/>
  <c r="CT109" i="27"/>
  <c r="CU109" i="27"/>
  <c r="CV109" i="27"/>
  <c r="CW109" i="27"/>
  <c r="CX109" i="27"/>
  <c r="CY109" i="27"/>
  <c r="CZ109" i="27"/>
  <c r="DA109" i="27"/>
  <c r="DB109" i="27"/>
  <c r="DC109" i="27"/>
  <c r="DD109" i="27"/>
  <c r="DE109" i="27"/>
  <c r="DF109" i="27"/>
  <c r="DG109" i="27"/>
  <c r="DH109" i="27"/>
  <c r="DI109" i="27"/>
  <c r="DJ109" i="27"/>
  <c r="DK109" i="27"/>
  <c r="DL109" i="27"/>
  <c r="DM109" i="27"/>
  <c r="DN109" i="27"/>
  <c r="DO109" i="27"/>
  <c r="DP109" i="27"/>
  <c r="DQ109" i="27"/>
  <c r="DR109" i="27"/>
  <c r="DS109" i="27"/>
  <c r="DT109" i="27"/>
  <c r="DU109" i="27"/>
  <c r="DV109" i="27"/>
  <c r="DW109" i="27"/>
  <c r="DX109" i="27"/>
  <c r="DY109" i="27"/>
  <c r="DZ109" i="27"/>
  <c r="EA109" i="27"/>
  <c r="EB109" i="27"/>
  <c r="EC109" i="27"/>
  <c r="ED109" i="27"/>
  <c r="EE109" i="27"/>
  <c r="EF109" i="27"/>
  <c r="EG109" i="27"/>
  <c r="EH109" i="27"/>
  <c r="EI109" i="27"/>
  <c r="EJ109" i="27"/>
  <c r="EK109" i="27"/>
  <c r="EL109" i="27"/>
  <c r="EM109" i="27"/>
  <c r="EN109" i="27"/>
  <c r="EO109" i="27"/>
  <c r="EP109" i="27"/>
  <c r="EQ109" i="27"/>
  <c r="ER109" i="27"/>
  <c r="ES109" i="27"/>
  <c r="ET109" i="27"/>
  <c r="EU109" i="27"/>
  <c r="EV109" i="27"/>
  <c r="EW109" i="27"/>
  <c r="EX109" i="27"/>
  <c r="EY109" i="27"/>
  <c r="EZ109" i="27"/>
  <c r="FA109" i="27"/>
  <c r="FB109" i="27"/>
  <c r="FC109" i="27"/>
  <c r="FD109" i="27"/>
  <c r="FE109" i="27"/>
  <c r="FF109" i="27"/>
  <c r="FG109" i="27"/>
  <c r="FH109" i="27"/>
  <c r="FI109" i="27"/>
  <c r="FJ109" i="27"/>
  <c r="FK109" i="27"/>
  <c r="FL109" i="27"/>
  <c r="FM109" i="27"/>
  <c r="FN109" i="27"/>
  <c r="FO109" i="27"/>
  <c r="FP109" i="27"/>
  <c r="FQ109" i="27"/>
  <c r="FR109" i="27"/>
  <c r="FS109" i="27"/>
  <c r="FT109" i="27"/>
  <c r="FU109" i="27"/>
  <c r="FV109" i="27"/>
  <c r="FW109" i="27"/>
  <c r="FX109" i="27"/>
  <c r="FY109" i="27"/>
  <c r="FZ109" i="27"/>
  <c r="GA109" i="27"/>
  <c r="GB109" i="27"/>
  <c r="GC109" i="27"/>
  <c r="GD109" i="27"/>
  <c r="GE109" i="27"/>
  <c r="GF109" i="27"/>
  <c r="GG109" i="27"/>
  <c r="GH109" i="27"/>
  <c r="GI109" i="27"/>
  <c r="GJ109" i="27"/>
  <c r="GK109" i="27"/>
  <c r="GL109" i="27"/>
  <c r="GM109" i="27"/>
  <c r="GN109" i="27"/>
  <c r="GO109" i="27"/>
  <c r="GP109" i="27"/>
  <c r="GQ109" i="27"/>
  <c r="GR109" i="27"/>
  <c r="GS109" i="27"/>
  <c r="GT109" i="27"/>
  <c r="GU109" i="27"/>
  <c r="GV109" i="27"/>
  <c r="GW109" i="27"/>
  <c r="GX109" i="27"/>
  <c r="GY109" i="27"/>
  <c r="GZ109" i="27"/>
  <c r="HA109" i="27"/>
  <c r="HB109" i="27"/>
  <c r="HC109" i="27"/>
  <c r="HD109" i="27"/>
  <c r="HE109" i="27"/>
  <c r="HF109" i="27"/>
  <c r="HG109" i="27"/>
  <c r="HH109" i="27"/>
  <c r="HI109" i="27"/>
  <c r="HJ109" i="27"/>
  <c r="HK109" i="27"/>
  <c r="HL109" i="27"/>
  <c r="HM109" i="27"/>
  <c r="HN109" i="27"/>
  <c r="HO109" i="27"/>
  <c r="HP109" i="27"/>
  <c r="HQ109" i="27"/>
  <c r="HR109" i="27"/>
  <c r="HS109" i="27"/>
  <c r="HT109" i="27"/>
  <c r="HU109" i="27"/>
  <c r="HV109" i="27"/>
  <c r="HW109" i="27"/>
  <c r="HX109" i="27"/>
  <c r="HY109" i="27"/>
  <c r="HZ109" i="27"/>
  <c r="IA109" i="27"/>
  <c r="IB109" i="27"/>
  <c r="IC109" i="27"/>
  <c r="ID109" i="27"/>
  <c r="IE109" i="27"/>
  <c r="IF109" i="27"/>
  <c r="IG109" i="27"/>
  <c r="IH109" i="27"/>
  <c r="II109" i="27"/>
  <c r="IJ109" i="27"/>
  <c r="IK109" i="27"/>
  <c r="IL109" i="27"/>
  <c r="IM109" i="27"/>
  <c r="IN109" i="27"/>
  <c r="IO109" i="27"/>
  <c r="IP109" i="27"/>
  <c r="IQ109" i="27"/>
  <c r="IR109" i="27"/>
  <c r="IS109" i="27"/>
  <c r="IT109" i="27"/>
  <c r="IU109" i="27"/>
  <c r="IV109" i="27"/>
  <c r="A108" i="27"/>
  <c r="B108" i="27"/>
  <c r="C108" i="27"/>
  <c r="D108" i="27"/>
  <c r="E108" i="27"/>
  <c r="F108" i="27"/>
  <c r="G108" i="27"/>
  <c r="H108" i="27"/>
  <c r="I108" i="27"/>
  <c r="J108" i="27"/>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AQ108" i="27"/>
  <c r="AR108" i="27"/>
  <c r="AS108" i="27"/>
  <c r="AT108" i="27"/>
  <c r="AU108" i="27"/>
  <c r="AV108" i="27"/>
  <c r="AW108" i="27"/>
  <c r="AX108" i="27"/>
  <c r="AY108" i="27"/>
  <c r="AZ108" i="27"/>
  <c r="BA108" i="27"/>
  <c r="BB108" i="27"/>
  <c r="BC108" i="27"/>
  <c r="BD108" i="27"/>
  <c r="BE108" i="27"/>
  <c r="BF108" i="27"/>
  <c r="BG108" i="27"/>
  <c r="BH108" i="27"/>
  <c r="BI108" i="27"/>
  <c r="BJ108" i="27"/>
  <c r="BK108" i="27"/>
  <c r="BL108" i="27"/>
  <c r="BM108" i="27"/>
  <c r="BN108" i="27"/>
  <c r="BO108" i="27"/>
  <c r="BP108" i="27"/>
  <c r="BQ108" i="27"/>
  <c r="BR108" i="27"/>
  <c r="BS108" i="27"/>
  <c r="BT108" i="27"/>
  <c r="BU108" i="27"/>
  <c r="BV108" i="27"/>
  <c r="BW108" i="27"/>
  <c r="BX108" i="27"/>
  <c r="BY108" i="27"/>
  <c r="BZ108" i="27"/>
  <c r="CA108" i="27"/>
  <c r="CB108" i="27"/>
  <c r="CC108" i="27"/>
  <c r="CD108" i="27"/>
  <c r="CE108" i="27"/>
  <c r="CF108" i="27"/>
  <c r="CG108" i="27"/>
  <c r="CH108" i="27"/>
  <c r="CI108" i="27"/>
  <c r="CJ108" i="27"/>
  <c r="CK108" i="27"/>
  <c r="CL108" i="27"/>
  <c r="CM108" i="27"/>
  <c r="CN108" i="27"/>
  <c r="CO108" i="27"/>
  <c r="CP108" i="27"/>
  <c r="CQ108" i="27"/>
  <c r="CR108" i="27"/>
  <c r="CS108" i="27"/>
  <c r="CT108" i="27"/>
  <c r="CU108" i="27"/>
  <c r="CV108" i="27"/>
  <c r="CW108" i="27"/>
  <c r="CX108" i="27"/>
  <c r="CY108" i="27"/>
  <c r="CZ108" i="27"/>
  <c r="DA108" i="27"/>
  <c r="DB108" i="27"/>
  <c r="DC108" i="27"/>
  <c r="DD108" i="27"/>
  <c r="DE108" i="27"/>
  <c r="DF108" i="27"/>
  <c r="DG108" i="27"/>
  <c r="DH108" i="27"/>
  <c r="DI108" i="27"/>
  <c r="DJ108" i="27"/>
  <c r="DK108" i="27"/>
  <c r="DL108" i="27"/>
  <c r="DM108" i="27"/>
  <c r="DN108" i="27"/>
  <c r="DO108" i="27"/>
  <c r="DP108" i="27"/>
  <c r="DQ108" i="27"/>
  <c r="DR108" i="27"/>
  <c r="DS108" i="27"/>
  <c r="DT108" i="27"/>
  <c r="DU108" i="27"/>
  <c r="DV108" i="27"/>
  <c r="DW108" i="27"/>
  <c r="DX108" i="27"/>
  <c r="DY108" i="27"/>
  <c r="DZ108" i="27"/>
  <c r="EA108" i="27"/>
  <c r="EB108" i="27"/>
  <c r="EC108" i="27"/>
  <c r="ED108" i="27"/>
  <c r="EE108" i="27"/>
  <c r="EF108" i="27"/>
  <c r="EG108" i="27"/>
  <c r="EH108" i="27"/>
  <c r="EI108" i="27"/>
  <c r="EJ108" i="27"/>
  <c r="EK108" i="27"/>
  <c r="EL108" i="27"/>
  <c r="EM108" i="27"/>
  <c r="EN108" i="27"/>
  <c r="EO108" i="27"/>
  <c r="EP108" i="27"/>
  <c r="EQ108" i="27"/>
  <c r="ER108" i="27"/>
  <c r="ES108" i="27"/>
  <c r="ET108" i="27"/>
  <c r="EU108" i="27"/>
  <c r="EV108" i="27"/>
  <c r="EW108" i="27"/>
  <c r="EX108" i="27"/>
  <c r="EY108" i="27"/>
  <c r="EZ108" i="27"/>
  <c r="FA108" i="27"/>
  <c r="FB108" i="27"/>
  <c r="FC108" i="27"/>
  <c r="FD108" i="27"/>
  <c r="FE108" i="27"/>
  <c r="FF108" i="27"/>
  <c r="FG108" i="27"/>
  <c r="FH108" i="27"/>
  <c r="FI108" i="27"/>
  <c r="FJ108" i="27"/>
  <c r="FK108" i="27"/>
  <c r="FL108" i="27"/>
  <c r="FM108" i="27"/>
  <c r="FN108" i="27"/>
  <c r="FO108" i="27"/>
  <c r="FP108" i="27"/>
  <c r="FQ108" i="27"/>
  <c r="FR108" i="27"/>
  <c r="FS108" i="27"/>
  <c r="FT108" i="27"/>
  <c r="FU108" i="27"/>
  <c r="FV108" i="27"/>
  <c r="FW108" i="27"/>
  <c r="FX108" i="27"/>
  <c r="FY108" i="27"/>
  <c r="FZ108" i="27"/>
  <c r="GA108" i="27"/>
  <c r="GB108" i="27"/>
  <c r="GC108" i="27"/>
  <c r="GD108" i="27"/>
  <c r="GE108" i="27"/>
  <c r="GF108" i="27"/>
  <c r="GG108" i="27"/>
  <c r="GH108" i="27"/>
  <c r="GI108" i="27"/>
  <c r="GJ108" i="27"/>
  <c r="GK108" i="27"/>
  <c r="GL108" i="27"/>
  <c r="GM108" i="27"/>
  <c r="GN108" i="27"/>
  <c r="GO108" i="27"/>
  <c r="GP108" i="27"/>
  <c r="GQ108" i="27"/>
  <c r="GR108" i="27"/>
  <c r="GS108" i="27"/>
  <c r="GT108" i="27"/>
  <c r="GU108" i="27"/>
  <c r="GV108" i="27"/>
  <c r="GW108" i="27"/>
  <c r="GX108" i="27"/>
  <c r="GY108" i="27"/>
  <c r="GZ108" i="27"/>
  <c r="HA108" i="27"/>
  <c r="HB108" i="27"/>
  <c r="HC108" i="27"/>
  <c r="HD108" i="27"/>
  <c r="HE108" i="27"/>
  <c r="HF108" i="27"/>
  <c r="HG108" i="27"/>
  <c r="HH108" i="27"/>
  <c r="HI108" i="27"/>
  <c r="HJ108" i="27"/>
  <c r="HK108" i="27"/>
  <c r="HL108" i="27"/>
  <c r="HM108" i="27"/>
  <c r="HN108" i="27"/>
  <c r="HO108" i="27"/>
  <c r="HP108" i="27"/>
  <c r="HQ108" i="27"/>
  <c r="HR108" i="27"/>
  <c r="HS108" i="27"/>
  <c r="HT108" i="27"/>
  <c r="HU108" i="27"/>
  <c r="HV108" i="27"/>
  <c r="HW108" i="27"/>
  <c r="HX108" i="27"/>
  <c r="HY108" i="27"/>
  <c r="HZ108" i="27"/>
  <c r="IA108" i="27"/>
  <c r="IB108" i="27"/>
  <c r="IC108" i="27"/>
  <c r="ID108" i="27"/>
  <c r="IE108" i="27"/>
  <c r="IF108" i="27"/>
  <c r="IG108" i="27"/>
  <c r="IH108" i="27"/>
  <c r="II108" i="27"/>
  <c r="IJ108" i="27"/>
  <c r="IK108" i="27"/>
  <c r="IL108" i="27"/>
  <c r="IM108" i="27"/>
  <c r="IN108" i="27"/>
  <c r="IO108" i="27"/>
  <c r="IP108" i="27"/>
  <c r="IQ108" i="27"/>
  <c r="IR108" i="27"/>
  <c r="IS108" i="27"/>
  <c r="IT108" i="27"/>
  <c r="IU108" i="27"/>
  <c r="IV108" i="27"/>
  <c r="A107" i="27"/>
  <c r="B107" i="27"/>
  <c r="C107" i="27"/>
  <c r="D107" i="27"/>
  <c r="E107" i="27"/>
  <c r="F107" i="27"/>
  <c r="G107" i="27"/>
  <c r="H107" i="27"/>
  <c r="I107" i="27"/>
  <c r="J107" i="27"/>
  <c r="K107" i="27"/>
  <c r="L107" i="27"/>
  <c r="M107" i="27"/>
  <c r="N107" i="27"/>
  <c r="O107" i="27"/>
  <c r="P107" i="27"/>
  <c r="Q107" i="27"/>
  <c r="R107" i="27"/>
  <c r="S107" i="27"/>
  <c r="T107" i="27"/>
  <c r="U107" i="27"/>
  <c r="V107" i="27"/>
  <c r="W107" i="27"/>
  <c r="X107" i="27"/>
  <c r="Y107" i="27"/>
  <c r="Z107" i="27"/>
  <c r="AA107" i="27"/>
  <c r="AB107" i="27"/>
  <c r="AC107" i="27"/>
  <c r="AD107" i="27"/>
  <c r="AE107" i="27"/>
  <c r="AF107" i="27"/>
  <c r="AG107" i="27"/>
  <c r="AH107" i="27"/>
  <c r="AI107" i="27"/>
  <c r="AJ107" i="27"/>
  <c r="AK107" i="27"/>
  <c r="AL107" i="27"/>
  <c r="AM107" i="27"/>
  <c r="AN107" i="27"/>
  <c r="AO107" i="27"/>
  <c r="AP107" i="27"/>
  <c r="AQ107" i="27"/>
  <c r="AR107" i="27"/>
  <c r="AS107" i="27"/>
  <c r="AT107" i="27"/>
  <c r="AU107" i="27"/>
  <c r="AV107" i="27"/>
  <c r="AW107" i="27"/>
  <c r="AX107" i="27"/>
  <c r="AY107" i="27"/>
  <c r="AZ107" i="27"/>
  <c r="BA107" i="27"/>
  <c r="BB107" i="27"/>
  <c r="BC107" i="27"/>
  <c r="BD107" i="27"/>
  <c r="BE107" i="27"/>
  <c r="BF107" i="27"/>
  <c r="BG107" i="27"/>
  <c r="BH107" i="27"/>
  <c r="BI107" i="27"/>
  <c r="BJ107" i="27"/>
  <c r="BK107" i="27"/>
  <c r="BL107" i="27"/>
  <c r="BM107" i="27"/>
  <c r="BN107" i="27"/>
  <c r="BO107" i="27"/>
  <c r="BP107" i="27"/>
  <c r="BQ107" i="27"/>
  <c r="BR107" i="27"/>
  <c r="BS107" i="27"/>
  <c r="BT107" i="27"/>
  <c r="BU107" i="27"/>
  <c r="BV107" i="27"/>
  <c r="BW107" i="27"/>
  <c r="BX107" i="27"/>
  <c r="BY107" i="27"/>
  <c r="BZ107" i="27"/>
  <c r="CA107" i="27"/>
  <c r="CB107" i="27"/>
  <c r="CC107" i="27"/>
  <c r="CD107" i="27"/>
  <c r="CE107" i="27"/>
  <c r="CF107" i="27"/>
  <c r="CG107" i="27"/>
  <c r="CH107" i="27"/>
  <c r="CI107" i="27"/>
  <c r="CJ107" i="27"/>
  <c r="CK107" i="27"/>
  <c r="CL107" i="27"/>
  <c r="CM107" i="27"/>
  <c r="CN107" i="27"/>
  <c r="CO107" i="27"/>
  <c r="CP107" i="27"/>
  <c r="CQ107" i="27"/>
  <c r="CR107" i="27"/>
  <c r="CS107" i="27"/>
  <c r="CT107" i="27"/>
  <c r="CU107" i="27"/>
  <c r="CV107" i="27"/>
  <c r="CW107" i="27"/>
  <c r="CX107" i="27"/>
  <c r="CY107" i="27"/>
  <c r="CZ107" i="27"/>
  <c r="DA107" i="27"/>
  <c r="DB107" i="27"/>
  <c r="DC107" i="27"/>
  <c r="DD107" i="27"/>
  <c r="DE107" i="27"/>
  <c r="DF107" i="27"/>
  <c r="DG107" i="27"/>
  <c r="DH107" i="27"/>
  <c r="DI107" i="27"/>
  <c r="DJ107" i="27"/>
  <c r="DK107" i="27"/>
  <c r="DL107" i="27"/>
  <c r="DM107" i="27"/>
  <c r="DN107" i="27"/>
  <c r="DO107" i="27"/>
  <c r="DP107" i="27"/>
  <c r="DQ107" i="27"/>
  <c r="DR107" i="27"/>
  <c r="DS107" i="27"/>
  <c r="DT107" i="27"/>
  <c r="DU107" i="27"/>
  <c r="DV107" i="27"/>
  <c r="DW107" i="27"/>
  <c r="DX107" i="27"/>
  <c r="DY107" i="27"/>
  <c r="DZ107" i="27"/>
  <c r="EA107" i="27"/>
  <c r="EB107" i="27"/>
  <c r="EC107" i="27"/>
  <c r="ED107" i="27"/>
  <c r="EE107" i="27"/>
  <c r="EF107" i="27"/>
  <c r="EG107" i="27"/>
  <c r="EH107" i="27"/>
  <c r="EI107" i="27"/>
  <c r="EJ107" i="27"/>
  <c r="EK107" i="27"/>
  <c r="EL107" i="27"/>
  <c r="EM107" i="27"/>
  <c r="EN107" i="27"/>
  <c r="EO107" i="27"/>
  <c r="EP107" i="27"/>
  <c r="EQ107" i="27"/>
  <c r="ER107" i="27"/>
  <c r="ES107" i="27"/>
  <c r="ET107" i="27"/>
  <c r="EU107" i="27"/>
  <c r="EV107" i="27"/>
  <c r="EW107" i="27"/>
  <c r="EX107" i="27"/>
  <c r="EY107" i="27"/>
  <c r="EZ107" i="27"/>
  <c r="FA107" i="27"/>
  <c r="FB107" i="27"/>
  <c r="FC107" i="27"/>
  <c r="FD107" i="27"/>
  <c r="FE107" i="27"/>
  <c r="FF107" i="27"/>
  <c r="FG107" i="27"/>
  <c r="FH107" i="27"/>
  <c r="FI107" i="27"/>
  <c r="FJ107" i="27"/>
  <c r="FK107" i="27"/>
  <c r="FL107" i="27"/>
  <c r="FM107" i="27"/>
  <c r="FN107" i="27"/>
  <c r="FO107" i="27"/>
  <c r="FP107" i="27"/>
  <c r="FQ107" i="27"/>
  <c r="FR107" i="27"/>
  <c r="FS107" i="27"/>
  <c r="FT107" i="27"/>
  <c r="FU107" i="27"/>
  <c r="FV107" i="27"/>
  <c r="FW107" i="27"/>
  <c r="FX107" i="27"/>
  <c r="FY107" i="27"/>
  <c r="FZ107" i="27"/>
  <c r="GA107" i="27"/>
  <c r="GB107" i="27"/>
  <c r="GC107" i="27"/>
  <c r="GD107" i="27"/>
  <c r="GE107" i="27"/>
  <c r="GF107" i="27"/>
  <c r="GG107" i="27"/>
  <c r="GH107" i="27"/>
  <c r="GI107" i="27"/>
  <c r="GJ107" i="27"/>
  <c r="GK107" i="27"/>
  <c r="GL107" i="27"/>
  <c r="GM107" i="27"/>
  <c r="GN107" i="27"/>
  <c r="GO107" i="27"/>
  <c r="GP107" i="27"/>
  <c r="GQ107" i="27"/>
  <c r="GR107" i="27"/>
  <c r="GS107" i="27"/>
  <c r="GT107" i="27"/>
  <c r="GU107" i="27"/>
  <c r="GV107" i="27"/>
  <c r="GW107" i="27"/>
  <c r="GX107" i="27"/>
  <c r="GY107" i="27"/>
  <c r="GZ107" i="27"/>
  <c r="HA107" i="27"/>
  <c r="HB107" i="27"/>
  <c r="HC107" i="27"/>
  <c r="HD107" i="27"/>
  <c r="HE107" i="27"/>
  <c r="HF107" i="27"/>
  <c r="HG107" i="27"/>
  <c r="HH107" i="27"/>
  <c r="HI107" i="27"/>
  <c r="HJ107" i="27"/>
  <c r="HK107" i="27"/>
  <c r="HL107" i="27"/>
  <c r="HM107" i="27"/>
  <c r="HN107" i="27"/>
  <c r="HO107" i="27"/>
  <c r="HP107" i="27"/>
  <c r="HQ107" i="27"/>
  <c r="HR107" i="27"/>
  <c r="HS107" i="27"/>
  <c r="HT107" i="27"/>
  <c r="HU107" i="27"/>
  <c r="HV107" i="27"/>
  <c r="HW107" i="27"/>
  <c r="HX107" i="27"/>
  <c r="HY107" i="27"/>
  <c r="HZ107" i="27"/>
  <c r="IA107" i="27"/>
  <c r="IB107" i="27"/>
  <c r="IC107" i="27"/>
  <c r="ID107" i="27"/>
  <c r="IE107" i="27"/>
  <c r="IF107" i="27"/>
  <c r="IG107" i="27"/>
  <c r="IH107" i="27"/>
  <c r="II107" i="27"/>
  <c r="IJ107" i="27"/>
  <c r="IK107" i="27"/>
  <c r="IL107" i="27"/>
  <c r="IM107" i="27"/>
  <c r="IN107" i="27"/>
  <c r="IO107" i="27"/>
  <c r="IP107" i="27"/>
  <c r="IQ107" i="27"/>
  <c r="IR107" i="27"/>
  <c r="IS107" i="27"/>
  <c r="IT107" i="27"/>
  <c r="IU107" i="27"/>
  <c r="IV107" i="27"/>
  <c r="A106" i="27"/>
  <c r="B106" i="27"/>
  <c r="C106" i="27"/>
  <c r="D106" i="27"/>
  <c r="E106" i="27"/>
  <c r="F106" i="27"/>
  <c r="G106" i="27"/>
  <c r="H106" i="27"/>
  <c r="I106" i="27"/>
  <c r="J106" i="27"/>
  <c r="K106" i="27"/>
  <c r="L106" i="27"/>
  <c r="M106" i="27"/>
  <c r="N106" i="27"/>
  <c r="O106" i="27"/>
  <c r="P106" i="27"/>
  <c r="Q106" i="27"/>
  <c r="R106" i="27"/>
  <c r="S106" i="27"/>
  <c r="T106" i="27"/>
  <c r="U106" i="27"/>
  <c r="V106" i="27"/>
  <c r="W106" i="27"/>
  <c r="X106" i="27"/>
  <c r="Y106" i="27"/>
  <c r="Z106" i="27"/>
  <c r="AA106" i="27"/>
  <c r="AB106" i="27"/>
  <c r="AC106" i="27"/>
  <c r="AD106" i="27"/>
  <c r="AE106" i="27"/>
  <c r="AF106" i="27"/>
  <c r="AG106" i="27"/>
  <c r="AH106" i="27"/>
  <c r="AI106" i="27"/>
  <c r="AJ106" i="27"/>
  <c r="AK106" i="27"/>
  <c r="AL106" i="27"/>
  <c r="AM106" i="27"/>
  <c r="AN106" i="27"/>
  <c r="AO106" i="27"/>
  <c r="AP106" i="27"/>
  <c r="AQ106" i="27"/>
  <c r="AR106" i="27"/>
  <c r="AS106" i="27"/>
  <c r="AT106" i="27"/>
  <c r="AU106" i="27"/>
  <c r="AV106" i="27"/>
  <c r="AW106" i="27"/>
  <c r="AX106" i="27"/>
  <c r="AY106" i="27"/>
  <c r="AZ106" i="27"/>
  <c r="BA106" i="27"/>
  <c r="BB106" i="27"/>
  <c r="BC106" i="27"/>
  <c r="BD106" i="27"/>
  <c r="BE106" i="27"/>
  <c r="BF106" i="27"/>
  <c r="BG106" i="27"/>
  <c r="BH106" i="27"/>
  <c r="BI106" i="27"/>
  <c r="BJ106" i="27"/>
  <c r="BK106" i="27"/>
  <c r="BL106" i="27"/>
  <c r="BM106" i="27"/>
  <c r="BN106" i="27"/>
  <c r="BO106" i="27"/>
  <c r="BP106" i="27"/>
  <c r="BQ106" i="27"/>
  <c r="BR106" i="27"/>
  <c r="BS106" i="27"/>
  <c r="BT106" i="27"/>
  <c r="BU106" i="27"/>
  <c r="BV106" i="27"/>
  <c r="BW106" i="27"/>
  <c r="BX106" i="27"/>
  <c r="BY106" i="27"/>
  <c r="BZ106" i="27"/>
  <c r="CA106" i="27"/>
  <c r="CB106" i="27"/>
  <c r="CC106" i="27"/>
  <c r="CD106" i="27"/>
  <c r="CE106" i="27"/>
  <c r="CF106" i="27"/>
  <c r="CG106" i="27"/>
  <c r="CH106" i="27"/>
  <c r="CI106" i="27"/>
  <c r="CJ106" i="27"/>
  <c r="CK106" i="27"/>
  <c r="CL106" i="27"/>
  <c r="CM106" i="27"/>
  <c r="CN106" i="27"/>
  <c r="CO106" i="27"/>
  <c r="CP106" i="27"/>
  <c r="CQ106" i="27"/>
  <c r="CR106" i="27"/>
  <c r="CS106" i="27"/>
  <c r="CT106" i="27"/>
  <c r="CU106" i="27"/>
  <c r="CV106" i="27"/>
  <c r="CW106" i="27"/>
  <c r="CX106" i="27"/>
  <c r="CY106" i="27"/>
  <c r="CZ106" i="27"/>
  <c r="DA106" i="27"/>
  <c r="DB106" i="27"/>
  <c r="DC106" i="27"/>
  <c r="DD106"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EA106" i="27"/>
  <c r="EB106" i="27"/>
  <c r="EC106" i="27"/>
  <c r="ED106" i="27"/>
  <c r="EE106" i="27"/>
  <c r="EF106" i="27"/>
  <c r="EG106" i="27"/>
  <c r="EH106" i="27"/>
  <c r="EI106" i="27"/>
  <c r="EJ106" i="27"/>
  <c r="EK106" i="27"/>
  <c r="EL106" i="27"/>
  <c r="EM106" i="27"/>
  <c r="EN106" i="27"/>
  <c r="EO106" i="27"/>
  <c r="EP106" i="27"/>
  <c r="EQ106" i="27"/>
  <c r="ER106" i="27"/>
  <c r="ES106" i="27"/>
  <c r="ET106" i="27"/>
  <c r="EU106" i="27"/>
  <c r="EV106" i="27"/>
  <c r="EW106" i="27"/>
  <c r="EX106" i="27"/>
  <c r="EY106" i="27"/>
  <c r="EZ106" i="27"/>
  <c r="FA106" i="27"/>
  <c r="FB106" i="27"/>
  <c r="FC106" i="27"/>
  <c r="FD106" i="27"/>
  <c r="FE106" i="27"/>
  <c r="FF106" i="27"/>
  <c r="FG106" i="27"/>
  <c r="FH106" i="27"/>
  <c r="FI106" i="27"/>
  <c r="FJ106" i="27"/>
  <c r="FK106" i="27"/>
  <c r="FL106" i="27"/>
  <c r="FM106" i="27"/>
  <c r="FN106" i="27"/>
  <c r="FO106" i="27"/>
  <c r="FP106" i="27"/>
  <c r="FQ106" i="27"/>
  <c r="FR106" i="27"/>
  <c r="FS106" i="27"/>
  <c r="FT106" i="27"/>
  <c r="FU106" i="27"/>
  <c r="FV106" i="27"/>
  <c r="FW106" i="27"/>
  <c r="FX106" i="27"/>
  <c r="FY106" i="27"/>
  <c r="FZ106" i="27"/>
  <c r="GA106" i="27"/>
  <c r="GB106" i="27"/>
  <c r="GC106" i="27"/>
  <c r="GD106" i="27"/>
  <c r="GE106" i="27"/>
  <c r="GF106" i="27"/>
  <c r="GG106" i="27"/>
  <c r="GH106" i="27"/>
  <c r="GI106" i="27"/>
  <c r="GJ106" i="27"/>
  <c r="GK106" i="27"/>
  <c r="GL106" i="27"/>
  <c r="GM106" i="27"/>
  <c r="GN106" i="27"/>
  <c r="GO106" i="27"/>
  <c r="GP106" i="27"/>
  <c r="GQ106" i="27"/>
  <c r="GR106" i="27"/>
  <c r="GS106" i="27"/>
  <c r="GT106" i="27"/>
  <c r="GU106" i="27"/>
  <c r="GV106" i="27"/>
  <c r="GW106" i="27"/>
  <c r="GX106" i="27"/>
  <c r="GY106" i="27"/>
  <c r="GZ106" i="27"/>
  <c r="HA106" i="27"/>
  <c r="HB106" i="27"/>
  <c r="HC106" i="27"/>
  <c r="HD106" i="27"/>
  <c r="HE106" i="27"/>
  <c r="HF106" i="27"/>
  <c r="HG106" i="27"/>
  <c r="HH106" i="27"/>
  <c r="HI106" i="27"/>
  <c r="HJ106" i="27"/>
  <c r="HK106" i="27"/>
  <c r="HL106" i="27"/>
  <c r="HM106" i="27"/>
  <c r="HN106" i="27"/>
  <c r="HO106" i="27"/>
  <c r="HP106" i="27"/>
  <c r="HQ106" i="27"/>
  <c r="HR106" i="27"/>
  <c r="HS106" i="27"/>
  <c r="HT106" i="27"/>
  <c r="HU106" i="27"/>
  <c r="HV106" i="27"/>
  <c r="HW106" i="27"/>
  <c r="HX106" i="27"/>
  <c r="HY106" i="27"/>
  <c r="HZ106" i="27"/>
  <c r="IA106" i="27"/>
  <c r="IB106" i="27"/>
  <c r="IC106" i="27"/>
  <c r="ID106" i="27"/>
  <c r="IE106" i="27"/>
  <c r="IF106" i="27"/>
  <c r="IG106" i="27"/>
  <c r="IH106" i="27"/>
  <c r="II106" i="27"/>
  <c r="IJ106" i="27"/>
  <c r="IK106" i="27"/>
  <c r="IL106" i="27"/>
  <c r="IM106" i="27"/>
  <c r="IN106" i="27"/>
  <c r="IO106" i="27"/>
  <c r="IP106" i="27"/>
  <c r="IQ106" i="27"/>
  <c r="IR106" i="27"/>
  <c r="IS106" i="27"/>
  <c r="IT106" i="27"/>
  <c r="IU106" i="27"/>
  <c r="IV106" i="27"/>
  <c r="A105" i="27"/>
  <c r="B105" i="27"/>
  <c r="C105" i="27"/>
  <c r="D105" i="27"/>
  <c r="E105" i="27"/>
  <c r="F105" i="27"/>
  <c r="G105" i="27"/>
  <c r="H105" i="27"/>
  <c r="I105" i="27"/>
  <c r="J105" i="27"/>
  <c r="K105" i="27"/>
  <c r="L105" i="27"/>
  <c r="M105" i="27"/>
  <c r="N105" i="27"/>
  <c r="O105" i="27"/>
  <c r="P105" i="27"/>
  <c r="Q105" i="27"/>
  <c r="R105" i="27"/>
  <c r="S105" i="27"/>
  <c r="T105" i="27"/>
  <c r="U105" i="27"/>
  <c r="V105" i="27"/>
  <c r="W105" i="27"/>
  <c r="X105" i="27"/>
  <c r="Y105" i="27"/>
  <c r="Z105" i="27"/>
  <c r="AA105" i="27"/>
  <c r="AB105" i="27"/>
  <c r="AC105" i="27"/>
  <c r="AD105" i="27"/>
  <c r="AE105" i="27"/>
  <c r="AF105" i="27"/>
  <c r="AG105" i="27"/>
  <c r="AH105" i="27"/>
  <c r="AI105" i="27"/>
  <c r="AJ105" i="27"/>
  <c r="AK105" i="27"/>
  <c r="AL105" i="27"/>
  <c r="AM105" i="27"/>
  <c r="AN105" i="27"/>
  <c r="AO105" i="27"/>
  <c r="AP105" i="27"/>
  <c r="AQ105" i="27"/>
  <c r="AR105" i="27"/>
  <c r="AS105" i="27"/>
  <c r="AT105" i="27"/>
  <c r="AU105" i="27"/>
  <c r="AV105" i="27"/>
  <c r="AW105" i="27"/>
  <c r="AX105" i="27"/>
  <c r="AY105" i="27"/>
  <c r="AZ105" i="27"/>
  <c r="BA105" i="27"/>
  <c r="BB105" i="27"/>
  <c r="BC105" i="27"/>
  <c r="BD105" i="27"/>
  <c r="BE105" i="27"/>
  <c r="BF105" i="27"/>
  <c r="BG105" i="27"/>
  <c r="BH105" i="27"/>
  <c r="BI105" i="27"/>
  <c r="BJ105" i="27"/>
  <c r="BK105" i="27"/>
  <c r="BL105" i="27"/>
  <c r="BM105" i="27"/>
  <c r="BN105" i="27"/>
  <c r="BO105" i="27"/>
  <c r="BP105" i="27"/>
  <c r="BQ105" i="27"/>
  <c r="BR105" i="27"/>
  <c r="BS105" i="27"/>
  <c r="BT105" i="27"/>
  <c r="BU105" i="27"/>
  <c r="BV105" i="27"/>
  <c r="BW105" i="27"/>
  <c r="BX105" i="27"/>
  <c r="BY105" i="27"/>
  <c r="BZ105" i="27"/>
  <c r="CA105" i="27"/>
  <c r="CB105" i="27"/>
  <c r="CC105" i="27"/>
  <c r="CD105" i="27"/>
  <c r="CE105" i="27"/>
  <c r="CF105" i="27"/>
  <c r="CG105" i="27"/>
  <c r="CH105" i="27"/>
  <c r="CI105" i="27"/>
  <c r="CJ105" i="27"/>
  <c r="CK105" i="27"/>
  <c r="CL105" i="27"/>
  <c r="CM105" i="27"/>
  <c r="CN105" i="27"/>
  <c r="CO105" i="27"/>
  <c r="CP105" i="27"/>
  <c r="CQ105" i="27"/>
  <c r="CR105" i="27"/>
  <c r="CS105" i="27"/>
  <c r="CT105" i="27"/>
  <c r="CU105" i="27"/>
  <c r="CV105" i="27"/>
  <c r="CW105" i="27"/>
  <c r="CX105" i="27"/>
  <c r="CY105" i="27"/>
  <c r="CZ105" i="27"/>
  <c r="DA105" i="27"/>
  <c r="DB105" i="27"/>
  <c r="DC105" i="27"/>
  <c r="DD105"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EA105" i="27"/>
  <c r="EB105" i="27"/>
  <c r="EC105" i="27"/>
  <c r="ED105" i="27"/>
  <c r="EE105" i="27"/>
  <c r="EF105" i="27"/>
  <c r="EG105" i="27"/>
  <c r="EH105" i="27"/>
  <c r="EI105" i="27"/>
  <c r="EJ105" i="27"/>
  <c r="EK105" i="27"/>
  <c r="EL105" i="27"/>
  <c r="EM105" i="27"/>
  <c r="EN105" i="27"/>
  <c r="EO105" i="27"/>
  <c r="EP105" i="27"/>
  <c r="EQ105" i="27"/>
  <c r="ER105" i="27"/>
  <c r="ES105" i="27"/>
  <c r="ET105" i="27"/>
  <c r="EU105" i="27"/>
  <c r="EV105" i="27"/>
  <c r="EW105" i="27"/>
  <c r="EX105" i="27"/>
  <c r="EY105" i="27"/>
  <c r="EZ105" i="27"/>
  <c r="FA105" i="27"/>
  <c r="FB105" i="27"/>
  <c r="FC105" i="27"/>
  <c r="FD105" i="27"/>
  <c r="FE105" i="27"/>
  <c r="FF105" i="27"/>
  <c r="FG105" i="27"/>
  <c r="FH105" i="27"/>
  <c r="FI105" i="27"/>
  <c r="FJ105" i="27"/>
  <c r="FK105" i="27"/>
  <c r="FL105" i="27"/>
  <c r="FM105" i="27"/>
  <c r="FN105" i="27"/>
  <c r="FO105" i="27"/>
  <c r="FP105" i="27"/>
  <c r="FQ105" i="27"/>
  <c r="FR105" i="27"/>
  <c r="FS105" i="27"/>
  <c r="FT105" i="27"/>
  <c r="FU105" i="27"/>
  <c r="FV105" i="27"/>
  <c r="FW105" i="27"/>
  <c r="FX105" i="27"/>
  <c r="FY105" i="27"/>
  <c r="FZ105" i="27"/>
  <c r="GA105" i="27"/>
  <c r="GB105" i="27"/>
  <c r="GC105" i="27"/>
  <c r="GD105" i="27"/>
  <c r="GE105" i="27"/>
  <c r="GF105" i="27"/>
  <c r="GG105" i="27"/>
  <c r="GH105" i="27"/>
  <c r="GI105" i="27"/>
  <c r="GJ105" i="27"/>
  <c r="GK105" i="27"/>
  <c r="GL105" i="27"/>
  <c r="GM105" i="27"/>
  <c r="GN105" i="27"/>
  <c r="GO105" i="27"/>
  <c r="GP105" i="27"/>
  <c r="GQ105" i="27"/>
  <c r="GR105" i="27"/>
  <c r="GS105" i="27"/>
  <c r="GT105" i="27"/>
  <c r="GU105" i="27"/>
  <c r="GV105" i="27"/>
  <c r="GW105" i="27"/>
  <c r="GX105" i="27"/>
  <c r="GY105" i="27"/>
  <c r="GZ105" i="27"/>
  <c r="HA105" i="27"/>
  <c r="HB105" i="27"/>
  <c r="HC105" i="27"/>
  <c r="HD105" i="27"/>
  <c r="HE105" i="27"/>
  <c r="HF105" i="27"/>
  <c r="HG105" i="27"/>
  <c r="HH105" i="27"/>
  <c r="HI105" i="27"/>
  <c r="HJ105" i="27"/>
  <c r="HK105" i="27"/>
  <c r="HL105" i="27"/>
  <c r="HM105" i="27"/>
  <c r="HN105" i="27"/>
  <c r="HO105" i="27"/>
  <c r="HP105" i="27"/>
  <c r="HQ105" i="27"/>
  <c r="HR105" i="27"/>
  <c r="HS105" i="27"/>
  <c r="HT105" i="27"/>
  <c r="HU105" i="27"/>
  <c r="HV105" i="27"/>
  <c r="HW105" i="27"/>
  <c r="HX105" i="27"/>
  <c r="HY105" i="27"/>
  <c r="HZ105" i="27"/>
  <c r="IA105" i="27"/>
  <c r="IB105" i="27"/>
  <c r="IC105" i="27"/>
  <c r="ID105" i="27"/>
  <c r="IE105" i="27"/>
  <c r="IF105" i="27"/>
  <c r="IG105" i="27"/>
  <c r="IH105" i="27"/>
  <c r="II105" i="27"/>
  <c r="IJ105" i="27"/>
  <c r="IK105" i="27"/>
  <c r="IL105" i="27"/>
  <c r="IM105" i="27"/>
  <c r="IN105" i="27"/>
  <c r="IO105" i="27"/>
  <c r="IP105" i="27"/>
  <c r="IQ105" i="27"/>
  <c r="IR105" i="27"/>
  <c r="IS105" i="27"/>
  <c r="IT105" i="27"/>
  <c r="IU105" i="27"/>
  <c r="IV105" i="27"/>
  <c r="A104" i="27"/>
  <c r="B104" i="27"/>
  <c r="C104" i="27"/>
  <c r="D104" i="27"/>
  <c r="E104" i="27"/>
  <c r="F104" i="27"/>
  <c r="G104" i="27"/>
  <c r="H104" i="27"/>
  <c r="I104" i="27"/>
  <c r="J104" i="27"/>
  <c r="K104" i="27"/>
  <c r="L104" i="27"/>
  <c r="M104" i="27"/>
  <c r="N104" i="27"/>
  <c r="O104" i="27"/>
  <c r="P104" i="27"/>
  <c r="Q104" i="27"/>
  <c r="R104" i="27"/>
  <c r="S104" i="27"/>
  <c r="T104" i="27"/>
  <c r="U104" i="27"/>
  <c r="V104" i="27"/>
  <c r="W104" i="27"/>
  <c r="X104" i="27"/>
  <c r="Y104" i="27"/>
  <c r="Z104" i="27"/>
  <c r="AA104" i="27"/>
  <c r="AB104" i="27"/>
  <c r="AC104" i="27"/>
  <c r="AD104" i="27"/>
  <c r="AE104" i="27"/>
  <c r="AF104" i="27"/>
  <c r="AG104" i="27"/>
  <c r="AH104" i="27"/>
  <c r="AI104" i="27"/>
  <c r="AJ104" i="27"/>
  <c r="AK104" i="27"/>
  <c r="AL104" i="27"/>
  <c r="AM104" i="27"/>
  <c r="AN104" i="27"/>
  <c r="AO104" i="27"/>
  <c r="AP104" i="27"/>
  <c r="AQ104" i="27"/>
  <c r="AR104" i="27"/>
  <c r="AS104" i="27"/>
  <c r="AT104" i="27"/>
  <c r="AU104" i="27"/>
  <c r="AV104" i="27"/>
  <c r="AW104" i="27"/>
  <c r="AX104" i="27"/>
  <c r="AY104" i="27"/>
  <c r="AZ104" i="27"/>
  <c r="BA104" i="27"/>
  <c r="BB104" i="27"/>
  <c r="BC104" i="27"/>
  <c r="BD104" i="27"/>
  <c r="BE104" i="27"/>
  <c r="BF104" i="27"/>
  <c r="BG104" i="27"/>
  <c r="BH104" i="27"/>
  <c r="BI104" i="27"/>
  <c r="BJ104" i="27"/>
  <c r="BK104" i="27"/>
  <c r="BL104" i="27"/>
  <c r="BM104" i="27"/>
  <c r="BN104" i="27"/>
  <c r="BO104" i="27"/>
  <c r="BP104" i="27"/>
  <c r="BQ104" i="27"/>
  <c r="BR104" i="27"/>
  <c r="BS104" i="27"/>
  <c r="BT104" i="27"/>
  <c r="BU104" i="27"/>
  <c r="BV104" i="27"/>
  <c r="BW104" i="27"/>
  <c r="BX104" i="27"/>
  <c r="BY104" i="27"/>
  <c r="BZ104" i="27"/>
  <c r="CA104" i="27"/>
  <c r="CB104" i="27"/>
  <c r="CC104" i="27"/>
  <c r="CD104" i="27"/>
  <c r="CE104" i="27"/>
  <c r="CF104" i="27"/>
  <c r="CG104" i="27"/>
  <c r="CH104" i="27"/>
  <c r="CI104" i="27"/>
  <c r="CJ104" i="27"/>
  <c r="CK104" i="27"/>
  <c r="CL104" i="27"/>
  <c r="CM104" i="27"/>
  <c r="CN104" i="27"/>
  <c r="CO104" i="27"/>
  <c r="CP104" i="27"/>
  <c r="CQ104" i="27"/>
  <c r="CR104" i="27"/>
  <c r="CS104" i="27"/>
  <c r="CT104" i="27"/>
  <c r="CU104" i="27"/>
  <c r="CV104" i="27"/>
  <c r="CW104" i="27"/>
  <c r="CX104" i="27"/>
  <c r="CY104" i="27"/>
  <c r="CZ104" i="27"/>
  <c r="DA104" i="27"/>
  <c r="DB104" i="27"/>
  <c r="DC104" i="27"/>
  <c r="DD104"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EA104" i="27"/>
  <c r="EB104" i="27"/>
  <c r="EC104" i="27"/>
  <c r="ED104" i="27"/>
  <c r="EE104" i="27"/>
  <c r="EF104" i="27"/>
  <c r="EG104" i="27"/>
  <c r="EH104" i="27"/>
  <c r="EI104" i="27"/>
  <c r="EJ104" i="27"/>
  <c r="EK104" i="27"/>
  <c r="EL104" i="27"/>
  <c r="EM104" i="27"/>
  <c r="EN104" i="27"/>
  <c r="EO104" i="27"/>
  <c r="EP104" i="27"/>
  <c r="EQ104" i="27"/>
  <c r="ER104" i="27"/>
  <c r="ES104" i="27"/>
  <c r="ET104" i="27"/>
  <c r="EU104" i="27"/>
  <c r="EV104" i="27"/>
  <c r="EW104" i="27"/>
  <c r="EX104" i="27"/>
  <c r="EY104" i="27"/>
  <c r="EZ104" i="27"/>
  <c r="FA104" i="27"/>
  <c r="FB104" i="27"/>
  <c r="FC104" i="27"/>
  <c r="FD104" i="27"/>
  <c r="FE104" i="27"/>
  <c r="FF104" i="27"/>
  <c r="FG104" i="27"/>
  <c r="FH104" i="27"/>
  <c r="FI104" i="27"/>
  <c r="FJ104" i="27"/>
  <c r="FK104" i="27"/>
  <c r="FL104" i="27"/>
  <c r="FM104" i="27"/>
  <c r="FN104" i="27"/>
  <c r="FO104" i="27"/>
  <c r="FP104" i="27"/>
  <c r="FQ104" i="27"/>
  <c r="FR104" i="27"/>
  <c r="FS104" i="27"/>
  <c r="FT104" i="27"/>
  <c r="FU104" i="27"/>
  <c r="FV104" i="27"/>
  <c r="FW104" i="27"/>
  <c r="FX104" i="27"/>
  <c r="FY104" i="27"/>
  <c r="FZ104" i="27"/>
  <c r="GA104" i="27"/>
  <c r="GB104" i="27"/>
  <c r="GC104" i="27"/>
  <c r="GD104" i="27"/>
  <c r="GE104" i="27"/>
  <c r="GF104" i="27"/>
  <c r="GG104" i="27"/>
  <c r="GH104" i="27"/>
  <c r="GI104" i="27"/>
  <c r="GJ104" i="27"/>
  <c r="GK104" i="27"/>
  <c r="GL104" i="27"/>
  <c r="GM104" i="27"/>
  <c r="GN104" i="27"/>
  <c r="GO104" i="27"/>
  <c r="GP104" i="27"/>
  <c r="GQ104" i="27"/>
  <c r="GR104" i="27"/>
  <c r="GS104" i="27"/>
  <c r="GT104" i="27"/>
  <c r="GU104" i="27"/>
  <c r="GV104" i="27"/>
  <c r="GW104" i="27"/>
  <c r="GX104" i="27"/>
  <c r="GY104" i="27"/>
  <c r="GZ104" i="27"/>
  <c r="HA104" i="27"/>
  <c r="HB104" i="27"/>
  <c r="HC104" i="27"/>
  <c r="HD104" i="27"/>
  <c r="HE104" i="27"/>
  <c r="HF104" i="27"/>
  <c r="HG104" i="27"/>
  <c r="HH104" i="27"/>
  <c r="HI104" i="27"/>
  <c r="HJ104" i="27"/>
  <c r="HK104" i="27"/>
  <c r="HL104" i="27"/>
  <c r="HM104" i="27"/>
  <c r="HN104" i="27"/>
  <c r="HO104" i="27"/>
  <c r="HP104" i="27"/>
  <c r="HQ104" i="27"/>
  <c r="HR104" i="27"/>
  <c r="HS104" i="27"/>
  <c r="HT104" i="27"/>
  <c r="HU104" i="27"/>
  <c r="HV104" i="27"/>
  <c r="HW104" i="27"/>
  <c r="HX104" i="27"/>
  <c r="HY104" i="27"/>
  <c r="HZ104" i="27"/>
  <c r="IA104" i="27"/>
  <c r="IB104" i="27"/>
  <c r="IC104" i="27"/>
  <c r="ID104" i="27"/>
  <c r="IE104" i="27"/>
  <c r="IF104" i="27"/>
  <c r="IG104" i="27"/>
  <c r="IH104" i="27"/>
  <c r="II104" i="27"/>
  <c r="IJ104" i="27"/>
  <c r="IK104" i="27"/>
  <c r="IL104" i="27"/>
  <c r="IM104" i="27"/>
  <c r="IN104" i="27"/>
  <c r="IO104" i="27"/>
  <c r="IP104" i="27"/>
  <c r="IQ104" i="27"/>
  <c r="IR104" i="27"/>
  <c r="IS104" i="27"/>
  <c r="IT104" i="27"/>
  <c r="IU104" i="27"/>
  <c r="IV104" i="27"/>
  <c r="A103" i="27"/>
  <c r="B103" i="27"/>
  <c r="C103" i="27"/>
  <c r="D103" i="27"/>
  <c r="E103" i="27"/>
  <c r="F103" i="27"/>
  <c r="G103" i="27"/>
  <c r="H103" i="27"/>
  <c r="I103" i="27"/>
  <c r="J103" i="27"/>
  <c r="K103" i="27"/>
  <c r="L103" i="27"/>
  <c r="M103" i="27"/>
  <c r="N103" i="27"/>
  <c r="O103" i="27"/>
  <c r="P103" i="27"/>
  <c r="Q103" i="27"/>
  <c r="R103" i="27"/>
  <c r="S103" i="27"/>
  <c r="T103" i="27"/>
  <c r="U103" i="27"/>
  <c r="V103" i="27"/>
  <c r="W103" i="27"/>
  <c r="X103" i="27"/>
  <c r="Y103" i="27"/>
  <c r="Z103" i="27"/>
  <c r="AA103" i="27"/>
  <c r="AB103" i="27"/>
  <c r="AC103" i="27"/>
  <c r="AD103" i="27"/>
  <c r="AE103" i="27"/>
  <c r="AF103" i="27"/>
  <c r="AG103" i="27"/>
  <c r="AH103" i="27"/>
  <c r="AI103" i="27"/>
  <c r="AJ103" i="27"/>
  <c r="AK103" i="27"/>
  <c r="AL103" i="27"/>
  <c r="AM103" i="27"/>
  <c r="AN103" i="27"/>
  <c r="AO103" i="27"/>
  <c r="AP103" i="27"/>
  <c r="AQ103" i="27"/>
  <c r="AR103" i="27"/>
  <c r="AS103" i="27"/>
  <c r="AT103" i="27"/>
  <c r="AU103" i="27"/>
  <c r="AV103" i="27"/>
  <c r="AW103" i="27"/>
  <c r="AX103" i="27"/>
  <c r="AY103" i="27"/>
  <c r="AZ103" i="27"/>
  <c r="BA103" i="27"/>
  <c r="BB103" i="27"/>
  <c r="BC103" i="27"/>
  <c r="BD103" i="27"/>
  <c r="BE103" i="27"/>
  <c r="BF103" i="27"/>
  <c r="BG103" i="27"/>
  <c r="BH103" i="27"/>
  <c r="BI103" i="27"/>
  <c r="BJ103" i="27"/>
  <c r="BK103" i="27"/>
  <c r="BL103" i="27"/>
  <c r="BM103" i="27"/>
  <c r="BN103" i="27"/>
  <c r="BO103" i="27"/>
  <c r="BP103" i="27"/>
  <c r="BQ103" i="27"/>
  <c r="BR103" i="27"/>
  <c r="BS103" i="27"/>
  <c r="BT103" i="27"/>
  <c r="BU103" i="27"/>
  <c r="BV103" i="27"/>
  <c r="BW103" i="27"/>
  <c r="BX103" i="27"/>
  <c r="BY103" i="27"/>
  <c r="BZ103" i="27"/>
  <c r="CA103" i="27"/>
  <c r="CB103" i="27"/>
  <c r="CC103" i="27"/>
  <c r="CD103" i="27"/>
  <c r="CE103" i="27"/>
  <c r="CF103" i="27"/>
  <c r="CG103" i="27"/>
  <c r="CH103" i="27"/>
  <c r="CI103" i="27"/>
  <c r="CJ103" i="27"/>
  <c r="CK103" i="27"/>
  <c r="CL103" i="27"/>
  <c r="CM103" i="27"/>
  <c r="CN103" i="27"/>
  <c r="CO103" i="27"/>
  <c r="CP103" i="27"/>
  <c r="CQ103" i="27"/>
  <c r="CR103" i="27"/>
  <c r="CS103" i="27"/>
  <c r="CT103" i="27"/>
  <c r="CU103" i="27"/>
  <c r="CV103" i="27"/>
  <c r="CW103" i="27"/>
  <c r="CX103" i="27"/>
  <c r="CY103" i="27"/>
  <c r="CZ103" i="27"/>
  <c r="DA103" i="27"/>
  <c r="DB103" i="27"/>
  <c r="DC103" i="27"/>
  <c r="DD103"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EA103" i="27"/>
  <c r="EB103" i="27"/>
  <c r="EC103" i="27"/>
  <c r="ED103" i="27"/>
  <c r="EE103" i="27"/>
  <c r="EF103" i="27"/>
  <c r="EG103" i="27"/>
  <c r="EH103" i="27"/>
  <c r="EI103" i="27"/>
  <c r="EJ103" i="27"/>
  <c r="EK103" i="27"/>
  <c r="EL103" i="27"/>
  <c r="EM103" i="27"/>
  <c r="EN103" i="27"/>
  <c r="EO103" i="27"/>
  <c r="EP103" i="27"/>
  <c r="EQ103" i="27"/>
  <c r="ER103" i="27"/>
  <c r="ES103" i="27"/>
  <c r="ET103" i="27"/>
  <c r="EU103" i="27"/>
  <c r="EV103" i="27"/>
  <c r="EW103" i="27"/>
  <c r="EX103" i="27"/>
  <c r="EY103" i="27"/>
  <c r="EZ103" i="27"/>
  <c r="FA103" i="27"/>
  <c r="FB103" i="27"/>
  <c r="FC103" i="27"/>
  <c r="FD103" i="27"/>
  <c r="FE103" i="27"/>
  <c r="FF103" i="27"/>
  <c r="FG103" i="27"/>
  <c r="FH103" i="27"/>
  <c r="FI103" i="27"/>
  <c r="FJ103" i="27"/>
  <c r="FK103" i="27"/>
  <c r="FL103" i="27"/>
  <c r="FM103" i="27"/>
  <c r="FN103" i="27"/>
  <c r="FO103" i="27"/>
  <c r="FP103" i="27"/>
  <c r="FQ103" i="27"/>
  <c r="FR103" i="27"/>
  <c r="FS103" i="27"/>
  <c r="FT103" i="27"/>
  <c r="FU103" i="27"/>
  <c r="FV103" i="27"/>
  <c r="FW103" i="27"/>
  <c r="FX103" i="27"/>
  <c r="FY103" i="27"/>
  <c r="FZ103" i="27"/>
  <c r="GA103" i="27"/>
  <c r="GB103" i="27"/>
  <c r="GC103" i="27"/>
  <c r="GD103" i="27"/>
  <c r="GE103" i="27"/>
  <c r="GF103" i="27"/>
  <c r="GG103" i="27"/>
  <c r="GH103" i="27"/>
  <c r="GI103" i="27"/>
  <c r="GJ103" i="27"/>
  <c r="GK103" i="27"/>
  <c r="GL103" i="27"/>
  <c r="GM103" i="27"/>
  <c r="GN103" i="27"/>
  <c r="GO103" i="27"/>
  <c r="GP103" i="27"/>
  <c r="GQ103" i="27"/>
  <c r="GR103" i="27"/>
  <c r="GS103" i="27"/>
  <c r="GT103" i="27"/>
  <c r="GU103" i="27"/>
  <c r="GV103" i="27"/>
  <c r="GW103" i="27"/>
  <c r="GX103" i="27"/>
  <c r="GY103" i="27"/>
  <c r="GZ103" i="27"/>
  <c r="HA103" i="27"/>
  <c r="HB103" i="27"/>
  <c r="HC103" i="27"/>
  <c r="HD103" i="27"/>
  <c r="HE103" i="27"/>
  <c r="HF103" i="27"/>
  <c r="HG103" i="27"/>
  <c r="HH103" i="27"/>
  <c r="HI103" i="27"/>
  <c r="HJ103" i="27"/>
  <c r="HK103" i="27"/>
  <c r="HL103" i="27"/>
  <c r="HM103" i="27"/>
  <c r="HN103" i="27"/>
  <c r="HO103" i="27"/>
  <c r="HP103" i="27"/>
  <c r="HQ103" i="27"/>
  <c r="HR103" i="27"/>
  <c r="HS103" i="27"/>
  <c r="HT103" i="27"/>
  <c r="HU103" i="27"/>
  <c r="HV103" i="27"/>
  <c r="HW103" i="27"/>
  <c r="HX103" i="27"/>
  <c r="HY103" i="27"/>
  <c r="HZ103" i="27"/>
  <c r="IA103" i="27"/>
  <c r="IB103" i="27"/>
  <c r="IC103" i="27"/>
  <c r="ID103" i="27"/>
  <c r="IE103" i="27"/>
  <c r="IF103" i="27"/>
  <c r="IG103" i="27"/>
  <c r="IH103" i="27"/>
  <c r="II103" i="27"/>
  <c r="IJ103" i="27"/>
  <c r="IK103" i="27"/>
  <c r="IL103" i="27"/>
  <c r="IM103" i="27"/>
  <c r="IN103" i="27"/>
  <c r="IO103" i="27"/>
  <c r="IP103" i="27"/>
  <c r="IQ103" i="27"/>
  <c r="IR103" i="27"/>
  <c r="IS103" i="27"/>
  <c r="IT103" i="27"/>
  <c r="IU103" i="27"/>
  <c r="IV103" i="27"/>
  <c r="A102" i="27"/>
  <c r="B102" i="27"/>
  <c r="C102" i="27"/>
  <c r="D102" i="27"/>
  <c r="E102" i="27"/>
  <c r="F102"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F102" i="27"/>
  <c r="AG102" i="27"/>
  <c r="AH102" i="27"/>
  <c r="AI102" i="27"/>
  <c r="AJ102" i="27"/>
  <c r="AK102" i="27"/>
  <c r="AL102" i="27"/>
  <c r="AM102" i="27"/>
  <c r="AN102" i="27"/>
  <c r="AO102" i="27"/>
  <c r="AP102" i="27"/>
  <c r="AQ102" i="27"/>
  <c r="AR102" i="27"/>
  <c r="AS102" i="27"/>
  <c r="AT102" i="27"/>
  <c r="AU102" i="27"/>
  <c r="AV102" i="27"/>
  <c r="AW102" i="27"/>
  <c r="AX102" i="27"/>
  <c r="AY102" i="27"/>
  <c r="AZ102" i="27"/>
  <c r="BA102" i="27"/>
  <c r="BB102" i="27"/>
  <c r="BC102" i="27"/>
  <c r="BD102" i="27"/>
  <c r="BE102" i="27"/>
  <c r="BF102" i="27"/>
  <c r="BG102" i="27"/>
  <c r="BH102" i="27"/>
  <c r="BI102" i="27"/>
  <c r="BJ102" i="27"/>
  <c r="BK102" i="27"/>
  <c r="BL102" i="27"/>
  <c r="BM102" i="27"/>
  <c r="BN102" i="27"/>
  <c r="BO102" i="27"/>
  <c r="BP102" i="27"/>
  <c r="BQ102" i="27"/>
  <c r="BR102" i="27"/>
  <c r="BS102" i="27"/>
  <c r="BT102" i="27"/>
  <c r="BU102" i="27"/>
  <c r="BV102" i="27"/>
  <c r="BW102" i="27"/>
  <c r="BX102" i="27"/>
  <c r="BY102" i="27"/>
  <c r="BZ102" i="27"/>
  <c r="CA102" i="27"/>
  <c r="CB102" i="27"/>
  <c r="CC102" i="27"/>
  <c r="CD102" i="27"/>
  <c r="CE102" i="27"/>
  <c r="CF102" i="27"/>
  <c r="CG102" i="27"/>
  <c r="CH102" i="27"/>
  <c r="CI102" i="27"/>
  <c r="CJ102" i="27"/>
  <c r="CK102" i="27"/>
  <c r="CL102" i="27"/>
  <c r="CM102" i="27"/>
  <c r="CN102" i="27"/>
  <c r="CO102" i="27"/>
  <c r="CP102" i="27"/>
  <c r="CQ102" i="27"/>
  <c r="CR102" i="27"/>
  <c r="CS102" i="27"/>
  <c r="CT102" i="27"/>
  <c r="CU102" i="27"/>
  <c r="CV102" i="27"/>
  <c r="CW102" i="27"/>
  <c r="CX102" i="27"/>
  <c r="CY102" i="27"/>
  <c r="CZ102" i="27"/>
  <c r="DA102" i="27"/>
  <c r="DB102" i="27"/>
  <c r="DC102" i="27"/>
  <c r="DD102"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EA102" i="27"/>
  <c r="EB102" i="27"/>
  <c r="EC102" i="27"/>
  <c r="ED102" i="27"/>
  <c r="EE102" i="27"/>
  <c r="EF102" i="27"/>
  <c r="EG102" i="27"/>
  <c r="EH102" i="27"/>
  <c r="EI102" i="27"/>
  <c r="EJ102" i="27"/>
  <c r="EK102" i="27"/>
  <c r="EL102" i="27"/>
  <c r="EM102" i="27"/>
  <c r="EN102" i="27"/>
  <c r="EO102" i="27"/>
  <c r="EP102" i="27"/>
  <c r="EQ102" i="27"/>
  <c r="ER102" i="27"/>
  <c r="ES102" i="27"/>
  <c r="ET102" i="27"/>
  <c r="EU102" i="27"/>
  <c r="EV102" i="27"/>
  <c r="EW102" i="27"/>
  <c r="EX102" i="27"/>
  <c r="EY102" i="27"/>
  <c r="EZ102" i="27"/>
  <c r="FA102" i="27"/>
  <c r="FB102" i="27"/>
  <c r="FC102" i="27"/>
  <c r="FD102" i="27"/>
  <c r="FE102" i="27"/>
  <c r="FF102" i="27"/>
  <c r="FG102" i="27"/>
  <c r="FH102" i="27"/>
  <c r="FI102" i="27"/>
  <c r="FJ102" i="27"/>
  <c r="FK102" i="27"/>
  <c r="FL102" i="27"/>
  <c r="FM102" i="27"/>
  <c r="FN102" i="27"/>
  <c r="FO102" i="27"/>
  <c r="FP102" i="27"/>
  <c r="FQ102" i="27"/>
  <c r="FR102" i="27"/>
  <c r="FS102" i="27"/>
  <c r="FT102" i="27"/>
  <c r="FU102" i="27"/>
  <c r="FV102" i="27"/>
  <c r="FW102" i="27"/>
  <c r="FX102" i="27"/>
  <c r="FY102" i="27"/>
  <c r="FZ102" i="27"/>
  <c r="GA102" i="27"/>
  <c r="GB102" i="27"/>
  <c r="GC102" i="27"/>
  <c r="GD102" i="27"/>
  <c r="GE102" i="27"/>
  <c r="GF102" i="27"/>
  <c r="GG102" i="27"/>
  <c r="GH102" i="27"/>
  <c r="GI102" i="27"/>
  <c r="GJ102" i="27"/>
  <c r="GK102" i="27"/>
  <c r="GL102" i="27"/>
  <c r="GM102" i="27"/>
  <c r="GN102" i="27"/>
  <c r="GO102" i="27"/>
  <c r="GP102" i="27"/>
  <c r="GQ102" i="27"/>
  <c r="GR102" i="27"/>
  <c r="GS102" i="27"/>
  <c r="GT102" i="27"/>
  <c r="GU102" i="27"/>
  <c r="GV102" i="27"/>
  <c r="GW102" i="27"/>
  <c r="GX102" i="27"/>
  <c r="GY102" i="27"/>
  <c r="GZ102" i="27"/>
  <c r="HA102" i="27"/>
  <c r="HB102" i="27"/>
  <c r="HC102" i="27"/>
  <c r="HD102" i="27"/>
  <c r="HE102" i="27"/>
  <c r="HF102" i="27"/>
  <c r="HG102" i="27"/>
  <c r="HH102" i="27"/>
  <c r="HI102" i="27"/>
  <c r="HJ102" i="27"/>
  <c r="HK102" i="27"/>
  <c r="HL102" i="27"/>
  <c r="HM102" i="27"/>
  <c r="HN102" i="27"/>
  <c r="HO102" i="27"/>
  <c r="HP102" i="27"/>
  <c r="HQ102" i="27"/>
  <c r="HR102" i="27"/>
  <c r="HS102" i="27"/>
  <c r="HT102" i="27"/>
  <c r="HU102" i="27"/>
  <c r="HV102" i="27"/>
  <c r="HW102" i="27"/>
  <c r="HX102" i="27"/>
  <c r="HY102" i="27"/>
  <c r="HZ102" i="27"/>
  <c r="IA102" i="27"/>
  <c r="IB102" i="27"/>
  <c r="IC102" i="27"/>
  <c r="ID102" i="27"/>
  <c r="IE102" i="27"/>
  <c r="IF102" i="27"/>
  <c r="IG102" i="27"/>
  <c r="IH102" i="27"/>
  <c r="II102" i="27"/>
  <c r="IJ102" i="27"/>
  <c r="IK102" i="27"/>
  <c r="IL102" i="27"/>
  <c r="IM102" i="27"/>
  <c r="IN102" i="27"/>
  <c r="IO102" i="27"/>
  <c r="IP102" i="27"/>
  <c r="IQ102" i="27"/>
  <c r="IR102" i="27"/>
  <c r="IS102" i="27"/>
  <c r="IT102" i="27"/>
  <c r="IU102" i="27"/>
  <c r="IV102" i="27"/>
  <c r="A101" i="27"/>
  <c r="B101" i="27"/>
  <c r="C101" i="27"/>
  <c r="D101" i="27"/>
  <c r="E101" i="27"/>
  <c r="F101"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F101" i="27"/>
  <c r="AG101" i="27"/>
  <c r="AH101" i="27"/>
  <c r="AI101" i="27"/>
  <c r="AJ101" i="27"/>
  <c r="AK101" i="27"/>
  <c r="AL101" i="27"/>
  <c r="AM101" i="27"/>
  <c r="AN101" i="27"/>
  <c r="AO101" i="27"/>
  <c r="AP101" i="27"/>
  <c r="AQ101" i="27"/>
  <c r="AR101" i="27"/>
  <c r="AS101" i="27"/>
  <c r="AT101" i="27"/>
  <c r="AU101" i="27"/>
  <c r="AV101" i="27"/>
  <c r="AW101" i="27"/>
  <c r="AX101" i="27"/>
  <c r="AY101" i="27"/>
  <c r="AZ101" i="27"/>
  <c r="BA101" i="27"/>
  <c r="BB101" i="27"/>
  <c r="BC101" i="27"/>
  <c r="BD101" i="27"/>
  <c r="BE101" i="27"/>
  <c r="BF101" i="27"/>
  <c r="BG101" i="27"/>
  <c r="BH101" i="27"/>
  <c r="BI101" i="27"/>
  <c r="BJ101" i="27"/>
  <c r="BK101" i="27"/>
  <c r="BL101" i="27"/>
  <c r="BM101" i="27"/>
  <c r="BN101" i="27"/>
  <c r="BO101" i="27"/>
  <c r="BP101" i="27"/>
  <c r="BQ101" i="27"/>
  <c r="BR101" i="27"/>
  <c r="BS101" i="27"/>
  <c r="BT101" i="27"/>
  <c r="BU101" i="27"/>
  <c r="BV101" i="27"/>
  <c r="BW101" i="27"/>
  <c r="BX101" i="27"/>
  <c r="BY101" i="27"/>
  <c r="BZ101" i="27"/>
  <c r="CA101" i="27"/>
  <c r="CB101" i="27"/>
  <c r="CC101" i="27"/>
  <c r="CD101" i="27"/>
  <c r="CE101" i="27"/>
  <c r="CF101" i="27"/>
  <c r="CG101" i="27"/>
  <c r="CH101" i="27"/>
  <c r="CI101" i="27"/>
  <c r="CJ101" i="27"/>
  <c r="CK101" i="27"/>
  <c r="CL101" i="27"/>
  <c r="CM101" i="27"/>
  <c r="CN101" i="27"/>
  <c r="CO101" i="27"/>
  <c r="CP101" i="27"/>
  <c r="CQ101" i="27"/>
  <c r="CR101" i="27"/>
  <c r="CS101" i="27"/>
  <c r="CT101" i="27"/>
  <c r="CU101" i="27"/>
  <c r="CV101" i="27"/>
  <c r="CW101" i="27"/>
  <c r="CX101" i="27"/>
  <c r="CY101" i="27"/>
  <c r="CZ101" i="27"/>
  <c r="DA101" i="27"/>
  <c r="DB101" i="27"/>
  <c r="DC101" i="27"/>
  <c r="DD101"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EA101" i="27"/>
  <c r="EB101" i="27"/>
  <c r="EC101" i="27"/>
  <c r="ED101" i="27"/>
  <c r="EE101" i="27"/>
  <c r="EF101" i="27"/>
  <c r="EG101" i="27"/>
  <c r="EH101" i="27"/>
  <c r="EI101" i="27"/>
  <c r="EJ101" i="27"/>
  <c r="EK101" i="27"/>
  <c r="EL101" i="27"/>
  <c r="EM101" i="27"/>
  <c r="EN101" i="27"/>
  <c r="EO101" i="27"/>
  <c r="EP101" i="27"/>
  <c r="EQ101" i="27"/>
  <c r="ER101" i="27"/>
  <c r="ES101" i="27"/>
  <c r="ET101" i="27"/>
  <c r="EU101" i="27"/>
  <c r="EV101" i="27"/>
  <c r="EW101" i="27"/>
  <c r="EX101" i="27"/>
  <c r="EY101" i="27"/>
  <c r="EZ101" i="27"/>
  <c r="FA101" i="27"/>
  <c r="FB101" i="27"/>
  <c r="FC101" i="27"/>
  <c r="FD101" i="27"/>
  <c r="FE101" i="27"/>
  <c r="FF101" i="27"/>
  <c r="FG101" i="27"/>
  <c r="FH101" i="27"/>
  <c r="FI101" i="27"/>
  <c r="FJ101" i="27"/>
  <c r="FK101" i="27"/>
  <c r="FL101" i="27"/>
  <c r="FM101" i="27"/>
  <c r="FN101" i="27"/>
  <c r="FO101" i="27"/>
  <c r="FP101" i="27"/>
  <c r="FQ101" i="27"/>
  <c r="FR101" i="27"/>
  <c r="FS101" i="27"/>
  <c r="FT101" i="27"/>
  <c r="FU101" i="27"/>
  <c r="FV101" i="27"/>
  <c r="FW101" i="27"/>
  <c r="FX101" i="27"/>
  <c r="FY101" i="27"/>
  <c r="FZ101" i="27"/>
  <c r="GA101" i="27"/>
  <c r="GB101" i="27"/>
  <c r="GC101" i="27"/>
  <c r="GD101" i="27"/>
  <c r="GE101" i="27"/>
  <c r="GF101" i="27"/>
  <c r="GG101" i="27"/>
  <c r="GH101" i="27"/>
  <c r="GI101" i="27"/>
  <c r="GJ101" i="27"/>
  <c r="GK101" i="27"/>
  <c r="GL101" i="27"/>
  <c r="GM101" i="27"/>
  <c r="GN101" i="27"/>
  <c r="GO101" i="27"/>
  <c r="GP101" i="27"/>
  <c r="GQ101" i="27"/>
  <c r="GR101" i="27"/>
  <c r="GS101" i="27"/>
  <c r="GT101" i="27"/>
  <c r="GU101" i="27"/>
  <c r="GV101" i="27"/>
  <c r="GW101" i="27"/>
  <c r="GX101" i="27"/>
  <c r="GY101" i="27"/>
  <c r="GZ101" i="27"/>
  <c r="HA101" i="27"/>
  <c r="HB101" i="27"/>
  <c r="HC101" i="27"/>
  <c r="HD101" i="27"/>
  <c r="HE101" i="27"/>
  <c r="HF101" i="27"/>
  <c r="HG101" i="27"/>
  <c r="HH101" i="27"/>
  <c r="HI101" i="27"/>
  <c r="HJ101" i="27"/>
  <c r="HK101" i="27"/>
  <c r="HL101" i="27"/>
  <c r="HM101" i="27"/>
  <c r="HN101" i="27"/>
  <c r="HO101" i="27"/>
  <c r="HP101" i="27"/>
  <c r="HQ101" i="27"/>
  <c r="HR101" i="27"/>
  <c r="HS101" i="27"/>
  <c r="HT101" i="27"/>
  <c r="HU101" i="27"/>
  <c r="HV101" i="27"/>
  <c r="HW101" i="27"/>
  <c r="HX101" i="27"/>
  <c r="HY101" i="27"/>
  <c r="HZ101" i="27"/>
  <c r="IA101" i="27"/>
  <c r="IB101" i="27"/>
  <c r="IC101" i="27"/>
  <c r="ID101" i="27"/>
  <c r="IE101" i="27"/>
  <c r="IF101" i="27"/>
  <c r="IG101" i="27"/>
  <c r="IH101" i="27"/>
  <c r="II101" i="27"/>
  <c r="IJ101" i="27"/>
  <c r="IK101" i="27"/>
  <c r="IL101" i="27"/>
  <c r="IM101" i="27"/>
  <c r="IN101" i="27"/>
  <c r="IO101" i="27"/>
  <c r="IP101" i="27"/>
  <c r="IQ101" i="27"/>
  <c r="IR101" i="27"/>
  <c r="IS101" i="27"/>
  <c r="IT101" i="27"/>
  <c r="IU101" i="27"/>
  <c r="IV101" i="27"/>
  <c r="A100" i="27"/>
  <c r="B100" i="27"/>
  <c r="C100" i="27"/>
  <c r="D100" i="27"/>
  <c r="E100" i="27"/>
  <c r="F100"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F100" i="27"/>
  <c r="AG100" i="27"/>
  <c r="AH100" i="27"/>
  <c r="AI100" i="27"/>
  <c r="AJ100" i="27"/>
  <c r="AK100" i="27"/>
  <c r="AL100" i="27"/>
  <c r="AM100" i="27"/>
  <c r="AN100" i="27"/>
  <c r="AO100" i="27"/>
  <c r="AP100" i="27"/>
  <c r="AQ100" i="27"/>
  <c r="AR100" i="27"/>
  <c r="AS100" i="27"/>
  <c r="AT100" i="27"/>
  <c r="AU100" i="27"/>
  <c r="AV100" i="27"/>
  <c r="AW100" i="27"/>
  <c r="AX100" i="27"/>
  <c r="AY100" i="27"/>
  <c r="AZ100" i="27"/>
  <c r="BA100" i="27"/>
  <c r="BB100" i="27"/>
  <c r="BC100" i="27"/>
  <c r="BD100" i="27"/>
  <c r="BE100" i="27"/>
  <c r="BF100" i="27"/>
  <c r="BG100" i="27"/>
  <c r="BH100" i="27"/>
  <c r="BI100" i="27"/>
  <c r="BJ100" i="27"/>
  <c r="BK100" i="27"/>
  <c r="BL100" i="27"/>
  <c r="BM100" i="27"/>
  <c r="BN100" i="27"/>
  <c r="BO100" i="27"/>
  <c r="BP100" i="27"/>
  <c r="BQ100" i="27"/>
  <c r="BR100" i="27"/>
  <c r="BS100" i="27"/>
  <c r="BT100" i="27"/>
  <c r="BU100" i="27"/>
  <c r="BV100" i="27"/>
  <c r="BW100" i="27"/>
  <c r="BX100" i="27"/>
  <c r="BY100" i="27"/>
  <c r="BZ100" i="27"/>
  <c r="CA100" i="27"/>
  <c r="CB100" i="27"/>
  <c r="CC100" i="27"/>
  <c r="CD100" i="27"/>
  <c r="CE100" i="27"/>
  <c r="CF100" i="27"/>
  <c r="CG100" i="27"/>
  <c r="CH100" i="27"/>
  <c r="CI100" i="27"/>
  <c r="CJ100" i="27"/>
  <c r="CK100" i="27"/>
  <c r="CL100" i="27"/>
  <c r="CM100" i="27"/>
  <c r="CN100" i="27"/>
  <c r="CO100" i="27"/>
  <c r="CP100" i="27"/>
  <c r="CQ100" i="27"/>
  <c r="CR100" i="27"/>
  <c r="CS100" i="27"/>
  <c r="CT100" i="27"/>
  <c r="CU100" i="27"/>
  <c r="CV100" i="27"/>
  <c r="CW100" i="27"/>
  <c r="CX100" i="27"/>
  <c r="CY100" i="27"/>
  <c r="CZ100" i="27"/>
  <c r="DA100" i="27"/>
  <c r="DB100" i="27"/>
  <c r="DC100" i="27"/>
  <c r="DD100"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EA100" i="27"/>
  <c r="EB100" i="27"/>
  <c r="EC100" i="27"/>
  <c r="ED100" i="27"/>
  <c r="EE100" i="27"/>
  <c r="EF100" i="27"/>
  <c r="EG100" i="27"/>
  <c r="EH100" i="27"/>
  <c r="EI100" i="27"/>
  <c r="EJ100" i="27"/>
  <c r="EK100" i="27"/>
  <c r="EL100" i="27"/>
  <c r="EM100" i="27"/>
  <c r="EN100" i="27"/>
  <c r="EO100" i="27"/>
  <c r="EP100" i="27"/>
  <c r="EQ100" i="27"/>
  <c r="ER100" i="27"/>
  <c r="ES100" i="27"/>
  <c r="ET100" i="27"/>
  <c r="EU100" i="27"/>
  <c r="EV100" i="27"/>
  <c r="EW100" i="27"/>
  <c r="EX100" i="27"/>
  <c r="EY100" i="27"/>
  <c r="EZ100" i="27"/>
  <c r="FA100" i="27"/>
  <c r="FB100" i="27"/>
  <c r="FC100" i="27"/>
  <c r="FD100" i="27"/>
  <c r="FE100" i="27"/>
  <c r="FF100" i="27"/>
  <c r="FG100" i="27"/>
  <c r="FH100" i="27"/>
  <c r="FI100" i="27"/>
  <c r="FJ100" i="27"/>
  <c r="FK100" i="27"/>
  <c r="FL100" i="27"/>
  <c r="FM100" i="27"/>
  <c r="FN100" i="27"/>
  <c r="FO100" i="27"/>
  <c r="FP100" i="27"/>
  <c r="FQ100" i="27"/>
  <c r="FR100" i="27"/>
  <c r="FS100" i="27"/>
  <c r="FT100" i="27"/>
  <c r="FU100" i="27"/>
  <c r="FV100" i="27"/>
  <c r="FW100" i="27"/>
  <c r="FX100" i="27"/>
  <c r="FY100" i="27"/>
  <c r="FZ100" i="27"/>
  <c r="GA100" i="27"/>
  <c r="GB100" i="27"/>
  <c r="GC100" i="27"/>
  <c r="GD100" i="27"/>
  <c r="GE100" i="27"/>
  <c r="GF100" i="27"/>
  <c r="GG100" i="27"/>
  <c r="GH100" i="27"/>
  <c r="GI100" i="27"/>
  <c r="GJ100" i="27"/>
  <c r="GK100" i="27"/>
  <c r="GL100" i="27"/>
  <c r="GM100" i="27"/>
  <c r="GN100" i="27"/>
  <c r="GO100" i="27"/>
  <c r="GP100" i="27"/>
  <c r="GQ100" i="27"/>
  <c r="GR100" i="27"/>
  <c r="GS100" i="27"/>
  <c r="GT100" i="27"/>
  <c r="GU100" i="27"/>
  <c r="GV100" i="27"/>
  <c r="GW100" i="27"/>
  <c r="GX100" i="27"/>
  <c r="GY100" i="27"/>
  <c r="GZ100" i="27"/>
  <c r="HA100" i="27"/>
  <c r="HB100" i="27"/>
  <c r="HC100" i="27"/>
  <c r="HD100" i="27"/>
  <c r="HE100" i="27"/>
  <c r="HF100" i="27"/>
  <c r="HG100" i="27"/>
  <c r="HH100" i="27"/>
  <c r="HI100" i="27"/>
  <c r="HJ100" i="27"/>
  <c r="HK100" i="27"/>
  <c r="HL100" i="27"/>
  <c r="HM100" i="27"/>
  <c r="HN100" i="27"/>
  <c r="HO100" i="27"/>
  <c r="HP100" i="27"/>
  <c r="HQ100" i="27"/>
  <c r="HR100" i="27"/>
  <c r="HS100" i="27"/>
  <c r="HT100" i="27"/>
  <c r="HU100" i="27"/>
  <c r="HV100" i="27"/>
  <c r="HW100" i="27"/>
  <c r="HX100" i="27"/>
  <c r="HY100" i="27"/>
  <c r="HZ100" i="27"/>
  <c r="IA100" i="27"/>
  <c r="IB100" i="27"/>
  <c r="IC100" i="27"/>
  <c r="ID100" i="27"/>
  <c r="IE100" i="27"/>
  <c r="IF100" i="27"/>
  <c r="IG100" i="27"/>
  <c r="IH100" i="27"/>
  <c r="II100" i="27"/>
  <c r="IJ100" i="27"/>
  <c r="IK100" i="27"/>
  <c r="IL100" i="27"/>
  <c r="IM100" i="27"/>
  <c r="IN100" i="27"/>
  <c r="IO100" i="27"/>
  <c r="IP100" i="27"/>
  <c r="IQ100" i="27"/>
  <c r="IR100" i="27"/>
  <c r="IS100" i="27"/>
  <c r="IT100" i="27"/>
  <c r="IU100" i="27"/>
  <c r="IV100" i="27"/>
  <c r="A99" i="27"/>
  <c r="B99" i="27"/>
  <c r="C99" i="27"/>
  <c r="D99" i="27"/>
  <c r="E99" i="27"/>
  <c r="F99"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F99" i="27"/>
  <c r="AG99" i="27"/>
  <c r="AH99" i="27"/>
  <c r="AI99" i="27"/>
  <c r="AJ99" i="27"/>
  <c r="AK99" i="27"/>
  <c r="AL99" i="27"/>
  <c r="AM99" i="27"/>
  <c r="AN99" i="27"/>
  <c r="AO99" i="27"/>
  <c r="AP99" i="27"/>
  <c r="AQ99" i="27"/>
  <c r="AR99" i="27"/>
  <c r="AS99" i="27"/>
  <c r="AT99" i="27"/>
  <c r="AU99" i="27"/>
  <c r="AV99" i="27"/>
  <c r="AW99" i="27"/>
  <c r="AX99" i="27"/>
  <c r="AY99" i="27"/>
  <c r="AZ99" i="27"/>
  <c r="BA99" i="27"/>
  <c r="BB99" i="27"/>
  <c r="BC99" i="27"/>
  <c r="BD99" i="27"/>
  <c r="BE99" i="27"/>
  <c r="BF99" i="27"/>
  <c r="BG99" i="27"/>
  <c r="BH99" i="27"/>
  <c r="BI99" i="27"/>
  <c r="BJ99" i="27"/>
  <c r="BK99" i="27"/>
  <c r="BL99" i="27"/>
  <c r="BM99" i="27"/>
  <c r="BN99" i="27"/>
  <c r="BO99" i="27"/>
  <c r="BP99" i="27"/>
  <c r="BQ99" i="27"/>
  <c r="BR99" i="27"/>
  <c r="BS99" i="27"/>
  <c r="BT99" i="27"/>
  <c r="BU99" i="27"/>
  <c r="BV99" i="27"/>
  <c r="BW99" i="27"/>
  <c r="BX99" i="27"/>
  <c r="BY99" i="27"/>
  <c r="BZ99" i="27"/>
  <c r="CA99" i="27"/>
  <c r="CB99" i="27"/>
  <c r="CC99" i="27"/>
  <c r="CD99" i="27"/>
  <c r="CE99" i="27"/>
  <c r="CF99" i="27"/>
  <c r="CG99" i="27"/>
  <c r="CH99" i="27"/>
  <c r="CI99" i="27"/>
  <c r="CJ99" i="27"/>
  <c r="CK99" i="27"/>
  <c r="CL99" i="27"/>
  <c r="CM99" i="27"/>
  <c r="CN99" i="27"/>
  <c r="CO99" i="27"/>
  <c r="CP99" i="27"/>
  <c r="CQ99" i="27"/>
  <c r="CR99" i="27"/>
  <c r="CS99" i="27"/>
  <c r="CT99" i="27"/>
  <c r="CU99" i="27"/>
  <c r="CV99" i="27"/>
  <c r="CW99" i="27"/>
  <c r="CX99" i="27"/>
  <c r="CY99" i="27"/>
  <c r="CZ99" i="27"/>
  <c r="DA99" i="27"/>
  <c r="DB99" i="27"/>
  <c r="DC99" i="27"/>
  <c r="DD99" i="27"/>
  <c r="DE99" i="27"/>
  <c r="DF99" i="27"/>
  <c r="DG99" i="27"/>
  <c r="DH99" i="27"/>
  <c r="DI99" i="27"/>
  <c r="DJ99" i="27"/>
  <c r="DK99" i="27"/>
  <c r="DL99" i="27"/>
  <c r="DM99" i="27"/>
  <c r="DN99" i="27"/>
  <c r="DO99" i="27"/>
  <c r="DP99" i="27"/>
  <c r="DQ99" i="27"/>
  <c r="DR99" i="27"/>
  <c r="DS99" i="27"/>
  <c r="DT99" i="27"/>
  <c r="DU99" i="27"/>
  <c r="DV99" i="27"/>
  <c r="DW99" i="27"/>
  <c r="DX99" i="27"/>
  <c r="DY99" i="27"/>
  <c r="DZ99" i="27"/>
  <c r="EA99" i="27"/>
  <c r="EB99" i="27"/>
  <c r="EC99" i="27"/>
  <c r="ED99" i="27"/>
  <c r="EE99" i="27"/>
  <c r="EF99" i="27"/>
  <c r="EG99" i="27"/>
  <c r="EH99" i="27"/>
  <c r="EI99" i="27"/>
  <c r="EJ99" i="27"/>
  <c r="EK99" i="27"/>
  <c r="EL99" i="27"/>
  <c r="EM99" i="27"/>
  <c r="EN99" i="27"/>
  <c r="EO99" i="27"/>
  <c r="EP99" i="27"/>
  <c r="EQ99" i="27"/>
  <c r="ER99" i="27"/>
  <c r="ES99" i="27"/>
  <c r="ET99" i="27"/>
  <c r="EU99" i="27"/>
  <c r="EV99" i="27"/>
  <c r="EW99" i="27"/>
  <c r="EX99" i="27"/>
  <c r="EY99" i="27"/>
  <c r="EZ99" i="27"/>
  <c r="FA99" i="27"/>
  <c r="FB99" i="27"/>
  <c r="FC99" i="27"/>
  <c r="FD99" i="27"/>
  <c r="FE99" i="27"/>
  <c r="FF99" i="27"/>
  <c r="FG99" i="27"/>
  <c r="FH99" i="27"/>
  <c r="FI99" i="27"/>
  <c r="FJ99" i="27"/>
  <c r="FK99" i="27"/>
  <c r="FL99" i="27"/>
  <c r="FM99" i="27"/>
  <c r="FN99" i="27"/>
  <c r="FO99" i="27"/>
  <c r="FP99" i="27"/>
  <c r="FQ99" i="27"/>
  <c r="FR99" i="27"/>
  <c r="FS99" i="27"/>
  <c r="FT99" i="27"/>
  <c r="FU99" i="27"/>
  <c r="FV99" i="27"/>
  <c r="FW99" i="27"/>
  <c r="FX99" i="27"/>
  <c r="FY99" i="27"/>
  <c r="FZ99" i="27"/>
  <c r="GA99" i="27"/>
  <c r="GB99" i="27"/>
  <c r="GC99" i="27"/>
  <c r="GD99" i="27"/>
  <c r="GE99" i="27"/>
  <c r="GF99" i="27"/>
  <c r="GG99" i="27"/>
  <c r="GH99" i="27"/>
  <c r="GI99" i="27"/>
  <c r="GJ99" i="27"/>
  <c r="GK99" i="27"/>
  <c r="GL99" i="27"/>
  <c r="GM99" i="27"/>
  <c r="GN99" i="27"/>
  <c r="GO99" i="27"/>
  <c r="GP99" i="27"/>
  <c r="GQ99" i="27"/>
  <c r="GR99" i="27"/>
  <c r="GS99" i="27"/>
  <c r="GT99" i="27"/>
  <c r="GU99" i="27"/>
  <c r="GV99" i="27"/>
  <c r="GW99" i="27"/>
  <c r="GX99" i="27"/>
  <c r="GY99" i="27"/>
  <c r="GZ99" i="27"/>
  <c r="HA99" i="27"/>
  <c r="HB99" i="27"/>
  <c r="HC99" i="27"/>
  <c r="HD99" i="27"/>
  <c r="HE99" i="27"/>
  <c r="HF99" i="27"/>
  <c r="HG99" i="27"/>
  <c r="HH99" i="27"/>
  <c r="HI99" i="27"/>
  <c r="HJ99" i="27"/>
  <c r="HK99" i="27"/>
  <c r="HL99" i="27"/>
  <c r="HM99" i="27"/>
  <c r="HN99" i="27"/>
  <c r="HO99" i="27"/>
  <c r="HP99" i="27"/>
  <c r="HQ99" i="27"/>
  <c r="HR99" i="27"/>
  <c r="HS99" i="27"/>
  <c r="HT99" i="27"/>
  <c r="HU99" i="27"/>
  <c r="HV99" i="27"/>
  <c r="HW99" i="27"/>
  <c r="HX99" i="27"/>
  <c r="HY99" i="27"/>
  <c r="HZ99" i="27"/>
  <c r="IA99" i="27"/>
  <c r="IB99" i="27"/>
  <c r="IC99" i="27"/>
  <c r="ID99" i="27"/>
  <c r="IE99" i="27"/>
  <c r="IF99" i="27"/>
  <c r="IG99" i="27"/>
  <c r="IH99" i="27"/>
  <c r="II99" i="27"/>
  <c r="IJ99" i="27"/>
  <c r="IK99" i="27"/>
  <c r="IL99" i="27"/>
  <c r="IM99" i="27"/>
  <c r="IN99" i="27"/>
  <c r="IO99" i="27"/>
  <c r="IP99" i="27"/>
  <c r="IQ99" i="27"/>
  <c r="IR99" i="27"/>
  <c r="IS99" i="27"/>
  <c r="IT99" i="27"/>
  <c r="IU99" i="27"/>
  <c r="IV99" i="27"/>
  <c r="A98" i="27"/>
  <c r="B98" i="27"/>
  <c r="C98" i="27"/>
  <c r="D98" i="27"/>
  <c r="E98" i="27"/>
  <c r="F98" i="27"/>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F98" i="27"/>
  <c r="AG98" i="27"/>
  <c r="AH98" i="27"/>
  <c r="AI98" i="27"/>
  <c r="AJ98" i="27"/>
  <c r="AK98" i="27"/>
  <c r="AL98" i="27"/>
  <c r="AM98" i="27"/>
  <c r="AN98" i="27"/>
  <c r="AO98" i="27"/>
  <c r="AP98" i="27"/>
  <c r="AQ98" i="27"/>
  <c r="AR98" i="27"/>
  <c r="AS98" i="27"/>
  <c r="AT98" i="27"/>
  <c r="AU98" i="27"/>
  <c r="AV98" i="27"/>
  <c r="AW98" i="27"/>
  <c r="AX98" i="27"/>
  <c r="AY98" i="27"/>
  <c r="AZ98" i="27"/>
  <c r="BA98" i="27"/>
  <c r="BB98" i="27"/>
  <c r="BC98" i="27"/>
  <c r="BD98" i="27"/>
  <c r="BE98" i="27"/>
  <c r="BF98" i="27"/>
  <c r="BG98" i="27"/>
  <c r="BH98" i="27"/>
  <c r="BI98" i="27"/>
  <c r="BJ98" i="27"/>
  <c r="BK98" i="27"/>
  <c r="BL98" i="27"/>
  <c r="BM98" i="27"/>
  <c r="BN98" i="27"/>
  <c r="BO98" i="27"/>
  <c r="BP98" i="27"/>
  <c r="BQ98" i="27"/>
  <c r="BR98" i="27"/>
  <c r="BS98" i="27"/>
  <c r="BT98" i="27"/>
  <c r="BU98" i="27"/>
  <c r="BV98" i="27"/>
  <c r="BW98" i="27"/>
  <c r="BX98" i="27"/>
  <c r="BY98" i="27"/>
  <c r="BZ98" i="27"/>
  <c r="CA98" i="27"/>
  <c r="CB98" i="27"/>
  <c r="CC98" i="27"/>
  <c r="CD98" i="27"/>
  <c r="CE98" i="27"/>
  <c r="CF98" i="27"/>
  <c r="CG98" i="27"/>
  <c r="CH98" i="27"/>
  <c r="CI98" i="27"/>
  <c r="CJ98" i="27"/>
  <c r="CK98" i="27"/>
  <c r="CL98" i="27"/>
  <c r="CM98" i="27"/>
  <c r="CN98" i="27"/>
  <c r="CO98" i="27"/>
  <c r="CP98" i="27"/>
  <c r="CQ98" i="27"/>
  <c r="CR98" i="27"/>
  <c r="CS98" i="27"/>
  <c r="CT98" i="27"/>
  <c r="CU98" i="27"/>
  <c r="CV98" i="27"/>
  <c r="CW98" i="27"/>
  <c r="CX98" i="27"/>
  <c r="CY98" i="27"/>
  <c r="CZ98" i="27"/>
  <c r="DA98" i="27"/>
  <c r="DB98" i="27"/>
  <c r="DC98" i="27"/>
  <c r="DD98" i="27"/>
  <c r="DE98" i="27"/>
  <c r="DF98" i="27"/>
  <c r="DG98" i="27"/>
  <c r="DH98" i="27"/>
  <c r="DI98" i="27"/>
  <c r="DJ98" i="27"/>
  <c r="DK98" i="27"/>
  <c r="DL98" i="27"/>
  <c r="DM98" i="27"/>
  <c r="DN98" i="27"/>
  <c r="DO98" i="27"/>
  <c r="DP98" i="27"/>
  <c r="DQ98" i="27"/>
  <c r="DR98" i="27"/>
  <c r="DS98" i="27"/>
  <c r="DT98" i="27"/>
  <c r="DU98" i="27"/>
  <c r="DV98" i="27"/>
  <c r="DW98" i="27"/>
  <c r="DX98" i="27"/>
  <c r="DY98" i="27"/>
  <c r="DZ98" i="27"/>
  <c r="EA98" i="27"/>
  <c r="EB98" i="27"/>
  <c r="EC98" i="27"/>
  <c r="ED98" i="27"/>
  <c r="EE98" i="27"/>
  <c r="EF98" i="27"/>
  <c r="EG98" i="27"/>
  <c r="EH98" i="27"/>
  <c r="EI98" i="27"/>
  <c r="EJ98" i="27"/>
  <c r="EK98" i="27"/>
  <c r="EL98" i="27"/>
  <c r="EM98" i="27"/>
  <c r="EN98" i="27"/>
  <c r="EO98" i="27"/>
  <c r="EP98" i="27"/>
  <c r="EQ98" i="27"/>
  <c r="ER98" i="27"/>
  <c r="ES98" i="27"/>
  <c r="ET98" i="27"/>
  <c r="EU98" i="27"/>
  <c r="EV98" i="27"/>
  <c r="EW98" i="27"/>
  <c r="EX98" i="27"/>
  <c r="EY98" i="27"/>
  <c r="EZ98" i="27"/>
  <c r="FA98" i="27"/>
  <c r="FB98" i="27"/>
  <c r="FC98" i="27"/>
  <c r="FD98" i="27"/>
  <c r="FE98" i="27"/>
  <c r="FF98" i="27"/>
  <c r="FG98" i="27"/>
  <c r="FH98" i="27"/>
  <c r="FI98" i="27"/>
  <c r="FJ98" i="27"/>
  <c r="FK98" i="27"/>
  <c r="FL98" i="27"/>
  <c r="FM98" i="27"/>
  <c r="FN98" i="27"/>
  <c r="FO98" i="27"/>
  <c r="FP98" i="27"/>
  <c r="FQ98" i="27"/>
  <c r="FR98" i="27"/>
  <c r="FS98" i="27"/>
  <c r="FT98" i="27"/>
  <c r="FU98" i="27"/>
  <c r="FV98" i="27"/>
  <c r="FW98" i="27"/>
  <c r="FX98" i="27"/>
  <c r="FY98" i="27"/>
  <c r="FZ98" i="27"/>
  <c r="GA98" i="27"/>
  <c r="GB98" i="27"/>
  <c r="GC98" i="27"/>
  <c r="GD98" i="27"/>
  <c r="GE98" i="27"/>
  <c r="GF98" i="27"/>
  <c r="GG98" i="27"/>
  <c r="GH98" i="27"/>
  <c r="GI98" i="27"/>
  <c r="GJ98" i="27"/>
  <c r="GK98" i="27"/>
  <c r="GL98" i="27"/>
  <c r="GM98" i="27"/>
  <c r="GN98" i="27"/>
  <c r="GO98" i="27"/>
  <c r="GP98" i="27"/>
  <c r="GQ98" i="27"/>
  <c r="GR98" i="27"/>
  <c r="GS98" i="27"/>
  <c r="GT98" i="27"/>
  <c r="GU98" i="27"/>
  <c r="GV98" i="27"/>
  <c r="GW98" i="27"/>
  <c r="GX98" i="27"/>
  <c r="GY98" i="27"/>
  <c r="GZ98" i="27"/>
  <c r="HA98" i="27"/>
  <c r="HB98" i="27"/>
  <c r="HC98" i="27"/>
  <c r="HD98" i="27"/>
  <c r="HE98" i="27"/>
  <c r="HF98" i="27"/>
  <c r="HG98" i="27"/>
  <c r="HH98" i="27"/>
  <c r="HI98" i="27"/>
  <c r="HJ98" i="27"/>
  <c r="HK98" i="27"/>
  <c r="HL98" i="27"/>
  <c r="HM98" i="27"/>
  <c r="HN98" i="27"/>
  <c r="HO98" i="27"/>
  <c r="HP98" i="27"/>
  <c r="HQ98" i="27"/>
  <c r="HR98" i="27"/>
  <c r="HS98" i="27"/>
  <c r="HT98" i="27"/>
  <c r="HU98" i="27"/>
  <c r="HV98" i="27"/>
  <c r="HW98" i="27"/>
  <c r="HX98" i="27"/>
  <c r="HY98" i="27"/>
  <c r="HZ98" i="27"/>
  <c r="IA98" i="27"/>
  <c r="IB98" i="27"/>
  <c r="IC98" i="27"/>
  <c r="ID98" i="27"/>
  <c r="IE98" i="27"/>
  <c r="IF98" i="27"/>
  <c r="IG98" i="27"/>
  <c r="IH98" i="27"/>
  <c r="II98" i="27"/>
  <c r="IJ98" i="27"/>
  <c r="IK98" i="27"/>
  <c r="IL98" i="27"/>
  <c r="IM98" i="27"/>
  <c r="IN98" i="27"/>
  <c r="IO98" i="27"/>
  <c r="IP98" i="27"/>
  <c r="IQ98" i="27"/>
  <c r="IR98" i="27"/>
  <c r="IS98" i="27"/>
  <c r="IT98" i="27"/>
  <c r="IU98" i="27"/>
  <c r="IV98" i="27"/>
  <c r="A97" i="27"/>
  <c r="B97" i="27"/>
  <c r="C97" i="27"/>
  <c r="D97" i="27"/>
  <c r="E97" i="27"/>
  <c r="F97" i="27"/>
  <c r="G97" i="27"/>
  <c r="H97" i="27"/>
  <c r="I97" i="27"/>
  <c r="J97" i="27"/>
  <c r="K97" i="27"/>
  <c r="L97" i="27"/>
  <c r="M97" i="27"/>
  <c r="N97" i="27"/>
  <c r="O97" i="27"/>
  <c r="P97" i="27"/>
  <c r="Q97" i="27"/>
  <c r="R97" i="27"/>
  <c r="S97" i="27"/>
  <c r="T97" i="27"/>
  <c r="U97" i="27"/>
  <c r="V97" i="27"/>
  <c r="W97" i="27"/>
  <c r="X97" i="27"/>
  <c r="Y97" i="27"/>
  <c r="Z97" i="27"/>
  <c r="AA97" i="27"/>
  <c r="AB97" i="27"/>
  <c r="AC97" i="27"/>
  <c r="AD97" i="27"/>
  <c r="AE97" i="27"/>
  <c r="AF97" i="27"/>
  <c r="AG97" i="27"/>
  <c r="AH97" i="27"/>
  <c r="AI97" i="27"/>
  <c r="AJ97" i="27"/>
  <c r="AK97" i="27"/>
  <c r="AL97" i="27"/>
  <c r="AM97" i="27"/>
  <c r="AN97" i="27"/>
  <c r="AO97" i="27"/>
  <c r="AP97" i="27"/>
  <c r="AQ97" i="27"/>
  <c r="AR97" i="27"/>
  <c r="AS97" i="27"/>
  <c r="AT97" i="27"/>
  <c r="AU97" i="27"/>
  <c r="AV97" i="27"/>
  <c r="AW97" i="27"/>
  <c r="AX97" i="27"/>
  <c r="AY97" i="27"/>
  <c r="AZ97" i="27"/>
  <c r="BA97" i="27"/>
  <c r="BB97" i="27"/>
  <c r="BC97" i="27"/>
  <c r="BD97" i="27"/>
  <c r="BE97" i="27"/>
  <c r="BF97" i="27"/>
  <c r="BG97" i="27"/>
  <c r="BH97" i="27"/>
  <c r="BI97" i="27"/>
  <c r="BJ97" i="27"/>
  <c r="BK97" i="27"/>
  <c r="BL97" i="27"/>
  <c r="BM97" i="27"/>
  <c r="BN97" i="27"/>
  <c r="BO97" i="27"/>
  <c r="BP97" i="27"/>
  <c r="BQ97" i="27"/>
  <c r="BR97" i="27"/>
  <c r="BS97" i="27"/>
  <c r="BT97" i="27"/>
  <c r="BU97" i="27"/>
  <c r="BV97" i="27"/>
  <c r="BW97" i="27"/>
  <c r="BX97" i="27"/>
  <c r="BY97" i="27"/>
  <c r="BZ97" i="27"/>
  <c r="CA97" i="27"/>
  <c r="CB97" i="27"/>
  <c r="CC97" i="27"/>
  <c r="CD97" i="27"/>
  <c r="CE97" i="27"/>
  <c r="CF97" i="27"/>
  <c r="CG97" i="27"/>
  <c r="CH97" i="27"/>
  <c r="CI97" i="27"/>
  <c r="CJ97" i="27"/>
  <c r="CK97" i="27"/>
  <c r="CL97" i="27"/>
  <c r="CM97" i="27"/>
  <c r="CN97" i="27"/>
  <c r="CO97" i="27"/>
  <c r="CP97" i="27"/>
  <c r="CQ97" i="27"/>
  <c r="CR97" i="27"/>
  <c r="CS97" i="27"/>
  <c r="CT97" i="27"/>
  <c r="CU97" i="27"/>
  <c r="CV97" i="27"/>
  <c r="CW97" i="27"/>
  <c r="CX97" i="27"/>
  <c r="CY97" i="27"/>
  <c r="CZ97" i="27"/>
  <c r="DA97" i="27"/>
  <c r="DB97" i="27"/>
  <c r="DC97" i="27"/>
  <c r="DD97" i="27"/>
  <c r="DE97" i="27"/>
  <c r="DF97" i="27"/>
  <c r="DG97" i="27"/>
  <c r="DH97" i="27"/>
  <c r="DI97" i="27"/>
  <c r="DJ97" i="27"/>
  <c r="DK97" i="27"/>
  <c r="DL97" i="27"/>
  <c r="DM97" i="27"/>
  <c r="DN97" i="27"/>
  <c r="DO97" i="27"/>
  <c r="DP97" i="27"/>
  <c r="DQ97" i="27"/>
  <c r="DR97" i="27"/>
  <c r="DS97" i="27"/>
  <c r="DT97" i="27"/>
  <c r="DU97" i="27"/>
  <c r="DV97" i="27"/>
  <c r="DW97" i="27"/>
  <c r="DX97" i="27"/>
  <c r="DY97" i="27"/>
  <c r="DZ97" i="27"/>
  <c r="EA97" i="27"/>
  <c r="EB97" i="27"/>
  <c r="EC97" i="27"/>
  <c r="ED97" i="27"/>
  <c r="EE97" i="27"/>
  <c r="EF97" i="27"/>
  <c r="EG97" i="27"/>
  <c r="EH97" i="27"/>
  <c r="EI97" i="27"/>
  <c r="EJ97" i="27"/>
  <c r="EK97" i="27"/>
  <c r="EL97" i="27"/>
  <c r="EM97" i="27"/>
  <c r="EN97" i="27"/>
  <c r="EO97" i="27"/>
  <c r="EP97" i="27"/>
  <c r="EQ97" i="27"/>
  <c r="ER97" i="27"/>
  <c r="ES97" i="27"/>
  <c r="ET97" i="27"/>
  <c r="EU97" i="27"/>
  <c r="EV97" i="27"/>
  <c r="EW97" i="27"/>
  <c r="EX97" i="27"/>
  <c r="EY97" i="27"/>
  <c r="EZ97" i="27"/>
  <c r="FA97" i="27"/>
  <c r="FB97" i="27"/>
  <c r="FC97" i="27"/>
  <c r="FD97" i="27"/>
  <c r="FE97" i="27"/>
  <c r="FF97" i="27"/>
  <c r="FG97" i="27"/>
  <c r="FH97" i="27"/>
  <c r="FI97" i="27"/>
  <c r="FJ97" i="27"/>
  <c r="FK97" i="27"/>
  <c r="FL97" i="27"/>
  <c r="FM97" i="27"/>
  <c r="FN97" i="27"/>
  <c r="FO97" i="27"/>
  <c r="FP97" i="27"/>
  <c r="FQ97" i="27"/>
  <c r="FR97" i="27"/>
  <c r="FS97" i="27"/>
  <c r="FT97" i="27"/>
  <c r="FU97" i="27"/>
  <c r="FV97" i="27"/>
  <c r="FW97" i="27"/>
  <c r="FX97" i="27"/>
  <c r="FY97" i="27"/>
  <c r="FZ97" i="27"/>
  <c r="GA97" i="27"/>
  <c r="GB97" i="27"/>
  <c r="GC97" i="27"/>
  <c r="GD97" i="27"/>
  <c r="GE97" i="27"/>
  <c r="GF97" i="27"/>
  <c r="GG97" i="27"/>
  <c r="GH97" i="27"/>
  <c r="GI97" i="27"/>
  <c r="GJ97" i="27"/>
  <c r="GK97" i="27"/>
  <c r="GL97" i="27"/>
  <c r="GM97" i="27"/>
  <c r="GN97" i="27"/>
  <c r="GO97" i="27"/>
  <c r="GP97" i="27"/>
  <c r="GQ97" i="27"/>
  <c r="GR97" i="27"/>
  <c r="GS97" i="27"/>
  <c r="GT97" i="27"/>
  <c r="GU97" i="27"/>
  <c r="GV97" i="27"/>
  <c r="GW97" i="27"/>
  <c r="GX97" i="27"/>
  <c r="GY97" i="27"/>
  <c r="GZ97" i="27"/>
  <c r="HA97" i="27"/>
  <c r="HB97" i="27"/>
  <c r="HC97" i="27"/>
  <c r="HD97" i="27"/>
  <c r="HE97" i="27"/>
  <c r="HF97" i="27"/>
  <c r="HG97" i="27"/>
  <c r="HH97" i="27"/>
  <c r="HI97" i="27"/>
  <c r="HJ97" i="27"/>
  <c r="HK97" i="27"/>
  <c r="HL97" i="27"/>
  <c r="HM97" i="27"/>
  <c r="HN97" i="27"/>
  <c r="HO97" i="27"/>
  <c r="HP97" i="27"/>
  <c r="HQ97" i="27"/>
  <c r="HR97" i="27"/>
  <c r="HS97" i="27"/>
  <c r="HT97" i="27"/>
  <c r="HU97" i="27"/>
  <c r="HV97" i="27"/>
  <c r="HW97" i="27"/>
  <c r="HX97" i="27"/>
  <c r="HY97" i="27"/>
  <c r="HZ97" i="27"/>
  <c r="IA97" i="27"/>
  <c r="IB97" i="27"/>
  <c r="IC97" i="27"/>
  <c r="ID97" i="27"/>
  <c r="IE97" i="27"/>
  <c r="IF97" i="27"/>
  <c r="IG97" i="27"/>
  <c r="IH97" i="27"/>
  <c r="II97" i="27"/>
  <c r="IJ97" i="27"/>
  <c r="IK97" i="27"/>
  <c r="IL97" i="27"/>
  <c r="IM97" i="27"/>
  <c r="IN97" i="27"/>
  <c r="IO97" i="27"/>
  <c r="IP97" i="27"/>
  <c r="IQ97" i="27"/>
  <c r="IR97" i="27"/>
  <c r="IS97" i="27"/>
  <c r="IT97" i="27"/>
  <c r="IU97" i="27"/>
  <c r="IV97" i="27"/>
  <c r="A96" i="27"/>
  <c r="B96" i="27"/>
  <c r="C96" i="27"/>
  <c r="D96" i="27"/>
  <c r="E96" i="27"/>
  <c r="F96" i="27"/>
  <c r="G96" i="27"/>
  <c r="H96" i="27"/>
  <c r="I96" i="27"/>
  <c r="J96" i="27"/>
  <c r="K96" i="27"/>
  <c r="L96" i="27"/>
  <c r="M96" i="27"/>
  <c r="N96" i="27"/>
  <c r="O96" i="27"/>
  <c r="P96" i="27"/>
  <c r="Q96" i="27"/>
  <c r="R96" i="27"/>
  <c r="S96" i="27"/>
  <c r="T96" i="27"/>
  <c r="U96" i="27"/>
  <c r="V96" i="27"/>
  <c r="W96" i="27"/>
  <c r="X96" i="27"/>
  <c r="Y96" i="27"/>
  <c r="Z96" i="27"/>
  <c r="AA96" i="27"/>
  <c r="AB96" i="27"/>
  <c r="AC96" i="27"/>
  <c r="AD96" i="27"/>
  <c r="AE96" i="27"/>
  <c r="AF96" i="27"/>
  <c r="AG96" i="27"/>
  <c r="AH96" i="27"/>
  <c r="AI96" i="27"/>
  <c r="AJ96" i="27"/>
  <c r="AK96" i="27"/>
  <c r="AL96" i="27"/>
  <c r="AM96" i="27"/>
  <c r="AN96" i="27"/>
  <c r="AO96" i="27"/>
  <c r="AP96" i="27"/>
  <c r="AQ96" i="27"/>
  <c r="AR96" i="27"/>
  <c r="AS96" i="27"/>
  <c r="AT96" i="27"/>
  <c r="AU96" i="27"/>
  <c r="AV96" i="27"/>
  <c r="AW96" i="27"/>
  <c r="AX96" i="27"/>
  <c r="AY96" i="27"/>
  <c r="AZ96" i="27"/>
  <c r="BA96" i="27"/>
  <c r="BB96" i="27"/>
  <c r="BC96" i="27"/>
  <c r="BD96" i="27"/>
  <c r="BE96" i="27"/>
  <c r="BF96" i="27"/>
  <c r="BG96" i="27"/>
  <c r="BH96" i="27"/>
  <c r="BI96" i="27"/>
  <c r="BJ96" i="27"/>
  <c r="BK96" i="27"/>
  <c r="BL96" i="27"/>
  <c r="BM96" i="27"/>
  <c r="BN96" i="27"/>
  <c r="BO96" i="27"/>
  <c r="BP96" i="27"/>
  <c r="BQ96" i="27"/>
  <c r="BR96" i="27"/>
  <c r="BS96" i="27"/>
  <c r="BT96" i="27"/>
  <c r="BU96" i="27"/>
  <c r="BV96" i="27"/>
  <c r="BW96" i="27"/>
  <c r="BX96" i="27"/>
  <c r="BY96" i="27"/>
  <c r="BZ96" i="27"/>
  <c r="CA96" i="27"/>
  <c r="CB96" i="27"/>
  <c r="CC96" i="27"/>
  <c r="CD96" i="27"/>
  <c r="CE96" i="27"/>
  <c r="CF96" i="27"/>
  <c r="CG96" i="27"/>
  <c r="CH96" i="27"/>
  <c r="CI96" i="27"/>
  <c r="CJ96" i="27"/>
  <c r="CK96" i="27"/>
  <c r="CL96" i="27"/>
  <c r="CM96" i="27"/>
  <c r="CN96" i="27"/>
  <c r="CO96" i="27"/>
  <c r="CP96" i="27"/>
  <c r="CQ96" i="27"/>
  <c r="CR96" i="27"/>
  <c r="CS96" i="27"/>
  <c r="CT96" i="27"/>
  <c r="CU96" i="27"/>
  <c r="CV96" i="27"/>
  <c r="CW96" i="27"/>
  <c r="CX96" i="27"/>
  <c r="CY96" i="27"/>
  <c r="CZ96" i="27"/>
  <c r="DA96" i="27"/>
  <c r="DB96" i="27"/>
  <c r="DC96" i="27"/>
  <c r="DD96" i="27"/>
  <c r="DE96" i="27"/>
  <c r="DF96" i="27"/>
  <c r="DG96" i="27"/>
  <c r="DH96" i="27"/>
  <c r="DI96" i="27"/>
  <c r="DJ96" i="27"/>
  <c r="DK96" i="27"/>
  <c r="DL96" i="27"/>
  <c r="DM96" i="27"/>
  <c r="DN96" i="27"/>
  <c r="DO96" i="27"/>
  <c r="DP96" i="27"/>
  <c r="DQ96" i="27"/>
  <c r="DR96" i="27"/>
  <c r="DS96" i="27"/>
  <c r="DT96" i="27"/>
  <c r="DU96" i="27"/>
  <c r="DV96" i="27"/>
  <c r="DW96" i="27"/>
  <c r="DX96" i="27"/>
  <c r="DY96" i="27"/>
  <c r="DZ96" i="27"/>
  <c r="EA96" i="27"/>
  <c r="EB96" i="27"/>
  <c r="EC96" i="27"/>
  <c r="ED96" i="27"/>
  <c r="EE96" i="27"/>
  <c r="EF96" i="27"/>
  <c r="EG96" i="27"/>
  <c r="EH96" i="27"/>
  <c r="EI96" i="27"/>
  <c r="EJ96" i="27"/>
  <c r="EK96" i="27"/>
  <c r="EL96" i="27"/>
  <c r="EM96" i="27"/>
  <c r="EN96" i="27"/>
  <c r="EO96" i="27"/>
  <c r="EP96" i="27"/>
  <c r="EQ96" i="27"/>
  <c r="ER96" i="27"/>
  <c r="ES96" i="27"/>
  <c r="ET96" i="27"/>
  <c r="EU96" i="27"/>
  <c r="EV96" i="27"/>
  <c r="EW96" i="27"/>
  <c r="EX96" i="27"/>
  <c r="EY96" i="27"/>
  <c r="EZ96" i="27"/>
  <c r="FA96" i="27"/>
  <c r="FB96" i="27"/>
  <c r="FC96" i="27"/>
  <c r="FD96" i="27"/>
  <c r="FE96" i="27"/>
  <c r="FF96" i="27"/>
  <c r="FG96" i="27"/>
  <c r="FH96" i="27"/>
  <c r="FI96" i="27"/>
  <c r="FJ96" i="27"/>
  <c r="FK96" i="27"/>
  <c r="FL96" i="27"/>
  <c r="FM96" i="27"/>
  <c r="FN96" i="27"/>
  <c r="FO96" i="27"/>
  <c r="FP96" i="27"/>
  <c r="FQ96" i="27"/>
  <c r="FR96" i="27"/>
  <c r="FS96" i="27"/>
  <c r="FT96" i="27"/>
  <c r="FU96" i="27"/>
  <c r="FV96" i="27"/>
  <c r="FW96" i="27"/>
  <c r="FX96" i="27"/>
  <c r="FY96" i="27"/>
  <c r="FZ96" i="27"/>
  <c r="GA96" i="27"/>
  <c r="GB96" i="27"/>
  <c r="GC96" i="27"/>
  <c r="GD96" i="27"/>
  <c r="GE96" i="27"/>
  <c r="GF96" i="27"/>
  <c r="GG96" i="27"/>
  <c r="GH96" i="27"/>
  <c r="GI96" i="27"/>
  <c r="GJ96" i="27"/>
  <c r="GK96" i="27"/>
  <c r="GL96" i="27"/>
  <c r="GM96" i="27"/>
  <c r="GN96" i="27"/>
  <c r="GO96" i="27"/>
  <c r="GP96" i="27"/>
  <c r="GQ96" i="27"/>
  <c r="GR96" i="27"/>
  <c r="GS96" i="27"/>
  <c r="GT96" i="27"/>
  <c r="GU96" i="27"/>
  <c r="GV96" i="27"/>
  <c r="GW96" i="27"/>
  <c r="GX96" i="27"/>
  <c r="GY96" i="27"/>
  <c r="GZ96" i="27"/>
  <c r="HA96" i="27"/>
  <c r="HB96" i="27"/>
  <c r="HC96" i="27"/>
  <c r="HD96" i="27"/>
  <c r="HE96" i="27"/>
  <c r="HF96" i="27"/>
  <c r="HG96" i="27"/>
  <c r="HH96" i="27"/>
  <c r="HI96" i="27"/>
  <c r="HJ96" i="27"/>
  <c r="HK96" i="27"/>
  <c r="HL96" i="27"/>
  <c r="HM96" i="27"/>
  <c r="HN96" i="27"/>
  <c r="HO96" i="27"/>
  <c r="HP96" i="27"/>
  <c r="HQ96" i="27"/>
  <c r="HR96" i="27"/>
  <c r="HS96" i="27"/>
  <c r="HT96" i="27"/>
  <c r="HU96" i="27"/>
  <c r="HV96" i="27"/>
  <c r="HW96" i="27"/>
  <c r="HX96" i="27"/>
  <c r="HY96" i="27"/>
  <c r="HZ96" i="27"/>
  <c r="IA96" i="27"/>
  <c r="IB96" i="27"/>
  <c r="IC96" i="27"/>
  <c r="ID96" i="27"/>
  <c r="IE96" i="27"/>
  <c r="IF96" i="27"/>
  <c r="IG96" i="27"/>
  <c r="IH96" i="27"/>
  <c r="II96" i="27"/>
  <c r="IJ96" i="27"/>
  <c r="IK96" i="27"/>
  <c r="IL96" i="27"/>
  <c r="IM96" i="27"/>
  <c r="IN96" i="27"/>
  <c r="IO96" i="27"/>
  <c r="IP96" i="27"/>
  <c r="IQ96" i="27"/>
  <c r="IR96" i="27"/>
  <c r="IS96" i="27"/>
  <c r="IT96" i="27"/>
  <c r="IU96" i="27"/>
  <c r="IV96" i="27"/>
  <c r="A95" i="27"/>
  <c r="B95" i="27"/>
  <c r="C95" i="27"/>
  <c r="D95" i="27"/>
  <c r="E95" i="27"/>
  <c r="F95" i="27"/>
  <c r="G95" i="27"/>
  <c r="H95" i="27"/>
  <c r="I95" i="27"/>
  <c r="J95" i="27"/>
  <c r="K95" i="27"/>
  <c r="L95" i="27"/>
  <c r="M95" i="27"/>
  <c r="N95" i="27"/>
  <c r="O95" i="27"/>
  <c r="P95" i="27"/>
  <c r="Q95" i="27"/>
  <c r="R95" i="27"/>
  <c r="S95" i="27"/>
  <c r="T95" i="27"/>
  <c r="U95" i="27"/>
  <c r="V95" i="27"/>
  <c r="W95" i="27"/>
  <c r="X95" i="27"/>
  <c r="Y95" i="27"/>
  <c r="Z95" i="27"/>
  <c r="AA95" i="27"/>
  <c r="AB95" i="27"/>
  <c r="AC95" i="27"/>
  <c r="AD95" i="27"/>
  <c r="AE95" i="27"/>
  <c r="AF95" i="27"/>
  <c r="AG95" i="27"/>
  <c r="AH95" i="27"/>
  <c r="AI95" i="27"/>
  <c r="AJ95" i="27"/>
  <c r="AK95" i="27"/>
  <c r="AL95" i="27"/>
  <c r="AM95" i="27"/>
  <c r="AN95" i="27"/>
  <c r="AO95" i="27"/>
  <c r="AP95" i="27"/>
  <c r="AQ95" i="27"/>
  <c r="AR95" i="27"/>
  <c r="AS95" i="27"/>
  <c r="AT95" i="27"/>
  <c r="AU95" i="27"/>
  <c r="AV95" i="27"/>
  <c r="AW95" i="27"/>
  <c r="AX95" i="27"/>
  <c r="AY95" i="27"/>
  <c r="AZ95" i="27"/>
  <c r="BA95" i="27"/>
  <c r="BB95" i="27"/>
  <c r="BC95" i="27"/>
  <c r="BD95" i="27"/>
  <c r="BE95" i="27"/>
  <c r="BF95" i="27"/>
  <c r="BG95" i="27"/>
  <c r="BH95" i="27"/>
  <c r="BI95" i="27"/>
  <c r="BJ95" i="27"/>
  <c r="BK95" i="27"/>
  <c r="BL95" i="27"/>
  <c r="BM95" i="27"/>
  <c r="BN95" i="27"/>
  <c r="BO95" i="27"/>
  <c r="BP95" i="27"/>
  <c r="BQ95" i="27"/>
  <c r="BR95" i="27"/>
  <c r="BS95" i="27"/>
  <c r="BT95" i="27"/>
  <c r="BU95" i="27"/>
  <c r="BV95" i="27"/>
  <c r="BW95" i="27"/>
  <c r="BX95" i="27"/>
  <c r="BY95" i="27"/>
  <c r="BZ95" i="27"/>
  <c r="CA95" i="27"/>
  <c r="CB95" i="27"/>
  <c r="CC95" i="27"/>
  <c r="CD95" i="27"/>
  <c r="CE95" i="27"/>
  <c r="CF95" i="27"/>
  <c r="CG95" i="27"/>
  <c r="CH95" i="27"/>
  <c r="CI95" i="27"/>
  <c r="CJ95" i="27"/>
  <c r="CK95" i="27"/>
  <c r="CL95" i="27"/>
  <c r="CM95" i="27"/>
  <c r="CN95" i="27"/>
  <c r="CO95" i="27"/>
  <c r="CP95" i="27"/>
  <c r="CQ95" i="27"/>
  <c r="CR95" i="27"/>
  <c r="CS95" i="27"/>
  <c r="CT95" i="27"/>
  <c r="CU95" i="27"/>
  <c r="CV95" i="27"/>
  <c r="CW95" i="27"/>
  <c r="CX95" i="27"/>
  <c r="CY95" i="27"/>
  <c r="CZ95" i="27"/>
  <c r="DA95" i="27"/>
  <c r="DB95" i="27"/>
  <c r="DC95" i="27"/>
  <c r="DD95" i="27"/>
  <c r="DE95" i="27"/>
  <c r="DF95" i="27"/>
  <c r="DG95" i="27"/>
  <c r="DH95" i="27"/>
  <c r="DI95" i="27"/>
  <c r="DJ95" i="27"/>
  <c r="DK95" i="27"/>
  <c r="DL95" i="27"/>
  <c r="DM95" i="27"/>
  <c r="DN95" i="27"/>
  <c r="DO95" i="27"/>
  <c r="DP95" i="27"/>
  <c r="DQ95" i="27"/>
  <c r="DR95" i="27"/>
  <c r="DS95" i="27"/>
  <c r="DT95" i="27"/>
  <c r="DU95" i="27"/>
  <c r="DV95" i="27"/>
  <c r="DW95" i="27"/>
  <c r="DX95" i="27"/>
  <c r="DY95" i="27"/>
  <c r="DZ95" i="27"/>
  <c r="EA95" i="27"/>
  <c r="EB95" i="27"/>
  <c r="EC95" i="27"/>
  <c r="ED95" i="27"/>
  <c r="EE95" i="27"/>
  <c r="EF95" i="27"/>
  <c r="EG95" i="27"/>
  <c r="EH95" i="27"/>
  <c r="EI95" i="27"/>
  <c r="EJ95" i="27"/>
  <c r="EK95" i="27"/>
  <c r="EL95" i="27"/>
  <c r="EM95" i="27"/>
  <c r="EN95" i="27"/>
  <c r="EO95" i="27"/>
  <c r="EP95" i="27"/>
  <c r="EQ95" i="27"/>
  <c r="ER95" i="27"/>
  <c r="ES95" i="27"/>
  <c r="ET95" i="27"/>
  <c r="EU95" i="27"/>
  <c r="EV95" i="27"/>
  <c r="EW95" i="27"/>
  <c r="EX95" i="27"/>
  <c r="EY95" i="27"/>
  <c r="EZ95" i="27"/>
  <c r="FA95" i="27"/>
  <c r="FB95" i="27"/>
  <c r="FC95" i="27"/>
  <c r="FD95" i="27"/>
  <c r="FE95" i="27"/>
  <c r="FF95" i="27"/>
  <c r="FG95" i="27"/>
  <c r="FH95" i="27"/>
  <c r="FI95" i="27"/>
  <c r="FJ95" i="27"/>
  <c r="FK95" i="27"/>
  <c r="FL95" i="27"/>
  <c r="FM95" i="27"/>
  <c r="FN95" i="27"/>
  <c r="FO95" i="27"/>
  <c r="FP95" i="27"/>
  <c r="FQ95" i="27"/>
  <c r="FR95" i="27"/>
  <c r="FS95" i="27"/>
  <c r="FT95" i="27"/>
  <c r="FU95" i="27"/>
  <c r="FV95" i="27"/>
  <c r="FW95" i="27"/>
  <c r="FX95" i="27"/>
  <c r="FY95" i="27"/>
  <c r="FZ95" i="27"/>
  <c r="GA95" i="27"/>
  <c r="GB95" i="27"/>
  <c r="GC95" i="27"/>
  <c r="GD95" i="27"/>
  <c r="GE95" i="27"/>
  <c r="GF95" i="27"/>
  <c r="GG95" i="27"/>
  <c r="GH95" i="27"/>
  <c r="GI95" i="27"/>
  <c r="GJ95" i="27"/>
  <c r="GK95" i="27"/>
  <c r="GL95" i="27"/>
  <c r="GM95" i="27"/>
  <c r="GN95" i="27"/>
  <c r="GO95" i="27"/>
  <c r="GP95" i="27"/>
  <c r="GQ95" i="27"/>
  <c r="GR95" i="27"/>
  <c r="GS95" i="27"/>
  <c r="GT95" i="27"/>
  <c r="GU95" i="27"/>
  <c r="GV95" i="27"/>
  <c r="GW95" i="27"/>
  <c r="GX95" i="27"/>
  <c r="GY95" i="27"/>
  <c r="GZ95" i="27"/>
  <c r="HA95" i="27"/>
  <c r="HB95" i="27"/>
  <c r="HC95" i="27"/>
  <c r="HD95" i="27"/>
  <c r="HE95" i="27"/>
  <c r="HF95" i="27"/>
  <c r="HG95" i="27"/>
  <c r="HH95" i="27"/>
  <c r="HI95" i="27"/>
  <c r="HJ95" i="27"/>
  <c r="HK95" i="27"/>
  <c r="HL95" i="27"/>
  <c r="HM95" i="27"/>
  <c r="HN95" i="27"/>
  <c r="HO95" i="27"/>
  <c r="HP95" i="27"/>
  <c r="HQ95" i="27"/>
  <c r="HR95" i="27"/>
  <c r="HS95" i="27"/>
  <c r="HT95" i="27"/>
  <c r="HU95" i="27"/>
  <c r="HV95" i="27"/>
  <c r="HW95" i="27"/>
  <c r="HX95" i="27"/>
  <c r="HY95" i="27"/>
  <c r="HZ95" i="27"/>
  <c r="IA95" i="27"/>
  <c r="IB95" i="27"/>
  <c r="IC95" i="27"/>
  <c r="ID95" i="27"/>
  <c r="IE95" i="27"/>
  <c r="IF95" i="27"/>
  <c r="IG95" i="27"/>
  <c r="IH95" i="27"/>
  <c r="II95" i="27"/>
  <c r="IJ95" i="27"/>
  <c r="IK95" i="27"/>
  <c r="IL95" i="27"/>
  <c r="IM95" i="27"/>
  <c r="IN95" i="27"/>
  <c r="IO95" i="27"/>
  <c r="IP95" i="27"/>
  <c r="IQ95" i="27"/>
  <c r="IR95" i="27"/>
  <c r="IS95" i="27"/>
  <c r="IT95" i="27"/>
  <c r="IU95" i="27"/>
  <c r="IV95" i="27"/>
  <c r="A94" i="27"/>
  <c r="B94" i="27"/>
  <c r="C94" i="27"/>
  <c r="D94" i="27"/>
  <c r="E94" i="27"/>
  <c r="F94" i="27"/>
  <c r="G94" i="27"/>
  <c r="H94" i="27"/>
  <c r="I94" i="27"/>
  <c r="J94" i="27"/>
  <c r="K94" i="27"/>
  <c r="L94" i="27"/>
  <c r="M94" i="27"/>
  <c r="N94" i="27"/>
  <c r="O94" i="27"/>
  <c r="P94" i="27"/>
  <c r="Q94" i="27"/>
  <c r="R94" i="27"/>
  <c r="S94" i="27"/>
  <c r="T94" i="27"/>
  <c r="U94" i="27"/>
  <c r="V94" i="27"/>
  <c r="W94" i="27"/>
  <c r="X94" i="27"/>
  <c r="Y94" i="27"/>
  <c r="Z94" i="27"/>
  <c r="AA94" i="27"/>
  <c r="AB94" i="27"/>
  <c r="AC94" i="27"/>
  <c r="AD94" i="27"/>
  <c r="AE94" i="27"/>
  <c r="AF94" i="27"/>
  <c r="AG94" i="27"/>
  <c r="AH94" i="27"/>
  <c r="AI94" i="27"/>
  <c r="AJ94" i="27"/>
  <c r="AK94" i="27"/>
  <c r="AL94" i="27"/>
  <c r="AM94" i="27"/>
  <c r="AN94" i="27"/>
  <c r="AO94" i="27"/>
  <c r="AP94" i="27"/>
  <c r="AQ94" i="27"/>
  <c r="AR94" i="27"/>
  <c r="AS94" i="27"/>
  <c r="AT94" i="27"/>
  <c r="AU94" i="27"/>
  <c r="AV94" i="27"/>
  <c r="AW94" i="27"/>
  <c r="AX94" i="27"/>
  <c r="AY94" i="27"/>
  <c r="AZ94" i="27"/>
  <c r="BA94" i="27"/>
  <c r="BB94" i="27"/>
  <c r="BC94" i="27"/>
  <c r="BD94" i="27"/>
  <c r="BE94" i="27"/>
  <c r="BF94" i="27"/>
  <c r="BG94" i="27"/>
  <c r="BH94" i="27"/>
  <c r="BI94" i="27"/>
  <c r="BJ94" i="27"/>
  <c r="BK94" i="27"/>
  <c r="BL94" i="27"/>
  <c r="BM94" i="27"/>
  <c r="BN94" i="27"/>
  <c r="BO94" i="27"/>
  <c r="BP94" i="27"/>
  <c r="BQ94" i="27"/>
  <c r="BR94" i="27"/>
  <c r="BS94" i="27"/>
  <c r="BT94" i="27"/>
  <c r="BU94" i="27"/>
  <c r="BV94" i="27"/>
  <c r="BW94" i="27"/>
  <c r="BX94" i="27"/>
  <c r="BY94" i="27"/>
  <c r="BZ94" i="27"/>
  <c r="CA94" i="27"/>
  <c r="CB94" i="27"/>
  <c r="CC94" i="27"/>
  <c r="CD94" i="27"/>
  <c r="CE94" i="27"/>
  <c r="CF94" i="27"/>
  <c r="CG94" i="27"/>
  <c r="CH94" i="27"/>
  <c r="CI94" i="27"/>
  <c r="CJ94" i="27"/>
  <c r="CK94" i="27"/>
  <c r="CL94" i="27"/>
  <c r="CM94" i="27"/>
  <c r="CN94" i="27"/>
  <c r="CO94" i="27"/>
  <c r="CP94" i="27"/>
  <c r="CQ94" i="27"/>
  <c r="CR94" i="27"/>
  <c r="CS94" i="27"/>
  <c r="CT94" i="27"/>
  <c r="CU94" i="27"/>
  <c r="CV94" i="27"/>
  <c r="CW94" i="27"/>
  <c r="CX94" i="27"/>
  <c r="CY94" i="27"/>
  <c r="CZ94" i="27"/>
  <c r="DA94" i="27"/>
  <c r="DB94" i="27"/>
  <c r="DC94" i="27"/>
  <c r="DD94" i="27"/>
  <c r="DE94" i="27"/>
  <c r="DF94" i="27"/>
  <c r="DG94" i="27"/>
  <c r="DH94" i="27"/>
  <c r="DI94" i="27"/>
  <c r="DJ94" i="27"/>
  <c r="DK94" i="27"/>
  <c r="DL94" i="27"/>
  <c r="DM94" i="27"/>
  <c r="DN94" i="27"/>
  <c r="DO94" i="27"/>
  <c r="DP94" i="27"/>
  <c r="DQ94" i="27"/>
  <c r="DR94" i="27"/>
  <c r="DS94" i="27"/>
  <c r="DT94" i="27"/>
  <c r="DU94" i="27"/>
  <c r="DV94" i="27"/>
  <c r="DW94" i="27"/>
  <c r="DX94" i="27"/>
  <c r="DY94" i="27"/>
  <c r="DZ94" i="27"/>
  <c r="EA94" i="27"/>
  <c r="EB94" i="27"/>
  <c r="EC94" i="27"/>
  <c r="ED94" i="27"/>
  <c r="EE94" i="27"/>
  <c r="EF94" i="27"/>
  <c r="EG94" i="27"/>
  <c r="EH94" i="27"/>
  <c r="EI94" i="27"/>
  <c r="EJ94" i="27"/>
  <c r="EK94" i="27"/>
  <c r="EL94" i="27"/>
  <c r="EM94" i="27"/>
  <c r="EN94" i="27"/>
  <c r="EO94" i="27"/>
  <c r="EP94" i="27"/>
  <c r="EQ94" i="27"/>
  <c r="ER94" i="27"/>
  <c r="ES94" i="27"/>
  <c r="ET94" i="27"/>
  <c r="EU94" i="27"/>
  <c r="EV94" i="27"/>
  <c r="EW94" i="27"/>
  <c r="EX94" i="27"/>
  <c r="EY94" i="27"/>
  <c r="EZ94" i="27"/>
  <c r="FA94" i="27"/>
  <c r="FB94" i="27"/>
  <c r="FC94" i="27"/>
  <c r="FD94" i="27"/>
  <c r="FE94" i="27"/>
  <c r="FF94" i="27"/>
  <c r="FG94" i="27"/>
  <c r="FH94" i="27"/>
  <c r="FI94" i="27"/>
  <c r="FJ94" i="27"/>
  <c r="FK94" i="27"/>
  <c r="FL94" i="27"/>
  <c r="FM94" i="27"/>
  <c r="FN94" i="27"/>
  <c r="FO94" i="27"/>
  <c r="FP94" i="27"/>
  <c r="FQ94" i="27"/>
  <c r="FR94" i="27"/>
  <c r="FS94" i="27"/>
  <c r="FT94" i="27"/>
  <c r="FU94" i="27"/>
  <c r="FV94" i="27"/>
  <c r="FW94" i="27"/>
  <c r="FX94" i="27"/>
  <c r="FY94" i="27"/>
  <c r="FZ94" i="27"/>
  <c r="GA94" i="27"/>
  <c r="GB94" i="27"/>
  <c r="GC94" i="27"/>
  <c r="GD94" i="27"/>
  <c r="GE94" i="27"/>
  <c r="GF94" i="27"/>
  <c r="GG94" i="27"/>
  <c r="GH94" i="27"/>
  <c r="GI94" i="27"/>
  <c r="GJ94" i="27"/>
  <c r="GK94" i="27"/>
  <c r="GL94" i="27"/>
  <c r="GM94" i="27"/>
  <c r="GN94" i="27"/>
  <c r="GO94" i="27"/>
  <c r="GP94" i="27"/>
  <c r="GQ94" i="27"/>
  <c r="GR94" i="27"/>
  <c r="GS94" i="27"/>
  <c r="GT94" i="27"/>
  <c r="GU94" i="27"/>
  <c r="GV94" i="27"/>
  <c r="GW94" i="27"/>
  <c r="GX94" i="27"/>
  <c r="GY94" i="27"/>
  <c r="GZ94" i="27"/>
  <c r="HA94" i="27"/>
  <c r="HB94" i="27"/>
  <c r="HC94" i="27"/>
  <c r="HD94" i="27"/>
  <c r="HE94" i="27"/>
  <c r="HF94" i="27"/>
  <c r="HG94" i="27"/>
  <c r="HH94" i="27"/>
  <c r="HI94" i="27"/>
  <c r="HJ94" i="27"/>
  <c r="HK94" i="27"/>
  <c r="HL94" i="27"/>
  <c r="HM94" i="27"/>
  <c r="HN94" i="27"/>
  <c r="HO94" i="27"/>
  <c r="HP94" i="27"/>
  <c r="HQ94" i="27"/>
  <c r="HR94" i="27"/>
  <c r="HS94" i="27"/>
  <c r="HT94" i="27"/>
  <c r="HU94" i="27"/>
  <c r="HV94" i="27"/>
  <c r="HW94" i="27"/>
  <c r="HX94" i="27"/>
  <c r="HY94" i="27"/>
  <c r="HZ94" i="27"/>
  <c r="IA94" i="27"/>
  <c r="IB94" i="27"/>
  <c r="IC94" i="27"/>
  <c r="ID94" i="27"/>
  <c r="IE94" i="27"/>
  <c r="IF94" i="27"/>
  <c r="IG94" i="27"/>
  <c r="IH94" i="27"/>
  <c r="II94" i="27"/>
  <c r="IJ94" i="27"/>
  <c r="IK94" i="27"/>
  <c r="IL94" i="27"/>
  <c r="IM94" i="27"/>
  <c r="IN94" i="27"/>
  <c r="IO94" i="27"/>
  <c r="IP94" i="27"/>
  <c r="IQ94" i="27"/>
  <c r="IR94" i="27"/>
  <c r="IS94" i="27"/>
  <c r="IT94" i="27"/>
  <c r="IU94" i="27"/>
  <c r="IV94" i="27"/>
  <c r="A93" i="27"/>
  <c r="B93" i="27"/>
  <c r="C93" i="27"/>
  <c r="D93" i="27"/>
  <c r="E93" i="27"/>
  <c r="F93" i="27"/>
  <c r="G93" i="27"/>
  <c r="H93" i="27"/>
  <c r="I93" i="27"/>
  <c r="J93" i="27"/>
  <c r="K93" i="27"/>
  <c r="L93" i="27"/>
  <c r="M93" i="27"/>
  <c r="N93" i="27"/>
  <c r="O93" i="27"/>
  <c r="P93" i="27"/>
  <c r="Q93" i="27"/>
  <c r="R93" i="27"/>
  <c r="S93" i="27"/>
  <c r="T93" i="27"/>
  <c r="U93" i="27"/>
  <c r="V93" i="27"/>
  <c r="W93" i="27"/>
  <c r="X93" i="27"/>
  <c r="Y93" i="27"/>
  <c r="Z93" i="27"/>
  <c r="AA93" i="27"/>
  <c r="AB93" i="27"/>
  <c r="AC93" i="27"/>
  <c r="AD93" i="27"/>
  <c r="AE93" i="27"/>
  <c r="AF93" i="27"/>
  <c r="AG93" i="27"/>
  <c r="AH93" i="27"/>
  <c r="AI93" i="27"/>
  <c r="AJ93" i="27"/>
  <c r="AK93" i="27"/>
  <c r="AL93" i="27"/>
  <c r="AM93" i="27"/>
  <c r="AN93" i="27"/>
  <c r="AO93" i="27"/>
  <c r="AP93" i="27"/>
  <c r="AQ93" i="27"/>
  <c r="AR93" i="27"/>
  <c r="AS93" i="27"/>
  <c r="AT93" i="27"/>
  <c r="AU93" i="27"/>
  <c r="AV93" i="27"/>
  <c r="AW93" i="27"/>
  <c r="AX93" i="27"/>
  <c r="AY93" i="27"/>
  <c r="AZ93" i="27"/>
  <c r="BA93" i="27"/>
  <c r="BB93" i="27"/>
  <c r="BC93" i="27"/>
  <c r="BD93" i="27"/>
  <c r="BE93" i="27"/>
  <c r="BF93" i="27"/>
  <c r="BG93" i="27"/>
  <c r="BH93" i="27"/>
  <c r="BI93" i="27"/>
  <c r="BJ93" i="27"/>
  <c r="BK93" i="27"/>
  <c r="BL93" i="27"/>
  <c r="BM93" i="27"/>
  <c r="BN93" i="27"/>
  <c r="BO93" i="27"/>
  <c r="BP93" i="27"/>
  <c r="BQ93" i="27"/>
  <c r="BR93" i="27"/>
  <c r="BS93" i="27"/>
  <c r="BT93" i="27"/>
  <c r="BU93" i="27"/>
  <c r="BV93" i="27"/>
  <c r="BW93" i="27"/>
  <c r="BX93" i="27"/>
  <c r="BY93" i="27"/>
  <c r="BZ93" i="27"/>
  <c r="CA93" i="27"/>
  <c r="CB93" i="27"/>
  <c r="CC93" i="27"/>
  <c r="CD93" i="27"/>
  <c r="CE93" i="27"/>
  <c r="CF93" i="27"/>
  <c r="CG93" i="27"/>
  <c r="CH93" i="27"/>
  <c r="CI93" i="27"/>
  <c r="CJ93" i="27"/>
  <c r="CK93" i="27"/>
  <c r="CL93" i="27"/>
  <c r="CM93" i="27"/>
  <c r="CN93" i="27"/>
  <c r="CO93" i="27"/>
  <c r="CP93" i="27"/>
  <c r="CQ93" i="27"/>
  <c r="CR93" i="27"/>
  <c r="CS93" i="27"/>
  <c r="CT93" i="27"/>
  <c r="CU93" i="27"/>
  <c r="CV93" i="27"/>
  <c r="CW93" i="27"/>
  <c r="CX93" i="27"/>
  <c r="CY93" i="27"/>
  <c r="CZ93" i="27"/>
  <c r="DA93" i="27"/>
  <c r="DB93" i="27"/>
  <c r="DC93" i="27"/>
  <c r="DD93" i="27"/>
  <c r="DE93" i="27"/>
  <c r="DF93" i="27"/>
  <c r="DG93" i="27"/>
  <c r="DH93" i="27"/>
  <c r="DI93" i="27"/>
  <c r="DJ93" i="27"/>
  <c r="DK93" i="27"/>
  <c r="DL93" i="27"/>
  <c r="DM93" i="27"/>
  <c r="DN93" i="27"/>
  <c r="DO93" i="27"/>
  <c r="DP93" i="27"/>
  <c r="DQ93" i="27"/>
  <c r="DR93" i="27"/>
  <c r="DS93" i="27"/>
  <c r="DT93" i="27"/>
  <c r="DU93" i="27"/>
  <c r="DV93" i="27"/>
  <c r="DW93" i="27"/>
  <c r="DX93" i="27"/>
  <c r="DY93" i="27"/>
  <c r="DZ93" i="27"/>
  <c r="EA93" i="27"/>
  <c r="EB93" i="27"/>
  <c r="EC93" i="27"/>
  <c r="ED93" i="27"/>
  <c r="EE93" i="27"/>
  <c r="EF93" i="27"/>
  <c r="EG93" i="27"/>
  <c r="EH93" i="27"/>
  <c r="EI93" i="27"/>
  <c r="EJ93" i="27"/>
  <c r="EK93" i="27"/>
  <c r="EL93" i="27"/>
  <c r="EM93" i="27"/>
  <c r="EN93" i="27"/>
  <c r="EO93" i="27"/>
  <c r="EP93" i="27"/>
  <c r="EQ93" i="27"/>
  <c r="ER93" i="27"/>
  <c r="ES93" i="27"/>
  <c r="ET93" i="27"/>
  <c r="EU93" i="27"/>
  <c r="EV93" i="27"/>
  <c r="EW93" i="27"/>
  <c r="EX93" i="27"/>
  <c r="EY93" i="27"/>
  <c r="EZ93" i="27"/>
  <c r="FA93" i="27"/>
  <c r="FB93" i="27"/>
  <c r="FC93" i="27"/>
  <c r="FD93" i="27"/>
  <c r="FE93" i="27"/>
  <c r="FF93" i="27"/>
  <c r="FG93" i="27"/>
  <c r="FH93" i="27"/>
  <c r="FI93" i="27"/>
  <c r="FJ93" i="27"/>
  <c r="FK93" i="27"/>
  <c r="FL93" i="27"/>
  <c r="FM93" i="27"/>
  <c r="FN93" i="27"/>
  <c r="FO93" i="27"/>
  <c r="FP93" i="27"/>
  <c r="FQ93" i="27"/>
  <c r="FR93" i="27"/>
  <c r="FS93" i="27"/>
  <c r="FT93" i="27"/>
  <c r="FU93" i="27"/>
  <c r="FV93" i="27"/>
  <c r="FW93" i="27"/>
  <c r="FX93" i="27"/>
  <c r="FY93" i="27"/>
  <c r="FZ93" i="27"/>
  <c r="GA93" i="27"/>
  <c r="GB93" i="27"/>
  <c r="GC93" i="27"/>
  <c r="GD93" i="27"/>
  <c r="GE93" i="27"/>
  <c r="GF93" i="27"/>
  <c r="GG93" i="27"/>
  <c r="GH93" i="27"/>
  <c r="GI93" i="27"/>
  <c r="GJ93" i="27"/>
  <c r="GK93" i="27"/>
  <c r="GL93" i="27"/>
  <c r="GM93" i="27"/>
  <c r="GN93" i="27"/>
  <c r="GO93" i="27"/>
  <c r="GP93" i="27"/>
  <c r="GQ93" i="27"/>
  <c r="GR93" i="27"/>
  <c r="GS93" i="27"/>
  <c r="GT93" i="27"/>
  <c r="GU93" i="27"/>
  <c r="GV93" i="27"/>
  <c r="GW93" i="27"/>
  <c r="GX93" i="27"/>
  <c r="GY93" i="27"/>
  <c r="GZ93" i="27"/>
  <c r="HA93" i="27"/>
  <c r="HB93" i="27"/>
  <c r="HC93" i="27"/>
  <c r="HD93" i="27"/>
  <c r="HE93" i="27"/>
  <c r="HF93" i="27"/>
  <c r="HG93" i="27"/>
  <c r="HH93" i="27"/>
  <c r="HI93" i="27"/>
  <c r="HJ93" i="27"/>
  <c r="HK93" i="27"/>
  <c r="HL93" i="27"/>
  <c r="HM93" i="27"/>
  <c r="HN93" i="27"/>
  <c r="HO93" i="27"/>
  <c r="HP93" i="27"/>
  <c r="HQ93" i="27"/>
  <c r="HR93" i="27"/>
  <c r="HS93" i="27"/>
  <c r="HT93" i="27"/>
  <c r="HU93" i="27"/>
  <c r="HV93" i="27"/>
  <c r="HW93" i="27"/>
  <c r="HX93" i="27"/>
  <c r="HY93" i="27"/>
  <c r="HZ93" i="27"/>
  <c r="IA93" i="27"/>
  <c r="IB93" i="27"/>
  <c r="IC93" i="27"/>
  <c r="ID93" i="27"/>
  <c r="IE93" i="27"/>
  <c r="IF93" i="27"/>
  <c r="IG93" i="27"/>
  <c r="IH93" i="27"/>
  <c r="II93" i="27"/>
  <c r="IJ93" i="27"/>
  <c r="IK93" i="27"/>
  <c r="IL93" i="27"/>
  <c r="IM93" i="27"/>
  <c r="IN93" i="27"/>
  <c r="IO93" i="27"/>
  <c r="IP93" i="27"/>
  <c r="IQ93" i="27"/>
  <c r="IR93" i="27"/>
  <c r="IS93" i="27"/>
  <c r="IT93" i="27"/>
  <c r="IU93" i="27"/>
  <c r="IV93" i="27"/>
  <c r="A92" i="27"/>
  <c r="B92" i="27"/>
  <c r="C92" i="27"/>
  <c r="D92" i="27"/>
  <c r="E92" i="27"/>
  <c r="F92" i="27"/>
  <c r="G92" i="27"/>
  <c r="H92" i="27"/>
  <c r="I92" i="27"/>
  <c r="J92" i="27"/>
  <c r="K92" i="27"/>
  <c r="L92" i="27"/>
  <c r="M92" i="27"/>
  <c r="N92" i="27"/>
  <c r="O92" i="27"/>
  <c r="P92" i="27"/>
  <c r="Q92" i="27"/>
  <c r="R92" i="27"/>
  <c r="S92" i="27"/>
  <c r="T92" i="27"/>
  <c r="U92" i="27"/>
  <c r="V92" i="27"/>
  <c r="W92" i="27"/>
  <c r="X92" i="27"/>
  <c r="Y92" i="27"/>
  <c r="Z92" i="27"/>
  <c r="AA92" i="27"/>
  <c r="AB92" i="27"/>
  <c r="AC92" i="27"/>
  <c r="AD92" i="27"/>
  <c r="AE92" i="27"/>
  <c r="AF92" i="27"/>
  <c r="AG92" i="27"/>
  <c r="AH92" i="27"/>
  <c r="AI92" i="27"/>
  <c r="AJ92" i="27"/>
  <c r="AK92" i="27"/>
  <c r="AL92" i="27"/>
  <c r="AM92" i="27"/>
  <c r="AN92" i="27"/>
  <c r="AO92" i="27"/>
  <c r="AP92" i="27"/>
  <c r="AQ92" i="27"/>
  <c r="AR92" i="27"/>
  <c r="AS92" i="27"/>
  <c r="AT92" i="27"/>
  <c r="AU92" i="27"/>
  <c r="AV92" i="27"/>
  <c r="AW92" i="27"/>
  <c r="AX92" i="27"/>
  <c r="AY92" i="27"/>
  <c r="AZ92" i="27"/>
  <c r="BA92" i="27"/>
  <c r="BB92" i="27"/>
  <c r="BC92" i="27"/>
  <c r="BD92" i="27"/>
  <c r="BE92" i="27"/>
  <c r="BF92" i="27"/>
  <c r="BG92" i="27"/>
  <c r="BH92" i="27"/>
  <c r="BI92" i="27"/>
  <c r="BJ92" i="27"/>
  <c r="BK92" i="27"/>
  <c r="BL92" i="27"/>
  <c r="BM92" i="27"/>
  <c r="BN92" i="27"/>
  <c r="BO92" i="27"/>
  <c r="BP92" i="27"/>
  <c r="BQ92" i="27"/>
  <c r="BR92" i="27"/>
  <c r="BS92" i="27"/>
  <c r="BT92" i="27"/>
  <c r="BU92" i="27"/>
  <c r="BV92" i="27"/>
  <c r="BW92" i="27"/>
  <c r="BX92" i="27"/>
  <c r="BY92" i="27"/>
  <c r="BZ92" i="27"/>
  <c r="CA92" i="27"/>
  <c r="CB92" i="27"/>
  <c r="CC92" i="27"/>
  <c r="CD92" i="27"/>
  <c r="CE92" i="27"/>
  <c r="CF92" i="27"/>
  <c r="CG92" i="27"/>
  <c r="CH92" i="27"/>
  <c r="CI92" i="27"/>
  <c r="CJ92" i="27"/>
  <c r="CK92" i="27"/>
  <c r="CL92" i="27"/>
  <c r="CM92" i="27"/>
  <c r="CN92" i="27"/>
  <c r="CO92" i="27"/>
  <c r="CP92" i="27"/>
  <c r="CQ92" i="27"/>
  <c r="CR92" i="27"/>
  <c r="CS92" i="27"/>
  <c r="CT92" i="27"/>
  <c r="CU92" i="27"/>
  <c r="CV92" i="27"/>
  <c r="CW92" i="27"/>
  <c r="CX92" i="27"/>
  <c r="CY92" i="27"/>
  <c r="CZ92" i="27"/>
  <c r="DA92" i="27"/>
  <c r="DB92" i="27"/>
  <c r="DC92" i="27"/>
  <c r="DD92" i="27"/>
  <c r="DE92" i="27"/>
  <c r="DF92" i="27"/>
  <c r="DG92" i="27"/>
  <c r="DH92" i="27"/>
  <c r="DI92" i="27"/>
  <c r="DJ92" i="27"/>
  <c r="DK92" i="27"/>
  <c r="DL92" i="27"/>
  <c r="DM92" i="27"/>
  <c r="DN92" i="27"/>
  <c r="DO92" i="27"/>
  <c r="DP92" i="27"/>
  <c r="DQ92" i="27"/>
  <c r="DR92" i="27"/>
  <c r="DS92" i="27"/>
  <c r="DT92" i="27"/>
  <c r="DU92" i="27"/>
  <c r="DV92" i="27"/>
  <c r="DW92" i="27"/>
  <c r="DX92" i="27"/>
  <c r="DY92" i="27"/>
  <c r="DZ92" i="27"/>
  <c r="EA92" i="27"/>
  <c r="EB92" i="27"/>
  <c r="EC92" i="27"/>
  <c r="ED92" i="27"/>
  <c r="EE92" i="27"/>
  <c r="EF92" i="27"/>
  <c r="EG92" i="27"/>
  <c r="EH92" i="27"/>
  <c r="EI92" i="27"/>
  <c r="EJ92" i="27"/>
  <c r="EK92" i="27"/>
  <c r="EL92" i="27"/>
  <c r="EM92" i="27"/>
  <c r="EN92" i="27"/>
  <c r="EO92" i="27"/>
  <c r="EP92" i="27"/>
  <c r="EQ92" i="27"/>
  <c r="ER92" i="27"/>
  <c r="ES92" i="27"/>
  <c r="ET92" i="27"/>
  <c r="EU92" i="27"/>
  <c r="EV92" i="27"/>
  <c r="EW92" i="27"/>
  <c r="EX92" i="27"/>
  <c r="EY92" i="27"/>
  <c r="EZ92" i="27"/>
  <c r="FA92" i="27"/>
  <c r="FB92" i="27"/>
  <c r="FC92" i="27"/>
  <c r="FD92" i="27"/>
  <c r="FE92" i="27"/>
  <c r="FF92" i="27"/>
  <c r="FG92" i="27"/>
  <c r="FH92" i="27"/>
  <c r="FI92" i="27"/>
  <c r="FJ92" i="27"/>
  <c r="FK92" i="27"/>
  <c r="FL92" i="27"/>
  <c r="FM92" i="27"/>
  <c r="FN92" i="27"/>
  <c r="FO92" i="27"/>
  <c r="FP92" i="27"/>
  <c r="FQ92" i="27"/>
  <c r="FR92" i="27"/>
  <c r="FS92" i="27"/>
  <c r="FT92" i="27"/>
  <c r="FU92" i="27"/>
  <c r="FV92" i="27"/>
  <c r="FW92" i="27"/>
  <c r="FX92" i="27"/>
  <c r="FY92" i="27"/>
  <c r="FZ92" i="27"/>
  <c r="GA92" i="27"/>
  <c r="GB92" i="27"/>
  <c r="GC92" i="27"/>
  <c r="GD92" i="27"/>
  <c r="GE92" i="27"/>
  <c r="GF92" i="27"/>
  <c r="GG92" i="27"/>
  <c r="GH92" i="27"/>
  <c r="GI92" i="27"/>
  <c r="GJ92" i="27"/>
  <c r="GK92" i="27"/>
  <c r="GL92" i="27"/>
  <c r="GM92" i="27"/>
  <c r="GN92" i="27"/>
  <c r="GO92" i="27"/>
  <c r="GP92" i="27"/>
  <c r="GQ92" i="27"/>
  <c r="GR92" i="27"/>
  <c r="GS92" i="27"/>
  <c r="GT92" i="27"/>
  <c r="GU92" i="27"/>
  <c r="GV92" i="27"/>
  <c r="GW92" i="27"/>
  <c r="GX92" i="27"/>
  <c r="GY92" i="27"/>
  <c r="GZ92" i="27"/>
  <c r="HA92" i="27"/>
  <c r="HB92" i="27"/>
  <c r="HC92" i="27"/>
  <c r="HD92" i="27"/>
  <c r="HE92" i="27"/>
  <c r="HF92" i="27"/>
  <c r="HG92" i="27"/>
  <c r="HH92" i="27"/>
  <c r="HI92" i="27"/>
  <c r="HJ92" i="27"/>
  <c r="HK92" i="27"/>
  <c r="HL92" i="27"/>
  <c r="HM92" i="27"/>
  <c r="HN92" i="27"/>
  <c r="HO92" i="27"/>
  <c r="HP92" i="27"/>
  <c r="HQ92" i="27"/>
  <c r="HR92" i="27"/>
  <c r="HS92" i="27"/>
  <c r="HT92" i="27"/>
  <c r="HU92" i="27"/>
  <c r="HV92" i="27"/>
  <c r="HW92" i="27"/>
  <c r="HX92" i="27"/>
  <c r="HY92" i="27"/>
  <c r="HZ92" i="27"/>
  <c r="IA92" i="27"/>
  <c r="IB92" i="27"/>
  <c r="IC92" i="27"/>
  <c r="ID92" i="27"/>
  <c r="IE92" i="27"/>
  <c r="IF92" i="27"/>
  <c r="IG92" i="27"/>
  <c r="IH92" i="27"/>
  <c r="II92" i="27"/>
  <c r="IJ92" i="27"/>
  <c r="IK92" i="27"/>
  <c r="IL92" i="27"/>
  <c r="IM92" i="27"/>
  <c r="IN92" i="27"/>
  <c r="IO92" i="27"/>
  <c r="IP92" i="27"/>
  <c r="IQ92" i="27"/>
  <c r="IR92" i="27"/>
  <c r="IS92" i="27"/>
  <c r="IT92" i="27"/>
  <c r="IU92" i="27"/>
  <c r="IV92" i="27"/>
  <c r="A91" i="27"/>
  <c r="B91" i="27"/>
  <c r="C91" i="27"/>
  <c r="D91" i="27"/>
  <c r="E91" i="27"/>
  <c r="F91" i="27"/>
  <c r="G91" i="27"/>
  <c r="H91" i="27"/>
  <c r="I91" i="27"/>
  <c r="J91" i="27"/>
  <c r="K91" i="27"/>
  <c r="L91" i="27"/>
  <c r="M91" i="27"/>
  <c r="N91" i="27"/>
  <c r="O91" i="27"/>
  <c r="P91" i="27"/>
  <c r="Q91" i="27"/>
  <c r="R91" i="27"/>
  <c r="S91" i="27"/>
  <c r="T91" i="27"/>
  <c r="U91" i="27"/>
  <c r="V91" i="27"/>
  <c r="W91" i="27"/>
  <c r="X91" i="27"/>
  <c r="Y91" i="27"/>
  <c r="Z91" i="27"/>
  <c r="AA91" i="27"/>
  <c r="AB91" i="27"/>
  <c r="AC91" i="27"/>
  <c r="AD91" i="27"/>
  <c r="AE91" i="27"/>
  <c r="AF91" i="27"/>
  <c r="AG91" i="27"/>
  <c r="AH91" i="27"/>
  <c r="AI91" i="27"/>
  <c r="AJ91" i="27"/>
  <c r="AK91" i="27"/>
  <c r="AL91" i="27"/>
  <c r="AM91" i="27"/>
  <c r="AN91" i="27"/>
  <c r="AO91" i="27"/>
  <c r="AP91" i="27"/>
  <c r="AQ91" i="27"/>
  <c r="AR91" i="27"/>
  <c r="AS91" i="27"/>
  <c r="AT91" i="27"/>
  <c r="AU91" i="27"/>
  <c r="AV91" i="27"/>
  <c r="AW91" i="27"/>
  <c r="AX91" i="27"/>
  <c r="AY91" i="27"/>
  <c r="AZ91" i="27"/>
  <c r="BA91" i="27"/>
  <c r="BB91" i="27"/>
  <c r="BC91" i="27"/>
  <c r="BD91" i="27"/>
  <c r="BE91" i="27"/>
  <c r="BF91" i="27"/>
  <c r="BG91" i="27"/>
  <c r="BH91" i="27"/>
  <c r="BI91" i="27"/>
  <c r="BJ91" i="27"/>
  <c r="BK91" i="27"/>
  <c r="BL91" i="27"/>
  <c r="BM91" i="27"/>
  <c r="BN91" i="27"/>
  <c r="BO91" i="27"/>
  <c r="BP91" i="27"/>
  <c r="BQ91" i="27"/>
  <c r="BR91" i="27"/>
  <c r="BS91" i="27"/>
  <c r="BT91" i="27"/>
  <c r="BU91" i="27"/>
  <c r="BV91" i="27"/>
  <c r="BW91" i="27"/>
  <c r="BX91" i="27"/>
  <c r="BY91" i="27"/>
  <c r="BZ91" i="27"/>
  <c r="CA91" i="27"/>
  <c r="CB91" i="27"/>
  <c r="CC91" i="27"/>
  <c r="CD91" i="27"/>
  <c r="CE91" i="27"/>
  <c r="CF91" i="27"/>
  <c r="CG91" i="27"/>
  <c r="CH91" i="27"/>
  <c r="CI91" i="27"/>
  <c r="CJ91" i="27"/>
  <c r="CK91" i="27"/>
  <c r="CL91" i="27"/>
  <c r="CM91" i="27"/>
  <c r="CN91" i="27"/>
  <c r="CO91" i="27"/>
  <c r="CP91" i="27"/>
  <c r="CQ91" i="27"/>
  <c r="CR91" i="27"/>
  <c r="CS91" i="27"/>
  <c r="CT91" i="27"/>
  <c r="CU91" i="27"/>
  <c r="CV91" i="27"/>
  <c r="CW91" i="27"/>
  <c r="CX91" i="27"/>
  <c r="CY91" i="27"/>
  <c r="CZ91" i="27"/>
  <c r="DA91" i="27"/>
  <c r="DB91" i="27"/>
  <c r="DC91" i="27"/>
  <c r="DD91" i="27"/>
  <c r="DE91" i="27"/>
  <c r="DF91" i="27"/>
  <c r="DG91" i="27"/>
  <c r="DH91" i="27"/>
  <c r="DI91" i="27"/>
  <c r="DJ91" i="27"/>
  <c r="DK91" i="27"/>
  <c r="DL91" i="27"/>
  <c r="DM91" i="27"/>
  <c r="DN91" i="27"/>
  <c r="DO91" i="27"/>
  <c r="DP91" i="27"/>
  <c r="DQ91" i="27"/>
  <c r="DR91" i="27"/>
  <c r="DS91" i="27"/>
  <c r="DT91" i="27"/>
  <c r="DU91" i="27"/>
  <c r="DV91" i="27"/>
  <c r="DW91" i="27"/>
  <c r="DX91" i="27"/>
  <c r="DY91" i="27"/>
  <c r="DZ91" i="27"/>
  <c r="EA91" i="27"/>
  <c r="EB91" i="27"/>
  <c r="EC91" i="27"/>
  <c r="ED91" i="27"/>
  <c r="EE91" i="27"/>
  <c r="EF91" i="27"/>
  <c r="EG91" i="27"/>
  <c r="EH91" i="27"/>
  <c r="EI91" i="27"/>
  <c r="EJ91" i="27"/>
  <c r="EK91" i="27"/>
  <c r="EL91" i="27"/>
  <c r="EM91" i="27"/>
  <c r="EN91" i="27"/>
  <c r="EO91" i="27"/>
  <c r="EP91" i="27"/>
  <c r="EQ91" i="27"/>
  <c r="ER91" i="27"/>
  <c r="ES91" i="27"/>
  <c r="ET91" i="27"/>
  <c r="EU91" i="27"/>
  <c r="EV91" i="27"/>
  <c r="EW91" i="27"/>
  <c r="EX91" i="27"/>
  <c r="EY91" i="27"/>
  <c r="EZ91" i="27"/>
  <c r="FA91" i="27"/>
  <c r="FB91" i="27"/>
  <c r="FC91" i="27"/>
  <c r="FD91" i="27"/>
  <c r="FE91" i="27"/>
  <c r="FF91" i="27"/>
  <c r="FG91" i="27"/>
  <c r="FH91" i="27"/>
  <c r="FI91" i="27"/>
  <c r="FJ91" i="27"/>
  <c r="FK91" i="27"/>
  <c r="FL91" i="27"/>
  <c r="FM91" i="27"/>
  <c r="FN91" i="27"/>
  <c r="FO91" i="27"/>
  <c r="FP91" i="27"/>
  <c r="FQ91" i="27"/>
  <c r="FR91" i="27"/>
  <c r="FS91" i="27"/>
  <c r="FT91" i="27"/>
  <c r="FU91" i="27"/>
  <c r="FV91" i="27"/>
  <c r="FW91" i="27"/>
  <c r="FX91" i="27"/>
  <c r="FY91" i="27"/>
  <c r="FZ91" i="27"/>
  <c r="GA91" i="27"/>
  <c r="GB91" i="27"/>
  <c r="GC91" i="27"/>
  <c r="GD91" i="27"/>
  <c r="GE91" i="27"/>
  <c r="GF91" i="27"/>
  <c r="GG91" i="27"/>
  <c r="GH91" i="27"/>
  <c r="GI91" i="27"/>
  <c r="GJ91" i="27"/>
  <c r="GK91" i="27"/>
  <c r="GL91" i="27"/>
  <c r="GM91" i="27"/>
  <c r="GN91" i="27"/>
  <c r="GO91" i="27"/>
  <c r="GP91" i="27"/>
  <c r="GQ91" i="27"/>
  <c r="GR91" i="27"/>
  <c r="GS91" i="27"/>
  <c r="GT91" i="27"/>
  <c r="GU91" i="27"/>
  <c r="GV91" i="27"/>
  <c r="GW91" i="27"/>
  <c r="GX91" i="27"/>
  <c r="GY91" i="27"/>
  <c r="GZ91" i="27"/>
  <c r="HA91" i="27"/>
  <c r="HB91" i="27"/>
  <c r="HC91" i="27"/>
  <c r="HD91" i="27"/>
  <c r="HE91" i="27"/>
  <c r="HF91" i="27"/>
  <c r="HG91" i="27"/>
  <c r="HH91" i="27"/>
  <c r="HI91" i="27"/>
  <c r="HJ91" i="27"/>
  <c r="HK91" i="27"/>
  <c r="HL91" i="27"/>
  <c r="HM91" i="27"/>
  <c r="HN91" i="27"/>
  <c r="HO91" i="27"/>
  <c r="HP91" i="27"/>
  <c r="HQ91" i="27"/>
  <c r="HR91" i="27"/>
  <c r="HS91" i="27"/>
  <c r="HT91" i="27"/>
  <c r="HU91" i="27"/>
  <c r="HV91" i="27"/>
  <c r="HW91" i="27"/>
  <c r="HX91" i="27"/>
  <c r="HY91" i="27"/>
  <c r="HZ91" i="27"/>
  <c r="IA91" i="27"/>
  <c r="IB91" i="27"/>
  <c r="IC91" i="27"/>
  <c r="ID91" i="27"/>
  <c r="IE91" i="27"/>
  <c r="IF91" i="27"/>
  <c r="IG91" i="27"/>
  <c r="IH91" i="27"/>
  <c r="II91" i="27"/>
  <c r="IJ91" i="27"/>
  <c r="IK91" i="27"/>
  <c r="IL91" i="27"/>
  <c r="IM91" i="27"/>
  <c r="IN91" i="27"/>
  <c r="IO91" i="27"/>
  <c r="IP91" i="27"/>
  <c r="IQ91" i="27"/>
  <c r="IR91" i="27"/>
  <c r="IS91" i="27"/>
  <c r="IT91" i="27"/>
  <c r="IU91" i="27"/>
  <c r="IV91" i="27"/>
  <c r="A90" i="27"/>
  <c r="B90" i="27"/>
  <c r="C90" i="27"/>
  <c r="D90" i="27"/>
  <c r="E90" i="27"/>
  <c r="F90" i="27"/>
  <c r="G90" i="27"/>
  <c r="H90" i="27"/>
  <c r="I90" i="27"/>
  <c r="J90" i="27"/>
  <c r="K90" i="27"/>
  <c r="L90" i="27"/>
  <c r="M90" i="27"/>
  <c r="N90" i="27"/>
  <c r="O90" i="27"/>
  <c r="P90" i="27"/>
  <c r="Q90" i="27"/>
  <c r="R90" i="27"/>
  <c r="S90" i="27"/>
  <c r="T90" i="27"/>
  <c r="U90" i="27"/>
  <c r="V90" i="27"/>
  <c r="W90" i="27"/>
  <c r="X90" i="27"/>
  <c r="Y90" i="27"/>
  <c r="Z90" i="27"/>
  <c r="AA90" i="27"/>
  <c r="AB90" i="27"/>
  <c r="AC90" i="27"/>
  <c r="AD90" i="27"/>
  <c r="AE90" i="27"/>
  <c r="AF90" i="27"/>
  <c r="AG90" i="27"/>
  <c r="AH90" i="27"/>
  <c r="AI90" i="27"/>
  <c r="AJ90" i="27"/>
  <c r="AK90" i="27"/>
  <c r="AL90" i="27"/>
  <c r="AM90" i="27"/>
  <c r="AN90" i="27"/>
  <c r="AO90" i="27"/>
  <c r="AP90" i="27"/>
  <c r="AQ90" i="27"/>
  <c r="AR90" i="27"/>
  <c r="AS90" i="27"/>
  <c r="AT90" i="27"/>
  <c r="AU90" i="27"/>
  <c r="AV90" i="27"/>
  <c r="AW90" i="27"/>
  <c r="AX90" i="27"/>
  <c r="AY90" i="27"/>
  <c r="AZ90" i="27"/>
  <c r="BA90" i="27"/>
  <c r="BB90" i="27"/>
  <c r="BC90" i="27"/>
  <c r="BD90" i="27"/>
  <c r="BE90" i="27"/>
  <c r="BF90" i="27"/>
  <c r="BG90" i="27"/>
  <c r="BH90" i="27"/>
  <c r="BI90" i="27"/>
  <c r="BJ90" i="27"/>
  <c r="BK90" i="27"/>
  <c r="BL90" i="27"/>
  <c r="BM90" i="27"/>
  <c r="BN90" i="27"/>
  <c r="BO90" i="27"/>
  <c r="BP90" i="27"/>
  <c r="BQ90" i="27"/>
  <c r="BR90" i="27"/>
  <c r="BS90" i="27"/>
  <c r="BT90" i="27"/>
  <c r="BU90" i="27"/>
  <c r="BV90" i="27"/>
  <c r="BW90" i="27"/>
  <c r="BX90" i="27"/>
  <c r="BY90" i="27"/>
  <c r="BZ90" i="27"/>
  <c r="CA90" i="27"/>
  <c r="CB90" i="27"/>
  <c r="CC90" i="27"/>
  <c r="CD90" i="27"/>
  <c r="CE90" i="27"/>
  <c r="CF90" i="27"/>
  <c r="CG90" i="27"/>
  <c r="CH90" i="27"/>
  <c r="CI90" i="27"/>
  <c r="CJ90" i="27"/>
  <c r="CK90" i="27"/>
  <c r="CL90" i="27"/>
  <c r="CM90" i="27"/>
  <c r="CN90" i="27"/>
  <c r="CO90" i="27"/>
  <c r="CP90" i="27"/>
  <c r="CQ90" i="27"/>
  <c r="CR90" i="27"/>
  <c r="CS90" i="27"/>
  <c r="CT90" i="27"/>
  <c r="CU90" i="27"/>
  <c r="CV90" i="27"/>
  <c r="CW90" i="27"/>
  <c r="CX90" i="27"/>
  <c r="CY90" i="27"/>
  <c r="CZ90" i="27"/>
  <c r="DA90" i="27"/>
  <c r="DB90" i="27"/>
  <c r="DC90" i="27"/>
  <c r="DD90" i="27"/>
  <c r="DE90" i="27"/>
  <c r="DF90" i="27"/>
  <c r="DG90" i="27"/>
  <c r="DH90" i="27"/>
  <c r="DI90" i="27"/>
  <c r="DJ90" i="27"/>
  <c r="DK90" i="27"/>
  <c r="DL90" i="27"/>
  <c r="DM90" i="27"/>
  <c r="DN90" i="27"/>
  <c r="DO90" i="27"/>
  <c r="DP90" i="27"/>
  <c r="DQ90" i="27"/>
  <c r="DR90" i="27"/>
  <c r="DS90" i="27"/>
  <c r="DT90" i="27"/>
  <c r="DU90" i="27"/>
  <c r="DV90" i="27"/>
  <c r="DW90" i="27"/>
  <c r="DX90" i="27"/>
  <c r="DY90" i="27"/>
  <c r="DZ90" i="27"/>
  <c r="EA90" i="27"/>
  <c r="EB90" i="27"/>
  <c r="EC90" i="27"/>
  <c r="ED90" i="27"/>
  <c r="EE90" i="27"/>
  <c r="EF90" i="27"/>
  <c r="EG90" i="27"/>
  <c r="EH90" i="27"/>
  <c r="EI90" i="27"/>
  <c r="EJ90" i="27"/>
  <c r="EK90" i="27"/>
  <c r="EL90" i="27"/>
  <c r="EM90" i="27"/>
  <c r="EN90" i="27"/>
  <c r="EO90" i="27"/>
  <c r="EP90" i="27"/>
  <c r="EQ90" i="27"/>
  <c r="ER90" i="27"/>
  <c r="ES90" i="27"/>
  <c r="ET90" i="27"/>
  <c r="EU90" i="27"/>
  <c r="EV90" i="27"/>
  <c r="EW90" i="27"/>
  <c r="EX90" i="27"/>
  <c r="EY90" i="27"/>
  <c r="EZ90" i="27"/>
  <c r="FA90" i="27"/>
  <c r="FB90" i="27"/>
  <c r="FC90" i="27"/>
  <c r="FD90" i="27"/>
  <c r="FE90" i="27"/>
  <c r="FF90" i="27"/>
  <c r="FG90" i="27"/>
  <c r="FH90" i="27"/>
  <c r="FI90" i="27"/>
  <c r="FJ90" i="27"/>
  <c r="FK90" i="27"/>
  <c r="FL90" i="27"/>
  <c r="FM90" i="27"/>
  <c r="FN90" i="27"/>
  <c r="FO90" i="27"/>
  <c r="FP90" i="27"/>
  <c r="FQ90" i="27"/>
  <c r="FR90" i="27"/>
  <c r="FS90" i="27"/>
  <c r="FT90" i="27"/>
  <c r="FU90" i="27"/>
  <c r="FV90" i="27"/>
  <c r="FW90" i="27"/>
  <c r="FX90" i="27"/>
  <c r="FY90" i="27"/>
  <c r="FZ90" i="27"/>
  <c r="GA90" i="27"/>
  <c r="GB90" i="27"/>
  <c r="GC90" i="27"/>
  <c r="GD90" i="27"/>
  <c r="GE90" i="27"/>
  <c r="GF90" i="27"/>
  <c r="GG90" i="27"/>
  <c r="GH90" i="27"/>
  <c r="GI90" i="27"/>
  <c r="GJ90" i="27"/>
  <c r="GK90" i="27"/>
  <c r="GL90" i="27"/>
  <c r="GM90" i="27"/>
  <c r="GN90" i="27"/>
  <c r="GO90" i="27"/>
  <c r="GP90" i="27"/>
  <c r="GQ90" i="27"/>
  <c r="GR90" i="27"/>
  <c r="GS90" i="27"/>
  <c r="GT90" i="27"/>
  <c r="GU90" i="27"/>
  <c r="GV90" i="27"/>
  <c r="GW90" i="27"/>
  <c r="GX90" i="27"/>
  <c r="GY90" i="27"/>
  <c r="GZ90" i="27"/>
  <c r="HA90" i="27"/>
  <c r="HB90" i="27"/>
  <c r="HC90" i="27"/>
  <c r="HD90" i="27"/>
  <c r="HE90" i="27"/>
  <c r="HF90" i="27"/>
  <c r="HG90" i="27"/>
  <c r="HH90" i="27"/>
  <c r="HI90" i="27"/>
  <c r="HJ90" i="27"/>
  <c r="HK90" i="27"/>
  <c r="HL90" i="27"/>
  <c r="HM90" i="27"/>
  <c r="HN90" i="27"/>
  <c r="HO90" i="27"/>
  <c r="HP90" i="27"/>
  <c r="HQ90" i="27"/>
  <c r="HR90" i="27"/>
  <c r="HS90" i="27"/>
  <c r="HT90" i="27"/>
  <c r="HU90" i="27"/>
  <c r="HV90" i="27"/>
  <c r="HW90" i="27"/>
  <c r="HX90" i="27"/>
  <c r="HY90" i="27"/>
  <c r="HZ90" i="27"/>
  <c r="IA90" i="27"/>
  <c r="IB90" i="27"/>
  <c r="IC90" i="27"/>
  <c r="ID90" i="27"/>
  <c r="IE90" i="27"/>
  <c r="IF90" i="27"/>
  <c r="IG90" i="27"/>
  <c r="IH90" i="27"/>
  <c r="II90" i="27"/>
  <c r="IJ90" i="27"/>
  <c r="IK90" i="27"/>
  <c r="IL90" i="27"/>
  <c r="IM90" i="27"/>
  <c r="IN90" i="27"/>
  <c r="IO90" i="27"/>
  <c r="IP90" i="27"/>
  <c r="IQ90" i="27"/>
  <c r="IR90" i="27"/>
  <c r="IS90" i="27"/>
  <c r="IT90" i="27"/>
  <c r="IU90" i="27"/>
  <c r="IV90" i="27"/>
  <c r="A89" i="27"/>
  <c r="B89" i="27"/>
  <c r="C89" i="27"/>
  <c r="D89" i="27"/>
  <c r="E89" i="27"/>
  <c r="F89" i="27"/>
  <c r="G89" i="27"/>
  <c r="H89" i="27"/>
  <c r="I89" i="27"/>
  <c r="J89" i="27"/>
  <c r="K89" i="27"/>
  <c r="L89" i="27"/>
  <c r="M89" i="27"/>
  <c r="N89" i="27"/>
  <c r="O89" i="27"/>
  <c r="P89" i="27"/>
  <c r="Q89" i="27"/>
  <c r="R89" i="27"/>
  <c r="S89" i="27"/>
  <c r="T89" i="27"/>
  <c r="U89" i="27"/>
  <c r="V89" i="27"/>
  <c r="W89" i="27"/>
  <c r="X89" i="27"/>
  <c r="Y89" i="27"/>
  <c r="Z89" i="27"/>
  <c r="AA89" i="27"/>
  <c r="AB89" i="27"/>
  <c r="AC89" i="27"/>
  <c r="AD89" i="27"/>
  <c r="AE89" i="27"/>
  <c r="AF89" i="27"/>
  <c r="AG89" i="27"/>
  <c r="AH89" i="27"/>
  <c r="AI89" i="27"/>
  <c r="AJ89" i="27"/>
  <c r="AK89" i="27"/>
  <c r="AL89" i="27"/>
  <c r="AM89" i="27"/>
  <c r="AN89" i="27"/>
  <c r="AO89" i="27"/>
  <c r="AP89" i="27"/>
  <c r="AQ89" i="27"/>
  <c r="AR89" i="27"/>
  <c r="AS89" i="27"/>
  <c r="AT89" i="27"/>
  <c r="AU89" i="27"/>
  <c r="AV89" i="27"/>
  <c r="AW89" i="27"/>
  <c r="AX89" i="27"/>
  <c r="AY89" i="27"/>
  <c r="AZ89" i="27"/>
  <c r="BA89" i="27"/>
  <c r="BB89" i="27"/>
  <c r="BC89" i="27"/>
  <c r="BD89" i="27"/>
  <c r="BE89" i="27"/>
  <c r="BF89" i="27"/>
  <c r="BG89" i="27"/>
  <c r="BH89" i="27"/>
  <c r="BI89" i="27"/>
  <c r="BJ89" i="27"/>
  <c r="BK89" i="27"/>
  <c r="BL89" i="27"/>
  <c r="BM89" i="27"/>
  <c r="BN89" i="27"/>
  <c r="BO89" i="27"/>
  <c r="BP89" i="27"/>
  <c r="BQ89" i="27"/>
  <c r="BR89" i="27"/>
  <c r="BS89" i="27"/>
  <c r="BT89" i="27"/>
  <c r="BU89" i="27"/>
  <c r="BV89" i="27"/>
  <c r="BW89" i="27"/>
  <c r="BX89" i="27"/>
  <c r="BY89" i="27"/>
  <c r="BZ89" i="27"/>
  <c r="CA89" i="27"/>
  <c r="CB89" i="27"/>
  <c r="CC89" i="27"/>
  <c r="CD89" i="27"/>
  <c r="CE89" i="27"/>
  <c r="CF89" i="27"/>
  <c r="CG89" i="27"/>
  <c r="CH89" i="27"/>
  <c r="CI89" i="27"/>
  <c r="CJ89" i="27"/>
  <c r="CK89" i="27"/>
  <c r="CL89" i="27"/>
  <c r="CM89" i="27"/>
  <c r="CN89" i="27"/>
  <c r="CO89" i="27"/>
  <c r="CP89" i="27"/>
  <c r="CQ89" i="27"/>
  <c r="CR89" i="27"/>
  <c r="CS89" i="27"/>
  <c r="CT89" i="27"/>
  <c r="CU89" i="27"/>
  <c r="CV89" i="27"/>
  <c r="CW89" i="27"/>
  <c r="CX89" i="27"/>
  <c r="CY89" i="27"/>
  <c r="CZ89" i="27"/>
  <c r="DA89" i="27"/>
  <c r="DB89" i="27"/>
  <c r="DC89" i="27"/>
  <c r="DD89" i="27"/>
  <c r="DE89" i="27"/>
  <c r="DF89" i="27"/>
  <c r="DG89" i="27"/>
  <c r="DH89" i="27"/>
  <c r="DI89" i="27"/>
  <c r="DJ89" i="27"/>
  <c r="DK89" i="27"/>
  <c r="DL89" i="27"/>
  <c r="DM89" i="27"/>
  <c r="DN89" i="27"/>
  <c r="DO89" i="27"/>
  <c r="DP89" i="27"/>
  <c r="DQ89" i="27"/>
  <c r="DR89" i="27"/>
  <c r="DS89" i="27"/>
  <c r="DT89" i="27"/>
  <c r="DU89" i="27"/>
  <c r="DV89" i="27"/>
  <c r="DW89" i="27"/>
  <c r="DX89" i="27"/>
  <c r="DY89" i="27"/>
  <c r="DZ89" i="27"/>
  <c r="EA89" i="27"/>
  <c r="EB89" i="27"/>
  <c r="EC89" i="27"/>
  <c r="ED89" i="27"/>
  <c r="EE89" i="27"/>
  <c r="EF89" i="27"/>
  <c r="EG89" i="27"/>
  <c r="EH89" i="27"/>
  <c r="EI89" i="27"/>
  <c r="EJ89" i="27"/>
  <c r="EK89" i="27"/>
  <c r="EL89" i="27"/>
  <c r="EM89" i="27"/>
  <c r="EN89" i="27"/>
  <c r="EO89" i="27"/>
  <c r="EP89" i="27"/>
  <c r="EQ89" i="27"/>
  <c r="ER89" i="27"/>
  <c r="ES89" i="27"/>
  <c r="ET89" i="27"/>
  <c r="EU89" i="27"/>
  <c r="EV89" i="27"/>
  <c r="EW89" i="27"/>
  <c r="EX89" i="27"/>
  <c r="EY89" i="27"/>
  <c r="EZ89" i="27"/>
  <c r="FA89" i="27"/>
  <c r="FB89" i="27"/>
  <c r="FC89" i="27"/>
  <c r="FD89" i="27"/>
  <c r="FE89" i="27"/>
  <c r="FF89" i="27"/>
  <c r="FG89" i="27"/>
  <c r="FH89" i="27"/>
  <c r="FI89" i="27"/>
  <c r="FJ89" i="27"/>
  <c r="FK89" i="27"/>
  <c r="FL89" i="27"/>
  <c r="FM89" i="27"/>
  <c r="FN89" i="27"/>
  <c r="FO89" i="27"/>
  <c r="FP89" i="27"/>
  <c r="FQ89" i="27"/>
  <c r="FR89" i="27"/>
  <c r="FS89" i="27"/>
  <c r="FT89" i="27"/>
  <c r="FU89" i="27"/>
  <c r="FV89" i="27"/>
  <c r="FW89" i="27"/>
  <c r="FX89" i="27"/>
  <c r="FY89" i="27"/>
  <c r="FZ89" i="27"/>
  <c r="GA89" i="27"/>
  <c r="GB89" i="27"/>
  <c r="GC89" i="27"/>
  <c r="GD89" i="27"/>
  <c r="GE89" i="27"/>
  <c r="GF89" i="27"/>
  <c r="GG89" i="27"/>
  <c r="GH89" i="27"/>
  <c r="GI89" i="27"/>
  <c r="GJ89" i="27"/>
  <c r="GK89" i="27"/>
  <c r="GL89" i="27"/>
  <c r="GM89" i="27"/>
  <c r="GN89" i="27"/>
  <c r="GO89" i="27"/>
  <c r="GP89" i="27"/>
  <c r="GQ89" i="27"/>
  <c r="GR89" i="27"/>
  <c r="GS89" i="27"/>
  <c r="GT89" i="27"/>
  <c r="GU89" i="27"/>
  <c r="GV89" i="27"/>
  <c r="GW89" i="27"/>
  <c r="GX89" i="27"/>
  <c r="GY89" i="27"/>
  <c r="GZ89" i="27"/>
  <c r="HA89" i="27"/>
  <c r="HB89" i="27"/>
  <c r="HC89" i="27"/>
  <c r="HD89" i="27"/>
  <c r="HE89" i="27"/>
  <c r="HF89" i="27"/>
  <c r="HG89" i="27"/>
  <c r="HH89" i="27"/>
  <c r="HI89" i="27"/>
  <c r="HJ89" i="27"/>
  <c r="HK89" i="27"/>
  <c r="HL89" i="27"/>
  <c r="HM89" i="27"/>
  <c r="HN89" i="27"/>
  <c r="HO89" i="27"/>
  <c r="HP89" i="27"/>
  <c r="HQ89" i="27"/>
  <c r="HR89" i="27"/>
  <c r="HS89" i="27"/>
  <c r="HT89" i="27"/>
  <c r="HU89" i="27"/>
  <c r="HV89" i="27"/>
  <c r="HW89" i="27"/>
  <c r="HX89" i="27"/>
  <c r="HY89" i="27"/>
  <c r="HZ89" i="27"/>
  <c r="IA89" i="27"/>
  <c r="IB89" i="27"/>
  <c r="IC89" i="27"/>
  <c r="ID89" i="27"/>
  <c r="IE89" i="27"/>
  <c r="IF89" i="27"/>
  <c r="IG89" i="27"/>
  <c r="IH89" i="27"/>
  <c r="II89" i="27"/>
  <c r="IJ89" i="27"/>
  <c r="IK89" i="27"/>
  <c r="IL89" i="27"/>
  <c r="IM89" i="27"/>
  <c r="IN89" i="27"/>
  <c r="IO89" i="27"/>
  <c r="IP89" i="27"/>
  <c r="IQ89" i="27"/>
  <c r="IR89" i="27"/>
  <c r="IS89" i="27"/>
  <c r="IT89" i="27"/>
  <c r="IU89" i="27"/>
  <c r="IV89" i="27"/>
  <c r="A88" i="27"/>
  <c r="B88" i="27"/>
  <c r="C88" i="27"/>
  <c r="D88" i="27"/>
  <c r="E88" i="27"/>
  <c r="F88" i="27"/>
  <c r="G88" i="27"/>
  <c r="H88" i="27"/>
  <c r="I88" i="27"/>
  <c r="J88" i="27"/>
  <c r="K88" i="27"/>
  <c r="L88" i="27"/>
  <c r="M88" i="27"/>
  <c r="N88" i="27"/>
  <c r="O88" i="27"/>
  <c r="P88" i="27"/>
  <c r="Q88" i="27"/>
  <c r="R88" i="27"/>
  <c r="S88" i="27"/>
  <c r="T88" i="27"/>
  <c r="U88" i="27"/>
  <c r="V88" i="27"/>
  <c r="W88" i="27"/>
  <c r="X88" i="27"/>
  <c r="Y88" i="27"/>
  <c r="Z88" i="27"/>
  <c r="AA88" i="27"/>
  <c r="AB88" i="27"/>
  <c r="AC88" i="27"/>
  <c r="AD88" i="27"/>
  <c r="AE88" i="27"/>
  <c r="AF88" i="27"/>
  <c r="AG88" i="27"/>
  <c r="AH88" i="27"/>
  <c r="AI88" i="27"/>
  <c r="AJ88" i="27"/>
  <c r="AK88" i="27"/>
  <c r="AL88" i="27"/>
  <c r="AM88" i="27"/>
  <c r="AN88" i="27"/>
  <c r="AO88" i="27"/>
  <c r="AP88" i="27"/>
  <c r="AQ88" i="27"/>
  <c r="AR88" i="27"/>
  <c r="AS88" i="27"/>
  <c r="AT88" i="27"/>
  <c r="AU88" i="27"/>
  <c r="AV88" i="27"/>
  <c r="AW88" i="27"/>
  <c r="AX88" i="27"/>
  <c r="AY88" i="27"/>
  <c r="AZ88" i="27"/>
  <c r="BA88" i="27"/>
  <c r="BB88" i="27"/>
  <c r="BC88" i="27"/>
  <c r="BD88" i="27"/>
  <c r="BE88" i="27"/>
  <c r="BF88" i="27"/>
  <c r="BG88" i="27"/>
  <c r="BH88" i="27"/>
  <c r="BI88" i="27"/>
  <c r="BJ88" i="27"/>
  <c r="BK88" i="27"/>
  <c r="BL88" i="27"/>
  <c r="BM88" i="27"/>
  <c r="BN88" i="27"/>
  <c r="BO88" i="27"/>
  <c r="BP88" i="27"/>
  <c r="BQ88" i="27"/>
  <c r="BR88" i="27"/>
  <c r="BS88" i="27"/>
  <c r="BT88" i="27"/>
  <c r="BU88" i="27"/>
  <c r="BV88" i="27"/>
  <c r="BW88" i="27"/>
  <c r="BX88" i="27"/>
  <c r="BY88" i="27"/>
  <c r="BZ88" i="27"/>
  <c r="CA88" i="27"/>
  <c r="CB88" i="27"/>
  <c r="CC88" i="27"/>
  <c r="CD88" i="27"/>
  <c r="CE88" i="27"/>
  <c r="CF88" i="27"/>
  <c r="CG88" i="27"/>
  <c r="CH88" i="27"/>
  <c r="CI88" i="27"/>
  <c r="CJ88" i="27"/>
  <c r="CK88" i="27"/>
  <c r="CL88" i="27"/>
  <c r="CM88" i="27"/>
  <c r="CN88" i="27"/>
  <c r="CO88" i="27"/>
  <c r="CP88" i="27"/>
  <c r="CQ88" i="27"/>
  <c r="CR88" i="27"/>
  <c r="CS88" i="27"/>
  <c r="CT88" i="27"/>
  <c r="CU88" i="27"/>
  <c r="CV88" i="27"/>
  <c r="CW88" i="27"/>
  <c r="CX88" i="27"/>
  <c r="CY88" i="27"/>
  <c r="CZ88" i="27"/>
  <c r="DA88" i="27"/>
  <c r="DB88" i="27"/>
  <c r="DC88" i="27"/>
  <c r="DD88" i="27"/>
  <c r="DE88" i="27"/>
  <c r="DF88" i="27"/>
  <c r="DG88" i="27"/>
  <c r="DH88" i="27"/>
  <c r="DI88" i="27"/>
  <c r="DJ88" i="27"/>
  <c r="DK88" i="27"/>
  <c r="DL88" i="27"/>
  <c r="DM88" i="27"/>
  <c r="DN88" i="27"/>
  <c r="DO88" i="27"/>
  <c r="DP88" i="27"/>
  <c r="DQ88" i="27"/>
  <c r="DR88" i="27"/>
  <c r="DS88" i="27"/>
  <c r="DT88" i="27"/>
  <c r="DU88" i="27"/>
  <c r="DV88" i="27"/>
  <c r="DW88" i="27"/>
  <c r="DX88" i="27"/>
  <c r="DY88" i="27"/>
  <c r="DZ88" i="27"/>
  <c r="EA88" i="27"/>
  <c r="EB88" i="27"/>
  <c r="EC88" i="27"/>
  <c r="ED88" i="27"/>
  <c r="EE88" i="27"/>
  <c r="EF88" i="27"/>
  <c r="EG88" i="27"/>
  <c r="EH88" i="27"/>
  <c r="EI88" i="27"/>
  <c r="EJ88" i="27"/>
  <c r="EK88" i="27"/>
  <c r="EL88" i="27"/>
  <c r="EM88" i="27"/>
  <c r="EN88" i="27"/>
  <c r="EO88" i="27"/>
  <c r="EP88" i="27"/>
  <c r="EQ88" i="27"/>
  <c r="ER88" i="27"/>
  <c r="ES88" i="27"/>
  <c r="ET88" i="27"/>
  <c r="EU88" i="27"/>
  <c r="EV88" i="27"/>
  <c r="EW88" i="27"/>
  <c r="EX88" i="27"/>
  <c r="EY88" i="27"/>
  <c r="EZ88" i="27"/>
  <c r="FA88" i="27"/>
  <c r="FB88" i="27"/>
  <c r="FC88" i="27"/>
  <c r="FD88" i="27"/>
  <c r="FE88" i="27"/>
  <c r="FF88" i="27"/>
  <c r="FG88" i="27"/>
  <c r="FH88" i="27"/>
  <c r="FI88" i="27"/>
  <c r="FJ88" i="27"/>
  <c r="FK88" i="27"/>
  <c r="FL88" i="27"/>
  <c r="FM88" i="27"/>
  <c r="FN88" i="27"/>
  <c r="FO88" i="27"/>
  <c r="FP88" i="27"/>
  <c r="FQ88" i="27"/>
  <c r="FR88" i="27"/>
  <c r="FS88" i="27"/>
  <c r="FT88" i="27"/>
  <c r="FU88" i="27"/>
  <c r="FV88" i="27"/>
  <c r="FW88" i="27"/>
  <c r="FX88" i="27"/>
  <c r="FY88" i="27"/>
  <c r="FZ88" i="27"/>
  <c r="GA88" i="27"/>
  <c r="GB88" i="27"/>
  <c r="GC88" i="27"/>
  <c r="GD88" i="27"/>
  <c r="GE88" i="27"/>
  <c r="GF88" i="27"/>
  <c r="GG88" i="27"/>
  <c r="GH88" i="27"/>
  <c r="GI88" i="27"/>
  <c r="GJ88" i="27"/>
  <c r="GK88" i="27"/>
  <c r="GL88" i="27"/>
  <c r="GM88" i="27"/>
  <c r="GN88" i="27"/>
  <c r="GO88" i="27"/>
  <c r="GP88" i="27"/>
  <c r="GQ88" i="27"/>
  <c r="GR88" i="27"/>
  <c r="GS88" i="27"/>
  <c r="GT88" i="27"/>
  <c r="GU88" i="27"/>
  <c r="GV88" i="27"/>
  <c r="GW88" i="27"/>
  <c r="GX88" i="27"/>
  <c r="GY88" i="27"/>
  <c r="GZ88" i="27"/>
  <c r="HA88" i="27"/>
  <c r="HB88" i="27"/>
  <c r="HC88" i="27"/>
  <c r="HD88" i="27"/>
  <c r="HE88" i="27"/>
  <c r="HF88" i="27"/>
  <c r="HG88" i="27"/>
  <c r="HH88" i="27"/>
  <c r="HI88" i="27"/>
  <c r="HJ88" i="27"/>
  <c r="HK88" i="27"/>
  <c r="HL88" i="27"/>
  <c r="HM88" i="27"/>
  <c r="HN88" i="27"/>
  <c r="HO88" i="27"/>
  <c r="HP88" i="27"/>
  <c r="HQ88" i="27"/>
  <c r="HR88" i="27"/>
  <c r="HS88" i="27"/>
  <c r="HT88" i="27"/>
  <c r="HU88" i="27"/>
  <c r="HV88" i="27"/>
  <c r="HW88" i="27"/>
  <c r="HX88" i="27"/>
  <c r="HY88" i="27"/>
  <c r="HZ88" i="27"/>
  <c r="IA88" i="27"/>
  <c r="IB88" i="27"/>
  <c r="IC88" i="27"/>
  <c r="ID88" i="27"/>
  <c r="IE88" i="27"/>
  <c r="IF88" i="27"/>
  <c r="IG88" i="27"/>
  <c r="IH88" i="27"/>
  <c r="II88" i="27"/>
  <c r="IJ88" i="27"/>
  <c r="IK88" i="27"/>
  <c r="IL88" i="27"/>
  <c r="IM88" i="27"/>
  <c r="IN88" i="27"/>
  <c r="IO88" i="27"/>
  <c r="IP88" i="27"/>
  <c r="IQ88" i="27"/>
  <c r="IR88" i="27"/>
  <c r="IS88" i="27"/>
  <c r="IT88" i="27"/>
  <c r="IU88" i="27"/>
  <c r="IV88" i="27"/>
  <c r="A87" i="27"/>
  <c r="B87" i="27"/>
  <c r="C87" i="27"/>
  <c r="D87" i="27"/>
  <c r="E87" i="27"/>
  <c r="F87" i="27"/>
  <c r="G87" i="27"/>
  <c r="H87" i="27"/>
  <c r="I87" i="27"/>
  <c r="J87" i="27"/>
  <c r="K87" i="27"/>
  <c r="L87" i="27"/>
  <c r="M87" i="27"/>
  <c r="N87" i="27"/>
  <c r="O87" i="27"/>
  <c r="P87" i="27"/>
  <c r="Q87" i="27"/>
  <c r="R87" i="27"/>
  <c r="S87" i="27"/>
  <c r="T87" i="27"/>
  <c r="U87" i="27"/>
  <c r="V87" i="27"/>
  <c r="W87" i="27"/>
  <c r="X87" i="27"/>
  <c r="Y87" i="27"/>
  <c r="Z87" i="27"/>
  <c r="AA87" i="27"/>
  <c r="AB87" i="27"/>
  <c r="AC87" i="27"/>
  <c r="AD87" i="27"/>
  <c r="AE87" i="27"/>
  <c r="AF87" i="27"/>
  <c r="AG87" i="27"/>
  <c r="AH87" i="27"/>
  <c r="AI87" i="27"/>
  <c r="AJ87" i="27"/>
  <c r="AK87" i="27"/>
  <c r="AL87" i="27"/>
  <c r="AM87" i="27"/>
  <c r="AN87" i="27"/>
  <c r="AO87" i="27"/>
  <c r="AP87" i="27"/>
  <c r="AQ87" i="27"/>
  <c r="AR87" i="27"/>
  <c r="AS87" i="27"/>
  <c r="AT87" i="27"/>
  <c r="AU87" i="27"/>
  <c r="AV87" i="27"/>
  <c r="AW87" i="27"/>
  <c r="AX87" i="27"/>
  <c r="AY87" i="27"/>
  <c r="AZ87" i="27"/>
  <c r="BA87" i="27"/>
  <c r="BB87" i="27"/>
  <c r="BC87" i="27"/>
  <c r="BD87" i="27"/>
  <c r="BE87" i="27"/>
  <c r="BF87" i="27"/>
  <c r="BG87" i="27"/>
  <c r="BH87" i="27"/>
  <c r="BI87" i="27"/>
  <c r="BJ87" i="27"/>
  <c r="BK87" i="27"/>
  <c r="BL87" i="27"/>
  <c r="BM87" i="27"/>
  <c r="BN87" i="27"/>
  <c r="BO87" i="27"/>
  <c r="BP87" i="27"/>
  <c r="BQ87" i="27"/>
  <c r="BR87" i="27"/>
  <c r="BS87" i="27"/>
  <c r="BT87" i="27"/>
  <c r="BU87" i="27"/>
  <c r="BV87" i="27"/>
  <c r="BW87" i="27"/>
  <c r="BX87" i="27"/>
  <c r="BY87" i="27"/>
  <c r="BZ87" i="27"/>
  <c r="CA87" i="27"/>
  <c r="CB87" i="27"/>
  <c r="CC87" i="27"/>
  <c r="CD87" i="27"/>
  <c r="CE87" i="27"/>
  <c r="CF87" i="27"/>
  <c r="CG87" i="27"/>
  <c r="CH87" i="27"/>
  <c r="CI87" i="27"/>
  <c r="CJ87" i="27"/>
  <c r="CK87" i="27"/>
  <c r="CL87" i="27"/>
  <c r="CM87" i="27"/>
  <c r="CN87" i="27"/>
  <c r="CO87" i="27"/>
  <c r="CP87" i="27"/>
  <c r="CQ87" i="27"/>
  <c r="CR87" i="27"/>
  <c r="CS87" i="27"/>
  <c r="CT87" i="27"/>
  <c r="CU87" i="27"/>
  <c r="CV87" i="27"/>
  <c r="CW87" i="27"/>
  <c r="CX87" i="27"/>
  <c r="CY87" i="27"/>
  <c r="CZ87" i="27"/>
  <c r="DA87" i="27"/>
  <c r="DB87" i="27"/>
  <c r="DC87" i="27"/>
  <c r="DD87" i="27"/>
  <c r="DE87" i="27"/>
  <c r="DF87" i="27"/>
  <c r="DG87" i="27"/>
  <c r="DH87" i="27"/>
  <c r="DI87" i="27"/>
  <c r="DJ87" i="27"/>
  <c r="DK87" i="27"/>
  <c r="DL87" i="27"/>
  <c r="DM87" i="27"/>
  <c r="DN87" i="27"/>
  <c r="DO87" i="27"/>
  <c r="DP87" i="27"/>
  <c r="DQ87" i="27"/>
  <c r="DR87" i="27"/>
  <c r="DS87" i="27"/>
  <c r="DT87" i="27"/>
  <c r="DU87" i="27"/>
  <c r="DV87" i="27"/>
  <c r="DW87" i="27"/>
  <c r="DX87" i="27"/>
  <c r="DY87" i="27"/>
  <c r="DZ87" i="27"/>
  <c r="EA87" i="27"/>
  <c r="EB87" i="27"/>
  <c r="EC87" i="27"/>
  <c r="ED87" i="27"/>
  <c r="EE87" i="27"/>
  <c r="EF87" i="27"/>
  <c r="EG87" i="27"/>
  <c r="EH87" i="27"/>
  <c r="EI87" i="27"/>
  <c r="EJ87" i="27"/>
  <c r="EK87" i="27"/>
  <c r="EL87" i="27"/>
  <c r="EM87" i="27"/>
  <c r="EN87" i="27"/>
  <c r="EO87" i="27"/>
  <c r="EP87" i="27"/>
  <c r="EQ87" i="27"/>
  <c r="ER87" i="27"/>
  <c r="ES87" i="27"/>
  <c r="ET87" i="27"/>
  <c r="EU87" i="27"/>
  <c r="EV87" i="27"/>
  <c r="EW87" i="27"/>
  <c r="EX87" i="27"/>
  <c r="EY87" i="27"/>
  <c r="EZ87" i="27"/>
  <c r="FA87" i="27"/>
  <c r="FB87" i="27"/>
  <c r="FC87" i="27"/>
  <c r="FD87" i="27"/>
  <c r="FE87" i="27"/>
  <c r="FF87" i="27"/>
  <c r="FG87" i="27"/>
  <c r="FH87" i="27"/>
  <c r="FI87" i="27"/>
  <c r="FJ87" i="27"/>
  <c r="FK87" i="27"/>
  <c r="FL87" i="27"/>
  <c r="FM87" i="27"/>
  <c r="FN87" i="27"/>
  <c r="FO87" i="27"/>
  <c r="FP87" i="27"/>
  <c r="FQ87" i="27"/>
  <c r="FR87" i="27"/>
  <c r="FS87" i="27"/>
  <c r="FT87" i="27"/>
  <c r="FU87" i="27"/>
  <c r="FV87" i="27"/>
  <c r="FW87" i="27"/>
  <c r="FX87" i="27"/>
  <c r="FY87" i="27"/>
  <c r="FZ87" i="27"/>
  <c r="GA87" i="27"/>
  <c r="GB87" i="27"/>
  <c r="GC87" i="27"/>
  <c r="GD87" i="27"/>
  <c r="GE87" i="27"/>
  <c r="GF87" i="27"/>
  <c r="GG87" i="27"/>
  <c r="GH87" i="27"/>
  <c r="GI87" i="27"/>
  <c r="GJ87" i="27"/>
  <c r="GK87" i="27"/>
  <c r="GL87" i="27"/>
  <c r="GM87" i="27"/>
  <c r="GN87" i="27"/>
  <c r="GO87" i="27"/>
  <c r="GP87" i="27"/>
  <c r="GQ87" i="27"/>
  <c r="GR87" i="27"/>
  <c r="GS87" i="27"/>
  <c r="GT87" i="27"/>
  <c r="GU87" i="27"/>
  <c r="GV87" i="27"/>
  <c r="GW87" i="27"/>
  <c r="GX87" i="27"/>
  <c r="GY87" i="27"/>
  <c r="GZ87" i="27"/>
  <c r="HA87" i="27"/>
  <c r="HB87" i="27"/>
  <c r="HC87" i="27"/>
  <c r="HD87" i="27"/>
  <c r="HE87" i="27"/>
  <c r="HF87" i="27"/>
  <c r="HG87" i="27"/>
  <c r="HH87" i="27"/>
  <c r="HI87" i="27"/>
  <c r="HJ87" i="27"/>
  <c r="HK87" i="27"/>
  <c r="HL87" i="27"/>
  <c r="HM87" i="27"/>
  <c r="HN87" i="27"/>
  <c r="HO87" i="27"/>
  <c r="HP87" i="27"/>
  <c r="HQ87" i="27"/>
  <c r="HR87" i="27"/>
  <c r="HS87" i="27"/>
  <c r="HT87" i="27"/>
  <c r="HU87" i="27"/>
  <c r="HV87" i="27"/>
  <c r="HW87" i="27"/>
  <c r="HX87" i="27"/>
  <c r="HY87" i="27"/>
  <c r="HZ87" i="27"/>
  <c r="IA87" i="27"/>
  <c r="IB87" i="27"/>
  <c r="IC87" i="27"/>
  <c r="ID87" i="27"/>
  <c r="IE87" i="27"/>
  <c r="IF87" i="27"/>
  <c r="IG87" i="27"/>
  <c r="IH87" i="27"/>
  <c r="II87" i="27"/>
  <c r="IJ87" i="27"/>
  <c r="IK87" i="27"/>
  <c r="IL87" i="27"/>
  <c r="IM87" i="27"/>
  <c r="IN87" i="27"/>
  <c r="IO87" i="27"/>
  <c r="IP87" i="27"/>
  <c r="IQ87" i="27"/>
  <c r="IR87" i="27"/>
  <c r="IS87" i="27"/>
  <c r="IT87" i="27"/>
  <c r="IU87" i="27"/>
  <c r="IV87" i="27"/>
  <c r="A86" i="27"/>
  <c r="B86" i="27"/>
  <c r="C86" i="27"/>
  <c r="D86" i="27"/>
  <c r="E86" i="27"/>
  <c r="F86" i="27"/>
  <c r="G86" i="27"/>
  <c r="H86" i="27"/>
  <c r="I86" i="27"/>
  <c r="J86" i="27"/>
  <c r="K86" i="27"/>
  <c r="L86" i="27"/>
  <c r="M86" i="27"/>
  <c r="N86" i="27"/>
  <c r="O86" i="27"/>
  <c r="P86" i="27"/>
  <c r="Q86" i="27"/>
  <c r="R86" i="27"/>
  <c r="S86" i="27"/>
  <c r="T86" i="27"/>
  <c r="U86" i="27"/>
  <c r="V86" i="27"/>
  <c r="W86" i="27"/>
  <c r="X86" i="27"/>
  <c r="Y86" i="27"/>
  <c r="Z86" i="27"/>
  <c r="AA86" i="27"/>
  <c r="AB86" i="27"/>
  <c r="AC86" i="27"/>
  <c r="AD86" i="27"/>
  <c r="AE86" i="27"/>
  <c r="AF86" i="27"/>
  <c r="AG86" i="27"/>
  <c r="AH86" i="27"/>
  <c r="AI86" i="27"/>
  <c r="AJ86" i="27"/>
  <c r="AK86" i="27"/>
  <c r="AL86" i="27"/>
  <c r="AM86" i="27"/>
  <c r="AN86" i="27"/>
  <c r="AO86" i="27"/>
  <c r="AP86" i="27"/>
  <c r="AQ86" i="27"/>
  <c r="AR86" i="27"/>
  <c r="AS86" i="27"/>
  <c r="AT86" i="27"/>
  <c r="AU86" i="27"/>
  <c r="AV86" i="27"/>
  <c r="AW86" i="27"/>
  <c r="AX86" i="27"/>
  <c r="AY86" i="27"/>
  <c r="AZ86" i="27"/>
  <c r="BA86" i="27"/>
  <c r="BB86" i="27"/>
  <c r="BC86" i="27"/>
  <c r="BD86" i="27"/>
  <c r="BE86" i="27"/>
  <c r="BF86" i="27"/>
  <c r="BG86" i="27"/>
  <c r="BH86" i="27"/>
  <c r="BI86" i="27"/>
  <c r="BJ86" i="27"/>
  <c r="BK86" i="27"/>
  <c r="BL86" i="27"/>
  <c r="BM86" i="27"/>
  <c r="BN86" i="27"/>
  <c r="BO86" i="27"/>
  <c r="BP86" i="27"/>
  <c r="BQ86" i="27"/>
  <c r="BR86" i="27"/>
  <c r="BS86" i="27"/>
  <c r="BT86" i="27"/>
  <c r="BU86" i="27"/>
  <c r="BV86" i="27"/>
  <c r="BW86" i="27"/>
  <c r="BX86" i="27"/>
  <c r="BY86" i="27"/>
  <c r="BZ86" i="27"/>
  <c r="CA86" i="27"/>
  <c r="CB86" i="27"/>
  <c r="CC86" i="27"/>
  <c r="CD86" i="27"/>
  <c r="CE86" i="27"/>
  <c r="CF86" i="27"/>
  <c r="CG86" i="27"/>
  <c r="CH86" i="27"/>
  <c r="CI86" i="27"/>
  <c r="CJ86" i="27"/>
  <c r="CK86" i="27"/>
  <c r="CL86" i="27"/>
  <c r="CM86" i="27"/>
  <c r="CN86" i="27"/>
  <c r="CO86" i="27"/>
  <c r="CP86" i="27"/>
  <c r="CQ86" i="27"/>
  <c r="CR86" i="27"/>
  <c r="CS86" i="27"/>
  <c r="CT86" i="27"/>
  <c r="CU86" i="27"/>
  <c r="CV86" i="27"/>
  <c r="CW86" i="27"/>
  <c r="CX86" i="27"/>
  <c r="CY86" i="27"/>
  <c r="CZ86" i="27"/>
  <c r="DA86" i="27"/>
  <c r="DB86" i="27"/>
  <c r="DC86" i="27"/>
  <c r="DD86" i="27"/>
  <c r="DE86" i="27"/>
  <c r="DF86" i="27"/>
  <c r="DG86" i="27"/>
  <c r="DH86" i="27"/>
  <c r="DI86" i="27"/>
  <c r="DJ86" i="27"/>
  <c r="DK86" i="27"/>
  <c r="DL86" i="27"/>
  <c r="DM86" i="27"/>
  <c r="DN86" i="27"/>
  <c r="DO86" i="27"/>
  <c r="DP86" i="27"/>
  <c r="DQ86" i="27"/>
  <c r="DR86" i="27"/>
  <c r="DS86" i="27"/>
  <c r="DT86" i="27"/>
  <c r="DU86" i="27"/>
  <c r="DV86" i="27"/>
  <c r="DW86" i="27"/>
  <c r="DX86" i="27"/>
  <c r="DY86" i="27"/>
  <c r="DZ86" i="27"/>
  <c r="EA86" i="27"/>
  <c r="EB86" i="27"/>
  <c r="EC86" i="27"/>
  <c r="ED86" i="27"/>
  <c r="EE86" i="27"/>
  <c r="EF86" i="27"/>
  <c r="EG86" i="27"/>
  <c r="EH86" i="27"/>
  <c r="EI86" i="27"/>
  <c r="EJ86" i="27"/>
  <c r="EK86" i="27"/>
  <c r="EL86" i="27"/>
  <c r="EM86" i="27"/>
  <c r="EN86" i="27"/>
  <c r="EO86" i="27"/>
  <c r="EP86" i="27"/>
  <c r="EQ86" i="27"/>
  <c r="ER86" i="27"/>
  <c r="ES86" i="27"/>
  <c r="ET86" i="27"/>
  <c r="EU86" i="27"/>
  <c r="EV86" i="27"/>
  <c r="EW86" i="27"/>
  <c r="EX86" i="27"/>
  <c r="EY86" i="27"/>
  <c r="EZ86" i="27"/>
  <c r="FA86" i="27"/>
  <c r="FB86" i="27"/>
  <c r="FC86" i="27"/>
  <c r="FD86" i="27"/>
  <c r="FE86" i="27"/>
  <c r="FF86" i="27"/>
  <c r="FG86" i="27"/>
  <c r="FH86" i="27"/>
  <c r="FI86" i="27"/>
  <c r="FJ86" i="27"/>
  <c r="FK86" i="27"/>
  <c r="FL86" i="27"/>
  <c r="FM86" i="27"/>
  <c r="FN86" i="27"/>
  <c r="FO86" i="27"/>
  <c r="FP86" i="27"/>
  <c r="FQ86" i="27"/>
  <c r="FR86" i="27"/>
  <c r="FS86" i="27"/>
  <c r="FT86" i="27"/>
  <c r="FU86" i="27"/>
  <c r="FV86" i="27"/>
  <c r="FW86" i="27"/>
  <c r="FX86" i="27"/>
  <c r="FY86" i="27"/>
  <c r="FZ86" i="27"/>
  <c r="GA86" i="27"/>
  <c r="GB86" i="27"/>
  <c r="GC86" i="27"/>
  <c r="GD86" i="27"/>
  <c r="GE86" i="27"/>
  <c r="GF86" i="27"/>
  <c r="GG86" i="27"/>
  <c r="GH86" i="27"/>
  <c r="GI86" i="27"/>
  <c r="GJ86" i="27"/>
  <c r="GK86" i="27"/>
  <c r="GL86" i="27"/>
  <c r="GM86" i="27"/>
  <c r="GN86" i="27"/>
  <c r="GO86" i="27"/>
  <c r="GP86" i="27"/>
  <c r="GQ86" i="27"/>
  <c r="GR86" i="27"/>
  <c r="GS86" i="27"/>
  <c r="GT86" i="27"/>
  <c r="GU86" i="27"/>
  <c r="GV86" i="27"/>
  <c r="GW86" i="27"/>
  <c r="GX86" i="27"/>
  <c r="GY86" i="27"/>
  <c r="GZ86" i="27"/>
  <c r="HA86" i="27"/>
  <c r="HB86" i="27"/>
  <c r="HC86" i="27"/>
  <c r="HD86" i="27"/>
  <c r="HE86" i="27"/>
  <c r="HF86" i="27"/>
  <c r="HG86" i="27"/>
  <c r="HH86" i="27"/>
  <c r="HI86" i="27"/>
  <c r="HJ86" i="27"/>
  <c r="HK86" i="27"/>
  <c r="HL86" i="27"/>
  <c r="HM86" i="27"/>
  <c r="HN86" i="27"/>
  <c r="HO86" i="27"/>
  <c r="HP86" i="27"/>
  <c r="HQ86" i="27"/>
  <c r="HR86" i="27"/>
  <c r="HS86" i="27"/>
  <c r="HT86" i="27"/>
  <c r="HU86" i="27"/>
  <c r="HV86" i="27"/>
  <c r="HW86" i="27"/>
  <c r="HX86" i="27"/>
  <c r="HY86" i="27"/>
  <c r="HZ86" i="27"/>
  <c r="IA86" i="27"/>
  <c r="IB86" i="27"/>
  <c r="IC86" i="27"/>
  <c r="ID86" i="27"/>
  <c r="IE86" i="27"/>
  <c r="IF86" i="27"/>
  <c r="IG86" i="27"/>
  <c r="IH86" i="27"/>
  <c r="II86" i="27"/>
  <c r="IJ86" i="27"/>
  <c r="IK86" i="27"/>
  <c r="IL86" i="27"/>
  <c r="IM86" i="27"/>
  <c r="IN86" i="27"/>
  <c r="IO86" i="27"/>
  <c r="IP86" i="27"/>
  <c r="IQ86" i="27"/>
  <c r="IR86" i="27"/>
  <c r="IS86" i="27"/>
  <c r="IT86" i="27"/>
  <c r="IU86" i="27"/>
  <c r="IV86" i="27"/>
  <c r="A85" i="27"/>
  <c r="B85" i="27"/>
  <c r="C85" i="27"/>
  <c r="D85" i="27"/>
  <c r="E85" i="27"/>
  <c r="F85" i="27"/>
  <c r="G85" i="27"/>
  <c r="H85" i="27"/>
  <c r="I85" i="27"/>
  <c r="J85" i="27"/>
  <c r="K85" i="27"/>
  <c r="L85" i="27"/>
  <c r="M85" i="27"/>
  <c r="N85" i="27"/>
  <c r="O85" i="27"/>
  <c r="P85" i="27"/>
  <c r="Q85" i="27"/>
  <c r="R85" i="27"/>
  <c r="S85" i="27"/>
  <c r="T85" i="27"/>
  <c r="U85" i="27"/>
  <c r="V85" i="27"/>
  <c r="W85" i="27"/>
  <c r="X85" i="27"/>
  <c r="Y85" i="27"/>
  <c r="Z85" i="27"/>
  <c r="AA85" i="27"/>
  <c r="AB85" i="27"/>
  <c r="AC85" i="27"/>
  <c r="AD85" i="27"/>
  <c r="AE85" i="27"/>
  <c r="AF85" i="27"/>
  <c r="AG85" i="27"/>
  <c r="AH85" i="27"/>
  <c r="AI85" i="27"/>
  <c r="AJ85" i="27"/>
  <c r="AK85" i="27"/>
  <c r="AL85" i="27"/>
  <c r="AM85" i="27"/>
  <c r="AN85" i="27"/>
  <c r="AO85" i="27"/>
  <c r="AP85" i="27"/>
  <c r="AQ85" i="27"/>
  <c r="AR85" i="27"/>
  <c r="AS85" i="27"/>
  <c r="AT85" i="27"/>
  <c r="AU85" i="27"/>
  <c r="AV85" i="27"/>
  <c r="AW85" i="27"/>
  <c r="AX85" i="27"/>
  <c r="AY85" i="27"/>
  <c r="AZ85" i="27"/>
  <c r="BA85" i="27"/>
  <c r="BB85" i="27"/>
  <c r="BC85" i="27"/>
  <c r="BD85" i="27"/>
  <c r="BE85" i="27"/>
  <c r="BF85" i="27"/>
  <c r="BG85" i="27"/>
  <c r="BH85" i="27"/>
  <c r="BI85" i="27"/>
  <c r="BJ85" i="27"/>
  <c r="BK85" i="27"/>
  <c r="BL85" i="27"/>
  <c r="BM85" i="27"/>
  <c r="BN85" i="27"/>
  <c r="BO85" i="27"/>
  <c r="BP85" i="27"/>
  <c r="BQ85" i="27"/>
  <c r="BR85" i="27"/>
  <c r="BS85" i="27"/>
  <c r="BT85" i="27"/>
  <c r="BU85" i="27"/>
  <c r="BV85" i="27"/>
  <c r="BW85" i="27"/>
  <c r="BX85" i="27"/>
  <c r="BY85" i="27"/>
  <c r="BZ85" i="27"/>
  <c r="CA85" i="27"/>
  <c r="CB85" i="27"/>
  <c r="CC85" i="27"/>
  <c r="CD85" i="27"/>
  <c r="CE85" i="27"/>
  <c r="CF85" i="27"/>
  <c r="CG85" i="27"/>
  <c r="CH85" i="27"/>
  <c r="CI85" i="27"/>
  <c r="CJ85" i="27"/>
  <c r="CK85" i="27"/>
  <c r="CL85" i="27"/>
  <c r="CM85" i="27"/>
  <c r="CN85" i="27"/>
  <c r="CO85" i="27"/>
  <c r="CP85" i="27"/>
  <c r="CQ85" i="27"/>
  <c r="CR85" i="27"/>
  <c r="CS85" i="27"/>
  <c r="CT85" i="27"/>
  <c r="CU85" i="27"/>
  <c r="CV85" i="27"/>
  <c r="CW85" i="27"/>
  <c r="CX85" i="27"/>
  <c r="CY85" i="27"/>
  <c r="CZ85" i="27"/>
  <c r="DA85" i="27"/>
  <c r="DB85" i="27"/>
  <c r="DC85" i="27"/>
  <c r="DD85" i="27"/>
  <c r="DE85" i="27"/>
  <c r="DF85" i="27"/>
  <c r="DG85" i="27"/>
  <c r="DH85" i="27"/>
  <c r="DI85" i="27"/>
  <c r="DJ85" i="27"/>
  <c r="DK85" i="27"/>
  <c r="DL85" i="27"/>
  <c r="DM85" i="27"/>
  <c r="DN85" i="27"/>
  <c r="DO85" i="27"/>
  <c r="DP85" i="27"/>
  <c r="DQ85" i="27"/>
  <c r="DR85" i="27"/>
  <c r="DS85" i="27"/>
  <c r="DT85" i="27"/>
  <c r="DU85" i="27"/>
  <c r="DV85" i="27"/>
  <c r="DW85" i="27"/>
  <c r="DX85" i="27"/>
  <c r="DY85" i="27"/>
  <c r="DZ85" i="27"/>
  <c r="EA85" i="27"/>
  <c r="EB85" i="27"/>
  <c r="EC85" i="27"/>
  <c r="ED85" i="27"/>
  <c r="EE85" i="27"/>
  <c r="EF85" i="27"/>
  <c r="EG85" i="27"/>
  <c r="EH85" i="27"/>
  <c r="EI85" i="27"/>
  <c r="EJ85" i="27"/>
  <c r="EK85" i="27"/>
  <c r="EL85" i="27"/>
  <c r="EM85" i="27"/>
  <c r="EN85" i="27"/>
  <c r="EO85" i="27"/>
  <c r="EP85" i="27"/>
  <c r="EQ85" i="27"/>
  <c r="ER85" i="27"/>
  <c r="ES85" i="27"/>
  <c r="ET85" i="27"/>
  <c r="EU85" i="27"/>
  <c r="EV85" i="27"/>
  <c r="EW85" i="27"/>
  <c r="EX85" i="27"/>
  <c r="EY85" i="27"/>
  <c r="EZ85" i="27"/>
  <c r="FA85" i="27"/>
  <c r="FB85" i="27"/>
  <c r="FC85" i="27"/>
  <c r="FD85" i="27"/>
  <c r="FE85" i="27"/>
  <c r="FF85" i="27"/>
  <c r="FG85" i="27"/>
  <c r="FH85" i="27"/>
  <c r="FI85" i="27"/>
  <c r="FJ85" i="27"/>
  <c r="FK85" i="27"/>
  <c r="FL85" i="27"/>
  <c r="FM85" i="27"/>
  <c r="FN85" i="27"/>
  <c r="FO85" i="27"/>
  <c r="FP85" i="27"/>
  <c r="FQ85" i="27"/>
  <c r="FR85" i="27"/>
  <c r="FS85" i="27"/>
  <c r="FT85" i="27"/>
  <c r="FU85" i="27"/>
  <c r="FV85" i="27"/>
  <c r="FW85" i="27"/>
  <c r="FX85" i="27"/>
  <c r="FY85" i="27"/>
  <c r="FZ85" i="27"/>
  <c r="GA85" i="27"/>
  <c r="GB85" i="27"/>
  <c r="GC85" i="27"/>
  <c r="GD85" i="27"/>
  <c r="GE85" i="27"/>
  <c r="GF85" i="27"/>
  <c r="GG85" i="27"/>
  <c r="GH85" i="27"/>
  <c r="GI85" i="27"/>
  <c r="GJ85" i="27"/>
  <c r="GK85" i="27"/>
  <c r="GL85" i="27"/>
  <c r="GM85" i="27"/>
  <c r="GN85" i="27"/>
  <c r="GO85" i="27"/>
  <c r="GP85" i="27"/>
  <c r="GQ85" i="27"/>
  <c r="GR85" i="27"/>
  <c r="GS85" i="27"/>
  <c r="GT85" i="27"/>
  <c r="GU85" i="27"/>
  <c r="GV85" i="27"/>
  <c r="GW85" i="27"/>
  <c r="GX85" i="27"/>
  <c r="GY85" i="27"/>
  <c r="GZ85" i="27"/>
  <c r="HA85" i="27"/>
  <c r="HB85" i="27"/>
  <c r="HC85" i="27"/>
  <c r="HD85" i="27"/>
  <c r="HE85" i="27"/>
  <c r="HF85" i="27"/>
  <c r="HG85" i="27"/>
  <c r="HH85" i="27"/>
  <c r="HI85" i="27"/>
  <c r="HJ85" i="27"/>
  <c r="HK85" i="27"/>
  <c r="HL85" i="27"/>
  <c r="HM85" i="27"/>
  <c r="HN85" i="27"/>
  <c r="HO85" i="27"/>
  <c r="HP85" i="27"/>
  <c r="HQ85" i="27"/>
  <c r="HR85" i="27"/>
  <c r="HS85" i="27"/>
  <c r="HT85" i="27"/>
  <c r="HU85" i="27"/>
  <c r="HV85" i="27"/>
  <c r="HW85" i="27"/>
  <c r="HX85" i="27"/>
  <c r="HY85" i="27"/>
  <c r="HZ85" i="27"/>
  <c r="IA85" i="27"/>
  <c r="IB85" i="27"/>
  <c r="IC85" i="27"/>
  <c r="ID85" i="27"/>
  <c r="IE85" i="27"/>
  <c r="IF85" i="27"/>
  <c r="IG85" i="27"/>
  <c r="IH85" i="27"/>
  <c r="II85" i="27"/>
  <c r="IJ85" i="27"/>
  <c r="IK85" i="27"/>
  <c r="IL85" i="27"/>
  <c r="IM85" i="27"/>
  <c r="IN85" i="27"/>
  <c r="IO85" i="27"/>
  <c r="IP85" i="27"/>
  <c r="IQ85" i="27"/>
  <c r="IR85" i="27"/>
  <c r="IS85" i="27"/>
  <c r="IT85" i="27"/>
  <c r="IU85" i="27"/>
  <c r="IV85" i="27"/>
  <c r="A84" i="27"/>
  <c r="B84" i="27"/>
  <c r="C84" i="27"/>
  <c r="D84" i="27"/>
  <c r="E84" i="27"/>
  <c r="F84" i="27"/>
  <c r="G84" i="27"/>
  <c r="H84" i="27"/>
  <c r="I84" i="27"/>
  <c r="J84" i="27"/>
  <c r="K84" i="27"/>
  <c r="L84" i="27"/>
  <c r="M84" i="27"/>
  <c r="N84" i="27"/>
  <c r="O84" i="27"/>
  <c r="P84" i="27"/>
  <c r="Q84" i="27"/>
  <c r="R84" i="27"/>
  <c r="S84" i="27"/>
  <c r="T84" i="27"/>
  <c r="U84" i="27"/>
  <c r="V84" i="27"/>
  <c r="W84" i="27"/>
  <c r="X84" i="27"/>
  <c r="Y84" i="27"/>
  <c r="Z84" i="27"/>
  <c r="AA84" i="27"/>
  <c r="AB84" i="27"/>
  <c r="AC84" i="27"/>
  <c r="AD84" i="27"/>
  <c r="AE84" i="27"/>
  <c r="AF84" i="27"/>
  <c r="AG84" i="27"/>
  <c r="AH84" i="27"/>
  <c r="AI84" i="27"/>
  <c r="AJ84" i="27"/>
  <c r="AK84" i="27"/>
  <c r="AL84" i="27"/>
  <c r="AM84" i="27"/>
  <c r="AN84" i="27"/>
  <c r="AO84" i="27"/>
  <c r="AP84" i="27"/>
  <c r="AQ84" i="27"/>
  <c r="AR84" i="27"/>
  <c r="AS84" i="27"/>
  <c r="AT84" i="27"/>
  <c r="AU84" i="27"/>
  <c r="AV84" i="27"/>
  <c r="AW84" i="27"/>
  <c r="AX84" i="27"/>
  <c r="AY84" i="27"/>
  <c r="AZ84" i="27"/>
  <c r="BA84" i="27"/>
  <c r="BB84" i="27"/>
  <c r="BC84" i="27"/>
  <c r="BD84" i="27"/>
  <c r="BE84" i="27"/>
  <c r="BF84" i="27"/>
  <c r="BG84" i="27"/>
  <c r="BH84" i="27"/>
  <c r="BI84" i="27"/>
  <c r="BJ84" i="27"/>
  <c r="BK84" i="27"/>
  <c r="BL84" i="27"/>
  <c r="BM84" i="27"/>
  <c r="BN84" i="27"/>
  <c r="BO84" i="27"/>
  <c r="BP84" i="27"/>
  <c r="BQ84" i="27"/>
  <c r="BR84" i="27"/>
  <c r="BS84" i="27"/>
  <c r="BT84" i="27"/>
  <c r="BU84" i="27"/>
  <c r="BV84" i="27"/>
  <c r="BW84" i="27"/>
  <c r="BX84" i="27"/>
  <c r="BY84" i="27"/>
  <c r="BZ84" i="27"/>
  <c r="CA84" i="27"/>
  <c r="CB84" i="27"/>
  <c r="CC84" i="27"/>
  <c r="CD84" i="27"/>
  <c r="CE84" i="27"/>
  <c r="CF84" i="27"/>
  <c r="CG84" i="27"/>
  <c r="CH84" i="27"/>
  <c r="CI84" i="27"/>
  <c r="CJ84" i="27"/>
  <c r="CK84" i="27"/>
  <c r="CL84" i="27"/>
  <c r="CM84" i="27"/>
  <c r="CN84" i="27"/>
  <c r="CO84" i="27"/>
  <c r="CP84" i="27"/>
  <c r="CQ84" i="27"/>
  <c r="CR84" i="27"/>
  <c r="CS84" i="27"/>
  <c r="CT84" i="27"/>
  <c r="CU84" i="27"/>
  <c r="CV84" i="27"/>
  <c r="CW84" i="27"/>
  <c r="CX84" i="27"/>
  <c r="CY84" i="27"/>
  <c r="CZ84" i="27"/>
  <c r="DA84" i="27"/>
  <c r="DB84" i="27"/>
  <c r="DC84" i="27"/>
  <c r="DD84" i="27"/>
  <c r="DE84" i="27"/>
  <c r="DF84" i="27"/>
  <c r="DG84" i="27"/>
  <c r="DH84" i="27"/>
  <c r="DI84" i="27"/>
  <c r="DJ84" i="27"/>
  <c r="DK84" i="27"/>
  <c r="DL84" i="27"/>
  <c r="DM84" i="27"/>
  <c r="DN84" i="27"/>
  <c r="DO84" i="27"/>
  <c r="DP84" i="27"/>
  <c r="DQ84" i="27"/>
  <c r="DR84" i="27"/>
  <c r="DS84" i="27"/>
  <c r="DT84" i="27"/>
  <c r="DU84" i="27"/>
  <c r="DV84" i="27"/>
  <c r="DW84" i="27"/>
  <c r="DX84" i="27"/>
  <c r="DY84" i="27"/>
  <c r="DZ84" i="27"/>
  <c r="EA84" i="27"/>
  <c r="EB84" i="27"/>
  <c r="EC84" i="27"/>
  <c r="ED84" i="27"/>
  <c r="EE84" i="27"/>
  <c r="EF84" i="27"/>
  <c r="EG84" i="27"/>
  <c r="EH84" i="27"/>
  <c r="EI84" i="27"/>
  <c r="EJ84" i="27"/>
  <c r="EK84" i="27"/>
  <c r="EL84" i="27"/>
  <c r="EM84" i="27"/>
  <c r="EN84" i="27"/>
  <c r="EO84" i="27"/>
  <c r="EP84" i="27"/>
  <c r="EQ84" i="27"/>
  <c r="ER84" i="27"/>
  <c r="ES84" i="27"/>
  <c r="ET84" i="27"/>
  <c r="EU84" i="27"/>
  <c r="EV84" i="27"/>
  <c r="EW84" i="27"/>
  <c r="EX84" i="27"/>
  <c r="EY84" i="27"/>
  <c r="EZ84" i="27"/>
  <c r="FA84" i="27"/>
  <c r="FB84" i="27"/>
  <c r="FC84" i="27"/>
  <c r="FD84" i="27"/>
  <c r="FE84" i="27"/>
  <c r="FF84" i="27"/>
  <c r="FG84" i="27"/>
  <c r="FH84" i="27"/>
  <c r="FI84" i="27"/>
  <c r="FJ84" i="27"/>
  <c r="FK84" i="27"/>
  <c r="FL84" i="27"/>
  <c r="FM84" i="27"/>
  <c r="FN84" i="27"/>
  <c r="FO84" i="27"/>
  <c r="FP84" i="27"/>
  <c r="FQ84" i="27"/>
  <c r="FR84" i="27"/>
  <c r="FS84" i="27"/>
  <c r="FT84" i="27"/>
  <c r="FU84" i="27"/>
  <c r="FV84" i="27"/>
  <c r="FW84" i="27"/>
  <c r="FX84" i="27"/>
  <c r="FY84" i="27"/>
  <c r="FZ84" i="27"/>
  <c r="GA84" i="27"/>
  <c r="GB84" i="27"/>
  <c r="GC84" i="27"/>
  <c r="GD84" i="27"/>
  <c r="GE84" i="27"/>
  <c r="GF84" i="27"/>
  <c r="GG84" i="27"/>
  <c r="GH84" i="27"/>
  <c r="GI84" i="27"/>
  <c r="GJ84" i="27"/>
  <c r="GK84" i="27"/>
  <c r="GL84" i="27"/>
  <c r="GM84" i="27"/>
  <c r="GN84" i="27"/>
  <c r="GO84" i="27"/>
  <c r="GP84" i="27"/>
  <c r="GQ84" i="27"/>
  <c r="GR84" i="27"/>
  <c r="GS84" i="27"/>
  <c r="GT84" i="27"/>
  <c r="GU84" i="27"/>
  <c r="GV84" i="27"/>
  <c r="GW84" i="27"/>
  <c r="GX84" i="27"/>
  <c r="GY84" i="27"/>
  <c r="GZ84" i="27"/>
  <c r="HA84" i="27"/>
  <c r="HB84" i="27"/>
  <c r="HC84" i="27"/>
  <c r="HD84" i="27"/>
  <c r="HE84" i="27"/>
  <c r="HF84" i="27"/>
  <c r="HG84" i="27"/>
  <c r="HH84" i="27"/>
  <c r="HI84" i="27"/>
  <c r="HJ84" i="27"/>
  <c r="HK84" i="27"/>
  <c r="HL84" i="27"/>
  <c r="HM84" i="27"/>
  <c r="HN84" i="27"/>
  <c r="HO84" i="27"/>
  <c r="HP84" i="27"/>
  <c r="HQ84" i="27"/>
  <c r="HR84" i="27"/>
  <c r="HS84" i="27"/>
  <c r="HT84" i="27"/>
  <c r="HU84" i="27"/>
  <c r="HV84" i="27"/>
  <c r="HW84" i="27"/>
  <c r="HX84" i="27"/>
  <c r="HY84" i="27"/>
  <c r="HZ84" i="27"/>
  <c r="IA84" i="27"/>
  <c r="IB84" i="27"/>
  <c r="IC84" i="27"/>
  <c r="ID84" i="27"/>
  <c r="IE84" i="27"/>
  <c r="IF84" i="27"/>
  <c r="IG84" i="27"/>
  <c r="IH84" i="27"/>
  <c r="II84" i="27"/>
  <c r="IJ84" i="27"/>
  <c r="IK84" i="27"/>
  <c r="IL84" i="27"/>
  <c r="IM84" i="27"/>
  <c r="IN84" i="27"/>
  <c r="IO84" i="27"/>
  <c r="IP84" i="27"/>
  <c r="IQ84" i="27"/>
  <c r="IR84" i="27"/>
  <c r="IS84" i="27"/>
  <c r="IT84" i="27"/>
  <c r="IU84" i="27"/>
  <c r="IV84" i="27"/>
  <c r="A83" i="27"/>
  <c r="B83" i="27"/>
  <c r="C83" i="27"/>
  <c r="D83" i="27"/>
  <c r="E83" i="27"/>
  <c r="F83" i="27"/>
  <c r="G83" i="27"/>
  <c r="H83" i="27"/>
  <c r="I83" i="27"/>
  <c r="J83" i="27"/>
  <c r="K83" i="27"/>
  <c r="L83" i="27"/>
  <c r="M83" i="27"/>
  <c r="N83" i="27"/>
  <c r="O83" i="27"/>
  <c r="P83" i="27"/>
  <c r="Q83" i="27"/>
  <c r="R83" i="27"/>
  <c r="S83" i="27"/>
  <c r="T83" i="27"/>
  <c r="U83" i="27"/>
  <c r="V83" i="27"/>
  <c r="W83" i="27"/>
  <c r="X83" i="27"/>
  <c r="Y83" i="27"/>
  <c r="Z83" i="27"/>
  <c r="AA83" i="27"/>
  <c r="AB83" i="27"/>
  <c r="AC83" i="27"/>
  <c r="AD83" i="27"/>
  <c r="AE83" i="27"/>
  <c r="AF83" i="27"/>
  <c r="AG83" i="27"/>
  <c r="AH83" i="27"/>
  <c r="AI83" i="27"/>
  <c r="AJ83" i="27"/>
  <c r="AK83" i="27"/>
  <c r="AL83" i="27"/>
  <c r="AM83" i="27"/>
  <c r="AN83" i="27"/>
  <c r="AO83" i="27"/>
  <c r="AP83" i="27"/>
  <c r="AQ83" i="27"/>
  <c r="AR83" i="27"/>
  <c r="AS83" i="27"/>
  <c r="AT83" i="27"/>
  <c r="AU83" i="27"/>
  <c r="AV83" i="27"/>
  <c r="AW83" i="27"/>
  <c r="AX83" i="27"/>
  <c r="AY83" i="27"/>
  <c r="AZ83" i="27"/>
  <c r="BA83" i="27"/>
  <c r="BB83" i="27"/>
  <c r="BC83" i="27"/>
  <c r="BD83" i="27"/>
  <c r="BE83" i="27"/>
  <c r="BF83" i="27"/>
  <c r="BG83" i="27"/>
  <c r="BH83" i="27"/>
  <c r="BI83" i="27"/>
  <c r="BJ83" i="27"/>
  <c r="BK83" i="27"/>
  <c r="BL83" i="27"/>
  <c r="BM83" i="27"/>
  <c r="BN83" i="27"/>
  <c r="BO83" i="27"/>
  <c r="BP83" i="27"/>
  <c r="BQ83" i="27"/>
  <c r="BR83" i="27"/>
  <c r="BS83" i="27"/>
  <c r="BT83" i="27"/>
  <c r="BU83" i="27"/>
  <c r="BV83" i="27"/>
  <c r="BW83" i="27"/>
  <c r="BX83" i="27"/>
  <c r="BY83" i="27"/>
  <c r="BZ83" i="27"/>
  <c r="CA83" i="27"/>
  <c r="CB83" i="27"/>
  <c r="CC83" i="27"/>
  <c r="CD83" i="27"/>
  <c r="CE83" i="27"/>
  <c r="CF83" i="27"/>
  <c r="CG83" i="27"/>
  <c r="CH83" i="27"/>
  <c r="CI83" i="27"/>
  <c r="CJ83" i="27"/>
  <c r="CK83" i="27"/>
  <c r="CL83" i="27"/>
  <c r="CM83" i="27"/>
  <c r="CN83" i="27"/>
  <c r="CO83" i="27"/>
  <c r="CP83" i="27"/>
  <c r="CQ83" i="27"/>
  <c r="CR83" i="27"/>
  <c r="CS83" i="27"/>
  <c r="CT83" i="27"/>
  <c r="CU83" i="27"/>
  <c r="CV83" i="27"/>
  <c r="CW83" i="27"/>
  <c r="CX83" i="27"/>
  <c r="CY83" i="27"/>
  <c r="CZ83" i="27"/>
  <c r="DA83" i="27"/>
  <c r="DB83" i="27"/>
  <c r="DC83" i="27"/>
  <c r="DD83" i="27"/>
  <c r="DE83" i="27"/>
  <c r="DF83" i="27"/>
  <c r="DG83" i="27"/>
  <c r="DH83" i="27"/>
  <c r="DI83" i="27"/>
  <c r="DJ83" i="27"/>
  <c r="DK83" i="27"/>
  <c r="DL83" i="27"/>
  <c r="DM83" i="27"/>
  <c r="DN83" i="27"/>
  <c r="DO83" i="27"/>
  <c r="DP83" i="27"/>
  <c r="DQ83" i="27"/>
  <c r="DR83" i="27"/>
  <c r="DS83" i="27"/>
  <c r="DT83" i="27"/>
  <c r="DU83" i="27"/>
  <c r="DV83" i="27"/>
  <c r="DW83" i="27"/>
  <c r="DX83" i="27"/>
  <c r="DY83" i="27"/>
  <c r="DZ83" i="27"/>
  <c r="EA83" i="27"/>
  <c r="EB83" i="27"/>
  <c r="EC83" i="27"/>
  <c r="ED83" i="27"/>
  <c r="EE83" i="27"/>
  <c r="EF83" i="27"/>
  <c r="EG83" i="27"/>
  <c r="EH83" i="27"/>
  <c r="EI83" i="27"/>
  <c r="EJ83" i="27"/>
  <c r="EK83" i="27"/>
  <c r="EL83" i="27"/>
  <c r="EM83" i="27"/>
  <c r="EN83" i="27"/>
  <c r="EO83" i="27"/>
  <c r="EP83" i="27"/>
  <c r="EQ83" i="27"/>
  <c r="ER83" i="27"/>
  <c r="ES83" i="27"/>
  <c r="ET83" i="27"/>
  <c r="EU83" i="27"/>
  <c r="EV83" i="27"/>
  <c r="EW83" i="27"/>
  <c r="EX83" i="27"/>
  <c r="EY83" i="27"/>
  <c r="EZ83" i="27"/>
  <c r="FA83" i="27"/>
  <c r="FB83" i="27"/>
  <c r="FC83" i="27"/>
  <c r="FD83" i="27"/>
  <c r="FE83" i="27"/>
  <c r="FF83" i="27"/>
  <c r="FG83" i="27"/>
  <c r="FH83" i="27"/>
  <c r="FI83" i="27"/>
  <c r="FJ83" i="27"/>
  <c r="FK83" i="27"/>
  <c r="FL83" i="27"/>
  <c r="FM83" i="27"/>
  <c r="FN83" i="27"/>
  <c r="FO83" i="27"/>
  <c r="FP83" i="27"/>
  <c r="FQ83" i="27"/>
  <c r="FR83" i="27"/>
  <c r="FS83" i="27"/>
  <c r="FT83" i="27"/>
  <c r="FU83" i="27"/>
  <c r="FV83" i="27"/>
  <c r="FW83" i="27"/>
  <c r="FX83" i="27"/>
  <c r="FY83" i="27"/>
  <c r="FZ83" i="27"/>
  <c r="GA83" i="27"/>
  <c r="GB83" i="27"/>
  <c r="GC83" i="27"/>
  <c r="GD83" i="27"/>
  <c r="GE83" i="27"/>
  <c r="GF83" i="27"/>
  <c r="GG83" i="27"/>
  <c r="GH83" i="27"/>
  <c r="GI83" i="27"/>
  <c r="GJ83" i="27"/>
  <c r="GK83" i="27"/>
  <c r="GL83" i="27"/>
  <c r="GM83" i="27"/>
  <c r="GN83" i="27"/>
  <c r="GO83" i="27"/>
  <c r="GP83" i="27"/>
  <c r="GQ83" i="27"/>
  <c r="GR83" i="27"/>
  <c r="GS83" i="27"/>
  <c r="GT83" i="27"/>
  <c r="GU83" i="27"/>
  <c r="GV83" i="27"/>
  <c r="GW83" i="27"/>
  <c r="GX83" i="27"/>
  <c r="GY83" i="27"/>
  <c r="GZ83" i="27"/>
  <c r="HA83" i="27"/>
  <c r="HB83" i="27"/>
  <c r="HC83" i="27"/>
  <c r="HD83" i="27"/>
  <c r="HE83" i="27"/>
  <c r="HF83" i="27"/>
  <c r="HG83" i="27"/>
  <c r="HH83" i="27"/>
  <c r="HI83" i="27"/>
  <c r="HJ83" i="27"/>
  <c r="HK83" i="27"/>
  <c r="HL83" i="27"/>
  <c r="HM83" i="27"/>
  <c r="HN83" i="27"/>
  <c r="HO83" i="27"/>
  <c r="HP83" i="27"/>
  <c r="HQ83" i="27"/>
  <c r="HR83" i="27"/>
  <c r="HS83" i="27"/>
  <c r="HT83" i="27"/>
  <c r="HU83" i="27"/>
  <c r="HV83" i="27"/>
  <c r="HW83" i="27"/>
  <c r="HX83" i="27"/>
  <c r="HY83" i="27"/>
  <c r="HZ83" i="27"/>
  <c r="IA83" i="27"/>
  <c r="IB83" i="27"/>
  <c r="IC83" i="27"/>
  <c r="ID83" i="27"/>
  <c r="IE83" i="27"/>
  <c r="IF83" i="27"/>
  <c r="IG83" i="27"/>
  <c r="IH83" i="27"/>
  <c r="II83" i="27"/>
  <c r="IJ83" i="27"/>
  <c r="IK83" i="27"/>
  <c r="IL83" i="27"/>
  <c r="IM83" i="27"/>
  <c r="IN83" i="27"/>
  <c r="IO83" i="27"/>
  <c r="IP83" i="27"/>
  <c r="IQ83" i="27"/>
  <c r="IR83" i="27"/>
  <c r="IS83" i="27"/>
  <c r="IT83" i="27"/>
  <c r="IU83" i="27"/>
  <c r="IV83" i="27"/>
  <c r="A82" i="27"/>
  <c r="B82" i="27"/>
  <c r="C82" i="27"/>
  <c r="D82" i="27"/>
  <c r="E82" i="27"/>
  <c r="F82" i="27"/>
  <c r="G82" i="27"/>
  <c r="H82" i="27"/>
  <c r="I82" i="27"/>
  <c r="J82" i="27"/>
  <c r="K82" i="27"/>
  <c r="L82" i="27"/>
  <c r="M82" i="27"/>
  <c r="N82" i="27"/>
  <c r="O82" i="27"/>
  <c r="P82" i="27"/>
  <c r="Q82" i="27"/>
  <c r="R82" i="27"/>
  <c r="S82" i="27"/>
  <c r="T82" i="27"/>
  <c r="U82" i="27"/>
  <c r="V82" i="27"/>
  <c r="W82" i="27"/>
  <c r="X82" i="27"/>
  <c r="Y82" i="27"/>
  <c r="Z82" i="27"/>
  <c r="AA82" i="27"/>
  <c r="AB82" i="27"/>
  <c r="AC82" i="27"/>
  <c r="AD82" i="27"/>
  <c r="AE82" i="27"/>
  <c r="AF82" i="27"/>
  <c r="AG82" i="27"/>
  <c r="AH82" i="27"/>
  <c r="AI82" i="27"/>
  <c r="AJ82" i="27"/>
  <c r="AK82" i="27"/>
  <c r="AL82" i="27"/>
  <c r="AM82" i="27"/>
  <c r="AN82" i="27"/>
  <c r="AO82" i="27"/>
  <c r="AP82" i="27"/>
  <c r="AQ82" i="27"/>
  <c r="AR82" i="27"/>
  <c r="AS82" i="27"/>
  <c r="AT82" i="27"/>
  <c r="AU82" i="27"/>
  <c r="AV82" i="27"/>
  <c r="AW82" i="27"/>
  <c r="AX82" i="27"/>
  <c r="AY82" i="27"/>
  <c r="AZ82" i="27"/>
  <c r="BA82" i="27"/>
  <c r="BB82" i="27"/>
  <c r="BC82" i="27"/>
  <c r="BD82" i="27"/>
  <c r="BE82" i="27"/>
  <c r="BF82" i="27"/>
  <c r="BG82" i="27"/>
  <c r="BH82" i="27"/>
  <c r="BI82" i="27"/>
  <c r="BJ82" i="27"/>
  <c r="BK82" i="27"/>
  <c r="BL82" i="27"/>
  <c r="BM82" i="27"/>
  <c r="BN82" i="27"/>
  <c r="BO82" i="27"/>
  <c r="BP82" i="27"/>
  <c r="BQ82" i="27"/>
  <c r="BR82" i="27"/>
  <c r="BS82" i="27"/>
  <c r="BT82" i="27"/>
  <c r="BU82" i="27"/>
  <c r="BV82" i="27"/>
  <c r="BW82" i="27"/>
  <c r="BX82" i="27"/>
  <c r="BY82" i="27"/>
  <c r="BZ82" i="27"/>
  <c r="CA82" i="27"/>
  <c r="CB82" i="27"/>
  <c r="CC82" i="27"/>
  <c r="CD82" i="27"/>
  <c r="CE82" i="27"/>
  <c r="CF82" i="27"/>
  <c r="CG82" i="27"/>
  <c r="CH82" i="27"/>
  <c r="CI82" i="27"/>
  <c r="CJ82" i="27"/>
  <c r="CK82" i="27"/>
  <c r="CL82" i="27"/>
  <c r="CM82" i="27"/>
  <c r="CN82" i="27"/>
  <c r="CO82" i="27"/>
  <c r="CP82" i="27"/>
  <c r="CQ82" i="27"/>
  <c r="CR82" i="27"/>
  <c r="CS82" i="27"/>
  <c r="CT82" i="27"/>
  <c r="CU82" i="27"/>
  <c r="CV82" i="27"/>
  <c r="CW82" i="27"/>
  <c r="CX82" i="27"/>
  <c r="CY82" i="27"/>
  <c r="CZ82" i="27"/>
  <c r="DA82" i="27"/>
  <c r="DB82" i="27"/>
  <c r="DC82" i="27"/>
  <c r="DD82" i="27"/>
  <c r="DE82" i="27"/>
  <c r="DF82" i="27"/>
  <c r="DG82" i="27"/>
  <c r="DH82" i="27"/>
  <c r="DI82" i="27"/>
  <c r="DJ82" i="27"/>
  <c r="DK82" i="27"/>
  <c r="DL82" i="27"/>
  <c r="DM82" i="27"/>
  <c r="DN82" i="27"/>
  <c r="DO82" i="27"/>
  <c r="DP82" i="27"/>
  <c r="DQ82" i="27"/>
  <c r="DR82" i="27"/>
  <c r="DS82" i="27"/>
  <c r="DT82" i="27"/>
  <c r="DU82" i="27"/>
  <c r="DV82" i="27"/>
  <c r="DW82" i="27"/>
  <c r="DX82" i="27"/>
  <c r="DY82" i="27"/>
  <c r="DZ82" i="27"/>
  <c r="EA82" i="27"/>
  <c r="EB82" i="27"/>
  <c r="EC82" i="27"/>
  <c r="ED82" i="27"/>
  <c r="EE82" i="27"/>
  <c r="EF82" i="27"/>
  <c r="EG82" i="27"/>
  <c r="EH82" i="27"/>
  <c r="EI82" i="27"/>
  <c r="EJ82" i="27"/>
  <c r="EK82" i="27"/>
  <c r="EL82" i="27"/>
  <c r="EM82" i="27"/>
  <c r="EN82" i="27"/>
  <c r="EO82" i="27"/>
  <c r="EP82" i="27"/>
  <c r="EQ82" i="27"/>
  <c r="ER82" i="27"/>
  <c r="ES82" i="27"/>
  <c r="ET82" i="27"/>
  <c r="EU82" i="27"/>
  <c r="EV82" i="27"/>
  <c r="EW82" i="27"/>
  <c r="EX82" i="27"/>
  <c r="EY82" i="27"/>
  <c r="EZ82" i="27"/>
  <c r="FA82" i="27"/>
  <c r="FB82" i="27"/>
  <c r="FC82" i="27"/>
  <c r="FD82" i="27"/>
  <c r="FE82" i="27"/>
  <c r="FF82" i="27"/>
  <c r="FG82" i="27"/>
  <c r="FH82" i="27"/>
  <c r="FI82" i="27"/>
  <c r="FJ82" i="27"/>
  <c r="FK82" i="27"/>
  <c r="FL82" i="27"/>
  <c r="FM82" i="27"/>
  <c r="FN82" i="27"/>
  <c r="FO82" i="27"/>
  <c r="FP82" i="27"/>
  <c r="FQ82" i="27"/>
  <c r="FR82" i="27"/>
  <c r="FS82" i="27"/>
  <c r="FT82" i="27"/>
  <c r="FU82" i="27"/>
  <c r="FV82" i="27"/>
  <c r="FW82" i="27"/>
  <c r="FX82" i="27"/>
  <c r="FY82" i="27"/>
  <c r="FZ82" i="27"/>
  <c r="GA82" i="27"/>
  <c r="GB82" i="27"/>
  <c r="GC82" i="27"/>
  <c r="GD82" i="27"/>
  <c r="GE82" i="27"/>
  <c r="GF82" i="27"/>
  <c r="GG82" i="27"/>
  <c r="GH82" i="27"/>
  <c r="GI82" i="27"/>
  <c r="GJ82" i="27"/>
  <c r="GK82" i="27"/>
  <c r="GL82" i="27"/>
  <c r="GM82" i="27"/>
  <c r="GN82" i="27"/>
  <c r="GO82" i="27"/>
  <c r="GP82" i="27"/>
  <c r="GQ82" i="27"/>
  <c r="GR82" i="27"/>
  <c r="GS82" i="27"/>
  <c r="GT82" i="27"/>
  <c r="GU82" i="27"/>
  <c r="GV82" i="27"/>
  <c r="GW82" i="27"/>
  <c r="GX82" i="27"/>
  <c r="GY82" i="27"/>
  <c r="GZ82" i="27"/>
  <c r="HA82" i="27"/>
  <c r="HB82" i="27"/>
  <c r="HC82" i="27"/>
  <c r="HD82" i="27"/>
  <c r="HE82" i="27"/>
  <c r="HF82" i="27"/>
  <c r="HG82" i="27"/>
  <c r="HH82" i="27"/>
  <c r="HI82" i="27"/>
  <c r="HJ82" i="27"/>
  <c r="HK82" i="27"/>
  <c r="HL82" i="27"/>
  <c r="HM82" i="27"/>
  <c r="HN82" i="27"/>
  <c r="HO82" i="27"/>
  <c r="HP82" i="27"/>
  <c r="HQ82" i="27"/>
  <c r="HR82" i="27"/>
  <c r="HS82" i="27"/>
  <c r="HT82" i="27"/>
  <c r="HU82" i="27"/>
  <c r="HV82" i="27"/>
  <c r="HW82" i="27"/>
  <c r="HX82" i="27"/>
  <c r="HY82" i="27"/>
  <c r="HZ82" i="27"/>
  <c r="IA82" i="27"/>
  <c r="IB82" i="27"/>
  <c r="IC82" i="27"/>
  <c r="ID82" i="27"/>
  <c r="IE82" i="27"/>
  <c r="IF82" i="27"/>
  <c r="IG82" i="27"/>
  <c r="IH82" i="27"/>
  <c r="II82" i="27"/>
  <c r="IJ82" i="27"/>
  <c r="IK82" i="27"/>
  <c r="IL82" i="27"/>
  <c r="IM82" i="27"/>
  <c r="IN82" i="27"/>
  <c r="IO82" i="27"/>
  <c r="IP82" i="27"/>
  <c r="IQ82" i="27"/>
  <c r="IR82" i="27"/>
  <c r="IS82" i="27"/>
  <c r="IT82" i="27"/>
  <c r="IU82" i="27"/>
  <c r="IV82" i="27"/>
  <c r="A81" i="27"/>
  <c r="B81" i="27"/>
  <c r="C81" i="27"/>
  <c r="D81" i="27"/>
  <c r="E81" i="27"/>
  <c r="F81" i="27"/>
  <c r="G81" i="27"/>
  <c r="H81" i="27"/>
  <c r="I81" i="27"/>
  <c r="J81" i="27"/>
  <c r="K81" i="27"/>
  <c r="L81" i="27"/>
  <c r="M81" i="27"/>
  <c r="N81" i="27"/>
  <c r="O81" i="27"/>
  <c r="P81" i="27"/>
  <c r="Q81" i="27"/>
  <c r="R81" i="27"/>
  <c r="S81" i="27"/>
  <c r="T81" i="27"/>
  <c r="U81" i="27"/>
  <c r="V81" i="27"/>
  <c r="W81" i="27"/>
  <c r="X81" i="27"/>
  <c r="Y81" i="27"/>
  <c r="Z81" i="27"/>
  <c r="AA81" i="27"/>
  <c r="AB81" i="27"/>
  <c r="AC81" i="27"/>
  <c r="AD81" i="27"/>
  <c r="AE81" i="27"/>
  <c r="AF81" i="27"/>
  <c r="AG81" i="27"/>
  <c r="AH81" i="27"/>
  <c r="AI81" i="27"/>
  <c r="AJ81" i="27"/>
  <c r="AK81" i="27"/>
  <c r="AL81" i="27"/>
  <c r="AM81" i="27"/>
  <c r="AN81" i="27"/>
  <c r="AO81" i="27"/>
  <c r="AP81" i="27"/>
  <c r="AQ81" i="27"/>
  <c r="AR81" i="27"/>
  <c r="AS81" i="27"/>
  <c r="AT81" i="27"/>
  <c r="AU81" i="27"/>
  <c r="AV81" i="27"/>
  <c r="AW81" i="27"/>
  <c r="AX81" i="27"/>
  <c r="AY81" i="27"/>
  <c r="AZ81" i="27"/>
  <c r="BA81" i="27"/>
  <c r="BB81" i="27"/>
  <c r="BC81" i="27"/>
  <c r="BD81" i="27"/>
  <c r="BE81" i="27"/>
  <c r="BF81" i="27"/>
  <c r="BG81" i="27"/>
  <c r="BH81" i="27"/>
  <c r="BI81" i="27"/>
  <c r="BJ81" i="27"/>
  <c r="BK81" i="27"/>
  <c r="BL81" i="27"/>
  <c r="BM81" i="27"/>
  <c r="BN81" i="27"/>
  <c r="BO81" i="27"/>
  <c r="BP81" i="27"/>
  <c r="BQ81" i="27"/>
  <c r="BR81" i="27"/>
  <c r="BS81" i="27"/>
  <c r="BT81" i="27"/>
  <c r="BU81" i="27"/>
  <c r="BV81" i="27"/>
  <c r="BW81" i="27"/>
  <c r="BX81" i="27"/>
  <c r="BY81" i="27"/>
  <c r="BZ81" i="27"/>
  <c r="CA81" i="27"/>
  <c r="CB81" i="27"/>
  <c r="CC81" i="27"/>
  <c r="CD81" i="27"/>
  <c r="CE81" i="27"/>
  <c r="CF81" i="27"/>
  <c r="CG81" i="27"/>
  <c r="CH81" i="27"/>
  <c r="CI81" i="27"/>
  <c r="CJ81" i="27"/>
  <c r="CK81" i="27"/>
  <c r="CL81" i="27"/>
  <c r="CM81" i="27"/>
  <c r="CN81" i="27"/>
  <c r="CO81" i="27"/>
  <c r="CP81" i="27"/>
  <c r="CQ81" i="27"/>
  <c r="CR81" i="27"/>
  <c r="CS81" i="27"/>
  <c r="CT81" i="27"/>
  <c r="CU81" i="27"/>
  <c r="CV81" i="27"/>
  <c r="CW81" i="27"/>
  <c r="CX81" i="27"/>
  <c r="CY81" i="27"/>
  <c r="CZ81" i="27"/>
  <c r="DA81" i="27"/>
  <c r="DB81" i="27"/>
  <c r="DC81" i="27"/>
  <c r="DD81" i="27"/>
  <c r="DE81" i="27"/>
  <c r="DF81" i="27"/>
  <c r="DG81" i="27"/>
  <c r="DH81" i="27"/>
  <c r="DI81" i="27"/>
  <c r="DJ81" i="27"/>
  <c r="DK81" i="27"/>
  <c r="DL81" i="27"/>
  <c r="DM81" i="27"/>
  <c r="DN81" i="27"/>
  <c r="DO81" i="27"/>
  <c r="DP81" i="27"/>
  <c r="DQ81" i="27"/>
  <c r="DR81" i="27"/>
  <c r="DS81" i="27"/>
  <c r="DT81" i="27"/>
  <c r="DU81" i="27"/>
  <c r="DV81" i="27"/>
  <c r="DW81" i="27"/>
  <c r="DX81" i="27"/>
  <c r="DY81" i="27"/>
  <c r="DZ81" i="27"/>
  <c r="EA81" i="27"/>
  <c r="EB81" i="27"/>
  <c r="EC81" i="27"/>
  <c r="ED81" i="27"/>
  <c r="EE81" i="27"/>
  <c r="EF81" i="27"/>
  <c r="EG81" i="27"/>
  <c r="EH81" i="27"/>
  <c r="EI81" i="27"/>
  <c r="EJ81" i="27"/>
  <c r="EK81" i="27"/>
  <c r="EL81" i="27"/>
  <c r="EM81" i="27"/>
  <c r="EN81" i="27"/>
  <c r="EO81" i="27"/>
  <c r="EP81" i="27"/>
  <c r="EQ81" i="27"/>
  <c r="ER81" i="27"/>
  <c r="ES81" i="27"/>
  <c r="ET81" i="27"/>
  <c r="EU81" i="27"/>
  <c r="EV81" i="27"/>
  <c r="EW81" i="27"/>
  <c r="EX81" i="27"/>
  <c r="EY81" i="27"/>
  <c r="EZ81" i="27"/>
  <c r="FA81" i="27"/>
  <c r="FB81" i="27"/>
  <c r="FC81" i="27"/>
  <c r="FD81" i="27"/>
  <c r="FE81" i="27"/>
  <c r="FF81" i="27"/>
  <c r="FG81" i="27"/>
  <c r="FH81" i="27"/>
  <c r="FI81" i="27"/>
  <c r="FJ81" i="27"/>
  <c r="FK81" i="27"/>
  <c r="FL81" i="27"/>
  <c r="FM81" i="27"/>
  <c r="FN81" i="27"/>
  <c r="FO81" i="27"/>
  <c r="FP81" i="27"/>
  <c r="FQ81" i="27"/>
  <c r="FR81" i="27"/>
  <c r="FS81" i="27"/>
  <c r="FT81" i="27"/>
  <c r="FU81" i="27"/>
  <c r="FV81" i="27"/>
  <c r="FW81" i="27"/>
  <c r="FX81" i="27"/>
  <c r="FY81" i="27"/>
  <c r="FZ81" i="27"/>
  <c r="GA81" i="27"/>
  <c r="GB81" i="27"/>
  <c r="GC81" i="27"/>
  <c r="GD81" i="27"/>
  <c r="GE81" i="27"/>
  <c r="GF81" i="27"/>
  <c r="GG81" i="27"/>
  <c r="GH81" i="27"/>
  <c r="GI81" i="27"/>
  <c r="GJ81" i="27"/>
  <c r="GK81" i="27"/>
  <c r="GL81" i="27"/>
  <c r="GM81" i="27"/>
  <c r="GN81" i="27"/>
  <c r="GO81" i="27"/>
  <c r="GP81" i="27"/>
  <c r="GQ81" i="27"/>
  <c r="GR81" i="27"/>
  <c r="GS81" i="27"/>
  <c r="GT81" i="27"/>
  <c r="GU81" i="27"/>
  <c r="GV81" i="27"/>
  <c r="GW81" i="27"/>
  <c r="GX81" i="27"/>
  <c r="GY81" i="27"/>
  <c r="GZ81" i="27"/>
  <c r="HA81" i="27"/>
  <c r="HB81" i="27"/>
  <c r="HC81" i="27"/>
  <c r="HD81" i="27"/>
  <c r="HE81" i="27"/>
  <c r="HF81" i="27"/>
  <c r="HG81" i="27"/>
  <c r="HH81" i="27"/>
  <c r="HI81" i="27"/>
  <c r="HJ81" i="27"/>
  <c r="HK81" i="27"/>
  <c r="HL81" i="27"/>
  <c r="HM81" i="27"/>
  <c r="HN81" i="27"/>
  <c r="HO81" i="27"/>
  <c r="HP81" i="27"/>
  <c r="HQ81" i="27"/>
  <c r="HR81" i="27"/>
  <c r="HS81" i="27"/>
  <c r="HT81" i="27"/>
  <c r="HU81" i="27"/>
  <c r="HV81" i="27"/>
  <c r="HW81" i="27"/>
  <c r="HX81" i="27"/>
  <c r="HY81" i="27"/>
  <c r="HZ81" i="27"/>
  <c r="IA81" i="27"/>
  <c r="IB81" i="27"/>
  <c r="IC81" i="27"/>
  <c r="ID81" i="27"/>
  <c r="IE81" i="27"/>
  <c r="IF81" i="27"/>
  <c r="IG81" i="27"/>
  <c r="IH81" i="27"/>
  <c r="II81" i="27"/>
  <c r="IJ81" i="27"/>
  <c r="IK81" i="27"/>
  <c r="IL81" i="27"/>
  <c r="IM81" i="27"/>
  <c r="IN81" i="27"/>
  <c r="IO81" i="27"/>
  <c r="IP81" i="27"/>
  <c r="IQ81" i="27"/>
  <c r="IR81" i="27"/>
  <c r="IS81" i="27"/>
  <c r="IT81" i="27"/>
  <c r="IU81" i="27"/>
  <c r="IV81" i="27"/>
  <c r="A80" i="27"/>
  <c r="B80" i="27"/>
  <c r="C80" i="27"/>
  <c r="D80" i="27"/>
  <c r="E80" i="27"/>
  <c r="F80" i="27"/>
  <c r="G80" i="27"/>
  <c r="H80" i="27"/>
  <c r="I80" i="27"/>
  <c r="J80" i="27"/>
  <c r="K80" i="27"/>
  <c r="L80" i="27"/>
  <c r="M80" i="27"/>
  <c r="N80" i="27"/>
  <c r="O80" i="27"/>
  <c r="P80" i="27"/>
  <c r="Q80" i="27"/>
  <c r="R80" i="27"/>
  <c r="S80" i="27"/>
  <c r="T80" i="27"/>
  <c r="U80" i="27"/>
  <c r="V80" i="27"/>
  <c r="W80" i="27"/>
  <c r="X80" i="27"/>
  <c r="Y80" i="27"/>
  <c r="Z80" i="27"/>
  <c r="AA80" i="27"/>
  <c r="AB80" i="27"/>
  <c r="AC80" i="27"/>
  <c r="AD80" i="27"/>
  <c r="AE80" i="27"/>
  <c r="AF80" i="27"/>
  <c r="AG80" i="27"/>
  <c r="AH80" i="27"/>
  <c r="AI80" i="27"/>
  <c r="AJ80" i="27"/>
  <c r="AK80" i="27"/>
  <c r="AL80" i="27"/>
  <c r="AM80" i="27"/>
  <c r="AN80" i="27"/>
  <c r="AO80" i="27"/>
  <c r="AP80" i="27"/>
  <c r="AQ80" i="27"/>
  <c r="AR80" i="27"/>
  <c r="AS80" i="27"/>
  <c r="AT80" i="27"/>
  <c r="AU80" i="27"/>
  <c r="AV80" i="27"/>
  <c r="AW80" i="27"/>
  <c r="AX80" i="27"/>
  <c r="AY80" i="27"/>
  <c r="AZ80" i="27"/>
  <c r="BA80" i="27"/>
  <c r="BB80" i="27"/>
  <c r="BC80" i="27"/>
  <c r="BD80" i="27"/>
  <c r="BE80" i="27"/>
  <c r="BF80" i="27"/>
  <c r="BG80" i="27"/>
  <c r="BH80" i="27"/>
  <c r="BI80" i="27"/>
  <c r="BJ80" i="27"/>
  <c r="BK80" i="27"/>
  <c r="BL80" i="27"/>
  <c r="BM80" i="27"/>
  <c r="BN80" i="27"/>
  <c r="BO80" i="27"/>
  <c r="BP80" i="27"/>
  <c r="BQ80" i="27"/>
  <c r="BR80" i="27"/>
  <c r="BS80" i="27"/>
  <c r="BT80" i="27"/>
  <c r="BU80" i="27"/>
  <c r="BV80" i="27"/>
  <c r="BW80" i="27"/>
  <c r="BX80" i="27"/>
  <c r="BY80" i="27"/>
  <c r="BZ80" i="27"/>
  <c r="CA80" i="27"/>
  <c r="CB80" i="27"/>
  <c r="CC80" i="27"/>
  <c r="CD80" i="27"/>
  <c r="CE80" i="27"/>
  <c r="CF80" i="27"/>
  <c r="CG80" i="27"/>
  <c r="CH80" i="27"/>
  <c r="CI80" i="27"/>
  <c r="CJ80" i="27"/>
  <c r="CK80" i="27"/>
  <c r="CL80" i="27"/>
  <c r="CM80" i="27"/>
  <c r="CN80" i="27"/>
  <c r="CO80" i="27"/>
  <c r="CP80" i="27"/>
  <c r="CQ80" i="27"/>
  <c r="CR80" i="27"/>
  <c r="CS80" i="27"/>
  <c r="CT80" i="27"/>
  <c r="CU80" i="27"/>
  <c r="CV80" i="27"/>
  <c r="CW80" i="27"/>
  <c r="CX80" i="27"/>
  <c r="CY80" i="27"/>
  <c r="CZ80" i="27"/>
  <c r="DA80" i="27"/>
  <c r="DB80" i="27"/>
  <c r="DC80" i="27"/>
  <c r="DD80" i="27"/>
  <c r="DE80" i="27"/>
  <c r="DF80" i="27"/>
  <c r="DG80" i="27"/>
  <c r="DH80" i="27"/>
  <c r="DI80" i="27"/>
  <c r="DJ80" i="27"/>
  <c r="DK80" i="27"/>
  <c r="DL80" i="27"/>
  <c r="DM80" i="27"/>
  <c r="DN80" i="27"/>
  <c r="DO80" i="27"/>
  <c r="DP80" i="27"/>
  <c r="DQ80" i="27"/>
  <c r="DR80" i="27"/>
  <c r="DS80" i="27"/>
  <c r="DT80" i="27"/>
  <c r="DU80" i="27"/>
  <c r="DV80" i="27"/>
  <c r="DW80" i="27"/>
  <c r="DX80" i="27"/>
  <c r="DY80" i="27"/>
  <c r="DZ80" i="27"/>
  <c r="EA80" i="27"/>
  <c r="EB80" i="27"/>
  <c r="EC80" i="27"/>
  <c r="ED80" i="27"/>
  <c r="EE80" i="27"/>
  <c r="EF80" i="27"/>
  <c r="EG80" i="27"/>
  <c r="EH80" i="27"/>
  <c r="EI80" i="27"/>
  <c r="EJ80" i="27"/>
  <c r="EK80" i="27"/>
  <c r="EL80" i="27"/>
  <c r="EM80" i="27"/>
  <c r="EN80" i="27"/>
  <c r="EO80" i="27"/>
  <c r="EP80" i="27"/>
  <c r="EQ80" i="27"/>
  <c r="ER80" i="27"/>
  <c r="ES80" i="27"/>
  <c r="ET80" i="27"/>
  <c r="EU80" i="27"/>
  <c r="EV80" i="27"/>
  <c r="EW80" i="27"/>
  <c r="EX80" i="27"/>
  <c r="EY80" i="27"/>
  <c r="EZ80" i="27"/>
  <c r="FA80" i="27"/>
  <c r="FB80" i="27"/>
  <c r="FC80" i="27"/>
  <c r="FD80" i="27"/>
  <c r="FE80" i="27"/>
  <c r="FF80" i="27"/>
  <c r="FG80" i="27"/>
  <c r="FH80" i="27"/>
  <c r="FI80" i="27"/>
  <c r="FJ80" i="27"/>
  <c r="FK80" i="27"/>
  <c r="FL80" i="27"/>
  <c r="FM80" i="27"/>
  <c r="FN80" i="27"/>
  <c r="FO80" i="27"/>
  <c r="FP80" i="27"/>
  <c r="FQ80" i="27"/>
  <c r="FR80" i="27"/>
  <c r="FS80" i="27"/>
  <c r="FT80" i="27"/>
  <c r="FU80" i="27"/>
  <c r="FV80" i="27"/>
  <c r="FW80" i="27"/>
  <c r="FX80" i="27"/>
  <c r="FY80" i="27"/>
  <c r="FZ80" i="27"/>
  <c r="GA80" i="27"/>
  <c r="GB80" i="27"/>
  <c r="GC80" i="27"/>
  <c r="GD80" i="27"/>
  <c r="GE80" i="27"/>
  <c r="GF80" i="27"/>
  <c r="GG80" i="27"/>
  <c r="GH80" i="27"/>
  <c r="GI80" i="27"/>
  <c r="GJ80" i="27"/>
  <c r="GK80" i="27"/>
  <c r="GL80" i="27"/>
  <c r="GM80" i="27"/>
  <c r="GN80" i="27"/>
  <c r="GO80" i="27"/>
  <c r="GP80" i="27"/>
  <c r="GQ80" i="27"/>
  <c r="GR80" i="27"/>
  <c r="GS80" i="27"/>
  <c r="GT80" i="27"/>
  <c r="GU80" i="27"/>
  <c r="GV80" i="27"/>
  <c r="GW80" i="27"/>
  <c r="GX80" i="27"/>
  <c r="GY80" i="27"/>
  <c r="GZ80" i="27"/>
  <c r="HA80" i="27"/>
  <c r="HB80" i="27"/>
  <c r="HC80" i="27"/>
  <c r="HD80" i="27"/>
  <c r="HE80" i="27"/>
  <c r="HF80" i="27"/>
  <c r="HG80" i="27"/>
  <c r="HH80" i="27"/>
  <c r="HI80" i="27"/>
  <c r="HJ80" i="27"/>
  <c r="HK80" i="27"/>
  <c r="HL80" i="27"/>
  <c r="HM80" i="27"/>
  <c r="HN80" i="27"/>
  <c r="HO80" i="27"/>
  <c r="HP80" i="27"/>
  <c r="HQ80" i="27"/>
  <c r="HR80" i="27"/>
  <c r="HS80" i="27"/>
  <c r="HT80" i="27"/>
  <c r="HU80" i="27"/>
  <c r="HV80" i="27"/>
  <c r="HW80" i="27"/>
  <c r="HX80" i="27"/>
  <c r="HY80" i="27"/>
  <c r="HZ80" i="27"/>
  <c r="IA80" i="27"/>
  <c r="IB80" i="27"/>
  <c r="IC80" i="27"/>
  <c r="ID80" i="27"/>
  <c r="IE80" i="27"/>
  <c r="IF80" i="27"/>
  <c r="IG80" i="27"/>
  <c r="IH80" i="27"/>
  <c r="II80" i="27"/>
  <c r="IJ80" i="27"/>
  <c r="IK80" i="27"/>
  <c r="IL80" i="27"/>
  <c r="IM80" i="27"/>
  <c r="IN80" i="27"/>
  <c r="IO80" i="27"/>
  <c r="IP80" i="27"/>
  <c r="IQ80" i="27"/>
  <c r="IR80" i="27"/>
  <c r="IS80" i="27"/>
  <c r="IT80" i="27"/>
  <c r="IU80" i="27"/>
  <c r="IV80" i="27"/>
  <c r="A79" i="27"/>
  <c r="B79" i="27"/>
  <c r="C79" i="27"/>
  <c r="D79" i="27"/>
  <c r="E79" i="27"/>
  <c r="F79" i="27"/>
  <c r="G79" i="27"/>
  <c r="H79" i="27"/>
  <c r="I79" i="27"/>
  <c r="J79" i="27"/>
  <c r="K79" i="27"/>
  <c r="L79" i="27"/>
  <c r="M79" i="27"/>
  <c r="N79" i="27"/>
  <c r="O79" i="27"/>
  <c r="P79" i="27"/>
  <c r="Q79" i="27"/>
  <c r="R79" i="27"/>
  <c r="S79" i="27"/>
  <c r="T79" i="27"/>
  <c r="U79" i="27"/>
  <c r="V79" i="27"/>
  <c r="W79" i="27"/>
  <c r="X79" i="27"/>
  <c r="Y79" i="27"/>
  <c r="Z79" i="27"/>
  <c r="AA79" i="27"/>
  <c r="AB79" i="27"/>
  <c r="AC79" i="27"/>
  <c r="AD79" i="27"/>
  <c r="AE79" i="27"/>
  <c r="AF79" i="27"/>
  <c r="AG79" i="27"/>
  <c r="AH79" i="27"/>
  <c r="AI79" i="27"/>
  <c r="AJ79" i="27"/>
  <c r="AK79" i="27"/>
  <c r="AL79" i="27"/>
  <c r="AM79" i="27"/>
  <c r="AN79" i="27"/>
  <c r="AO79" i="27"/>
  <c r="AP79" i="27"/>
  <c r="AQ79" i="27"/>
  <c r="AR79" i="27"/>
  <c r="AS79" i="27"/>
  <c r="AT79" i="27"/>
  <c r="AU79" i="27"/>
  <c r="AV79" i="27"/>
  <c r="AW79" i="27"/>
  <c r="AX79" i="27"/>
  <c r="AY79" i="27"/>
  <c r="AZ79" i="27"/>
  <c r="BA79" i="27"/>
  <c r="BB79" i="27"/>
  <c r="BC79" i="27"/>
  <c r="BD79" i="27"/>
  <c r="BE79" i="27"/>
  <c r="BF79" i="27"/>
  <c r="BG79" i="27"/>
  <c r="BH79" i="27"/>
  <c r="BI79" i="27"/>
  <c r="BJ79" i="27"/>
  <c r="BK79" i="27"/>
  <c r="BL79" i="27"/>
  <c r="BM79" i="27"/>
  <c r="BN79" i="27"/>
  <c r="BO79" i="27"/>
  <c r="BP79" i="27"/>
  <c r="BQ79" i="27"/>
  <c r="BR79" i="27"/>
  <c r="BS79" i="27"/>
  <c r="BT79" i="27"/>
  <c r="BU79" i="27"/>
  <c r="BV79" i="27"/>
  <c r="BW79" i="27"/>
  <c r="BX79" i="27"/>
  <c r="BY79" i="27"/>
  <c r="BZ79" i="27"/>
  <c r="CA79" i="27"/>
  <c r="CB79" i="27"/>
  <c r="CC79" i="27"/>
  <c r="CD79" i="27"/>
  <c r="CE79" i="27"/>
  <c r="CF79" i="27"/>
  <c r="CG79" i="27"/>
  <c r="CH79" i="27"/>
  <c r="CI79" i="27"/>
  <c r="CJ79" i="27"/>
  <c r="CK79" i="27"/>
  <c r="CL79" i="27"/>
  <c r="CM79" i="27"/>
  <c r="CN79" i="27"/>
  <c r="CO79" i="27"/>
  <c r="CP79" i="27"/>
  <c r="CQ79" i="27"/>
  <c r="CR79" i="27"/>
  <c r="CS79" i="27"/>
  <c r="CT79" i="27"/>
  <c r="CU79" i="27"/>
  <c r="CV79" i="27"/>
  <c r="CW79" i="27"/>
  <c r="CX79" i="27"/>
  <c r="CY79" i="27"/>
  <c r="CZ79" i="27"/>
  <c r="DA79" i="27"/>
  <c r="DB79" i="27"/>
  <c r="DC79" i="27"/>
  <c r="DD79" i="27"/>
  <c r="DE79" i="27"/>
  <c r="DF79" i="27"/>
  <c r="DG79" i="27"/>
  <c r="DH79" i="27"/>
  <c r="DI79" i="27"/>
  <c r="DJ79" i="27"/>
  <c r="DK79" i="27"/>
  <c r="DL79" i="27"/>
  <c r="DM79" i="27"/>
  <c r="DN79" i="27"/>
  <c r="DO79" i="27"/>
  <c r="DP79" i="27"/>
  <c r="DQ79" i="27"/>
  <c r="DR79" i="27"/>
  <c r="DS79" i="27"/>
  <c r="DT79" i="27"/>
  <c r="DU79" i="27"/>
  <c r="DV79" i="27"/>
  <c r="DW79" i="27"/>
  <c r="DX79" i="27"/>
  <c r="DY79" i="27"/>
  <c r="DZ79" i="27"/>
  <c r="EA79" i="27"/>
  <c r="EB79" i="27"/>
  <c r="EC79" i="27"/>
  <c r="ED79" i="27"/>
  <c r="EE79" i="27"/>
  <c r="EF79" i="27"/>
  <c r="EG79" i="27"/>
  <c r="EH79" i="27"/>
  <c r="EI79" i="27"/>
  <c r="EJ79" i="27"/>
  <c r="EK79" i="27"/>
  <c r="EL79" i="27"/>
  <c r="EM79" i="27"/>
  <c r="EN79" i="27"/>
  <c r="EO79" i="27"/>
  <c r="EP79" i="27"/>
  <c r="EQ79" i="27"/>
  <c r="ER79" i="27"/>
  <c r="ES79" i="27"/>
  <c r="ET79" i="27"/>
  <c r="EU79" i="27"/>
  <c r="EV79" i="27"/>
  <c r="EW79" i="27"/>
  <c r="EX79" i="27"/>
  <c r="EY79" i="27"/>
  <c r="EZ79" i="27"/>
  <c r="FA79" i="27"/>
  <c r="FB79" i="27"/>
  <c r="FC79" i="27"/>
  <c r="FD79" i="27"/>
  <c r="FE79" i="27"/>
  <c r="FF79" i="27"/>
  <c r="FG79" i="27"/>
  <c r="FH79" i="27"/>
  <c r="FI79" i="27"/>
  <c r="FJ79" i="27"/>
  <c r="FK79" i="27"/>
  <c r="FL79" i="27"/>
  <c r="FM79" i="27"/>
  <c r="FN79" i="27"/>
  <c r="FO79" i="27"/>
  <c r="FP79" i="27"/>
  <c r="FQ79" i="27"/>
  <c r="FR79" i="27"/>
  <c r="FS79" i="27"/>
  <c r="FT79" i="27"/>
  <c r="FU79" i="27"/>
  <c r="FV79" i="27"/>
  <c r="FW79" i="27"/>
  <c r="FX79" i="27"/>
  <c r="FY79" i="27"/>
  <c r="FZ79" i="27"/>
  <c r="GA79" i="27"/>
  <c r="GB79" i="27"/>
  <c r="GC79" i="27"/>
  <c r="GD79" i="27"/>
  <c r="GE79" i="27"/>
  <c r="GF79" i="27"/>
  <c r="GG79" i="27"/>
  <c r="GH79" i="27"/>
  <c r="GI79" i="27"/>
  <c r="GJ79" i="27"/>
  <c r="GK79" i="27"/>
  <c r="GL79" i="27"/>
  <c r="GM79" i="27"/>
  <c r="GN79" i="27"/>
  <c r="GO79" i="27"/>
  <c r="GP79" i="27"/>
  <c r="GQ79" i="27"/>
  <c r="GR79" i="27"/>
  <c r="GS79" i="27"/>
  <c r="GT79" i="27"/>
  <c r="GU79" i="27"/>
  <c r="GV79" i="27"/>
  <c r="GW79" i="27"/>
  <c r="GX79" i="27"/>
  <c r="GY79" i="27"/>
  <c r="GZ79" i="27"/>
  <c r="HA79" i="27"/>
  <c r="HB79" i="27"/>
  <c r="HC79" i="27"/>
  <c r="HD79" i="27"/>
  <c r="HE79" i="27"/>
  <c r="HF79" i="27"/>
  <c r="HG79" i="27"/>
  <c r="HH79" i="27"/>
  <c r="HI79" i="27"/>
  <c r="HJ79" i="27"/>
  <c r="HK79" i="27"/>
  <c r="HL79" i="27"/>
  <c r="HM79" i="27"/>
  <c r="HN79" i="27"/>
  <c r="HO79" i="27"/>
  <c r="HP79" i="27"/>
  <c r="HQ79" i="27"/>
  <c r="HR79" i="27"/>
  <c r="HS79" i="27"/>
  <c r="HT79" i="27"/>
  <c r="HU79" i="27"/>
  <c r="HV79" i="27"/>
  <c r="HW79" i="27"/>
  <c r="HX79" i="27"/>
  <c r="HY79" i="27"/>
  <c r="HZ79" i="27"/>
  <c r="IA79" i="27"/>
  <c r="IB79" i="27"/>
  <c r="IC79" i="27"/>
  <c r="ID79" i="27"/>
  <c r="IE79" i="27"/>
  <c r="IF79" i="27"/>
  <c r="IG79" i="27"/>
  <c r="IH79" i="27"/>
  <c r="II79" i="27"/>
  <c r="IJ79" i="27"/>
  <c r="IK79" i="27"/>
  <c r="IL79" i="27"/>
  <c r="IM79" i="27"/>
  <c r="IN79" i="27"/>
  <c r="IO79" i="27"/>
  <c r="IP79" i="27"/>
  <c r="IQ79" i="27"/>
  <c r="IR79" i="27"/>
  <c r="IS79" i="27"/>
  <c r="IT79" i="27"/>
  <c r="IU79" i="27"/>
  <c r="IV79" i="27"/>
  <c r="A78" i="27"/>
  <c r="B78" i="27"/>
  <c r="C78" i="27"/>
  <c r="D78" i="27"/>
  <c r="E78" i="27"/>
  <c r="F78" i="27"/>
  <c r="G78" i="27"/>
  <c r="H78" i="27"/>
  <c r="I78" i="27"/>
  <c r="J78" i="27"/>
  <c r="K78" i="27"/>
  <c r="L78" i="27"/>
  <c r="M78" i="27"/>
  <c r="N78" i="27"/>
  <c r="O78" i="27"/>
  <c r="P78" i="27"/>
  <c r="Q78" i="27"/>
  <c r="R78" i="27"/>
  <c r="S78" i="27"/>
  <c r="T78" i="27"/>
  <c r="U78" i="27"/>
  <c r="V78" i="27"/>
  <c r="W78" i="27"/>
  <c r="X78" i="27"/>
  <c r="Y78" i="27"/>
  <c r="Z78" i="27"/>
  <c r="AA78" i="27"/>
  <c r="AB78" i="27"/>
  <c r="AC78" i="27"/>
  <c r="AD78" i="27"/>
  <c r="AE78" i="27"/>
  <c r="AF78" i="27"/>
  <c r="AG78" i="27"/>
  <c r="AH78" i="27"/>
  <c r="AI78" i="27"/>
  <c r="AJ78" i="27"/>
  <c r="AK78" i="27"/>
  <c r="AL78" i="27"/>
  <c r="AM78" i="27"/>
  <c r="AN78" i="27"/>
  <c r="AO78" i="27"/>
  <c r="AP78" i="27"/>
  <c r="AQ78" i="27"/>
  <c r="AR78" i="27"/>
  <c r="AS78" i="27"/>
  <c r="AT78" i="27"/>
  <c r="AU78" i="27"/>
  <c r="AV78" i="27"/>
  <c r="AW78" i="27"/>
  <c r="AX78" i="27"/>
  <c r="AY78" i="27"/>
  <c r="AZ78" i="27"/>
  <c r="BA78" i="27"/>
  <c r="BB78" i="27"/>
  <c r="BC78" i="27"/>
  <c r="BD78" i="27"/>
  <c r="BE78" i="27"/>
  <c r="BF78" i="27"/>
  <c r="BG78" i="27"/>
  <c r="BH78" i="27"/>
  <c r="BI78" i="27"/>
  <c r="BJ78" i="27"/>
  <c r="BK78" i="27"/>
  <c r="BL78" i="27"/>
  <c r="BM78" i="27"/>
  <c r="BN78" i="27"/>
  <c r="BO78" i="27"/>
  <c r="BP78" i="27"/>
  <c r="BQ78" i="27"/>
  <c r="BR78" i="27"/>
  <c r="BS78" i="27"/>
  <c r="BT78" i="27"/>
  <c r="BU78" i="27"/>
  <c r="BV78" i="27"/>
  <c r="BW78" i="27"/>
  <c r="BX78" i="27"/>
  <c r="BY78" i="27"/>
  <c r="BZ78" i="27"/>
  <c r="CA78" i="27"/>
  <c r="CB78" i="27"/>
  <c r="CC78" i="27"/>
  <c r="CD78" i="27"/>
  <c r="CE78" i="27"/>
  <c r="CF78" i="27"/>
  <c r="CG78" i="27"/>
  <c r="CH78" i="27"/>
  <c r="CI78" i="27"/>
  <c r="CJ78" i="27"/>
  <c r="CK78" i="27"/>
  <c r="CL78" i="27"/>
  <c r="CM78" i="27"/>
  <c r="CN78" i="27"/>
  <c r="CO78" i="27"/>
  <c r="CP78" i="27"/>
  <c r="CQ78" i="27"/>
  <c r="CR78" i="27"/>
  <c r="CS78" i="27"/>
  <c r="CT78" i="27"/>
  <c r="CU78" i="27"/>
  <c r="CV78" i="27"/>
  <c r="CW78" i="27"/>
  <c r="CX78" i="27"/>
  <c r="CY78" i="27"/>
  <c r="CZ78" i="27"/>
  <c r="DA78" i="27"/>
  <c r="DB78" i="27"/>
  <c r="DC78" i="27"/>
  <c r="DD78" i="27"/>
  <c r="DE78" i="27"/>
  <c r="DF78" i="27"/>
  <c r="DG78" i="27"/>
  <c r="DH78" i="27"/>
  <c r="DI78" i="27"/>
  <c r="DJ78" i="27"/>
  <c r="DK78" i="27"/>
  <c r="DL78" i="27"/>
  <c r="DM78" i="27"/>
  <c r="DN78" i="27"/>
  <c r="DO78" i="27"/>
  <c r="DP78" i="27"/>
  <c r="DQ78" i="27"/>
  <c r="DR78" i="27"/>
  <c r="DS78" i="27"/>
  <c r="DT78" i="27"/>
  <c r="DU78" i="27"/>
  <c r="DV78" i="27"/>
  <c r="DW78" i="27"/>
  <c r="DX78" i="27"/>
  <c r="DY78" i="27"/>
  <c r="DZ78" i="27"/>
  <c r="EA78" i="27"/>
  <c r="EB78" i="27"/>
  <c r="EC78" i="27"/>
  <c r="ED78" i="27"/>
  <c r="EE78" i="27"/>
  <c r="EF78" i="27"/>
  <c r="EG78" i="27"/>
  <c r="EH78" i="27"/>
  <c r="EI78" i="27"/>
  <c r="EJ78" i="27"/>
  <c r="EK78" i="27"/>
  <c r="EL78" i="27"/>
  <c r="EM78" i="27"/>
  <c r="EN78" i="27"/>
  <c r="EO78" i="27"/>
  <c r="EP78" i="27"/>
  <c r="EQ78" i="27"/>
  <c r="ER78" i="27"/>
  <c r="ES78" i="27"/>
  <c r="ET78" i="27"/>
  <c r="EU78" i="27"/>
  <c r="EV78" i="27"/>
  <c r="EW78" i="27"/>
  <c r="EX78" i="27"/>
  <c r="EY78" i="27"/>
  <c r="EZ78" i="27"/>
  <c r="FA78" i="27"/>
  <c r="FB78" i="27"/>
  <c r="FC78" i="27"/>
  <c r="FD78" i="27"/>
  <c r="FE78" i="27"/>
  <c r="FF78" i="27"/>
  <c r="FG78" i="27"/>
  <c r="FH78" i="27"/>
  <c r="FI78" i="27"/>
  <c r="FJ78" i="27"/>
  <c r="FK78" i="27"/>
  <c r="FL78" i="27"/>
  <c r="FM78" i="27"/>
  <c r="FN78" i="27"/>
  <c r="FO78" i="27"/>
  <c r="FP78" i="27"/>
  <c r="FQ78" i="27"/>
  <c r="FR78" i="27"/>
  <c r="FS78" i="27"/>
  <c r="FT78" i="27"/>
  <c r="FU78" i="27"/>
  <c r="FV78" i="27"/>
  <c r="FW78" i="27"/>
  <c r="FX78" i="27"/>
  <c r="FY78" i="27"/>
  <c r="FZ78" i="27"/>
  <c r="GA78" i="27"/>
  <c r="GB78" i="27"/>
  <c r="GC78" i="27"/>
  <c r="GD78" i="27"/>
  <c r="GE78" i="27"/>
  <c r="GF78" i="27"/>
  <c r="GG78" i="27"/>
  <c r="GH78" i="27"/>
  <c r="GI78" i="27"/>
  <c r="GJ78" i="27"/>
  <c r="GK78" i="27"/>
  <c r="GL78" i="27"/>
  <c r="GM78" i="27"/>
  <c r="GN78" i="27"/>
  <c r="GO78" i="27"/>
  <c r="GP78" i="27"/>
  <c r="GQ78" i="27"/>
  <c r="GR78" i="27"/>
  <c r="GS78" i="27"/>
  <c r="GT78" i="27"/>
  <c r="GU78" i="27"/>
  <c r="GV78" i="27"/>
  <c r="GW78" i="27"/>
  <c r="GX78" i="27"/>
  <c r="GY78" i="27"/>
  <c r="GZ78" i="27"/>
  <c r="HA78" i="27"/>
  <c r="HB78" i="27"/>
  <c r="HC78" i="27"/>
  <c r="HD78" i="27"/>
  <c r="HE78" i="27"/>
  <c r="HF78" i="27"/>
  <c r="HG78" i="27"/>
  <c r="HH78" i="27"/>
  <c r="HI78" i="27"/>
  <c r="HJ78" i="27"/>
  <c r="HK78" i="27"/>
  <c r="HL78" i="27"/>
  <c r="HM78" i="27"/>
  <c r="HN78" i="27"/>
  <c r="HO78" i="27"/>
  <c r="HP78" i="27"/>
  <c r="HQ78" i="27"/>
  <c r="HR78" i="27"/>
  <c r="HS78" i="27"/>
  <c r="HT78" i="27"/>
  <c r="HU78" i="27"/>
  <c r="HV78" i="27"/>
  <c r="HW78" i="27"/>
  <c r="HX78" i="27"/>
  <c r="HY78" i="27"/>
  <c r="HZ78" i="27"/>
  <c r="IA78" i="27"/>
  <c r="IB78" i="27"/>
  <c r="IC78" i="27"/>
  <c r="ID78" i="27"/>
  <c r="IE78" i="27"/>
  <c r="IF78" i="27"/>
  <c r="IG78" i="27"/>
  <c r="IH78" i="27"/>
  <c r="II78" i="27"/>
  <c r="IJ78" i="27"/>
  <c r="IK78" i="27"/>
  <c r="IL78" i="27"/>
  <c r="IM78" i="27"/>
  <c r="IN78" i="27"/>
  <c r="IO78" i="27"/>
  <c r="IP78" i="27"/>
  <c r="IQ78" i="27"/>
  <c r="IR78" i="27"/>
  <c r="IS78" i="27"/>
  <c r="IT78" i="27"/>
  <c r="IU78" i="27"/>
  <c r="IV78" i="27"/>
  <c r="A77" i="27"/>
  <c r="B77" i="27"/>
  <c r="C77" i="27"/>
  <c r="D77" i="27"/>
  <c r="E77" i="27"/>
  <c r="F77" i="27"/>
  <c r="G77" i="27"/>
  <c r="H77" i="27"/>
  <c r="I77" i="27"/>
  <c r="J77" i="27"/>
  <c r="K77" i="27"/>
  <c r="L77" i="27"/>
  <c r="M77" i="27"/>
  <c r="N77" i="27"/>
  <c r="O77" i="27"/>
  <c r="P77" i="27"/>
  <c r="Q77" i="27"/>
  <c r="R77" i="27"/>
  <c r="S77" i="27"/>
  <c r="T77" i="27"/>
  <c r="U77" i="27"/>
  <c r="V77" i="27"/>
  <c r="W77" i="27"/>
  <c r="X77" i="27"/>
  <c r="Y77" i="27"/>
  <c r="Z77" i="27"/>
  <c r="AA77" i="27"/>
  <c r="AB77" i="27"/>
  <c r="AC77" i="27"/>
  <c r="AD77" i="27"/>
  <c r="AE77" i="27"/>
  <c r="AF77" i="27"/>
  <c r="AG77" i="27"/>
  <c r="AH77" i="27"/>
  <c r="AI77" i="27"/>
  <c r="AJ77" i="27"/>
  <c r="AK77" i="27"/>
  <c r="AL77" i="27"/>
  <c r="AM77" i="27"/>
  <c r="AN77" i="27"/>
  <c r="AO77" i="27"/>
  <c r="AP77" i="27"/>
  <c r="AQ77" i="27"/>
  <c r="AR77" i="27"/>
  <c r="AS77" i="27"/>
  <c r="AT77" i="27"/>
  <c r="AU77" i="27"/>
  <c r="AV77" i="27"/>
  <c r="AW77" i="27"/>
  <c r="AX77" i="27"/>
  <c r="AY77" i="27"/>
  <c r="AZ77" i="27"/>
  <c r="BA77" i="27"/>
  <c r="BB77" i="27"/>
  <c r="BC77" i="27"/>
  <c r="BD77" i="27"/>
  <c r="BE77" i="27"/>
  <c r="BF77" i="27"/>
  <c r="BG77" i="27"/>
  <c r="BH77" i="27"/>
  <c r="BI77" i="27"/>
  <c r="BJ77" i="27"/>
  <c r="BK77" i="27"/>
  <c r="BL77" i="27"/>
  <c r="BM77" i="27"/>
  <c r="BN77" i="27"/>
  <c r="BO77" i="27"/>
  <c r="BP77" i="27"/>
  <c r="BQ77" i="27"/>
  <c r="BR77" i="27"/>
  <c r="BS77" i="27"/>
  <c r="BT77" i="27"/>
  <c r="BU77" i="27"/>
  <c r="BV77" i="27"/>
  <c r="BW77" i="27"/>
  <c r="BX77" i="27"/>
  <c r="BY77" i="27"/>
  <c r="BZ77" i="27"/>
  <c r="CA77" i="27"/>
  <c r="CB77" i="27"/>
  <c r="CC77" i="27"/>
  <c r="CD77" i="27"/>
  <c r="CE77" i="27"/>
  <c r="CF77" i="27"/>
  <c r="CG77" i="27"/>
  <c r="CH77" i="27"/>
  <c r="CI77" i="27"/>
  <c r="CJ77" i="27"/>
  <c r="CK77" i="27"/>
  <c r="CL77" i="27"/>
  <c r="CM77" i="27"/>
  <c r="CN77" i="27"/>
  <c r="CO77" i="27"/>
  <c r="CP77" i="27"/>
  <c r="CQ77" i="27"/>
  <c r="CR77" i="27"/>
  <c r="CS77" i="27"/>
  <c r="CT77" i="27"/>
  <c r="CU77" i="27"/>
  <c r="CV77" i="27"/>
  <c r="CW77" i="27"/>
  <c r="CX77" i="27"/>
  <c r="CY77" i="27"/>
  <c r="CZ77" i="27"/>
  <c r="DA77" i="27"/>
  <c r="DB77" i="27"/>
  <c r="DC77" i="27"/>
  <c r="DD77" i="27"/>
  <c r="DE77" i="27"/>
  <c r="DF77" i="27"/>
  <c r="DG77" i="27"/>
  <c r="DH77" i="27"/>
  <c r="DI77" i="27"/>
  <c r="DJ77" i="27"/>
  <c r="DK77" i="27"/>
  <c r="DL77" i="27"/>
  <c r="DM77" i="27"/>
  <c r="DN77" i="27"/>
  <c r="DO77" i="27"/>
  <c r="DP77" i="27"/>
  <c r="DQ77" i="27"/>
  <c r="DR77" i="27"/>
  <c r="DS77" i="27"/>
  <c r="DT77" i="27"/>
  <c r="DU77" i="27"/>
  <c r="DV77" i="27"/>
  <c r="DW77" i="27"/>
  <c r="DX77" i="27"/>
  <c r="DY77" i="27"/>
  <c r="DZ77" i="27"/>
  <c r="EA77" i="27"/>
  <c r="EB77" i="27"/>
  <c r="EC77" i="27"/>
  <c r="ED77" i="27"/>
  <c r="EE77" i="27"/>
  <c r="EF77" i="27"/>
  <c r="EG77" i="27"/>
  <c r="EH77" i="27"/>
  <c r="EI77" i="27"/>
  <c r="EJ77" i="27"/>
  <c r="EK77" i="27"/>
  <c r="EL77" i="27"/>
  <c r="EM77" i="27"/>
  <c r="EN77" i="27"/>
  <c r="EO77" i="27"/>
  <c r="EP77" i="27"/>
  <c r="EQ77" i="27"/>
  <c r="ER77" i="27"/>
  <c r="ES77" i="27"/>
  <c r="ET77" i="27"/>
  <c r="EU77" i="27"/>
  <c r="EV77" i="27"/>
  <c r="EW77" i="27"/>
  <c r="EX77" i="27"/>
  <c r="EY77" i="27"/>
  <c r="EZ77" i="27"/>
  <c r="FA77" i="27"/>
  <c r="FB77" i="27"/>
  <c r="FC77" i="27"/>
  <c r="FD77" i="27"/>
  <c r="FE77" i="27"/>
  <c r="FF77" i="27"/>
  <c r="FG77" i="27"/>
  <c r="FH77" i="27"/>
  <c r="FI77" i="27"/>
  <c r="FJ77" i="27"/>
  <c r="FK77" i="27"/>
  <c r="FL77" i="27"/>
  <c r="FM77" i="27"/>
  <c r="FN77" i="27"/>
  <c r="FO77" i="27"/>
  <c r="FP77" i="27"/>
  <c r="FQ77" i="27"/>
  <c r="FR77" i="27"/>
  <c r="FS77" i="27"/>
  <c r="FT77" i="27"/>
  <c r="FU77" i="27"/>
  <c r="FV77" i="27"/>
  <c r="FW77" i="27"/>
  <c r="FX77" i="27"/>
  <c r="FY77" i="27"/>
  <c r="FZ77" i="27"/>
  <c r="GA77" i="27"/>
  <c r="GB77" i="27"/>
  <c r="GC77" i="27"/>
  <c r="GD77" i="27"/>
  <c r="GE77" i="27"/>
  <c r="GF77" i="27"/>
  <c r="GG77" i="27"/>
  <c r="GH77" i="27"/>
  <c r="GI77" i="27"/>
  <c r="GJ77" i="27"/>
  <c r="GK77" i="27"/>
  <c r="GL77" i="27"/>
  <c r="GM77" i="27"/>
  <c r="GN77" i="27"/>
  <c r="GO77" i="27"/>
  <c r="GP77" i="27"/>
  <c r="GQ77" i="27"/>
  <c r="GR77" i="27"/>
  <c r="GS77" i="27"/>
  <c r="GT77" i="27"/>
  <c r="GU77" i="27"/>
  <c r="GV77" i="27"/>
  <c r="GW77" i="27"/>
  <c r="GX77" i="27"/>
  <c r="GY77" i="27"/>
  <c r="GZ77" i="27"/>
  <c r="HA77" i="27"/>
  <c r="HB77" i="27"/>
  <c r="HC77" i="27"/>
  <c r="HD77" i="27"/>
  <c r="HE77" i="27"/>
  <c r="HF77" i="27"/>
  <c r="HG77" i="27"/>
  <c r="HH77" i="27"/>
  <c r="HI77" i="27"/>
  <c r="HJ77" i="27"/>
  <c r="HK77" i="27"/>
  <c r="HL77" i="27"/>
  <c r="HM77" i="27"/>
  <c r="HN77" i="27"/>
  <c r="HO77" i="27"/>
  <c r="HP77" i="27"/>
  <c r="HQ77" i="27"/>
  <c r="HR77" i="27"/>
  <c r="HS77" i="27"/>
  <c r="HT77" i="27"/>
  <c r="HU77" i="27"/>
  <c r="HV77" i="27"/>
  <c r="HW77" i="27"/>
  <c r="HX77" i="27"/>
  <c r="HY77" i="27"/>
  <c r="HZ77" i="27"/>
  <c r="IA77" i="27"/>
  <c r="IB77" i="27"/>
  <c r="IC77" i="27"/>
  <c r="ID77" i="27"/>
  <c r="IE77" i="27"/>
  <c r="IF77" i="27"/>
  <c r="IG77" i="27"/>
  <c r="IH77" i="27"/>
  <c r="II77" i="27"/>
  <c r="IJ77" i="27"/>
  <c r="IK77" i="27"/>
  <c r="IL77" i="27"/>
  <c r="IM77" i="27"/>
  <c r="IN77" i="27"/>
  <c r="IO77" i="27"/>
  <c r="IP77" i="27"/>
  <c r="IQ77" i="27"/>
  <c r="IR77" i="27"/>
  <c r="IS77" i="27"/>
  <c r="IT77" i="27"/>
  <c r="IU77" i="27"/>
  <c r="IV77" i="27"/>
  <c r="A76" i="27"/>
  <c r="B76" i="27"/>
  <c r="C76" i="27"/>
  <c r="D76" i="27"/>
  <c r="E76" i="27"/>
  <c r="F76" i="27"/>
  <c r="G76" i="27"/>
  <c r="H76" i="27"/>
  <c r="I76" i="27"/>
  <c r="J76" i="27"/>
  <c r="K76" i="27"/>
  <c r="L76" i="27"/>
  <c r="M76" i="27"/>
  <c r="N76" i="27"/>
  <c r="O76" i="27"/>
  <c r="P76" i="27"/>
  <c r="Q76" i="27"/>
  <c r="R76" i="27"/>
  <c r="S76" i="27"/>
  <c r="T76" i="27"/>
  <c r="U76" i="27"/>
  <c r="V76" i="27"/>
  <c r="W76" i="27"/>
  <c r="X76" i="27"/>
  <c r="Y76" i="27"/>
  <c r="Z76" i="27"/>
  <c r="AA76" i="27"/>
  <c r="AB76" i="27"/>
  <c r="AC76" i="27"/>
  <c r="AD76" i="27"/>
  <c r="AE76" i="27"/>
  <c r="AF76" i="27"/>
  <c r="AG76" i="27"/>
  <c r="AH76" i="27"/>
  <c r="AI76" i="27"/>
  <c r="AJ76" i="27"/>
  <c r="AK76" i="27"/>
  <c r="AL76" i="27"/>
  <c r="AM76" i="27"/>
  <c r="AN76" i="27"/>
  <c r="AO76" i="27"/>
  <c r="AP76" i="27"/>
  <c r="AQ76" i="27"/>
  <c r="AR76" i="27"/>
  <c r="AS76" i="27"/>
  <c r="AT76" i="27"/>
  <c r="AU76" i="27"/>
  <c r="AV76" i="27"/>
  <c r="AW76" i="27"/>
  <c r="AX76" i="27"/>
  <c r="AY76" i="27"/>
  <c r="AZ76" i="27"/>
  <c r="BA76" i="27"/>
  <c r="BB76" i="27"/>
  <c r="BC76" i="27"/>
  <c r="BD76" i="27"/>
  <c r="BE76" i="27"/>
  <c r="BF76" i="27"/>
  <c r="BG76" i="27"/>
  <c r="BH76" i="27"/>
  <c r="BI76" i="27"/>
  <c r="BJ76" i="27"/>
  <c r="BK76" i="27"/>
  <c r="BL76" i="27"/>
  <c r="BM76" i="27"/>
  <c r="BN76" i="27"/>
  <c r="BO76" i="27"/>
  <c r="BP76" i="27"/>
  <c r="BQ76" i="27"/>
  <c r="BR76" i="27"/>
  <c r="BS76" i="27"/>
  <c r="BT76" i="27"/>
  <c r="BU76" i="27"/>
  <c r="BV76" i="27"/>
  <c r="BW76" i="27"/>
  <c r="BX76" i="27"/>
  <c r="BY76" i="27"/>
  <c r="BZ76" i="27"/>
  <c r="CA76" i="27"/>
  <c r="CB76" i="27"/>
  <c r="CC76" i="27"/>
  <c r="CD76" i="27"/>
  <c r="CE76" i="27"/>
  <c r="CF76" i="27"/>
  <c r="CG76" i="27"/>
  <c r="CH76" i="27"/>
  <c r="CI76" i="27"/>
  <c r="CJ76" i="27"/>
  <c r="CK76" i="27"/>
  <c r="CL76" i="27"/>
  <c r="CM76" i="27"/>
  <c r="CN76" i="27"/>
  <c r="CO76" i="27"/>
  <c r="CP76" i="27"/>
  <c r="CQ76" i="27"/>
  <c r="CR76" i="27"/>
  <c r="CS76" i="27"/>
  <c r="CT76" i="27"/>
  <c r="CU76" i="27"/>
  <c r="CV76" i="27"/>
  <c r="CW76" i="27"/>
  <c r="CX76" i="27"/>
  <c r="CY76" i="27"/>
  <c r="CZ76" i="27"/>
  <c r="DA76" i="27"/>
  <c r="DB76" i="27"/>
  <c r="DC76" i="27"/>
  <c r="DD76" i="27"/>
  <c r="DE76" i="27"/>
  <c r="DF76" i="27"/>
  <c r="DG76" i="27"/>
  <c r="DH76" i="27"/>
  <c r="DI76" i="27"/>
  <c r="DJ76" i="27"/>
  <c r="DK76" i="27"/>
  <c r="DL76" i="27"/>
  <c r="DM76" i="27"/>
  <c r="DN76" i="27"/>
  <c r="DO76" i="27"/>
  <c r="DP76" i="27"/>
  <c r="DQ76" i="27"/>
  <c r="DR76" i="27"/>
  <c r="DS76" i="27"/>
  <c r="DT76" i="27"/>
  <c r="DU76" i="27"/>
  <c r="DV76" i="27"/>
  <c r="DW76" i="27"/>
  <c r="DX76" i="27"/>
  <c r="DY76" i="27"/>
  <c r="DZ76" i="27"/>
  <c r="EA76" i="27"/>
  <c r="EB76" i="27"/>
  <c r="EC76" i="27"/>
  <c r="ED76" i="27"/>
  <c r="EE76" i="27"/>
  <c r="EF76" i="27"/>
  <c r="EG76" i="27"/>
  <c r="EH76" i="27"/>
  <c r="EI76" i="27"/>
  <c r="EJ76" i="27"/>
  <c r="EK76" i="27"/>
  <c r="EL76" i="27"/>
  <c r="EM76" i="27"/>
  <c r="EN76" i="27"/>
  <c r="EO76" i="27"/>
  <c r="EP76" i="27"/>
  <c r="EQ76" i="27"/>
  <c r="ER76" i="27"/>
  <c r="ES76" i="27"/>
  <c r="ET76" i="27"/>
  <c r="EU76" i="27"/>
  <c r="EV76" i="27"/>
  <c r="EW76" i="27"/>
  <c r="EX76" i="27"/>
  <c r="EY76" i="27"/>
  <c r="EZ76" i="27"/>
  <c r="FA76" i="27"/>
  <c r="FB76" i="27"/>
  <c r="FC76" i="27"/>
  <c r="FD76" i="27"/>
  <c r="FE76" i="27"/>
  <c r="FF76" i="27"/>
  <c r="FG76" i="27"/>
  <c r="FH76" i="27"/>
  <c r="FI76" i="27"/>
  <c r="FJ76" i="27"/>
  <c r="FK76" i="27"/>
  <c r="FL76" i="27"/>
  <c r="FM76" i="27"/>
  <c r="FN76" i="27"/>
  <c r="FO76" i="27"/>
  <c r="FP76" i="27"/>
  <c r="FQ76" i="27"/>
  <c r="FR76" i="27"/>
  <c r="FS76" i="27"/>
  <c r="FT76" i="27"/>
  <c r="FU76" i="27"/>
  <c r="FV76" i="27"/>
  <c r="FW76" i="27"/>
  <c r="FX76" i="27"/>
  <c r="FY76" i="27"/>
  <c r="FZ76" i="27"/>
  <c r="GA76" i="27"/>
  <c r="GB76" i="27"/>
  <c r="GC76" i="27"/>
  <c r="GD76" i="27"/>
  <c r="GE76" i="27"/>
  <c r="GF76" i="27"/>
  <c r="GG76" i="27"/>
  <c r="GH76" i="27"/>
  <c r="GI76" i="27"/>
  <c r="GJ76" i="27"/>
  <c r="GK76" i="27"/>
  <c r="GL76" i="27"/>
  <c r="GM76" i="27"/>
  <c r="GN76" i="27"/>
  <c r="GO76" i="27"/>
  <c r="GP76" i="27"/>
  <c r="GQ76" i="27"/>
  <c r="GR76" i="27"/>
  <c r="GS76" i="27"/>
  <c r="GT76" i="27"/>
  <c r="GU76" i="27"/>
  <c r="GV76" i="27"/>
  <c r="GW76" i="27"/>
  <c r="GX76" i="27"/>
  <c r="GY76" i="27"/>
  <c r="GZ76" i="27"/>
  <c r="HA76" i="27"/>
  <c r="HB76" i="27"/>
  <c r="HC76" i="27"/>
  <c r="HD76" i="27"/>
  <c r="HE76" i="27"/>
  <c r="HF76" i="27"/>
  <c r="HG76" i="27"/>
  <c r="HH76" i="27"/>
  <c r="HI76" i="27"/>
  <c r="HJ76" i="27"/>
  <c r="HK76" i="27"/>
  <c r="HL76" i="27"/>
  <c r="HM76" i="27"/>
  <c r="HN76" i="27"/>
  <c r="HO76" i="27"/>
  <c r="HP76" i="27"/>
  <c r="HQ76" i="27"/>
  <c r="HR76" i="27"/>
  <c r="HS76" i="27"/>
  <c r="HT76" i="27"/>
  <c r="HU76" i="27"/>
  <c r="HV76" i="27"/>
  <c r="HW76" i="27"/>
  <c r="HX76" i="27"/>
  <c r="HY76" i="27"/>
  <c r="HZ76" i="27"/>
  <c r="IA76" i="27"/>
  <c r="IB76" i="27"/>
  <c r="IC76" i="27"/>
  <c r="ID76" i="27"/>
  <c r="IE76" i="27"/>
  <c r="IF76" i="27"/>
  <c r="IG76" i="27"/>
  <c r="IH76" i="27"/>
  <c r="II76" i="27"/>
  <c r="IJ76" i="27"/>
  <c r="IK76" i="27"/>
  <c r="IL76" i="27"/>
  <c r="IM76" i="27"/>
  <c r="IN76" i="27"/>
  <c r="IO76" i="27"/>
  <c r="IP76" i="27"/>
  <c r="IQ76" i="27"/>
  <c r="IR76" i="27"/>
  <c r="IS76" i="27"/>
  <c r="IT76" i="27"/>
  <c r="IU76" i="27"/>
  <c r="IV76" i="27"/>
  <c r="A75" i="27"/>
  <c r="B75" i="27"/>
  <c r="C75" i="27"/>
  <c r="D75" i="27"/>
  <c r="E75" i="27"/>
  <c r="F75" i="27"/>
  <c r="G75" i="27"/>
  <c r="H75" i="27"/>
  <c r="I75" i="27"/>
  <c r="J75" i="27"/>
  <c r="K75" i="27"/>
  <c r="L75" i="27"/>
  <c r="M75" i="27"/>
  <c r="N75" i="27"/>
  <c r="O75" i="27"/>
  <c r="P75" i="27"/>
  <c r="Q75" i="27"/>
  <c r="R75" i="27"/>
  <c r="S75" i="27"/>
  <c r="T75" i="27"/>
  <c r="U75" i="27"/>
  <c r="V75" i="27"/>
  <c r="W75" i="27"/>
  <c r="X75" i="27"/>
  <c r="Y75" i="27"/>
  <c r="Z75" i="27"/>
  <c r="AA75" i="27"/>
  <c r="AB75" i="27"/>
  <c r="AC75" i="27"/>
  <c r="AD75" i="27"/>
  <c r="AE75" i="27"/>
  <c r="AF75" i="27"/>
  <c r="AG75" i="27"/>
  <c r="AH75" i="27"/>
  <c r="AI75" i="27"/>
  <c r="AJ75" i="27"/>
  <c r="AK75" i="27"/>
  <c r="AL75" i="27"/>
  <c r="AM75" i="27"/>
  <c r="AN75" i="27"/>
  <c r="AO75" i="27"/>
  <c r="AP75" i="27"/>
  <c r="AQ75" i="27"/>
  <c r="AR75" i="27"/>
  <c r="AS75" i="27"/>
  <c r="AT75" i="27"/>
  <c r="AU75" i="27"/>
  <c r="AV75" i="27"/>
  <c r="AW75" i="27"/>
  <c r="AX75" i="27"/>
  <c r="AY75" i="27"/>
  <c r="AZ75" i="27"/>
  <c r="BA75" i="27"/>
  <c r="BB75" i="27"/>
  <c r="BC75" i="27"/>
  <c r="BD75" i="27"/>
  <c r="BE75" i="27"/>
  <c r="BF75" i="27"/>
  <c r="BG75" i="27"/>
  <c r="BH75" i="27"/>
  <c r="BI75" i="27"/>
  <c r="BJ75" i="27"/>
  <c r="BK75" i="27"/>
  <c r="BL75" i="27"/>
  <c r="BM75" i="27"/>
  <c r="BN75" i="27"/>
  <c r="BO75" i="27"/>
  <c r="BP75" i="27"/>
  <c r="BQ75" i="27"/>
  <c r="BR75" i="27"/>
  <c r="BS75" i="27"/>
  <c r="BT75" i="27"/>
  <c r="BU75" i="27"/>
  <c r="BV75" i="27"/>
  <c r="BW75" i="27"/>
  <c r="BX75" i="27"/>
  <c r="BY75" i="27"/>
  <c r="BZ75" i="27"/>
  <c r="CA75" i="27"/>
  <c r="CB75" i="27"/>
  <c r="CC75" i="27"/>
  <c r="CD75" i="27"/>
  <c r="CE75" i="27"/>
  <c r="CF75" i="27"/>
  <c r="CG75" i="27"/>
  <c r="CH75" i="27"/>
  <c r="CI75" i="27"/>
  <c r="CJ75" i="27"/>
  <c r="CK75" i="27"/>
  <c r="CL75" i="27"/>
  <c r="CM75" i="27"/>
  <c r="CN75" i="27"/>
  <c r="CO75" i="27"/>
  <c r="CP75" i="27"/>
  <c r="CQ75" i="27"/>
  <c r="CR75" i="27"/>
  <c r="CS75" i="27"/>
  <c r="CT75" i="27"/>
  <c r="CU75" i="27"/>
  <c r="CV75" i="27"/>
  <c r="CW75" i="27"/>
  <c r="CX75" i="27"/>
  <c r="CY75" i="27"/>
  <c r="CZ75" i="27"/>
  <c r="DA75" i="27"/>
  <c r="DB75" i="27"/>
  <c r="DC75" i="27"/>
  <c r="DD75" i="27"/>
  <c r="DE75" i="27"/>
  <c r="DF75" i="27"/>
  <c r="DG75" i="27"/>
  <c r="DH75" i="27"/>
  <c r="DI75" i="27"/>
  <c r="DJ75" i="27"/>
  <c r="DK75" i="27"/>
  <c r="DL75" i="27"/>
  <c r="DM75" i="27"/>
  <c r="DN75" i="27"/>
  <c r="DO75" i="27"/>
  <c r="DP75" i="27"/>
  <c r="DQ75" i="27"/>
  <c r="DR75" i="27"/>
  <c r="DS75" i="27"/>
  <c r="DT75" i="27"/>
  <c r="DU75" i="27"/>
  <c r="DV75" i="27"/>
  <c r="DW75" i="27"/>
  <c r="DX75" i="27"/>
  <c r="DY75" i="27"/>
  <c r="DZ75" i="27"/>
  <c r="EA75" i="27"/>
  <c r="EB75" i="27"/>
  <c r="EC75" i="27"/>
  <c r="ED75" i="27"/>
  <c r="EE75" i="27"/>
  <c r="EF75" i="27"/>
  <c r="EG75" i="27"/>
  <c r="EH75" i="27"/>
  <c r="EI75" i="27"/>
  <c r="EJ75" i="27"/>
  <c r="EK75" i="27"/>
  <c r="EL75" i="27"/>
  <c r="EM75" i="27"/>
  <c r="EN75" i="27"/>
  <c r="EO75" i="27"/>
  <c r="EP75" i="27"/>
  <c r="EQ75" i="27"/>
  <c r="ER75" i="27"/>
  <c r="ES75" i="27"/>
  <c r="ET75" i="27"/>
  <c r="EU75" i="27"/>
  <c r="EV75" i="27"/>
  <c r="EW75" i="27"/>
  <c r="EX75" i="27"/>
  <c r="EY75" i="27"/>
  <c r="EZ75" i="27"/>
  <c r="FA75" i="27"/>
  <c r="FB75" i="27"/>
  <c r="FC75" i="27"/>
  <c r="FD75" i="27"/>
  <c r="FE75" i="27"/>
  <c r="FF75" i="27"/>
  <c r="FG75" i="27"/>
  <c r="FH75" i="27"/>
  <c r="FI75" i="27"/>
  <c r="FJ75" i="27"/>
  <c r="FK75" i="27"/>
  <c r="FL75" i="27"/>
  <c r="FM75" i="27"/>
  <c r="FN75" i="27"/>
  <c r="FO75" i="27"/>
  <c r="FP75" i="27"/>
  <c r="FQ75" i="27"/>
  <c r="FR75" i="27"/>
  <c r="FS75" i="27"/>
  <c r="FT75" i="27"/>
  <c r="FU75" i="27"/>
  <c r="FV75" i="27"/>
  <c r="FW75" i="27"/>
  <c r="FX75" i="27"/>
  <c r="FY75" i="27"/>
  <c r="FZ75" i="27"/>
  <c r="GA75" i="27"/>
  <c r="GB75" i="27"/>
  <c r="GC75" i="27"/>
  <c r="GD75" i="27"/>
  <c r="GE75" i="27"/>
  <c r="GF75" i="27"/>
  <c r="GG75" i="27"/>
  <c r="GH75" i="27"/>
  <c r="GI75" i="27"/>
  <c r="GJ75" i="27"/>
  <c r="GK75" i="27"/>
  <c r="GL75" i="27"/>
  <c r="GM75" i="27"/>
  <c r="GN75" i="27"/>
  <c r="GO75" i="27"/>
  <c r="GP75" i="27"/>
  <c r="GQ75" i="27"/>
  <c r="GR75" i="27"/>
  <c r="GS75" i="27"/>
  <c r="GT75" i="27"/>
  <c r="GU75" i="27"/>
  <c r="GV75" i="27"/>
  <c r="GW75" i="27"/>
  <c r="GX75" i="27"/>
  <c r="GY75" i="27"/>
  <c r="GZ75" i="27"/>
  <c r="HA75" i="27"/>
  <c r="HB75" i="27"/>
  <c r="HC75" i="27"/>
  <c r="HD75" i="27"/>
  <c r="HE75" i="27"/>
  <c r="HF75" i="27"/>
  <c r="HG75" i="27"/>
  <c r="HH75" i="27"/>
  <c r="HI75" i="27"/>
  <c r="HJ75" i="27"/>
  <c r="HK75" i="27"/>
  <c r="HL75" i="27"/>
  <c r="HM75" i="27"/>
  <c r="HN75" i="27"/>
  <c r="HO75" i="27"/>
  <c r="HP75" i="27"/>
  <c r="HQ75" i="27"/>
  <c r="HR75" i="27"/>
  <c r="HS75" i="27"/>
  <c r="HT75" i="27"/>
  <c r="HU75" i="27"/>
  <c r="HV75" i="27"/>
  <c r="HW75" i="27"/>
  <c r="HX75" i="27"/>
  <c r="HY75" i="27"/>
  <c r="HZ75" i="27"/>
  <c r="IA75" i="27"/>
  <c r="IB75" i="27"/>
  <c r="IC75" i="27"/>
  <c r="ID75" i="27"/>
  <c r="IE75" i="27"/>
  <c r="IF75" i="27"/>
  <c r="IG75" i="27"/>
  <c r="IH75" i="27"/>
  <c r="II75" i="27"/>
  <c r="IJ75" i="27"/>
  <c r="IK75" i="27"/>
  <c r="IL75" i="27"/>
  <c r="IM75" i="27"/>
  <c r="IN75" i="27"/>
  <c r="IO75" i="27"/>
  <c r="IP75" i="27"/>
  <c r="IQ75" i="27"/>
  <c r="IR75" i="27"/>
  <c r="IS75" i="27"/>
  <c r="IT75" i="27"/>
  <c r="IU75" i="27"/>
  <c r="IV75" i="27"/>
  <c r="A74" i="27"/>
  <c r="B74" i="27"/>
  <c r="C74" i="27"/>
  <c r="D74" i="27"/>
  <c r="E74" i="27"/>
  <c r="F74" i="27"/>
  <c r="G74" i="27"/>
  <c r="H74" i="27"/>
  <c r="I74" i="27"/>
  <c r="J74" i="27"/>
  <c r="K74" i="27"/>
  <c r="L74" i="27"/>
  <c r="M74" i="27"/>
  <c r="N74" i="27"/>
  <c r="O74" i="27"/>
  <c r="P74" i="27"/>
  <c r="Q74" i="27"/>
  <c r="R74" i="27"/>
  <c r="S74" i="27"/>
  <c r="T74" i="27"/>
  <c r="U74" i="27"/>
  <c r="V74" i="27"/>
  <c r="W74" i="27"/>
  <c r="X74" i="27"/>
  <c r="Y74" i="27"/>
  <c r="Z74" i="27"/>
  <c r="AA74" i="27"/>
  <c r="AB74" i="27"/>
  <c r="AC74" i="27"/>
  <c r="AD74" i="27"/>
  <c r="AE74" i="27"/>
  <c r="AF74" i="27"/>
  <c r="AG74" i="27"/>
  <c r="AH74" i="27"/>
  <c r="AI74" i="27"/>
  <c r="AJ74" i="27"/>
  <c r="AK74" i="27"/>
  <c r="AL74" i="27"/>
  <c r="AM74" i="27"/>
  <c r="AN74" i="27"/>
  <c r="AO74" i="27"/>
  <c r="AP74" i="27"/>
  <c r="AQ74" i="27"/>
  <c r="AR74" i="27"/>
  <c r="AS74" i="27"/>
  <c r="AT74" i="27"/>
  <c r="AU74" i="27"/>
  <c r="AV74" i="27"/>
  <c r="AW74" i="27"/>
  <c r="AX74" i="27"/>
  <c r="AY74" i="27"/>
  <c r="AZ74" i="27"/>
  <c r="BA74" i="27"/>
  <c r="BB74" i="27"/>
  <c r="BC74" i="27"/>
  <c r="BD74" i="27"/>
  <c r="BE74" i="27"/>
  <c r="BF74" i="27"/>
  <c r="BG74" i="27"/>
  <c r="BH74" i="27"/>
  <c r="BI74" i="27"/>
  <c r="BJ74" i="27"/>
  <c r="BK74" i="27"/>
  <c r="BL74" i="27"/>
  <c r="BM74" i="27"/>
  <c r="BN74" i="27"/>
  <c r="BO74" i="27"/>
  <c r="BP74" i="27"/>
  <c r="BQ74" i="27"/>
  <c r="BR74" i="27"/>
  <c r="BS74" i="27"/>
  <c r="BT74" i="27"/>
  <c r="BU74" i="27"/>
  <c r="BV74" i="27"/>
  <c r="BW74" i="27"/>
  <c r="BX74" i="27"/>
  <c r="BY74" i="27"/>
  <c r="BZ74" i="27"/>
  <c r="CA74" i="27"/>
  <c r="CB74" i="27"/>
  <c r="CC74" i="27"/>
  <c r="CD74" i="27"/>
  <c r="CE74" i="27"/>
  <c r="CF74" i="27"/>
  <c r="CG74" i="27"/>
  <c r="CH74" i="27"/>
  <c r="CI74" i="27"/>
  <c r="CJ74" i="27"/>
  <c r="CK74" i="27"/>
  <c r="CL74" i="27"/>
  <c r="CM74" i="27"/>
  <c r="CN74" i="27"/>
  <c r="CO74" i="27"/>
  <c r="CP74" i="27"/>
  <c r="CQ74" i="27"/>
  <c r="CR74" i="27"/>
  <c r="CS74" i="27"/>
  <c r="CT74" i="27"/>
  <c r="CU74" i="27"/>
  <c r="CV74" i="27"/>
  <c r="CW74" i="27"/>
  <c r="CX74" i="27"/>
  <c r="CY74" i="27"/>
  <c r="CZ74" i="27"/>
  <c r="DA74" i="27"/>
  <c r="DB74" i="27"/>
  <c r="DC74" i="27"/>
  <c r="DD74" i="27"/>
  <c r="DE74" i="27"/>
  <c r="DF74" i="27"/>
  <c r="DG74" i="27"/>
  <c r="DH74" i="27"/>
  <c r="DI74" i="27"/>
  <c r="DJ74" i="27"/>
  <c r="DK74" i="27"/>
  <c r="DL74" i="27"/>
  <c r="DM74" i="27"/>
  <c r="DN74" i="27"/>
  <c r="DO74" i="27"/>
  <c r="DP74" i="27"/>
  <c r="DQ74" i="27"/>
  <c r="DR74" i="27"/>
  <c r="DS74" i="27"/>
  <c r="DT74" i="27"/>
  <c r="DU74" i="27"/>
  <c r="DV74" i="27"/>
  <c r="DW74" i="27"/>
  <c r="DX74" i="27"/>
  <c r="DY74" i="27"/>
  <c r="DZ74" i="27"/>
  <c r="EA74" i="27"/>
  <c r="EB74" i="27"/>
  <c r="EC74" i="27"/>
  <c r="ED74" i="27"/>
  <c r="EE74" i="27"/>
  <c r="EF74" i="27"/>
  <c r="EG74" i="27"/>
  <c r="EH74" i="27"/>
  <c r="EI74" i="27"/>
  <c r="EJ74" i="27"/>
  <c r="EK74" i="27"/>
  <c r="EL74" i="27"/>
  <c r="EM74" i="27"/>
  <c r="EN74" i="27"/>
  <c r="EO74" i="27"/>
  <c r="EP74" i="27"/>
  <c r="EQ74" i="27"/>
  <c r="ER74" i="27"/>
  <c r="ES74" i="27"/>
  <c r="ET74" i="27"/>
  <c r="EU74" i="27"/>
  <c r="EV74" i="27"/>
  <c r="EW74" i="27"/>
  <c r="EX74" i="27"/>
  <c r="EY74" i="27"/>
  <c r="EZ74" i="27"/>
  <c r="FA74" i="27"/>
  <c r="FB74" i="27"/>
  <c r="FC74" i="27"/>
  <c r="FD74" i="27"/>
  <c r="FE74" i="27"/>
  <c r="FF74" i="27"/>
  <c r="FG74" i="27"/>
  <c r="FH74" i="27"/>
  <c r="FI74" i="27"/>
  <c r="FJ74" i="27"/>
  <c r="FK74" i="27"/>
  <c r="FL74" i="27"/>
  <c r="FM74" i="27"/>
  <c r="FN74" i="27"/>
  <c r="FO74" i="27"/>
  <c r="FP74" i="27"/>
  <c r="FQ74" i="27"/>
  <c r="FR74" i="27"/>
  <c r="FS74" i="27"/>
  <c r="FT74" i="27"/>
  <c r="FU74" i="27"/>
  <c r="FV74" i="27"/>
  <c r="FW74" i="27"/>
  <c r="FX74" i="27"/>
  <c r="FY74" i="27"/>
  <c r="FZ74" i="27"/>
  <c r="GA74" i="27"/>
  <c r="GB74" i="27"/>
  <c r="GC74" i="27"/>
  <c r="GD74" i="27"/>
  <c r="GE74" i="27"/>
  <c r="GF74" i="27"/>
  <c r="GG74" i="27"/>
  <c r="GH74" i="27"/>
  <c r="GI74" i="27"/>
  <c r="GJ74" i="27"/>
  <c r="GK74" i="27"/>
  <c r="GL74" i="27"/>
  <c r="GM74" i="27"/>
  <c r="GN74" i="27"/>
  <c r="GO74" i="27"/>
  <c r="GP74" i="27"/>
  <c r="GQ74" i="27"/>
  <c r="GR74" i="27"/>
  <c r="GS74" i="27"/>
  <c r="GT74" i="27"/>
  <c r="GU74" i="27"/>
  <c r="GV74" i="27"/>
  <c r="GW74" i="27"/>
  <c r="GX74" i="27"/>
  <c r="GY74" i="27"/>
  <c r="GZ74" i="27"/>
  <c r="HA74" i="27"/>
  <c r="HB74" i="27"/>
  <c r="HC74" i="27"/>
  <c r="HD74" i="27"/>
  <c r="HE74" i="27"/>
  <c r="HF74" i="27"/>
  <c r="HG74" i="27"/>
  <c r="HH74" i="27"/>
  <c r="HI74" i="27"/>
  <c r="HJ74" i="27"/>
  <c r="HK74" i="27"/>
  <c r="HL74" i="27"/>
  <c r="HM74" i="27"/>
  <c r="HN74" i="27"/>
  <c r="HO74" i="27"/>
  <c r="HP74" i="27"/>
  <c r="HQ74" i="27"/>
  <c r="HR74" i="27"/>
  <c r="HS74" i="27"/>
  <c r="HT74" i="27"/>
  <c r="HU74" i="27"/>
  <c r="HV74" i="27"/>
  <c r="HW74" i="27"/>
  <c r="HX74" i="27"/>
  <c r="HY74" i="27"/>
  <c r="HZ74" i="27"/>
  <c r="IA74" i="27"/>
  <c r="IB74" i="27"/>
  <c r="IC74" i="27"/>
  <c r="ID74" i="27"/>
  <c r="IE74" i="27"/>
  <c r="IF74" i="27"/>
  <c r="IG74" i="27"/>
  <c r="IH74" i="27"/>
  <c r="II74" i="27"/>
  <c r="IJ74" i="27"/>
  <c r="IK74" i="27"/>
  <c r="IL74" i="27"/>
  <c r="IM74" i="27"/>
  <c r="IN74" i="27"/>
  <c r="IO74" i="27"/>
  <c r="IP74" i="27"/>
  <c r="IQ74" i="27"/>
  <c r="IR74" i="27"/>
  <c r="IS74" i="27"/>
  <c r="IT74" i="27"/>
  <c r="IU74" i="27"/>
  <c r="IV74" i="27"/>
  <c r="A73" i="27"/>
  <c r="B73" i="27"/>
  <c r="C73" i="27"/>
  <c r="D73" i="27"/>
  <c r="E73" i="27"/>
  <c r="F73" i="27"/>
  <c r="G73" i="27"/>
  <c r="H73" i="27"/>
  <c r="I73" i="27"/>
  <c r="J73" i="27"/>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AN73" i="27"/>
  <c r="AO73" i="27"/>
  <c r="AP73" i="27"/>
  <c r="AQ73" i="27"/>
  <c r="AR73" i="27"/>
  <c r="AS73" i="27"/>
  <c r="AT73" i="27"/>
  <c r="AU73" i="27"/>
  <c r="AV73" i="27"/>
  <c r="AW73" i="27"/>
  <c r="AX73" i="27"/>
  <c r="AY73" i="27"/>
  <c r="AZ73" i="27"/>
  <c r="BA73" i="27"/>
  <c r="BB73" i="27"/>
  <c r="BC73" i="27"/>
  <c r="BD73" i="27"/>
  <c r="BE73" i="27"/>
  <c r="BF73" i="27"/>
  <c r="BG73" i="27"/>
  <c r="BH73" i="27"/>
  <c r="BI73" i="27"/>
  <c r="BJ73" i="27"/>
  <c r="BK73" i="27"/>
  <c r="BL73" i="27"/>
  <c r="BM73" i="27"/>
  <c r="BN73" i="27"/>
  <c r="BO73" i="27"/>
  <c r="BP73" i="27"/>
  <c r="BQ73" i="27"/>
  <c r="BR73" i="27"/>
  <c r="BS73" i="27"/>
  <c r="BT73" i="27"/>
  <c r="BU73" i="27"/>
  <c r="BV73" i="27"/>
  <c r="BW73" i="27"/>
  <c r="BX73" i="27"/>
  <c r="BY73" i="27"/>
  <c r="BZ73" i="27"/>
  <c r="CA73" i="27"/>
  <c r="CB73" i="27"/>
  <c r="CC73" i="27"/>
  <c r="CD73" i="27"/>
  <c r="CE73" i="27"/>
  <c r="CF73" i="27"/>
  <c r="CG73" i="27"/>
  <c r="CH73" i="27"/>
  <c r="CI73" i="27"/>
  <c r="CJ73" i="27"/>
  <c r="CK73" i="27"/>
  <c r="CL73" i="27"/>
  <c r="CM73" i="27"/>
  <c r="CN73" i="27"/>
  <c r="CO73" i="27"/>
  <c r="CP73" i="27"/>
  <c r="CQ73" i="27"/>
  <c r="CR73" i="27"/>
  <c r="CS73" i="27"/>
  <c r="CT73" i="27"/>
  <c r="CU73" i="27"/>
  <c r="CV73" i="27"/>
  <c r="CW73" i="27"/>
  <c r="CX73" i="27"/>
  <c r="CY73" i="27"/>
  <c r="CZ73" i="27"/>
  <c r="DA73" i="27"/>
  <c r="DB73" i="27"/>
  <c r="DC73" i="27"/>
  <c r="DD73" i="27"/>
  <c r="DE73" i="27"/>
  <c r="DF73" i="27"/>
  <c r="DG73" i="27"/>
  <c r="DH73" i="27"/>
  <c r="DI73" i="27"/>
  <c r="DJ73" i="27"/>
  <c r="DK73" i="27"/>
  <c r="DL73" i="27"/>
  <c r="DM73" i="27"/>
  <c r="DN73" i="27"/>
  <c r="DO73" i="27"/>
  <c r="DP73" i="27"/>
  <c r="DQ73" i="27"/>
  <c r="DR73" i="27"/>
  <c r="DS73" i="27"/>
  <c r="DT73" i="27"/>
  <c r="DU73" i="27"/>
  <c r="DV73" i="27"/>
  <c r="DW73" i="27"/>
  <c r="DX73" i="27"/>
  <c r="DY73" i="27"/>
  <c r="DZ73" i="27"/>
  <c r="EA73" i="27"/>
  <c r="EB73" i="27"/>
  <c r="EC73" i="27"/>
  <c r="ED73" i="27"/>
  <c r="EE73" i="27"/>
  <c r="EF73" i="27"/>
  <c r="EG73" i="27"/>
  <c r="EH73" i="27"/>
  <c r="EI73" i="27"/>
  <c r="EJ73" i="27"/>
  <c r="EK73" i="27"/>
  <c r="EL73" i="27"/>
  <c r="EM73" i="27"/>
  <c r="EN73" i="27"/>
  <c r="EO73" i="27"/>
  <c r="EP73" i="27"/>
  <c r="EQ73" i="27"/>
  <c r="ER73" i="27"/>
  <c r="ES73" i="27"/>
  <c r="ET73" i="27"/>
  <c r="EU73" i="27"/>
  <c r="EV73" i="27"/>
  <c r="EW73" i="27"/>
  <c r="EX73" i="27"/>
  <c r="EY73" i="27"/>
  <c r="EZ73" i="27"/>
  <c r="FA73" i="27"/>
  <c r="FB73" i="27"/>
  <c r="FC73" i="27"/>
  <c r="FD73" i="27"/>
  <c r="FE73" i="27"/>
  <c r="FF73" i="27"/>
  <c r="FG73" i="27"/>
  <c r="FH73" i="27"/>
  <c r="FI73" i="27"/>
  <c r="FJ73" i="27"/>
  <c r="FK73" i="27"/>
  <c r="FL73" i="27"/>
  <c r="FM73" i="27"/>
  <c r="FN73" i="27"/>
  <c r="FO73" i="27"/>
  <c r="FP73" i="27"/>
  <c r="FQ73" i="27"/>
  <c r="FR73" i="27"/>
  <c r="FS73" i="27"/>
  <c r="FT73" i="27"/>
  <c r="FU73" i="27"/>
  <c r="FV73" i="27"/>
  <c r="FW73" i="27"/>
  <c r="FX73" i="27"/>
  <c r="FY73" i="27"/>
  <c r="FZ73" i="27"/>
  <c r="GA73" i="27"/>
  <c r="GB73" i="27"/>
  <c r="GC73" i="27"/>
  <c r="GD73" i="27"/>
  <c r="GE73" i="27"/>
  <c r="GF73" i="27"/>
  <c r="GG73" i="27"/>
  <c r="GH73" i="27"/>
  <c r="GI73" i="27"/>
  <c r="GJ73" i="27"/>
  <c r="GK73" i="27"/>
  <c r="GL73" i="27"/>
  <c r="GM73" i="27"/>
  <c r="GN73" i="27"/>
  <c r="GO73" i="27"/>
  <c r="GP73" i="27"/>
  <c r="GQ73" i="27"/>
  <c r="GR73" i="27"/>
  <c r="GS73" i="27"/>
  <c r="GT73" i="27"/>
  <c r="GU73" i="27"/>
  <c r="GV73" i="27"/>
  <c r="GW73" i="27"/>
  <c r="GX73" i="27"/>
  <c r="GY73" i="27"/>
  <c r="GZ73" i="27"/>
  <c r="HA73" i="27"/>
  <c r="HB73" i="27"/>
  <c r="HC73" i="27"/>
  <c r="HD73" i="27"/>
  <c r="HE73" i="27"/>
  <c r="HF73" i="27"/>
  <c r="HG73" i="27"/>
  <c r="HH73" i="27"/>
  <c r="HI73" i="27"/>
  <c r="HJ73" i="27"/>
  <c r="HK73" i="27"/>
  <c r="HL73" i="27"/>
  <c r="HM73" i="27"/>
  <c r="HN73" i="27"/>
  <c r="HO73" i="27"/>
  <c r="HP73" i="27"/>
  <c r="HQ73" i="27"/>
  <c r="HR73" i="27"/>
  <c r="HS73" i="27"/>
  <c r="HT73" i="27"/>
  <c r="HU73" i="27"/>
  <c r="HV73" i="27"/>
  <c r="HW73" i="27"/>
  <c r="HX73" i="27"/>
  <c r="HY73" i="27"/>
  <c r="HZ73" i="27"/>
  <c r="IA73" i="27"/>
  <c r="IB73" i="27"/>
  <c r="IC73" i="27"/>
  <c r="ID73" i="27"/>
  <c r="IE73" i="27"/>
  <c r="IF73" i="27"/>
  <c r="IG73" i="27"/>
  <c r="IH73" i="27"/>
  <c r="II73" i="27"/>
  <c r="IJ73" i="27"/>
  <c r="IK73" i="27"/>
  <c r="IL73" i="27"/>
  <c r="IM73" i="27"/>
  <c r="IN73" i="27"/>
  <c r="IO73" i="27"/>
  <c r="IP73" i="27"/>
  <c r="IQ73" i="27"/>
  <c r="IR73" i="27"/>
  <c r="IS73" i="27"/>
  <c r="IT73" i="27"/>
  <c r="IU73" i="27"/>
  <c r="IV73" i="27"/>
  <c r="A72" i="27"/>
  <c r="B72" i="27"/>
  <c r="C72" i="27"/>
  <c r="D72"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AP72" i="27"/>
  <c r="AQ72" i="27"/>
  <c r="AR72" i="27"/>
  <c r="AS72" i="27"/>
  <c r="AT72" i="27"/>
  <c r="AU72" i="27"/>
  <c r="AV72" i="27"/>
  <c r="AW72" i="27"/>
  <c r="AX72" i="27"/>
  <c r="AY72" i="27"/>
  <c r="AZ72" i="27"/>
  <c r="BA72" i="27"/>
  <c r="BB72" i="27"/>
  <c r="BC72" i="27"/>
  <c r="BD72" i="27"/>
  <c r="BE72" i="27"/>
  <c r="BF72" i="27"/>
  <c r="BG72" i="27"/>
  <c r="BH72" i="27"/>
  <c r="BI72" i="27"/>
  <c r="BJ72" i="27"/>
  <c r="BK72" i="27"/>
  <c r="BL72" i="27"/>
  <c r="BM72" i="27"/>
  <c r="BN72" i="27"/>
  <c r="BO72" i="27"/>
  <c r="BP72" i="27"/>
  <c r="BQ72" i="27"/>
  <c r="BR72" i="27"/>
  <c r="BS72" i="27"/>
  <c r="BT72" i="27"/>
  <c r="BU72" i="27"/>
  <c r="BV72" i="27"/>
  <c r="BW72" i="27"/>
  <c r="BX72" i="27"/>
  <c r="BY72" i="27"/>
  <c r="BZ72" i="27"/>
  <c r="CA72" i="27"/>
  <c r="CB72" i="27"/>
  <c r="CC72" i="27"/>
  <c r="CD72" i="27"/>
  <c r="CE72" i="27"/>
  <c r="CF72" i="27"/>
  <c r="CG72" i="27"/>
  <c r="CH72" i="27"/>
  <c r="CI72" i="27"/>
  <c r="CJ72" i="27"/>
  <c r="CK72" i="27"/>
  <c r="CL72" i="27"/>
  <c r="CM72" i="27"/>
  <c r="CN72" i="27"/>
  <c r="CO72" i="27"/>
  <c r="CP72" i="27"/>
  <c r="CQ72" i="27"/>
  <c r="CR72" i="27"/>
  <c r="CS72" i="27"/>
  <c r="CT72" i="27"/>
  <c r="CU72" i="27"/>
  <c r="CV72" i="27"/>
  <c r="CW72" i="27"/>
  <c r="CX72" i="27"/>
  <c r="CY72" i="27"/>
  <c r="CZ72" i="27"/>
  <c r="DA72" i="27"/>
  <c r="DB72" i="27"/>
  <c r="DC72" i="27"/>
  <c r="DD72" i="27"/>
  <c r="DE72" i="27"/>
  <c r="DF72" i="27"/>
  <c r="DG72" i="27"/>
  <c r="DH72" i="27"/>
  <c r="DI72" i="27"/>
  <c r="DJ72" i="27"/>
  <c r="DK72" i="27"/>
  <c r="DL72" i="27"/>
  <c r="DM72" i="27"/>
  <c r="DN72" i="27"/>
  <c r="DO72" i="27"/>
  <c r="DP72" i="27"/>
  <c r="DQ72" i="27"/>
  <c r="DR72" i="27"/>
  <c r="DS72" i="27"/>
  <c r="DT72" i="27"/>
  <c r="DU72" i="27"/>
  <c r="DV72" i="27"/>
  <c r="DW72" i="27"/>
  <c r="DX72" i="27"/>
  <c r="DY72" i="27"/>
  <c r="DZ72" i="27"/>
  <c r="EA72" i="27"/>
  <c r="EB72" i="27"/>
  <c r="EC72" i="27"/>
  <c r="ED72" i="27"/>
  <c r="EE72" i="27"/>
  <c r="EF72" i="27"/>
  <c r="EG72" i="27"/>
  <c r="EH72" i="27"/>
  <c r="EI72" i="27"/>
  <c r="EJ72" i="27"/>
  <c r="EK72" i="27"/>
  <c r="EL72" i="27"/>
  <c r="EM72" i="27"/>
  <c r="EN72" i="27"/>
  <c r="EO72" i="27"/>
  <c r="EP72" i="27"/>
  <c r="EQ72" i="27"/>
  <c r="ER72" i="27"/>
  <c r="ES72" i="27"/>
  <c r="ET72" i="27"/>
  <c r="EU72" i="27"/>
  <c r="EV72" i="27"/>
  <c r="EW72" i="27"/>
  <c r="EX72" i="27"/>
  <c r="EY72" i="27"/>
  <c r="EZ72" i="27"/>
  <c r="FA72" i="27"/>
  <c r="FB72" i="27"/>
  <c r="FC72" i="27"/>
  <c r="FD72" i="27"/>
  <c r="FE72" i="27"/>
  <c r="FF72" i="27"/>
  <c r="FG72" i="27"/>
  <c r="FH72" i="27"/>
  <c r="FI72" i="27"/>
  <c r="FJ72" i="27"/>
  <c r="FK72" i="27"/>
  <c r="FL72" i="27"/>
  <c r="FM72" i="27"/>
  <c r="FN72" i="27"/>
  <c r="FO72" i="27"/>
  <c r="FP72" i="27"/>
  <c r="FQ72" i="27"/>
  <c r="FR72" i="27"/>
  <c r="FS72" i="27"/>
  <c r="FT72" i="27"/>
  <c r="FU72" i="27"/>
  <c r="FV72" i="27"/>
  <c r="FW72" i="27"/>
  <c r="FX72" i="27"/>
  <c r="FY72" i="27"/>
  <c r="FZ72" i="27"/>
  <c r="GA72" i="27"/>
  <c r="GB72" i="27"/>
  <c r="GC72" i="27"/>
  <c r="GD72" i="27"/>
  <c r="GE72" i="27"/>
  <c r="GF72" i="27"/>
  <c r="GG72" i="27"/>
  <c r="GH72" i="27"/>
  <c r="GI72" i="27"/>
  <c r="GJ72" i="27"/>
  <c r="GK72" i="27"/>
  <c r="GL72" i="27"/>
  <c r="GM72" i="27"/>
  <c r="GN72" i="27"/>
  <c r="GO72" i="27"/>
  <c r="GP72" i="27"/>
  <c r="GQ72" i="27"/>
  <c r="GR72" i="27"/>
  <c r="GS72" i="27"/>
  <c r="GT72" i="27"/>
  <c r="GU72" i="27"/>
  <c r="GV72" i="27"/>
  <c r="GW72" i="27"/>
  <c r="GX72" i="27"/>
  <c r="GY72" i="27"/>
  <c r="GZ72" i="27"/>
  <c r="HA72" i="27"/>
  <c r="HB72" i="27"/>
  <c r="HC72" i="27"/>
  <c r="HD72" i="27"/>
  <c r="HE72" i="27"/>
  <c r="HF72" i="27"/>
  <c r="HG72" i="27"/>
  <c r="HH72" i="27"/>
  <c r="HI72" i="27"/>
  <c r="HJ72" i="27"/>
  <c r="HK72" i="27"/>
  <c r="HL72" i="27"/>
  <c r="HM72" i="27"/>
  <c r="HN72" i="27"/>
  <c r="HO72" i="27"/>
  <c r="HP72" i="27"/>
  <c r="HQ72" i="27"/>
  <c r="HR72" i="27"/>
  <c r="HS72" i="27"/>
  <c r="HT72" i="27"/>
  <c r="HU72" i="27"/>
  <c r="HV72" i="27"/>
  <c r="HW72" i="27"/>
  <c r="HX72" i="27"/>
  <c r="HY72" i="27"/>
  <c r="HZ72" i="27"/>
  <c r="IA72" i="27"/>
  <c r="IB72" i="27"/>
  <c r="IC72" i="27"/>
  <c r="ID72" i="27"/>
  <c r="IE72" i="27"/>
  <c r="IF72" i="27"/>
  <c r="IG72" i="27"/>
  <c r="IH72" i="27"/>
  <c r="II72" i="27"/>
  <c r="IJ72" i="27"/>
  <c r="IK72" i="27"/>
  <c r="IL72" i="27"/>
  <c r="IM72" i="27"/>
  <c r="IN72" i="27"/>
  <c r="IO72" i="27"/>
  <c r="IP72" i="27"/>
  <c r="IQ72" i="27"/>
  <c r="IR72" i="27"/>
  <c r="IS72" i="27"/>
  <c r="IT72" i="27"/>
  <c r="IU72" i="27"/>
  <c r="IV72" i="27"/>
  <c r="A71" i="27"/>
  <c r="B71" i="27"/>
  <c r="C71" i="27"/>
  <c r="D71" i="27"/>
  <c r="E71" i="27"/>
  <c r="F71" i="27"/>
  <c r="G71" i="27"/>
  <c r="H71" i="27"/>
  <c r="I71" i="27"/>
  <c r="J71" i="27"/>
  <c r="K71" i="27"/>
  <c r="L71" i="27"/>
  <c r="M71" i="27"/>
  <c r="N71" i="27"/>
  <c r="O71" i="27"/>
  <c r="P71" i="27"/>
  <c r="Q71" i="27"/>
  <c r="R71" i="27"/>
  <c r="S71" i="27"/>
  <c r="T71" i="27"/>
  <c r="U71" i="27"/>
  <c r="V71" i="27"/>
  <c r="W71" i="27"/>
  <c r="X71" i="27"/>
  <c r="Y71" i="27"/>
  <c r="Z71" i="27"/>
  <c r="AA71" i="27"/>
  <c r="AB71" i="27"/>
  <c r="AC71" i="27"/>
  <c r="AD71" i="27"/>
  <c r="AE71" i="27"/>
  <c r="AF71" i="27"/>
  <c r="AG71" i="27"/>
  <c r="AH71" i="27"/>
  <c r="AI71" i="27"/>
  <c r="AJ71" i="27"/>
  <c r="AK71" i="27"/>
  <c r="AL71" i="27"/>
  <c r="AM71" i="27"/>
  <c r="AN71" i="27"/>
  <c r="AO71" i="27"/>
  <c r="AP71" i="27"/>
  <c r="AQ71" i="27"/>
  <c r="AR71" i="27"/>
  <c r="AS71" i="27"/>
  <c r="AT71" i="27"/>
  <c r="AU71" i="27"/>
  <c r="AV71" i="27"/>
  <c r="AW71" i="27"/>
  <c r="AX71" i="27"/>
  <c r="AY71" i="27"/>
  <c r="AZ71" i="27"/>
  <c r="BA71" i="27"/>
  <c r="BB71" i="27"/>
  <c r="BC71" i="27"/>
  <c r="BD71" i="27"/>
  <c r="BE71" i="27"/>
  <c r="BF71" i="27"/>
  <c r="BG71" i="27"/>
  <c r="BH71" i="27"/>
  <c r="BI71" i="27"/>
  <c r="BJ71" i="27"/>
  <c r="BK71" i="27"/>
  <c r="BL71" i="27"/>
  <c r="BM71" i="27"/>
  <c r="BN71" i="27"/>
  <c r="BO71" i="27"/>
  <c r="BP71" i="27"/>
  <c r="BQ71" i="27"/>
  <c r="BR71" i="27"/>
  <c r="BS71" i="27"/>
  <c r="BT71" i="27"/>
  <c r="BU71" i="27"/>
  <c r="BV71" i="27"/>
  <c r="BW71" i="27"/>
  <c r="BX71" i="27"/>
  <c r="BY71" i="27"/>
  <c r="BZ71" i="27"/>
  <c r="CA71" i="27"/>
  <c r="CB71" i="27"/>
  <c r="CC71" i="27"/>
  <c r="CD71" i="27"/>
  <c r="CE71" i="27"/>
  <c r="CF71" i="27"/>
  <c r="CG71" i="27"/>
  <c r="CH71" i="27"/>
  <c r="CI71" i="27"/>
  <c r="CJ71" i="27"/>
  <c r="CK71" i="27"/>
  <c r="CL71" i="27"/>
  <c r="CM71" i="27"/>
  <c r="CN71" i="27"/>
  <c r="CO71" i="27"/>
  <c r="CP71" i="27"/>
  <c r="CQ71" i="27"/>
  <c r="CR71" i="27"/>
  <c r="CS71" i="27"/>
  <c r="CT71" i="27"/>
  <c r="CU71" i="27"/>
  <c r="CV71" i="27"/>
  <c r="CW71" i="27"/>
  <c r="CX71" i="27"/>
  <c r="CY71" i="27"/>
  <c r="CZ71" i="27"/>
  <c r="DA71" i="27"/>
  <c r="DB71" i="27"/>
  <c r="DC71" i="27"/>
  <c r="DD71" i="27"/>
  <c r="DE71" i="27"/>
  <c r="DF71" i="27"/>
  <c r="DG71" i="27"/>
  <c r="DH71" i="27"/>
  <c r="DI71" i="27"/>
  <c r="DJ71" i="27"/>
  <c r="DK71" i="27"/>
  <c r="DL71" i="27"/>
  <c r="DM71" i="27"/>
  <c r="DN71" i="27"/>
  <c r="DO71" i="27"/>
  <c r="DP71" i="27"/>
  <c r="DQ71" i="27"/>
  <c r="DR71" i="27"/>
  <c r="DS71" i="27"/>
  <c r="DT71" i="27"/>
  <c r="DU71" i="27"/>
  <c r="DV71" i="27"/>
  <c r="DW71" i="27"/>
  <c r="DX71" i="27"/>
  <c r="DY71" i="27"/>
  <c r="DZ71" i="27"/>
  <c r="EA71" i="27"/>
  <c r="EB71" i="27"/>
  <c r="EC71" i="27"/>
  <c r="ED71" i="27"/>
  <c r="EE71" i="27"/>
  <c r="EF71" i="27"/>
  <c r="EG71" i="27"/>
  <c r="EH71" i="27"/>
  <c r="EI71" i="27"/>
  <c r="EJ71" i="27"/>
  <c r="EK71" i="27"/>
  <c r="EL71" i="27"/>
  <c r="EM71" i="27"/>
  <c r="EN71" i="27"/>
  <c r="EO71" i="27"/>
  <c r="EP71" i="27"/>
  <c r="EQ71" i="27"/>
  <c r="ER71" i="27"/>
  <c r="ES71" i="27"/>
  <c r="ET71" i="27"/>
  <c r="EU71" i="27"/>
  <c r="EV71" i="27"/>
  <c r="EW71" i="27"/>
  <c r="EX71" i="27"/>
  <c r="EY71" i="27"/>
  <c r="EZ71" i="27"/>
  <c r="FA71" i="27"/>
  <c r="FB71" i="27"/>
  <c r="FC71" i="27"/>
  <c r="FD71" i="27"/>
  <c r="FE71" i="27"/>
  <c r="FF71" i="27"/>
  <c r="FG71" i="27"/>
  <c r="FH71" i="27"/>
  <c r="FI71" i="27"/>
  <c r="FJ71" i="27"/>
  <c r="FK71" i="27"/>
  <c r="FL71" i="27"/>
  <c r="FM71" i="27"/>
  <c r="FN71" i="27"/>
  <c r="FO71" i="27"/>
  <c r="FP71" i="27"/>
  <c r="FQ71" i="27"/>
  <c r="FR71" i="27"/>
  <c r="FS71" i="27"/>
  <c r="FT71" i="27"/>
  <c r="FU71" i="27"/>
  <c r="FV71" i="27"/>
  <c r="FW71" i="27"/>
  <c r="FX71" i="27"/>
  <c r="FY71" i="27"/>
  <c r="FZ71" i="27"/>
  <c r="GA71" i="27"/>
  <c r="GB71" i="27"/>
  <c r="GC71" i="27"/>
  <c r="GD71" i="27"/>
  <c r="GE71" i="27"/>
  <c r="GF71" i="27"/>
  <c r="GG71" i="27"/>
  <c r="GH71" i="27"/>
  <c r="GI71" i="27"/>
  <c r="GJ71" i="27"/>
  <c r="GK71" i="27"/>
  <c r="GL71" i="27"/>
  <c r="GM71" i="27"/>
  <c r="GN71" i="27"/>
  <c r="GO71" i="27"/>
  <c r="GP71" i="27"/>
  <c r="GQ71" i="27"/>
  <c r="GR71" i="27"/>
  <c r="GS71" i="27"/>
  <c r="GT71" i="27"/>
  <c r="GU71" i="27"/>
  <c r="GV71" i="27"/>
  <c r="GW71" i="27"/>
  <c r="GX71" i="27"/>
  <c r="GY71" i="27"/>
  <c r="GZ71" i="27"/>
  <c r="HA71" i="27"/>
  <c r="HB71" i="27"/>
  <c r="HC71" i="27"/>
  <c r="HD71" i="27"/>
  <c r="HE71" i="27"/>
  <c r="HF71" i="27"/>
  <c r="HG71" i="27"/>
  <c r="HH71" i="27"/>
  <c r="HI71" i="27"/>
  <c r="HJ71" i="27"/>
  <c r="HK71" i="27"/>
  <c r="HL71" i="27"/>
  <c r="HM71" i="27"/>
  <c r="HN71" i="27"/>
  <c r="HO71" i="27"/>
  <c r="HP71" i="27"/>
  <c r="HQ71" i="27"/>
  <c r="HR71" i="27"/>
  <c r="HS71" i="27"/>
  <c r="HT71" i="27"/>
  <c r="HU71" i="27"/>
  <c r="HV71" i="27"/>
  <c r="HW71" i="27"/>
  <c r="HX71" i="27"/>
  <c r="HY71" i="27"/>
  <c r="HZ71" i="27"/>
  <c r="IA71" i="27"/>
  <c r="IB71" i="27"/>
  <c r="IC71" i="27"/>
  <c r="ID71" i="27"/>
  <c r="IE71" i="27"/>
  <c r="IF71" i="27"/>
  <c r="IG71" i="27"/>
  <c r="IH71" i="27"/>
  <c r="II71" i="27"/>
  <c r="IJ71" i="27"/>
  <c r="IK71" i="27"/>
  <c r="IL71" i="27"/>
  <c r="IM71" i="27"/>
  <c r="IN71" i="27"/>
  <c r="IO71" i="27"/>
  <c r="IP71" i="27"/>
  <c r="IQ71" i="27"/>
  <c r="IR71" i="27"/>
  <c r="IS71" i="27"/>
  <c r="IT71" i="27"/>
  <c r="IU71" i="27"/>
  <c r="IV71" i="27"/>
  <c r="A70" i="27"/>
  <c r="B70" i="27"/>
  <c r="C70" i="27"/>
  <c r="D70" i="27"/>
  <c r="E70" i="27"/>
  <c r="F70" i="27"/>
  <c r="G70" i="27"/>
  <c r="H70" i="27"/>
  <c r="I70" i="27"/>
  <c r="J70" i="27"/>
  <c r="K70" i="27"/>
  <c r="L70" i="27"/>
  <c r="M70" i="27"/>
  <c r="N70" i="27"/>
  <c r="O70" i="27"/>
  <c r="P70" i="27"/>
  <c r="Q70" i="27"/>
  <c r="R70" i="27"/>
  <c r="S70" i="27"/>
  <c r="T70" i="27"/>
  <c r="U70" i="27"/>
  <c r="V70" i="27"/>
  <c r="W70" i="27"/>
  <c r="X70" i="27"/>
  <c r="Y70" i="27"/>
  <c r="Z70" i="27"/>
  <c r="AA70" i="27"/>
  <c r="AB70" i="27"/>
  <c r="AC70" i="27"/>
  <c r="AD70" i="27"/>
  <c r="AE70" i="27"/>
  <c r="AF70" i="27"/>
  <c r="AG70" i="27"/>
  <c r="AH70" i="27"/>
  <c r="AI70" i="27"/>
  <c r="AJ70" i="27"/>
  <c r="AK70" i="27"/>
  <c r="AL70" i="27"/>
  <c r="AM70" i="27"/>
  <c r="AN70" i="27"/>
  <c r="AO70" i="27"/>
  <c r="AP70" i="27"/>
  <c r="AQ70" i="27"/>
  <c r="AR70" i="27"/>
  <c r="AS70" i="27"/>
  <c r="AT70" i="27"/>
  <c r="AU70" i="27"/>
  <c r="AV70" i="27"/>
  <c r="AW70" i="27"/>
  <c r="AX70" i="27"/>
  <c r="AY70" i="27"/>
  <c r="AZ70" i="27"/>
  <c r="BA70" i="27"/>
  <c r="BB70" i="27"/>
  <c r="BC70" i="27"/>
  <c r="BD70" i="27"/>
  <c r="BE70" i="27"/>
  <c r="BF70" i="27"/>
  <c r="BG70" i="27"/>
  <c r="BH70" i="27"/>
  <c r="BI70" i="27"/>
  <c r="BJ70" i="27"/>
  <c r="BK70" i="27"/>
  <c r="BL70" i="27"/>
  <c r="BM70" i="27"/>
  <c r="BN70" i="27"/>
  <c r="BO70" i="27"/>
  <c r="BP70" i="27"/>
  <c r="BQ70" i="27"/>
  <c r="BR70" i="27"/>
  <c r="BS70" i="27"/>
  <c r="BT70" i="27"/>
  <c r="BU70" i="27"/>
  <c r="BV70" i="27"/>
  <c r="BW70" i="27"/>
  <c r="BX70" i="27"/>
  <c r="BY70" i="27"/>
  <c r="BZ70" i="27"/>
  <c r="CA70" i="27"/>
  <c r="CB70" i="27"/>
  <c r="CC70" i="27"/>
  <c r="CD70" i="27"/>
  <c r="CE70" i="27"/>
  <c r="CF70" i="27"/>
  <c r="CG70" i="27"/>
  <c r="CH70" i="27"/>
  <c r="CI70" i="27"/>
  <c r="CJ70" i="27"/>
  <c r="CK70" i="27"/>
  <c r="CL70" i="27"/>
  <c r="CM70" i="27"/>
  <c r="CN70" i="27"/>
  <c r="CO70" i="27"/>
  <c r="CP70" i="27"/>
  <c r="CQ70" i="27"/>
  <c r="CR70" i="27"/>
  <c r="CS70" i="27"/>
  <c r="CT70" i="27"/>
  <c r="CU70" i="27"/>
  <c r="CV70" i="27"/>
  <c r="CW70" i="27"/>
  <c r="CX70" i="27"/>
  <c r="CY70" i="27"/>
  <c r="CZ70" i="27"/>
  <c r="DA70" i="27"/>
  <c r="DB70" i="27"/>
  <c r="DC70" i="27"/>
  <c r="DD70" i="27"/>
  <c r="DE70" i="27"/>
  <c r="DF70" i="27"/>
  <c r="DG70" i="27"/>
  <c r="DH70" i="27"/>
  <c r="DI70" i="27"/>
  <c r="DJ70" i="27"/>
  <c r="DK70" i="27"/>
  <c r="DL70" i="27"/>
  <c r="DM70" i="27"/>
  <c r="DN70" i="27"/>
  <c r="DO70" i="27"/>
  <c r="DP70" i="27"/>
  <c r="DQ70" i="27"/>
  <c r="DR70" i="27"/>
  <c r="DS70" i="27"/>
  <c r="DT70" i="27"/>
  <c r="DU70" i="27"/>
  <c r="DV70" i="27"/>
  <c r="DW70" i="27"/>
  <c r="DX70" i="27"/>
  <c r="DY70" i="27"/>
  <c r="DZ70" i="27"/>
  <c r="EA70" i="27"/>
  <c r="EB70" i="27"/>
  <c r="EC70" i="27"/>
  <c r="ED70" i="27"/>
  <c r="EE70" i="27"/>
  <c r="EF70" i="27"/>
  <c r="EG70" i="27"/>
  <c r="EH70" i="27"/>
  <c r="EI70" i="27"/>
  <c r="EJ70" i="27"/>
  <c r="EK70" i="27"/>
  <c r="EL70" i="27"/>
  <c r="EM70" i="27"/>
  <c r="EN70" i="27"/>
  <c r="EO70" i="27"/>
  <c r="EP70" i="27"/>
  <c r="EQ70" i="27"/>
  <c r="ER70" i="27"/>
  <c r="ES70" i="27"/>
  <c r="ET70" i="27"/>
  <c r="EU70" i="27"/>
  <c r="EV70" i="27"/>
  <c r="EW70" i="27"/>
  <c r="EX70" i="27"/>
  <c r="EY70" i="27"/>
  <c r="EZ70" i="27"/>
  <c r="FA70" i="27"/>
  <c r="FB70" i="27"/>
  <c r="FC70" i="27"/>
  <c r="FD70" i="27"/>
  <c r="FE70" i="27"/>
  <c r="FF70" i="27"/>
  <c r="FG70" i="27"/>
  <c r="FH70" i="27"/>
  <c r="FI70" i="27"/>
  <c r="FJ70" i="27"/>
  <c r="FK70" i="27"/>
  <c r="FL70" i="27"/>
  <c r="FM70" i="27"/>
  <c r="FN70" i="27"/>
  <c r="FO70" i="27"/>
  <c r="FP70" i="27"/>
  <c r="FQ70" i="27"/>
  <c r="FR70" i="27"/>
  <c r="FS70" i="27"/>
  <c r="FT70" i="27"/>
  <c r="FU70" i="27"/>
  <c r="FV70" i="27"/>
  <c r="FW70" i="27"/>
  <c r="FX70" i="27"/>
  <c r="FY70" i="27"/>
  <c r="FZ70" i="27"/>
  <c r="GA70" i="27"/>
  <c r="GB70" i="27"/>
  <c r="GC70" i="27"/>
  <c r="GD70" i="27"/>
  <c r="GE70" i="27"/>
  <c r="GF70" i="27"/>
  <c r="GG70" i="27"/>
  <c r="GH70" i="27"/>
  <c r="GI70" i="27"/>
  <c r="GJ70" i="27"/>
  <c r="GK70" i="27"/>
  <c r="GL70" i="27"/>
  <c r="GM70" i="27"/>
  <c r="GN70" i="27"/>
  <c r="GO70" i="27"/>
  <c r="GP70" i="27"/>
  <c r="GQ70" i="27"/>
  <c r="GR70" i="27"/>
  <c r="GS70" i="27"/>
  <c r="GT70" i="27"/>
  <c r="GU70" i="27"/>
  <c r="GV70" i="27"/>
  <c r="GW70" i="27"/>
  <c r="GX70" i="27"/>
  <c r="GY70" i="27"/>
  <c r="GZ70" i="27"/>
  <c r="HA70" i="27"/>
  <c r="HB70" i="27"/>
  <c r="HC70" i="27"/>
  <c r="HD70" i="27"/>
  <c r="HE70" i="27"/>
  <c r="HF70" i="27"/>
  <c r="HG70" i="27"/>
  <c r="HH70" i="27"/>
  <c r="HI70" i="27"/>
  <c r="HJ70" i="27"/>
  <c r="HK70" i="27"/>
  <c r="HL70" i="27"/>
  <c r="HM70" i="27"/>
  <c r="HN70" i="27"/>
  <c r="HO70" i="27"/>
  <c r="HP70" i="27"/>
  <c r="HQ70" i="27"/>
  <c r="HR70" i="27"/>
  <c r="HS70" i="27"/>
  <c r="HT70" i="27"/>
  <c r="HU70" i="27"/>
  <c r="HV70" i="27"/>
  <c r="HW70" i="27"/>
  <c r="HX70" i="27"/>
  <c r="HY70" i="27"/>
  <c r="HZ70" i="27"/>
  <c r="IA70" i="27"/>
  <c r="IB70" i="27"/>
  <c r="IC70" i="27"/>
  <c r="ID70" i="27"/>
  <c r="IE70" i="27"/>
  <c r="IF70" i="27"/>
  <c r="IG70" i="27"/>
  <c r="IH70" i="27"/>
  <c r="II70" i="27"/>
  <c r="IJ70" i="27"/>
  <c r="IK70" i="27"/>
  <c r="IL70" i="27"/>
  <c r="IM70" i="27"/>
  <c r="IN70" i="27"/>
  <c r="IO70" i="27"/>
  <c r="IP70" i="27"/>
  <c r="IQ70" i="27"/>
  <c r="IR70" i="27"/>
  <c r="IS70" i="27"/>
  <c r="IT70" i="27"/>
  <c r="IU70" i="27"/>
  <c r="IV70" i="27"/>
  <c r="A69" i="27"/>
  <c r="B69" i="27"/>
  <c r="C69" i="27"/>
  <c r="D69" i="27"/>
  <c r="E69" i="27"/>
  <c r="F69" i="27"/>
  <c r="G69" i="27"/>
  <c r="H69" i="27"/>
  <c r="I69" i="27"/>
  <c r="J69" i="27"/>
  <c r="K69" i="27"/>
  <c r="L69" i="27"/>
  <c r="M69" i="27"/>
  <c r="N69" i="27"/>
  <c r="O69" i="27"/>
  <c r="P69" i="27"/>
  <c r="Q69" i="27"/>
  <c r="R69" i="27"/>
  <c r="S69" i="27"/>
  <c r="T69" i="27"/>
  <c r="U69" i="27"/>
  <c r="V69" i="27"/>
  <c r="W69" i="27"/>
  <c r="X69" i="27"/>
  <c r="Y69" i="27"/>
  <c r="Z69" i="27"/>
  <c r="AA69" i="27"/>
  <c r="AB69" i="27"/>
  <c r="AC69" i="27"/>
  <c r="AD69" i="27"/>
  <c r="AE69" i="27"/>
  <c r="AF69" i="27"/>
  <c r="AG69" i="27"/>
  <c r="AH69" i="27"/>
  <c r="AI69" i="27"/>
  <c r="AJ69" i="27"/>
  <c r="AK69" i="27"/>
  <c r="AL69" i="27"/>
  <c r="AM69" i="27"/>
  <c r="AN69" i="27"/>
  <c r="AO69" i="27"/>
  <c r="AP69" i="27"/>
  <c r="AQ69" i="27"/>
  <c r="AR69" i="27"/>
  <c r="AS69" i="27"/>
  <c r="AT69" i="27"/>
  <c r="AU69" i="27"/>
  <c r="AV69" i="27"/>
  <c r="AW69" i="27"/>
  <c r="AX69" i="27"/>
  <c r="AY69" i="27"/>
  <c r="AZ69" i="27"/>
  <c r="BA69" i="27"/>
  <c r="BB69" i="27"/>
  <c r="BC69" i="27"/>
  <c r="BD69" i="27"/>
  <c r="BE69" i="27"/>
  <c r="BF69" i="27"/>
  <c r="BG69" i="27"/>
  <c r="BH69" i="27"/>
  <c r="BI69" i="27"/>
  <c r="BJ69" i="27"/>
  <c r="BK69" i="27"/>
  <c r="BL69" i="27"/>
  <c r="BM69" i="27"/>
  <c r="BN69" i="27"/>
  <c r="BO69" i="27"/>
  <c r="BP69" i="27"/>
  <c r="BQ69" i="27"/>
  <c r="BR69" i="27"/>
  <c r="BS69" i="27"/>
  <c r="BT69" i="27"/>
  <c r="BU69" i="27"/>
  <c r="BV69" i="27"/>
  <c r="BW69" i="27"/>
  <c r="BX69" i="27"/>
  <c r="BY69" i="27"/>
  <c r="BZ69" i="27"/>
  <c r="CA69" i="27"/>
  <c r="CB69" i="27"/>
  <c r="CC69" i="27"/>
  <c r="CD69" i="27"/>
  <c r="CE69" i="27"/>
  <c r="CF69" i="27"/>
  <c r="CG69" i="27"/>
  <c r="CH69" i="27"/>
  <c r="CI69" i="27"/>
  <c r="CJ69" i="27"/>
  <c r="CK69" i="27"/>
  <c r="CL69" i="27"/>
  <c r="CM69" i="27"/>
  <c r="CN69" i="27"/>
  <c r="CO69" i="27"/>
  <c r="CP69" i="27"/>
  <c r="CQ69" i="27"/>
  <c r="CR69" i="27"/>
  <c r="CS69" i="27"/>
  <c r="CT69" i="27"/>
  <c r="CU69" i="27"/>
  <c r="CV69" i="27"/>
  <c r="CW69" i="27"/>
  <c r="CX69" i="27"/>
  <c r="CY69" i="27"/>
  <c r="CZ69" i="27"/>
  <c r="DA69" i="27"/>
  <c r="DB69" i="27"/>
  <c r="DC69" i="27"/>
  <c r="DD69" i="27"/>
  <c r="DE69" i="27"/>
  <c r="DF69" i="27"/>
  <c r="DG69" i="27"/>
  <c r="DH69" i="27"/>
  <c r="DI69" i="27"/>
  <c r="DJ69" i="27"/>
  <c r="DK69" i="27"/>
  <c r="DL69" i="27"/>
  <c r="DM69" i="27"/>
  <c r="DN69" i="27"/>
  <c r="DO69" i="27"/>
  <c r="DP69" i="27"/>
  <c r="DQ69" i="27"/>
  <c r="DR69" i="27"/>
  <c r="DS69" i="27"/>
  <c r="DT69" i="27"/>
  <c r="DU69" i="27"/>
  <c r="DV69" i="27"/>
  <c r="DW69" i="27"/>
  <c r="DX69" i="27"/>
  <c r="DY69" i="27"/>
  <c r="DZ69" i="27"/>
  <c r="EA69" i="27"/>
  <c r="EB69" i="27"/>
  <c r="EC69" i="27"/>
  <c r="ED69" i="27"/>
  <c r="EE69" i="27"/>
  <c r="EF69" i="27"/>
  <c r="EG69" i="27"/>
  <c r="EH69" i="27"/>
  <c r="EI69" i="27"/>
  <c r="EJ69" i="27"/>
  <c r="EK69" i="27"/>
  <c r="EL69" i="27"/>
  <c r="EM69" i="27"/>
  <c r="EN69" i="27"/>
  <c r="EO69" i="27"/>
  <c r="EP69" i="27"/>
  <c r="EQ69" i="27"/>
  <c r="ER69" i="27"/>
  <c r="ES69" i="27"/>
  <c r="ET69" i="27"/>
  <c r="EU69" i="27"/>
  <c r="EV69" i="27"/>
  <c r="EW69" i="27"/>
  <c r="EX69" i="27"/>
  <c r="EY69" i="27"/>
  <c r="EZ69" i="27"/>
  <c r="FA69" i="27"/>
  <c r="FB69" i="27"/>
  <c r="FC69" i="27"/>
  <c r="FD69" i="27"/>
  <c r="FE69" i="27"/>
  <c r="FF69" i="27"/>
  <c r="FG69" i="27"/>
  <c r="FH69" i="27"/>
  <c r="FI69" i="27"/>
  <c r="FJ69" i="27"/>
  <c r="FK69" i="27"/>
  <c r="FL69" i="27"/>
  <c r="FM69" i="27"/>
  <c r="FN69" i="27"/>
  <c r="FO69" i="27"/>
  <c r="FP69" i="27"/>
  <c r="FQ69" i="27"/>
  <c r="FR69" i="27"/>
  <c r="FS69" i="27"/>
  <c r="FT69" i="27"/>
  <c r="FU69" i="27"/>
  <c r="FV69" i="27"/>
  <c r="FW69" i="27"/>
  <c r="FX69" i="27"/>
  <c r="FY69" i="27"/>
  <c r="FZ69" i="27"/>
  <c r="GA69" i="27"/>
  <c r="GB69" i="27"/>
  <c r="GC69" i="27"/>
  <c r="GD69" i="27"/>
  <c r="GE69" i="27"/>
  <c r="GF69" i="27"/>
  <c r="GG69" i="27"/>
  <c r="GH69" i="27"/>
  <c r="GI69" i="27"/>
  <c r="GJ69" i="27"/>
  <c r="GK69" i="27"/>
  <c r="GL69" i="27"/>
  <c r="GM69" i="27"/>
  <c r="GN69" i="27"/>
  <c r="GO69" i="27"/>
  <c r="GP69" i="27"/>
  <c r="GQ69" i="27"/>
  <c r="GR69" i="27"/>
  <c r="GS69" i="27"/>
  <c r="GT69" i="27"/>
  <c r="GU69" i="27"/>
  <c r="GV69" i="27"/>
  <c r="GW69" i="27"/>
  <c r="GX69" i="27"/>
  <c r="GY69" i="27"/>
  <c r="GZ69" i="27"/>
  <c r="HA69" i="27"/>
  <c r="HB69" i="27"/>
  <c r="HC69" i="27"/>
  <c r="HD69" i="27"/>
  <c r="HE69" i="27"/>
  <c r="HF69" i="27"/>
  <c r="HG69" i="27"/>
  <c r="HH69" i="27"/>
  <c r="HI69" i="27"/>
  <c r="HJ69" i="27"/>
  <c r="HK69" i="27"/>
  <c r="HL69" i="27"/>
  <c r="HM69" i="27"/>
  <c r="HN69" i="27"/>
  <c r="HO69" i="27"/>
  <c r="HP69" i="27"/>
  <c r="HQ69" i="27"/>
  <c r="HR69" i="27"/>
  <c r="HS69" i="27"/>
  <c r="HT69" i="27"/>
  <c r="HU69" i="27"/>
  <c r="HV69" i="27"/>
  <c r="HW69" i="27"/>
  <c r="HX69" i="27"/>
  <c r="HY69" i="27"/>
  <c r="HZ69" i="27"/>
  <c r="IA69" i="27"/>
  <c r="IB69" i="27"/>
  <c r="IC69" i="27"/>
  <c r="ID69" i="27"/>
  <c r="IE69" i="27"/>
  <c r="IF69" i="27"/>
  <c r="IG69" i="27"/>
  <c r="IH69" i="27"/>
  <c r="II69" i="27"/>
  <c r="IJ69" i="27"/>
  <c r="IK69" i="27"/>
  <c r="IL69" i="27"/>
  <c r="IM69" i="27"/>
  <c r="IN69" i="27"/>
  <c r="IO69" i="27"/>
  <c r="IP69" i="27"/>
  <c r="IQ69" i="27"/>
  <c r="IR69" i="27"/>
  <c r="IS69" i="27"/>
  <c r="IT69" i="27"/>
  <c r="IU69" i="27"/>
  <c r="IV69" i="27"/>
  <c r="A68" i="27"/>
  <c r="B68" i="27"/>
  <c r="C68" i="27"/>
  <c r="D68" i="27"/>
  <c r="E68" i="27"/>
  <c r="F68" i="27"/>
  <c r="G68" i="27"/>
  <c r="H68" i="27"/>
  <c r="I68" i="27"/>
  <c r="J68" i="27"/>
  <c r="K68" i="27"/>
  <c r="L68" i="27"/>
  <c r="M68" i="27"/>
  <c r="N68" i="27"/>
  <c r="O68" i="27"/>
  <c r="P68" i="27"/>
  <c r="Q68" i="27"/>
  <c r="R68" i="27"/>
  <c r="S68" i="27"/>
  <c r="T68" i="27"/>
  <c r="U68" i="27"/>
  <c r="V68" i="27"/>
  <c r="W68" i="27"/>
  <c r="X68" i="27"/>
  <c r="Y68" i="27"/>
  <c r="Z68" i="27"/>
  <c r="AA68" i="27"/>
  <c r="AB68" i="27"/>
  <c r="AC68" i="27"/>
  <c r="AD68" i="27"/>
  <c r="AE68" i="27"/>
  <c r="AF68" i="27"/>
  <c r="AG68" i="27"/>
  <c r="AH68" i="27"/>
  <c r="AI68" i="27"/>
  <c r="AJ68" i="27"/>
  <c r="AK68" i="27"/>
  <c r="AL68" i="27"/>
  <c r="AM68" i="27"/>
  <c r="AN68" i="27"/>
  <c r="AO68" i="27"/>
  <c r="AP68" i="27"/>
  <c r="AQ68" i="27"/>
  <c r="AR68" i="27"/>
  <c r="AS68" i="27"/>
  <c r="AT68" i="27"/>
  <c r="AU68" i="27"/>
  <c r="AV68" i="27"/>
  <c r="AW68" i="27"/>
  <c r="AX68" i="27"/>
  <c r="AY68" i="27"/>
  <c r="AZ68" i="27"/>
  <c r="BA68" i="27"/>
  <c r="BB68" i="27"/>
  <c r="BC68" i="27"/>
  <c r="BD68" i="27"/>
  <c r="BE68" i="27"/>
  <c r="BF68" i="27"/>
  <c r="BG68" i="27"/>
  <c r="BH68" i="27"/>
  <c r="BI68" i="27"/>
  <c r="BJ68" i="27"/>
  <c r="BK68" i="27"/>
  <c r="BL68" i="27"/>
  <c r="BM68" i="27"/>
  <c r="BN68" i="27"/>
  <c r="BO68" i="27"/>
  <c r="BP68" i="27"/>
  <c r="BQ68" i="27"/>
  <c r="BR68" i="27"/>
  <c r="BS68" i="27"/>
  <c r="BT68" i="27"/>
  <c r="BU68" i="27"/>
  <c r="BV68" i="27"/>
  <c r="BW68" i="27"/>
  <c r="BX68" i="27"/>
  <c r="BY68" i="27"/>
  <c r="BZ68" i="27"/>
  <c r="CA68" i="27"/>
  <c r="CB68" i="27"/>
  <c r="CC68" i="27"/>
  <c r="CD68" i="27"/>
  <c r="CE68" i="27"/>
  <c r="CF68" i="27"/>
  <c r="CG68" i="27"/>
  <c r="CH68" i="27"/>
  <c r="CI68" i="27"/>
  <c r="CJ68" i="27"/>
  <c r="CK68" i="27"/>
  <c r="CL68" i="27"/>
  <c r="CM68" i="27"/>
  <c r="CN68" i="27"/>
  <c r="CO68" i="27"/>
  <c r="CP68" i="27"/>
  <c r="CQ68" i="27"/>
  <c r="CR68" i="27"/>
  <c r="CS68" i="27"/>
  <c r="CT68" i="27"/>
  <c r="CU68" i="27"/>
  <c r="CV68" i="27"/>
  <c r="CW68" i="27"/>
  <c r="CX68" i="27"/>
  <c r="CY68" i="27"/>
  <c r="CZ68" i="27"/>
  <c r="DA68" i="27"/>
  <c r="DB68" i="27"/>
  <c r="DC68" i="27"/>
  <c r="DD68" i="27"/>
  <c r="DE68" i="27"/>
  <c r="DF68" i="27"/>
  <c r="DG68" i="27"/>
  <c r="DH68" i="27"/>
  <c r="DI68" i="27"/>
  <c r="DJ68" i="27"/>
  <c r="DK68" i="27"/>
  <c r="DL68" i="27"/>
  <c r="DM68" i="27"/>
  <c r="DN68" i="27"/>
  <c r="DO68" i="27"/>
  <c r="DP68" i="27"/>
  <c r="DQ68" i="27"/>
  <c r="DR68" i="27"/>
  <c r="DS68" i="27"/>
  <c r="DT68" i="27"/>
  <c r="DU68" i="27"/>
  <c r="DV68" i="27"/>
  <c r="DW68" i="27"/>
  <c r="DX68" i="27"/>
  <c r="DY68" i="27"/>
  <c r="DZ68" i="27"/>
  <c r="EA68" i="27"/>
  <c r="EB68" i="27"/>
  <c r="EC68" i="27"/>
  <c r="ED68" i="27"/>
  <c r="EE68" i="27"/>
  <c r="EF68" i="27"/>
  <c r="EG68" i="27"/>
  <c r="EH68" i="27"/>
  <c r="EI68" i="27"/>
  <c r="EJ68" i="27"/>
  <c r="EK68" i="27"/>
  <c r="EL68" i="27"/>
  <c r="EM68" i="27"/>
  <c r="EN68" i="27"/>
  <c r="EO68" i="27"/>
  <c r="EP68" i="27"/>
  <c r="EQ68" i="27"/>
  <c r="ER68" i="27"/>
  <c r="ES68" i="27"/>
  <c r="ET68" i="27"/>
  <c r="EU68" i="27"/>
  <c r="EV68" i="27"/>
  <c r="EW68" i="27"/>
  <c r="EX68" i="27"/>
  <c r="EY68" i="27"/>
  <c r="EZ68" i="27"/>
  <c r="FA68" i="27"/>
  <c r="FB68" i="27"/>
  <c r="FC68" i="27"/>
  <c r="FD68" i="27"/>
  <c r="FE68" i="27"/>
  <c r="FF68" i="27"/>
  <c r="FG68" i="27"/>
  <c r="FH68" i="27"/>
  <c r="FI68" i="27"/>
  <c r="FJ68" i="27"/>
  <c r="FK68" i="27"/>
  <c r="FL68" i="27"/>
  <c r="FM68" i="27"/>
  <c r="FN68" i="27"/>
  <c r="FO68" i="27"/>
  <c r="FP68" i="27"/>
  <c r="FQ68" i="27"/>
  <c r="FR68" i="27"/>
  <c r="FS68" i="27"/>
  <c r="FT68" i="27"/>
  <c r="FU68" i="27"/>
  <c r="FV68" i="27"/>
  <c r="FW68" i="27"/>
  <c r="FX68" i="27"/>
  <c r="FY68" i="27"/>
  <c r="FZ68" i="27"/>
  <c r="GA68" i="27"/>
  <c r="GB68" i="27"/>
  <c r="GC68" i="27"/>
  <c r="GD68" i="27"/>
  <c r="GE68" i="27"/>
  <c r="GF68" i="27"/>
  <c r="GG68" i="27"/>
  <c r="GH68" i="27"/>
  <c r="GI68" i="27"/>
  <c r="GJ68" i="27"/>
  <c r="GK68" i="27"/>
  <c r="GL68" i="27"/>
  <c r="GM68" i="27"/>
  <c r="GN68" i="27"/>
  <c r="GO68" i="27"/>
  <c r="GP68" i="27"/>
  <c r="GQ68" i="27"/>
  <c r="GR68" i="27"/>
  <c r="GS68" i="27"/>
  <c r="GT68" i="27"/>
  <c r="GU68" i="27"/>
  <c r="GV68" i="27"/>
  <c r="GW68" i="27"/>
  <c r="GX68" i="27"/>
  <c r="GY68" i="27"/>
  <c r="GZ68" i="27"/>
  <c r="HA68" i="27"/>
  <c r="HB68" i="27"/>
  <c r="HC68" i="27"/>
  <c r="HD68" i="27"/>
  <c r="HE68" i="27"/>
  <c r="HF68" i="27"/>
  <c r="HG68" i="27"/>
  <c r="HH68" i="27"/>
  <c r="HI68" i="27"/>
  <c r="HJ68" i="27"/>
  <c r="HK68" i="27"/>
  <c r="HL68" i="27"/>
  <c r="HM68" i="27"/>
  <c r="HN68" i="27"/>
  <c r="HO68" i="27"/>
  <c r="HP68" i="27"/>
  <c r="HQ68" i="27"/>
  <c r="HR68" i="27"/>
  <c r="HS68" i="27"/>
  <c r="HT68" i="27"/>
  <c r="HU68" i="27"/>
  <c r="HV68" i="27"/>
  <c r="HW68" i="27"/>
  <c r="HX68" i="27"/>
  <c r="HY68" i="27"/>
  <c r="HZ68" i="27"/>
  <c r="IA68" i="27"/>
  <c r="IB68" i="27"/>
  <c r="IC68" i="27"/>
  <c r="ID68" i="27"/>
  <c r="IE68" i="27"/>
  <c r="IF68" i="27"/>
  <c r="IG68" i="27"/>
  <c r="IH68" i="27"/>
  <c r="II68" i="27"/>
  <c r="IJ68" i="27"/>
  <c r="IK68" i="27"/>
  <c r="IL68" i="27"/>
  <c r="IM68" i="27"/>
  <c r="IN68" i="27"/>
  <c r="IO68" i="27"/>
  <c r="IP68" i="27"/>
  <c r="IQ68" i="27"/>
  <c r="IR68" i="27"/>
  <c r="IS68" i="27"/>
  <c r="IT68" i="27"/>
  <c r="IU68" i="27"/>
  <c r="IV68" i="27"/>
  <c r="A67" i="27"/>
  <c r="B67" i="27"/>
  <c r="C67" i="27"/>
  <c r="D67" i="27"/>
  <c r="E67" i="27"/>
  <c r="F67" i="27"/>
  <c r="G67" i="27"/>
  <c r="H67" i="27"/>
  <c r="I67" i="27"/>
  <c r="J67" i="27"/>
  <c r="K67" i="27"/>
  <c r="L67" i="27"/>
  <c r="M67" i="27"/>
  <c r="N67" i="27"/>
  <c r="O67" i="27"/>
  <c r="P67" i="27"/>
  <c r="Q67" i="27"/>
  <c r="R67" i="27"/>
  <c r="S67" i="27"/>
  <c r="T67" i="27"/>
  <c r="U67" i="27"/>
  <c r="V67" i="27"/>
  <c r="W67" i="27"/>
  <c r="X67" i="27"/>
  <c r="Y67" i="27"/>
  <c r="Z67" i="27"/>
  <c r="AA67" i="27"/>
  <c r="AB67" i="27"/>
  <c r="AC67" i="27"/>
  <c r="AD67" i="27"/>
  <c r="AE67" i="27"/>
  <c r="AF67" i="27"/>
  <c r="AG67" i="27"/>
  <c r="AH67" i="27"/>
  <c r="AI67" i="27"/>
  <c r="AJ67" i="27"/>
  <c r="AK67" i="27"/>
  <c r="AL67" i="27"/>
  <c r="AM67" i="27"/>
  <c r="AN67" i="27"/>
  <c r="AO67" i="27"/>
  <c r="AP67" i="27"/>
  <c r="AQ67" i="27"/>
  <c r="AR67" i="27"/>
  <c r="AS67" i="27"/>
  <c r="AT67" i="27"/>
  <c r="AU67" i="27"/>
  <c r="AV67" i="27"/>
  <c r="AW67" i="27"/>
  <c r="AX67" i="27"/>
  <c r="AY67" i="27"/>
  <c r="AZ67" i="27"/>
  <c r="BA67" i="27"/>
  <c r="BB67" i="27"/>
  <c r="BC67" i="27"/>
  <c r="BD67" i="27"/>
  <c r="BE67" i="27"/>
  <c r="BF67" i="27"/>
  <c r="BG67" i="27"/>
  <c r="BH67" i="27"/>
  <c r="BI67" i="27"/>
  <c r="BJ67" i="27"/>
  <c r="BK67" i="27"/>
  <c r="BL67" i="27"/>
  <c r="BM67" i="27"/>
  <c r="BN67" i="27"/>
  <c r="BO67" i="27"/>
  <c r="BP67" i="27"/>
  <c r="BQ67" i="27"/>
  <c r="BR67" i="27"/>
  <c r="BS67" i="27"/>
  <c r="BT67" i="27"/>
  <c r="BU67" i="27"/>
  <c r="BV67" i="27"/>
  <c r="BW67" i="27"/>
  <c r="BX67" i="27"/>
  <c r="BY67" i="27"/>
  <c r="BZ67" i="27"/>
  <c r="CA67" i="27"/>
  <c r="CB67" i="27"/>
  <c r="CC67" i="27"/>
  <c r="CD67" i="27"/>
  <c r="CE67" i="27"/>
  <c r="CF67" i="27"/>
  <c r="CG67" i="27"/>
  <c r="CH67" i="27"/>
  <c r="CI67" i="27"/>
  <c r="CJ67" i="27"/>
  <c r="CK67" i="27"/>
  <c r="CL67" i="27"/>
  <c r="CM67" i="27"/>
  <c r="CN67" i="27"/>
  <c r="CO67" i="27"/>
  <c r="CP67" i="27"/>
  <c r="CQ67" i="27"/>
  <c r="CR67" i="27"/>
  <c r="CS67" i="27"/>
  <c r="CT67" i="27"/>
  <c r="CU67" i="27"/>
  <c r="CV67" i="27"/>
  <c r="CW67" i="27"/>
  <c r="CX67" i="27"/>
  <c r="CY67" i="27"/>
  <c r="CZ67" i="27"/>
  <c r="DA67" i="27"/>
  <c r="DB67" i="27"/>
  <c r="DC67" i="27"/>
  <c r="DD67" i="27"/>
  <c r="DE67" i="27"/>
  <c r="DF67" i="27"/>
  <c r="DG67" i="27"/>
  <c r="DH67" i="27"/>
  <c r="DI67" i="27"/>
  <c r="DJ67" i="27"/>
  <c r="DK67" i="27"/>
  <c r="DL67" i="27"/>
  <c r="DM67" i="27"/>
  <c r="DN67" i="27"/>
  <c r="DO67" i="27"/>
  <c r="DP67" i="27"/>
  <c r="DQ67" i="27"/>
  <c r="DR67" i="27"/>
  <c r="DS67" i="27"/>
  <c r="DT67" i="27"/>
  <c r="DU67" i="27"/>
  <c r="DV67" i="27"/>
  <c r="DW67" i="27"/>
  <c r="DX67" i="27"/>
  <c r="DY67" i="27"/>
  <c r="DZ67" i="27"/>
  <c r="EA67" i="27"/>
  <c r="EB67" i="27"/>
  <c r="EC67" i="27"/>
  <c r="ED67" i="27"/>
  <c r="EE67" i="27"/>
  <c r="EF67" i="27"/>
  <c r="EG67" i="27"/>
  <c r="EH67" i="27"/>
  <c r="EI67" i="27"/>
  <c r="EJ67" i="27"/>
  <c r="EK67" i="27"/>
  <c r="EL67" i="27"/>
  <c r="EM67" i="27"/>
  <c r="EN67" i="27"/>
  <c r="EO67" i="27"/>
  <c r="EP67" i="27"/>
  <c r="EQ67" i="27"/>
  <c r="ER67" i="27"/>
  <c r="ES67" i="27"/>
  <c r="ET67" i="27"/>
  <c r="EU67" i="27"/>
  <c r="EV67" i="27"/>
  <c r="EW67" i="27"/>
  <c r="EX67" i="27"/>
  <c r="EY67" i="27"/>
  <c r="EZ67" i="27"/>
  <c r="FA67" i="27"/>
  <c r="FB67" i="27"/>
  <c r="FC67" i="27"/>
  <c r="FD67" i="27"/>
  <c r="FE67" i="27"/>
  <c r="FF67" i="27"/>
  <c r="FG67" i="27"/>
  <c r="FH67" i="27"/>
  <c r="FI67" i="27"/>
  <c r="FJ67" i="27"/>
  <c r="FK67" i="27"/>
  <c r="FL67" i="27"/>
  <c r="FM67" i="27"/>
  <c r="FN67" i="27"/>
  <c r="FO67" i="27"/>
  <c r="FP67" i="27"/>
  <c r="FQ67" i="27"/>
  <c r="FR67" i="27"/>
  <c r="FS67" i="27"/>
  <c r="FT67" i="27"/>
  <c r="FU67" i="27"/>
  <c r="FV67" i="27"/>
  <c r="FW67" i="27"/>
  <c r="FX67" i="27"/>
  <c r="FY67" i="27"/>
  <c r="FZ67" i="27"/>
  <c r="GA67" i="27"/>
  <c r="GB67" i="27"/>
  <c r="GC67" i="27"/>
  <c r="GD67" i="27"/>
  <c r="GE67" i="27"/>
  <c r="GF67" i="27"/>
  <c r="GG67" i="27"/>
  <c r="GH67" i="27"/>
  <c r="GI67" i="27"/>
  <c r="GJ67" i="27"/>
  <c r="GK67" i="27"/>
  <c r="GL67" i="27"/>
  <c r="GM67" i="27"/>
  <c r="GN67" i="27"/>
  <c r="GO67" i="27"/>
  <c r="GP67" i="27"/>
  <c r="GQ67" i="27"/>
  <c r="GR67" i="27"/>
  <c r="GS67" i="27"/>
  <c r="GT67" i="27"/>
  <c r="GU67" i="27"/>
  <c r="GV67" i="27"/>
  <c r="GW67" i="27"/>
  <c r="GX67" i="27"/>
  <c r="GY67" i="27"/>
  <c r="GZ67" i="27"/>
  <c r="HA67" i="27"/>
  <c r="HB67" i="27"/>
  <c r="HC67" i="27"/>
  <c r="HD67" i="27"/>
  <c r="HE67" i="27"/>
  <c r="HF67" i="27"/>
  <c r="HG67" i="27"/>
  <c r="HH67" i="27"/>
  <c r="HI67" i="27"/>
  <c r="HJ67" i="27"/>
  <c r="HK67" i="27"/>
  <c r="HL67" i="27"/>
  <c r="HM67" i="27"/>
  <c r="HN67" i="27"/>
  <c r="HO67" i="27"/>
  <c r="HP67" i="27"/>
  <c r="HQ67" i="27"/>
  <c r="HR67" i="27"/>
  <c r="HS67" i="27"/>
  <c r="HT67" i="27"/>
  <c r="HU67" i="27"/>
  <c r="HV67" i="27"/>
  <c r="HW67" i="27"/>
  <c r="HX67" i="27"/>
  <c r="HY67" i="27"/>
  <c r="HZ67" i="27"/>
  <c r="IA67" i="27"/>
  <c r="IB67" i="27"/>
  <c r="IC67" i="27"/>
  <c r="ID67" i="27"/>
  <c r="IE67" i="27"/>
  <c r="IF67" i="27"/>
  <c r="IG67" i="27"/>
  <c r="IH67" i="27"/>
  <c r="II67" i="27"/>
  <c r="IJ67" i="27"/>
  <c r="IK67" i="27"/>
  <c r="IL67" i="27"/>
  <c r="IM67" i="27"/>
  <c r="IN67" i="27"/>
  <c r="IO67" i="27"/>
  <c r="IP67" i="27"/>
  <c r="IQ67" i="27"/>
  <c r="IR67" i="27"/>
  <c r="IS67" i="27"/>
  <c r="IT67" i="27"/>
  <c r="IU67" i="27"/>
  <c r="IV67" i="27"/>
  <c r="A66" i="27"/>
  <c r="B66" i="27"/>
  <c r="C66" i="27"/>
  <c r="D66" i="27"/>
  <c r="E66" i="27"/>
  <c r="F66" i="27"/>
  <c r="G66" i="27"/>
  <c r="H66" i="27"/>
  <c r="I66" i="27"/>
  <c r="J66" i="27"/>
  <c r="K66" i="27"/>
  <c r="L66" i="27"/>
  <c r="M66" i="27"/>
  <c r="N66" i="27"/>
  <c r="O66" i="27"/>
  <c r="P66" i="27"/>
  <c r="Q66" i="27"/>
  <c r="R66" i="27"/>
  <c r="S66" i="27"/>
  <c r="T66" i="27"/>
  <c r="U66" i="27"/>
  <c r="V66" i="27"/>
  <c r="W66" i="27"/>
  <c r="X66" i="27"/>
  <c r="Y66" i="27"/>
  <c r="Z66" i="27"/>
  <c r="AA66" i="27"/>
  <c r="AB66" i="27"/>
  <c r="AC66" i="27"/>
  <c r="AD66" i="27"/>
  <c r="AE66" i="27"/>
  <c r="AF66" i="27"/>
  <c r="AG66" i="27"/>
  <c r="AH66" i="27"/>
  <c r="AI66" i="27"/>
  <c r="AJ66" i="27"/>
  <c r="AK66" i="27"/>
  <c r="AL66" i="27"/>
  <c r="AM66" i="27"/>
  <c r="AN66" i="27"/>
  <c r="AO66" i="27"/>
  <c r="AP66" i="27"/>
  <c r="AQ66" i="27"/>
  <c r="AR66" i="27"/>
  <c r="AS66" i="27"/>
  <c r="AT66" i="27"/>
  <c r="AU66" i="27"/>
  <c r="AV66" i="27"/>
  <c r="AW66" i="27"/>
  <c r="AX66" i="27"/>
  <c r="AY66" i="27"/>
  <c r="AZ66" i="27"/>
  <c r="BA66" i="27"/>
  <c r="BB66" i="27"/>
  <c r="BC66" i="27"/>
  <c r="BD66" i="27"/>
  <c r="BE66" i="27"/>
  <c r="BF66" i="27"/>
  <c r="BG66" i="27"/>
  <c r="BH66" i="27"/>
  <c r="BI66" i="27"/>
  <c r="BJ66" i="27"/>
  <c r="BK66" i="27"/>
  <c r="BL66" i="27"/>
  <c r="BM66" i="27"/>
  <c r="BN66" i="27"/>
  <c r="BO66" i="27"/>
  <c r="BP66" i="27"/>
  <c r="BQ66" i="27"/>
  <c r="BR66" i="27"/>
  <c r="BS66" i="27"/>
  <c r="BT66" i="27"/>
  <c r="BU66" i="27"/>
  <c r="BV66" i="27"/>
  <c r="BW66" i="27"/>
  <c r="BX66" i="27"/>
  <c r="BY66" i="27"/>
  <c r="BZ66" i="27"/>
  <c r="CA66" i="27"/>
  <c r="CB66" i="27"/>
  <c r="CC66" i="27"/>
  <c r="CD66" i="27"/>
  <c r="CE66" i="27"/>
  <c r="CF66" i="27"/>
  <c r="CG66" i="27"/>
  <c r="CH66" i="27"/>
  <c r="CI66" i="27"/>
  <c r="CJ66" i="27"/>
  <c r="CK66" i="27"/>
  <c r="CL66" i="27"/>
  <c r="CM66" i="27"/>
  <c r="CN66" i="27"/>
  <c r="CO66" i="27"/>
  <c r="CP66" i="27"/>
  <c r="CQ66" i="27"/>
  <c r="CR66" i="27"/>
  <c r="CS66" i="27"/>
  <c r="CT66" i="27"/>
  <c r="CU66" i="27"/>
  <c r="CV66" i="27"/>
  <c r="CW66" i="27"/>
  <c r="CX66" i="27"/>
  <c r="CY66" i="27"/>
  <c r="CZ66" i="27"/>
  <c r="DA66" i="27"/>
  <c r="DB66" i="27"/>
  <c r="DC66" i="27"/>
  <c r="DD66" i="27"/>
  <c r="DE66" i="27"/>
  <c r="DF66" i="27"/>
  <c r="DG66" i="27"/>
  <c r="DH66" i="27"/>
  <c r="DI66" i="27"/>
  <c r="DJ66" i="27"/>
  <c r="DK66" i="27"/>
  <c r="DL66" i="27"/>
  <c r="DM66" i="27"/>
  <c r="DN66" i="27"/>
  <c r="DO66" i="27"/>
  <c r="DP66" i="27"/>
  <c r="DQ66" i="27"/>
  <c r="DR66" i="27"/>
  <c r="DS66" i="27"/>
  <c r="DT66" i="27"/>
  <c r="DU66" i="27"/>
  <c r="DV66" i="27"/>
  <c r="DW66" i="27"/>
  <c r="DX66" i="27"/>
  <c r="DY66" i="27"/>
  <c r="DZ66" i="27"/>
  <c r="EA66" i="27"/>
  <c r="EB66" i="27"/>
  <c r="EC66" i="27"/>
  <c r="ED66" i="27"/>
  <c r="EE66" i="27"/>
  <c r="EF66" i="27"/>
  <c r="EG66" i="27"/>
  <c r="EH66" i="27"/>
  <c r="EI66" i="27"/>
  <c r="EJ66" i="27"/>
  <c r="EK66" i="27"/>
  <c r="EL66" i="27"/>
  <c r="EM66" i="27"/>
  <c r="EN66" i="27"/>
  <c r="EO66" i="27"/>
  <c r="EP66" i="27"/>
  <c r="EQ66" i="27"/>
  <c r="ER66" i="27"/>
  <c r="ES66" i="27"/>
  <c r="ET66" i="27"/>
  <c r="EU66" i="27"/>
  <c r="EV66" i="27"/>
  <c r="EW66" i="27"/>
  <c r="EX66" i="27"/>
  <c r="EY66" i="27"/>
  <c r="EZ66" i="27"/>
  <c r="FA66" i="27"/>
  <c r="FB66" i="27"/>
  <c r="FC66" i="27"/>
  <c r="FD66" i="27"/>
  <c r="FE66" i="27"/>
  <c r="FF66" i="27"/>
  <c r="FG66" i="27"/>
  <c r="FH66" i="27"/>
  <c r="FI66" i="27"/>
  <c r="FJ66" i="27"/>
  <c r="FK66" i="27"/>
  <c r="FL66" i="27"/>
  <c r="FM66" i="27"/>
  <c r="FN66" i="27"/>
  <c r="FO66" i="27"/>
  <c r="FP66" i="27"/>
  <c r="FQ66" i="27"/>
  <c r="FR66" i="27"/>
  <c r="FS66" i="27"/>
  <c r="FT66" i="27"/>
  <c r="FU66" i="27"/>
  <c r="FV66" i="27"/>
  <c r="FW66" i="27"/>
  <c r="FX66" i="27"/>
  <c r="FY66" i="27"/>
  <c r="FZ66" i="27"/>
  <c r="GA66" i="27"/>
  <c r="GB66" i="27"/>
  <c r="GC66" i="27"/>
  <c r="GD66" i="27"/>
  <c r="GE66" i="27"/>
  <c r="GF66" i="27"/>
  <c r="GG66" i="27"/>
  <c r="GH66" i="27"/>
  <c r="GI66" i="27"/>
  <c r="GJ66" i="27"/>
  <c r="GK66" i="27"/>
  <c r="GL66" i="27"/>
  <c r="GM66" i="27"/>
  <c r="GN66" i="27"/>
  <c r="GO66" i="27"/>
  <c r="GP66" i="27"/>
  <c r="GQ66" i="27"/>
  <c r="GR66" i="27"/>
  <c r="GS66" i="27"/>
  <c r="GT66" i="27"/>
  <c r="GU66" i="27"/>
  <c r="GV66" i="27"/>
  <c r="GW66" i="27"/>
  <c r="GX66" i="27"/>
  <c r="GY66" i="27"/>
  <c r="GZ66" i="27"/>
  <c r="HA66" i="27"/>
  <c r="HB66" i="27"/>
  <c r="HC66" i="27"/>
  <c r="HD66" i="27"/>
  <c r="HE66" i="27"/>
  <c r="HF66" i="27"/>
  <c r="HG66" i="27"/>
  <c r="HH66" i="27"/>
  <c r="HI66" i="27"/>
  <c r="HJ66" i="27"/>
  <c r="HK66" i="27"/>
  <c r="HL66" i="27"/>
  <c r="HM66" i="27"/>
  <c r="HN66" i="27"/>
  <c r="HO66" i="27"/>
  <c r="HP66" i="27"/>
  <c r="HQ66" i="27"/>
  <c r="HR66" i="27"/>
  <c r="HS66" i="27"/>
  <c r="HT66" i="27"/>
  <c r="HU66" i="27"/>
  <c r="HV66" i="27"/>
  <c r="HW66" i="27"/>
  <c r="HX66" i="27"/>
  <c r="HY66" i="27"/>
  <c r="HZ66" i="27"/>
  <c r="IA66" i="27"/>
  <c r="IB66" i="27"/>
  <c r="IC66" i="27"/>
  <c r="ID66" i="27"/>
  <c r="IE66" i="27"/>
  <c r="IF66" i="27"/>
  <c r="IG66" i="27"/>
  <c r="IH66" i="27"/>
  <c r="II66" i="27"/>
  <c r="IJ66" i="27"/>
  <c r="IK66" i="27"/>
  <c r="IL66" i="27"/>
  <c r="IM66" i="27"/>
  <c r="IN66" i="27"/>
  <c r="IO66" i="27"/>
  <c r="IP66" i="27"/>
  <c r="IQ66" i="27"/>
  <c r="IR66" i="27"/>
  <c r="IS66" i="27"/>
  <c r="IT66" i="27"/>
  <c r="IU66" i="27"/>
  <c r="IV66" i="27"/>
  <c r="A65" i="27"/>
  <c r="B65" i="27"/>
  <c r="C65" i="27"/>
  <c r="D65" i="27"/>
  <c r="E65" i="27"/>
  <c r="F65" i="27"/>
  <c r="G65" i="27"/>
  <c r="H65" i="27"/>
  <c r="I65" i="27"/>
  <c r="J65" i="27"/>
  <c r="K65" i="27"/>
  <c r="L65" i="27"/>
  <c r="M65" i="27"/>
  <c r="N65" i="27"/>
  <c r="O65" i="27"/>
  <c r="P65" i="27"/>
  <c r="Q65" i="27"/>
  <c r="R65" i="27"/>
  <c r="S65" i="27"/>
  <c r="T65" i="27"/>
  <c r="U65" i="27"/>
  <c r="V65" i="27"/>
  <c r="W65" i="27"/>
  <c r="X65" i="27"/>
  <c r="Y65" i="27"/>
  <c r="Z65" i="27"/>
  <c r="AA65" i="27"/>
  <c r="AB65" i="27"/>
  <c r="AC65" i="27"/>
  <c r="AD65" i="27"/>
  <c r="AE65" i="27"/>
  <c r="AF65" i="27"/>
  <c r="AG65" i="27"/>
  <c r="AH65" i="27"/>
  <c r="AI65" i="27"/>
  <c r="AJ65" i="27"/>
  <c r="AK65" i="27"/>
  <c r="AL65" i="27"/>
  <c r="AM65" i="27"/>
  <c r="AN65" i="27"/>
  <c r="AO65" i="27"/>
  <c r="AP65" i="27"/>
  <c r="AQ65" i="27"/>
  <c r="AR65" i="27"/>
  <c r="AS65" i="27"/>
  <c r="AT65" i="27"/>
  <c r="AU65" i="27"/>
  <c r="AV65" i="27"/>
  <c r="AW65" i="27"/>
  <c r="AX65" i="27"/>
  <c r="AY65" i="27"/>
  <c r="AZ65" i="27"/>
  <c r="BA65" i="27"/>
  <c r="BB65" i="27"/>
  <c r="BC65" i="27"/>
  <c r="BD65" i="27"/>
  <c r="BE65" i="27"/>
  <c r="BF65" i="27"/>
  <c r="BG65" i="27"/>
  <c r="BH65" i="27"/>
  <c r="BI65" i="27"/>
  <c r="BJ65" i="27"/>
  <c r="BK65" i="27"/>
  <c r="BL65" i="27"/>
  <c r="BM65" i="27"/>
  <c r="BN65" i="27"/>
  <c r="BO65" i="27"/>
  <c r="BP65" i="27"/>
  <c r="BQ65" i="27"/>
  <c r="BR65" i="27"/>
  <c r="BS65" i="27"/>
  <c r="BT65" i="27"/>
  <c r="BU65" i="27"/>
  <c r="BV65" i="27"/>
  <c r="BW65" i="27"/>
  <c r="BX65" i="27"/>
  <c r="BY65" i="27"/>
  <c r="BZ65" i="27"/>
  <c r="CA65" i="27"/>
  <c r="CB65" i="27"/>
  <c r="CC65" i="27"/>
  <c r="CD65" i="27"/>
  <c r="CE65" i="27"/>
  <c r="CF65" i="27"/>
  <c r="CG65" i="27"/>
  <c r="CH65" i="27"/>
  <c r="CI65" i="27"/>
  <c r="CJ65" i="27"/>
  <c r="CK65" i="27"/>
  <c r="CL65" i="27"/>
  <c r="CM65" i="27"/>
  <c r="CN65" i="27"/>
  <c r="CO65" i="27"/>
  <c r="CP65" i="27"/>
  <c r="CQ65" i="27"/>
  <c r="CR65" i="27"/>
  <c r="CS65" i="27"/>
  <c r="CT65" i="27"/>
  <c r="CU65" i="27"/>
  <c r="CV65" i="27"/>
  <c r="CW65" i="27"/>
  <c r="CX65" i="27"/>
  <c r="CY65" i="27"/>
  <c r="CZ65" i="27"/>
  <c r="DA65" i="27"/>
  <c r="DB65" i="27"/>
  <c r="DC65" i="27"/>
  <c r="DD65" i="27"/>
  <c r="DE65" i="27"/>
  <c r="DF65" i="27"/>
  <c r="DG65" i="27"/>
  <c r="DH65" i="27"/>
  <c r="DI65" i="27"/>
  <c r="DJ65" i="27"/>
  <c r="DK65" i="27"/>
  <c r="DL65" i="27"/>
  <c r="DM65" i="27"/>
  <c r="DN65" i="27"/>
  <c r="DO65" i="27"/>
  <c r="DP65" i="27"/>
  <c r="DQ65" i="27"/>
  <c r="DR65" i="27"/>
  <c r="DS65" i="27"/>
  <c r="DT65" i="27"/>
  <c r="DU65" i="27"/>
  <c r="DV65" i="27"/>
  <c r="DW65" i="27"/>
  <c r="DX65" i="27"/>
  <c r="DY65" i="27"/>
  <c r="DZ65" i="27"/>
  <c r="EA65" i="27"/>
  <c r="EB65" i="27"/>
  <c r="EC65" i="27"/>
  <c r="ED65" i="27"/>
  <c r="EE65" i="27"/>
  <c r="EF65" i="27"/>
  <c r="EG65" i="27"/>
  <c r="EH65" i="27"/>
  <c r="EI65" i="27"/>
  <c r="EJ65" i="27"/>
  <c r="EK65" i="27"/>
  <c r="EL65" i="27"/>
  <c r="EM65" i="27"/>
  <c r="EN65" i="27"/>
  <c r="EO65" i="27"/>
  <c r="EP65" i="27"/>
  <c r="EQ65" i="27"/>
  <c r="ER65" i="27"/>
  <c r="ES65" i="27"/>
  <c r="ET65" i="27"/>
  <c r="EU65" i="27"/>
  <c r="EV65" i="27"/>
  <c r="EW65" i="27"/>
  <c r="EX65" i="27"/>
  <c r="EY65" i="27"/>
  <c r="EZ65" i="27"/>
  <c r="FA65" i="27"/>
  <c r="FB65" i="27"/>
  <c r="FC65" i="27"/>
  <c r="FD65" i="27"/>
  <c r="FE65" i="27"/>
  <c r="FF65" i="27"/>
  <c r="FG65" i="27"/>
  <c r="FH65" i="27"/>
  <c r="FI65" i="27"/>
  <c r="FJ65" i="27"/>
  <c r="FK65" i="27"/>
  <c r="FL65" i="27"/>
  <c r="FM65" i="27"/>
  <c r="FN65" i="27"/>
  <c r="FO65" i="27"/>
  <c r="FP65" i="27"/>
  <c r="FQ65" i="27"/>
  <c r="FR65" i="27"/>
  <c r="FS65" i="27"/>
  <c r="FT65" i="27"/>
  <c r="FU65" i="27"/>
  <c r="FV65" i="27"/>
  <c r="FW65" i="27"/>
  <c r="FX65" i="27"/>
  <c r="FY65" i="27"/>
  <c r="FZ65" i="27"/>
  <c r="GA65" i="27"/>
  <c r="GB65" i="27"/>
  <c r="GC65" i="27"/>
  <c r="GD65" i="27"/>
  <c r="GE65" i="27"/>
  <c r="GF65" i="27"/>
  <c r="GG65" i="27"/>
  <c r="GH65" i="27"/>
  <c r="GI65" i="27"/>
  <c r="GJ65" i="27"/>
  <c r="GK65" i="27"/>
  <c r="GL65" i="27"/>
  <c r="GM65" i="27"/>
  <c r="GN65" i="27"/>
  <c r="GO65" i="27"/>
  <c r="GP65" i="27"/>
  <c r="GQ65" i="27"/>
  <c r="GR65" i="27"/>
  <c r="GS65" i="27"/>
  <c r="GT65" i="27"/>
  <c r="GU65" i="27"/>
  <c r="GV65" i="27"/>
  <c r="GW65" i="27"/>
  <c r="GX65" i="27"/>
  <c r="GY65" i="27"/>
  <c r="GZ65" i="27"/>
  <c r="HA65" i="27"/>
  <c r="HB65" i="27"/>
  <c r="HC65" i="27"/>
  <c r="HD65" i="27"/>
  <c r="HE65" i="27"/>
  <c r="HF65" i="27"/>
  <c r="HG65" i="27"/>
  <c r="HH65" i="27"/>
  <c r="HI65" i="27"/>
  <c r="HJ65" i="27"/>
  <c r="HK65" i="27"/>
  <c r="HL65" i="27"/>
  <c r="HM65" i="27"/>
  <c r="HN65" i="27"/>
  <c r="HO65" i="27"/>
  <c r="HP65" i="27"/>
  <c r="HQ65" i="27"/>
  <c r="HR65" i="27"/>
  <c r="HS65" i="27"/>
  <c r="HT65" i="27"/>
  <c r="HU65" i="27"/>
  <c r="HV65" i="27"/>
  <c r="HW65" i="27"/>
  <c r="HX65" i="27"/>
  <c r="HY65" i="27"/>
  <c r="HZ65" i="27"/>
  <c r="IA65" i="27"/>
  <c r="IB65" i="27"/>
  <c r="IC65" i="27"/>
  <c r="ID65" i="27"/>
  <c r="IE65" i="27"/>
  <c r="IF65" i="27"/>
  <c r="IG65" i="27"/>
  <c r="IH65" i="27"/>
  <c r="II65" i="27"/>
  <c r="IJ65" i="27"/>
  <c r="IK65" i="27"/>
  <c r="IL65" i="27"/>
  <c r="IM65" i="27"/>
  <c r="IN65" i="27"/>
  <c r="IO65" i="27"/>
  <c r="IP65" i="27"/>
  <c r="IQ65" i="27"/>
  <c r="IR65" i="27"/>
  <c r="IS65" i="27"/>
  <c r="IT65" i="27"/>
  <c r="IU65" i="27"/>
  <c r="IV65" i="27"/>
  <c r="A64" i="27"/>
  <c r="B64" i="27"/>
  <c r="C64" i="27"/>
  <c r="D64"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AN64" i="27"/>
  <c r="AO64" i="27"/>
  <c r="AP64" i="27"/>
  <c r="AQ64" i="27"/>
  <c r="AR64" i="27"/>
  <c r="AS64" i="27"/>
  <c r="AT64" i="27"/>
  <c r="AU64" i="27"/>
  <c r="AV64" i="27"/>
  <c r="AW64" i="27"/>
  <c r="AX64" i="27"/>
  <c r="AY64" i="27"/>
  <c r="AZ64" i="27"/>
  <c r="BA64" i="27"/>
  <c r="BB64" i="27"/>
  <c r="BC64" i="27"/>
  <c r="BD64" i="27"/>
  <c r="BE64" i="27"/>
  <c r="BF64" i="27"/>
  <c r="BG64" i="27"/>
  <c r="BH64" i="27"/>
  <c r="BI64" i="27"/>
  <c r="BJ64" i="27"/>
  <c r="BK64" i="27"/>
  <c r="BL64" i="27"/>
  <c r="BM64" i="27"/>
  <c r="BN64" i="27"/>
  <c r="BO64" i="27"/>
  <c r="BP64" i="27"/>
  <c r="BQ64" i="27"/>
  <c r="BR64" i="27"/>
  <c r="BS64" i="27"/>
  <c r="BT64" i="27"/>
  <c r="BU64" i="27"/>
  <c r="BV64" i="27"/>
  <c r="BW64" i="27"/>
  <c r="BX64" i="27"/>
  <c r="BY64" i="27"/>
  <c r="BZ64" i="27"/>
  <c r="CA64" i="27"/>
  <c r="CB64" i="27"/>
  <c r="CC64" i="27"/>
  <c r="CD64" i="27"/>
  <c r="CE64" i="27"/>
  <c r="CF64" i="27"/>
  <c r="CG64" i="27"/>
  <c r="CH64" i="27"/>
  <c r="CI64" i="27"/>
  <c r="CJ64" i="27"/>
  <c r="CK64" i="27"/>
  <c r="CL64" i="27"/>
  <c r="CM64" i="27"/>
  <c r="CN64" i="27"/>
  <c r="CO64" i="27"/>
  <c r="CP64" i="27"/>
  <c r="CQ64" i="27"/>
  <c r="CR64" i="27"/>
  <c r="CS64" i="27"/>
  <c r="CT64" i="27"/>
  <c r="CU64" i="27"/>
  <c r="CV64" i="27"/>
  <c r="CW64" i="27"/>
  <c r="CX64" i="27"/>
  <c r="CY64" i="27"/>
  <c r="CZ64" i="27"/>
  <c r="DA64" i="27"/>
  <c r="DB64" i="27"/>
  <c r="DC64" i="27"/>
  <c r="DD64" i="27"/>
  <c r="DE64" i="27"/>
  <c r="DF64" i="27"/>
  <c r="DG64" i="27"/>
  <c r="DH64" i="27"/>
  <c r="DI64" i="27"/>
  <c r="DJ64" i="27"/>
  <c r="DK64" i="27"/>
  <c r="DL64" i="27"/>
  <c r="DM64" i="27"/>
  <c r="DN64" i="27"/>
  <c r="DO64" i="27"/>
  <c r="DP64" i="27"/>
  <c r="DQ64" i="27"/>
  <c r="DR64" i="27"/>
  <c r="DS64" i="27"/>
  <c r="DT64" i="27"/>
  <c r="DU64" i="27"/>
  <c r="DV64" i="27"/>
  <c r="DW64" i="27"/>
  <c r="DX64" i="27"/>
  <c r="DY64" i="27"/>
  <c r="DZ64" i="27"/>
  <c r="EA64" i="27"/>
  <c r="EB64" i="27"/>
  <c r="EC64" i="27"/>
  <c r="ED64" i="27"/>
  <c r="EE64" i="27"/>
  <c r="EF64" i="27"/>
  <c r="EG64" i="27"/>
  <c r="EH64" i="27"/>
  <c r="EI64" i="27"/>
  <c r="EJ64" i="27"/>
  <c r="EK64" i="27"/>
  <c r="EL64" i="27"/>
  <c r="EM64" i="27"/>
  <c r="EN64" i="27"/>
  <c r="EO64" i="27"/>
  <c r="EP64" i="27"/>
  <c r="EQ64" i="27"/>
  <c r="ER64" i="27"/>
  <c r="ES64" i="27"/>
  <c r="ET64" i="27"/>
  <c r="EU64" i="27"/>
  <c r="EV64" i="27"/>
  <c r="EW64" i="27"/>
  <c r="EX64" i="27"/>
  <c r="EY64" i="27"/>
  <c r="EZ64" i="27"/>
  <c r="FA64" i="27"/>
  <c r="FB64" i="27"/>
  <c r="FC64" i="27"/>
  <c r="FD64" i="27"/>
  <c r="FE64" i="27"/>
  <c r="FF64" i="27"/>
  <c r="FG64" i="27"/>
  <c r="FH64" i="27"/>
  <c r="FI64" i="27"/>
  <c r="FJ64" i="27"/>
  <c r="FK64" i="27"/>
  <c r="FL64" i="27"/>
  <c r="FM64" i="27"/>
  <c r="FN64" i="27"/>
  <c r="FO64" i="27"/>
  <c r="FP64" i="27"/>
  <c r="FQ64" i="27"/>
  <c r="FR64" i="27"/>
  <c r="FS64" i="27"/>
  <c r="FT64" i="27"/>
  <c r="FU64" i="27"/>
  <c r="FV64" i="27"/>
  <c r="FW64" i="27"/>
  <c r="FX64" i="27"/>
  <c r="FY64" i="27"/>
  <c r="FZ64" i="27"/>
  <c r="GA64" i="27"/>
  <c r="GB64" i="27"/>
  <c r="GC64" i="27"/>
  <c r="GD64" i="27"/>
  <c r="GE64" i="27"/>
  <c r="GF64" i="27"/>
  <c r="GG64" i="27"/>
  <c r="GH64" i="27"/>
  <c r="GI64" i="27"/>
  <c r="GJ64" i="27"/>
  <c r="GK64" i="27"/>
  <c r="GL64" i="27"/>
  <c r="GM64" i="27"/>
  <c r="GN64" i="27"/>
  <c r="GO64" i="27"/>
  <c r="GP64" i="27"/>
  <c r="GQ64" i="27"/>
  <c r="GR64" i="27"/>
  <c r="GS64" i="27"/>
  <c r="GT64" i="27"/>
  <c r="GU64" i="27"/>
  <c r="GV64" i="27"/>
  <c r="GW64" i="27"/>
  <c r="GX64" i="27"/>
  <c r="GY64" i="27"/>
  <c r="GZ64" i="27"/>
  <c r="HA64" i="27"/>
  <c r="HB64" i="27"/>
  <c r="HC64" i="27"/>
  <c r="HD64" i="27"/>
  <c r="HE64" i="27"/>
  <c r="HF64" i="27"/>
  <c r="HG64" i="27"/>
  <c r="HH64" i="27"/>
  <c r="HI64" i="27"/>
  <c r="HJ64" i="27"/>
  <c r="HK64" i="27"/>
  <c r="HL64" i="27"/>
  <c r="HM64" i="27"/>
  <c r="HN64" i="27"/>
  <c r="HO64" i="27"/>
  <c r="HP64" i="27"/>
  <c r="HQ64" i="27"/>
  <c r="HR64" i="27"/>
  <c r="HS64" i="27"/>
  <c r="HT64" i="27"/>
  <c r="HU64" i="27"/>
  <c r="HV64" i="27"/>
  <c r="HW64" i="27"/>
  <c r="HX64" i="27"/>
  <c r="HY64" i="27"/>
  <c r="HZ64" i="27"/>
  <c r="IA64" i="27"/>
  <c r="IB64" i="27"/>
  <c r="IC64" i="27"/>
  <c r="ID64" i="27"/>
  <c r="IE64" i="27"/>
  <c r="IF64" i="27"/>
  <c r="IG64" i="27"/>
  <c r="IH64" i="27"/>
  <c r="II64" i="27"/>
  <c r="IJ64" i="27"/>
  <c r="IK64" i="27"/>
  <c r="IL64" i="27"/>
  <c r="IM64" i="27"/>
  <c r="IN64" i="27"/>
  <c r="IO64" i="27"/>
  <c r="IP64" i="27"/>
  <c r="IQ64" i="27"/>
  <c r="IR64" i="27"/>
  <c r="IS64" i="27"/>
  <c r="IT64" i="27"/>
  <c r="IU64" i="27"/>
  <c r="IV64" i="27"/>
  <c r="A63" i="27"/>
  <c r="B63" i="27"/>
  <c r="C63" i="27"/>
  <c r="D63"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AN63" i="27"/>
  <c r="AO63" i="27"/>
  <c r="AP63" i="27"/>
  <c r="AQ63" i="27"/>
  <c r="AR63" i="27"/>
  <c r="AS63" i="27"/>
  <c r="AT63" i="27"/>
  <c r="AU63" i="27"/>
  <c r="AV63" i="27"/>
  <c r="AW63" i="27"/>
  <c r="AX63" i="27"/>
  <c r="AY63" i="27"/>
  <c r="AZ63" i="27"/>
  <c r="BA63" i="27"/>
  <c r="BB63" i="27"/>
  <c r="BC63" i="27"/>
  <c r="BD63" i="27"/>
  <c r="BE63" i="27"/>
  <c r="BF63" i="27"/>
  <c r="BG63" i="27"/>
  <c r="BH63" i="27"/>
  <c r="BI63" i="27"/>
  <c r="BJ63" i="27"/>
  <c r="BK63" i="27"/>
  <c r="BL63" i="27"/>
  <c r="BM63" i="27"/>
  <c r="BN63" i="27"/>
  <c r="BO63" i="27"/>
  <c r="BP63" i="27"/>
  <c r="BQ63" i="27"/>
  <c r="BR63" i="27"/>
  <c r="BS63" i="27"/>
  <c r="BT63" i="27"/>
  <c r="BU63" i="27"/>
  <c r="BV63" i="27"/>
  <c r="BW63" i="27"/>
  <c r="BX63" i="27"/>
  <c r="BY63" i="27"/>
  <c r="BZ63" i="27"/>
  <c r="CA63" i="27"/>
  <c r="CB63" i="27"/>
  <c r="CC63" i="27"/>
  <c r="CD63" i="27"/>
  <c r="CE63" i="27"/>
  <c r="CF63" i="27"/>
  <c r="CG63" i="27"/>
  <c r="CH63" i="27"/>
  <c r="CI63" i="27"/>
  <c r="CJ63" i="27"/>
  <c r="CK63" i="27"/>
  <c r="CL63" i="27"/>
  <c r="CM63" i="27"/>
  <c r="CN63" i="27"/>
  <c r="CO63" i="27"/>
  <c r="CP63" i="27"/>
  <c r="CQ63" i="27"/>
  <c r="CR63" i="27"/>
  <c r="CS63" i="27"/>
  <c r="CT63" i="27"/>
  <c r="CU63" i="27"/>
  <c r="CV63" i="27"/>
  <c r="CW63" i="27"/>
  <c r="CX63" i="27"/>
  <c r="CY63" i="27"/>
  <c r="CZ63" i="27"/>
  <c r="DA63" i="27"/>
  <c r="DB63" i="27"/>
  <c r="DC63" i="27"/>
  <c r="DD63" i="27"/>
  <c r="DE63" i="27"/>
  <c r="DF63" i="27"/>
  <c r="DG63" i="27"/>
  <c r="DH63" i="27"/>
  <c r="DI63" i="27"/>
  <c r="DJ63" i="27"/>
  <c r="DK63" i="27"/>
  <c r="DL63" i="27"/>
  <c r="DM63" i="27"/>
  <c r="DN63" i="27"/>
  <c r="DO63" i="27"/>
  <c r="DP63" i="27"/>
  <c r="DQ63" i="27"/>
  <c r="DR63" i="27"/>
  <c r="DS63" i="27"/>
  <c r="DT63" i="27"/>
  <c r="DU63" i="27"/>
  <c r="DV63" i="27"/>
  <c r="DW63" i="27"/>
  <c r="DX63" i="27"/>
  <c r="DY63" i="27"/>
  <c r="DZ63" i="27"/>
  <c r="EA63" i="27"/>
  <c r="EB63" i="27"/>
  <c r="EC63" i="27"/>
  <c r="ED63" i="27"/>
  <c r="EE63" i="27"/>
  <c r="EF63" i="27"/>
  <c r="EG63" i="27"/>
  <c r="EH63" i="27"/>
  <c r="EI63" i="27"/>
  <c r="EJ63" i="27"/>
  <c r="EK63" i="27"/>
  <c r="EL63" i="27"/>
  <c r="EM63" i="27"/>
  <c r="EN63" i="27"/>
  <c r="EO63" i="27"/>
  <c r="EP63" i="27"/>
  <c r="EQ63" i="27"/>
  <c r="ER63" i="27"/>
  <c r="ES63" i="27"/>
  <c r="ET63" i="27"/>
  <c r="EU63" i="27"/>
  <c r="EV63" i="27"/>
  <c r="EW63" i="27"/>
  <c r="EX63" i="27"/>
  <c r="EY63" i="27"/>
  <c r="EZ63" i="27"/>
  <c r="FA63" i="27"/>
  <c r="FB63" i="27"/>
  <c r="FC63" i="27"/>
  <c r="FD63" i="27"/>
  <c r="FE63" i="27"/>
  <c r="FF63" i="27"/>
  <c r="FG63" i="27"/>
  <c r="FH63" i="27"/>
  <c r="FI63" i="27"/>
  <c r="FJ63" i="27"/>
  <c r="FK63" i="27"/>
  <c r="FL63" i="27"/>
  <c r="FM63" i="27"/>
  <c r="FN63" i="27"/>
  <c r="FO63" i="27"/>
  <c r="FP63" i="27"/>
  <c r="FQ63" i="27"/>
  <c r="FR63" i="27"/>
  <c r="FS63" i="27"/>
  <c r="FT63" i="27"/>
  <c r="FU63" i="27"/>
  <c r="FV63" i="27"/>
  <c r="FW63" i="27"/>
  <c r="FX63" i="27"/>
  <c r="FY63" i="27"/>
  <c r="FZ63" i="27"/>
  <c r="GA63" i="27"/>
  <c r="GB63" i="27"/>
  <c r="GC63" i="27"/>
  <c r="GD63" i="27"/>
  <c r="GE63" i="27"/>
  <c r="GF63" i="27"/>
  <c r="GG63" i="27"/>
  <c r="GH63" i="27"/>
  <c r="GI63" i="27"/>
  <c r="GJ63" i="27"/>
  <c r="GK63" i="27"/>
  <c r="GL63" i="27"/>
  <c r="GM63" i="27"/>
  <c r="GN63" i="27"/>
  <c r="GO63" i="27"/>
  <c r="GP63" i="27"/>
  <c r="GQ63" i="27"/>
  <c r="GR63" i="27"/>
  <c r="GS63" i="27"/>
  <c r="GT63" i="27"/>
  <c r="GU63" i="27"/>
  <c r="GV63" i="27"/>
  <c r="GW63" i="27"/>
  <c r="GX63" i="27"/>
  <c r="GY63" i="27"/>
  <c r="GZ63" i="27"/>
  <c r="HA63" i="27"/>
  <c r="HB63" i="27"/>
  <c r="HC63" i="27"/>
  <c r="HD63" i="27"/>
  <c r="HE63" i="27"/>
  <c r="HF63" i="27"/>
  <c r="HG63" i="27"/>
  <c r="HH63" i="27"/>
  <c r="HI63" i="27"/>
  <c r="HJ63" i="27"/>
  <c r="HK63" i="27"/>
  <c r="HL63" i="27"/>
  <c r="HM63" i="27"/>
  <c r="HN63" i="27"/>
  <c r="HO63" i="27"/>
  <c r="HP63" i="27"/>
  <c r="HQ63" i="27"/>
  <c r="HR63" i="27"/>
  <c r="HS63" i="27"/>
  <c r="HT63" i="27"/>
  <c r="HU63" i="27"/>
  <c r="HV63" i="27"/>
  <c r="HW63" i="27"/>
  <c r="HX63" i="27"/>
  <c r="HY63" i="27"/>
  <c r="HZ63" i="27"/>
  <c r="IA63" i="27"/>
  <c r="IB63" i="27"/>
  <c r="IC63" i="27"/>
  <c r="ID63" i="27"/>
  <c r="IE63" i="27"/>
  <c r="IF63" i="27"/>
  <c r="IG63" i="27"/>
  <c r="IH63" i="27"/>
  <c r="II63" i="27"/>
  <c r="IJ63" i="27"/>
  <c r="IK63" i="27"/>
  <c r="IL63" i="27"/>
  <c r="IM63" i="27"/>
  <c r="IN63" i="27"/>
  <c r="IO63" i="27"/>
  <c r="IP63" i="27"/>
  <c r="IQ63" i="27"/>
  <c r="IR63" i="27"/>
  <c r="IS63" i="27"/>
  <c r="IT63" i="27"/>
  <c r="IU63" i="27"/>
  <c r="IV63" i="27"/>
  <c r="A62" i="27"/>
  <c r="B62" i="27"/>
  <c r="C62" i="27"/>
  <c r="D62"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AN62" i="27"/>
  <c r="AO62" i="27"/>
  <c r="AP62" i="27"/>
  <c r="AQ62" i="27"/>
  <c r="AR62" i="27"/>
  <c r="AS62" i="27"/>
  <c r="AT62" i="27"/>
  <c r="AU62" i="27"/>
  <c r="AV62" i="27"/>
  <c r="AW62" i="27"/>
  <c r="AX62" i="27"/>
  <c r="AY62" i="27"/>
  <c r="AZ62" i="27"/>
  <c r="BA62" i="27"/>
  <c r="BB62" i="27"/>
  <c r="BC62" i="27"/>
  <c r="BD62" i="27"/>
  <c r="BE62" i="27"/>
  <c r="BF62" i="27"/>
  <c r="BG62" i="27"/>
  <c r="BH62" i="27"/>
  <c r="BI62" i="27"/>
  <c r="BJ62" i="27"/>
  <c r="BK62" i="27"/>
  <c r="BL62" i="27"/>
  <c r="BM62" i="27"/>
  <c r="BN62" i="27"/>
  <c r="BO62" i="27"/>
  <c r="BP62" i="27"/>
  <c r="BQ62" i="27"/>
  <c r="BR62" i="27"/>
  <c r="BS62" i="27"/>
  <c r="BT62" i="27"/>
  <c r="BU62" i="27"/>
  <c r="BV62" i="27"/>
  <c r="BW62" i="27"/>
  <c r="BX62" i="27"/>
  <c r="BY62" i="27"/>
  <c r="BZ62" i="27"/>
  <c r="CA62" i="27"/>
  <c r="CB62" i="27"/>
  <c r="CC62" i="27"/>
  <c r="CD62" i="27"/>
  <c r="CE62" i="27"/>
  <c r="CF62" i="27"/>
  <c r="CG62" i="27"/>
  <c r="CH62" i="27"/>
  <c r="CI62" i="27"/>
  <c r="CJ62" i="27"/>
  <c r="CK62" i="27"/>
  <c r="CL62" i="27"/>
  <c r="CM62" i="27"/>
  <c r="CN62" i="27"/>
  <c r="CO62" i="27"/>
  <c r="CP62" i="27"/>
  <c r="CQ62" i="27"/>
  <c r="CR62" i="27"/>
  <c r="CS62" i="27"/>
  <c r="CT62" i="27"/>
  <c r="CU62" i="27"/>
  <c r="CV62" i="27"/>
  <c r="CW62" i="27"/>
  <c r="CX62" i="27"/>
  <c r="CY62" i="27"/>
  <c r="CZ62" i="27"/>
  <c r="DA62" i="27"/>
  <c r="DB62" i="27"/>
  <c r="DC62" i="27"/>
  <c r="DD62" i="27"/>
  <c r="DE62" i="27"/>
  <c r="DF62" i="27"/>
  <c r="DG62" i="27"/>
  <c r="DH62" i="27"/>
  <c r="DI62" i="27"/>
  <c r="DJ62" i="27"/>
  <c r="DK62" i="27"/>
  <c r="DL62" i="27"/>
  <c r="DM62" i="27"/>
  <c r="DN62" i="27"/>
  <c r="DO62" i="27"/>
  <c r="DP62" i="27"/>
  <c r="DQ62" i="27"/>
  <c r="DR62" i="27"/>
  <c r="DS62" i="27"/>
  <c r="DT62" i="27"/>
  <c r="DU62" i="27"/>
  <c r="DV62" i="27"/>
  <c r="DW62" i="27"/>
  <c r="DX62" i="27"/>
  <c r="DY62" i="27"/>
  <c r="DZ62" i="27"/>
  <c r="EA62" i="27"/>
  <c r="EB62" i="27"/>
  <c r="EC62" i="27"/>
  <c r="ED62" i="27"/>
  <c r="EE62" i="27"/>
  <c r="EF62" i="27"/>
  <c r="EG62" i="27"/>
  <c r="EH62" i="27"/>
  <c r="EI62" i="27"/>
  <c r="EJ62" i="27"/>
  <c r="EK62" i="27"/>
  <c r="EL62" i="27"/>
  <c r="EM62" i="27"/>
  <c r="EN62" i="27"/>
  <c r="EO62" i="27"/>
  <c r="EP62" i="27"/>
  <c r="EQ62" i="27"/>
  <c r="ER62" i="27"/>
  <c r="ES62" i="27"/>
  <c r="ET62" i="27"/>
  <c r="EU62" i="27"/>
  <c r="EV62" i="27"/>
  <c r="EW62" i="27"/>
  <c r="EX62" i="27"/>
  <c r="EY62" i="27"/>
  <c r="EZ62" i="27"/>
  <c r="FA62" i="27"/>
  <c r="FB62" i="27"/>
  <c r="FC62" i="27"/>
  <c r="FD62" i="27"/>
  <c r="FE62" i="27"/>
  <c r="FF62" i="27"/>
  <c r="FG62" i="27"/>
  <c r="FH62" i="27"/>
  <c r="FI62" i="27"/>
  <c r="FJ62" i="27"/>
  <c r="FK62" i="27"/>
  <c r="FL62" i="27"/>
  <c r="FM62" i="27"/>
  <c r="FN62" i="27"/>
  <c r="FO62" i="27"/>
  <c r="FP62" i="27"/>
  <c r="FQ62" i="27"/>
  <c r="FR62" i="27"/>
  <c r="FS62" i="27"/>
  <c r="FT62" i="27"/>
  <c r="FU62" i="27"/>
  <c r="FV62" i="27"/>
  <c r="FW62" i="27"/>
  <c r="FX62" i="27"/>
  <c r="FY62" i="27"/>
  <c r="FZ62" i="27"/>
  <c r="GA62" i="27"/>
  <c r="GB62" i="27"/>
  <c r="GC62" i="27"/>
  <c r="GD62" i="27"/>
  <c r="GE62" i="27"/>
  <c r="GF62" i="27"/>
  <c r="GG62" i="27"/>
  <c r="GH62" i="27"/>
  <c r="GI62" i="27"/>
  <c r="GJ62" i="27"/>
  <c r="GK62" i="27"/>
  <c r="GL62" i="27"/>
  <c r="GM62" i="27"/>
  <c r="GN62" i="27"/>
  <c r="GO62" i="27"/>
  <c r="GP62" i="27"/>
  <c r="GQ62" i="27"/>
  <c r="GR62" i="27"/>
  <c r="GS62" i="27"/>
  <c r="GT62" i="27"/>
  <c r="GU62" i="27"/>
  <c r="GV62" i="27"/>
  <c r="GW62" i="27"/>
  <c r="GX62" i="27"/>
  <c r="GY62" i="27"/>
  <c r="GZ62" i="27"/>
  <c r="HA62" i="27"/>
  <c r="HB62" i="27"/>
  <c r="HC62" i="27"/>
  <c r="HD62" i="27"/>
  <c r="HE62" i="27"/>
  <c r="HF62" i="27"/>
  <c r="HG62" i="27"/>
  <c r="HH62" i="27"/>
  <c r="HI62" i="27"/>
  <c r="HJ62" i="27"/>
  <c r="HK62" i="27"/>
  <c r="HL62" i="27"/>
  <c r="HM62" i="27"/>
  <c r="HN62" i="27"/>
  <c r="HO62" i="27"/>
  <c r="HP62" i="27"/>
  <c r="HQ62" i="27"/>
  <c r="HR62" i="27"/>
  <c r="HS62" i="27"/>
  <c r="HT62" i="27"/>
  <c r="HU62" i="27"/>
  <c r="HV62" i="27"/>
  <c r="HW62" i="27"/>
  <c r="HX62" i="27"/>
  <c r="HY62" i="27"/>
  <c r="HZ62" i="27"/>
  <c r="IA62" i="27"/>
  <c r="IB62" i="27"/>
  <c r="IC62" i="27"/>
  <c r="ID62" i="27"/>
  <c r="IE62" i="27"/>
  <c r="IF62" i="27"/>
  <c r="IG62" i="27"/>
  <c r="IH62" i="27"/>
  <c r="II62" i="27"/>
  <c r="IJ62" i="27"/>
  <c r="IK62" i="27"/>
  <c r="IL62" i="27"/>
  <c r="IM62" i="27"/>
  <c r="IN62" i="27"/>
  <c r="IO62" i="27"/>
  <c r="IP62" i="27"/>
  <c r="IQ62" i="27"/>
  <c r="IR62" i="27"/>
  <c r="IS62" i="27"/>
  <c r="IT62" i="27"/>
  <c r="IU62" i="27"/>
  <c r="IV62" i="27"/>
  <c r="A61" i="27"/>
  <c r="B61" i="27"/>
  <c r="C61" i="27"/>
  <c r="D61"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BP61" i="27"/>
  <c r="BQ61" i="27"/>
  <c r="BR61" i="27"/>
  <c r="BS61" i="27"/>
  <c r="BT61" i="27"/>
  <c r="BU61" i="27"/>
  <c r="BV61" i="27"/>
  <c r="BW61" i="27"/>
  <c r="BX61" i="27"/>
  <c r="BY61" i="27"/>
  <c r="BZ61" i="27"/>
  <c r="CA61" i="27"/>
  <c r="CB61" i="27"/>
  <c r="CC61" i="27"/>
  <c r="CD61" i="27"/>
  <c r="CE61" i="27"/>
  <c r="CF61" i="27"/>
  <c r="CG61" i="27"/>
  <c r="CH61" i="27"/>
  <c r="CI61" i="27"/>
  <c r="CJ61" i="27"/>
  <c r="CK61" i="27"/>
  <c r="CL61" i="27"/>
  <c r="CM61" i="27"/>
  <c r="CN61" i="27"/>
  <c r="CO61" i="27"/>
  <c r="CP61" i="27"/>
  <c r="CQ61" i="27"/>
  <c r="CR61" i="27"/>
  <c r="CS61" i="27"/>
  <c r="CT61" i="27"/>
  <c r="CU61" i="27"/>
  <c r="CV61" i="27"/>
  <c r="CW61" i="27"/>
  <c r="CX61" i="27"/>
  <c r="CY61" i="27"/>
  <c r="CZ61" i="27"/>
  <c r="DA61" i="27"/>
  <c r="DB61" i="27"/>
  <c r="DC61" i="27"/>
  <c r="DD61" i="27"/>
  <c r="DE61" i="27"/>
  <c r="DF61" i="27"/>
  <c r="DG61" i="27"/>
  <c r="DH61" i="27"/>
  <c r="DI61" i="27"/>
  <c r="DJ61" i="27"/>
  <c r="DK61" i="27"/>
  <c r="DL61" i="27"/>
  <c r="DM61" i="27"/>
  <c r="DN61" i="27"/>
  <c r="DO61" i="27"/>
  <c r="DP61" i="27"/>
  <c r="DQ61" i="27"/>
  <c r="DR61" i="27"/>
  <c r="DS61" i="27"/>
  <c r="DT61" i="27"/>
  <c r="DU61" i="27"/>
  <c r="DV61" i="27"/>
  <c r="DW61" i="27"/>
  <c r="DX61" i="27"/>
  <c r="DY61" i="27"/>
  <c r="DZ61" i="27"/>
  <c r="EA61" i="27"/>
  <c r="EB61" i="27"/>
  <c r="EC61" i="27"/>
  <c r="ED61" i="27"/>
  <c r="EE61" i="27"/>
  <c r="EF61" i="27"/>
  <c r="EG61" i="27"/>
  <c r="EH61" i="27"/>
  <c r="EI61" i="27"/>
  <c r="EJ61" i="27"/>
  <c r="EK61" i="27"/>
  <c r="EL61" i="27"/>
  <c r="EM61" i="27"/>
  <c r="EN61" i="27"/>
  <c r="EO61" i="27"/>
  <c r="EP61" i="27"/>
  <c r="EQ61" i="27"/>
  <c r="ER61" i="27"/>
  <c r="ES61" i="27"/>
  <c r="ET61" i="27"/>
  <c r="EU61" i="27"/>
  <c r="EV61" i="27"/>
  <c r="EW61" i="27"/>
  <c r="EX61" i="27"/>
  <c r="EY61" i="27"/>
  <c r="EZ61" i="27"/>
  <c r="FA61" i="27"/>
  <c r="FB61" i="27"/>
  <c r="FC61" i="27"/>
  <c r="FD61" i="27"/>
  <c r="FE61" i="27"/>
  <c r="FF61" i="27"/>
  <c r="FG61" i="27"/>
  <c r="FH61" i="27"/>
  <c r="FI61" i="27"/>
  <c r="FJ61" i="27"/>
  <c r="FK61" i="27"/>
  <c r="FL61" i="27"/>
  <c r="FM61" i="27"/>
  <c r="FN61" i="27"/>
  <c r="FO61" i="27"/>
  <c r="FP61" i="27"/>
  <c r="FQ61" i="27"/>
  <c r="FR61" i="27"/>
  <c r="FS61" i="27"/>
  <c r="FT61" i="27"/>
  <c r="FU61" i="27"/>
  <c r="FV61" i="27"/>
  <c r="FW61" i="27"/>
  <c r="FX61" i="27"/>
  <c r="FY61" i="27"/>
  <c r="FZ61" i="27"/>
  <c r="GA61" i="27"/>
  <c r="GB61" i="27"/>
  <c r="GC61" i="27"/>
  <c r="GD61" i="27"/>
  <c r="GE61" i="27"/>
  <c r="GF61" i="27"/>
  <c r="GG61" i="27"/>
  <c r="GH61" i="27"/>
  <c r="GI61" i="27"/>
  <c r="GJ61" i="27"/>
  <c r="GK61" i="27"/>
  <c r="GL61" i="27"/>
  <c r="GM61" i="27"/>
  <c r="GN61" i="27"/>
  <c r="GO61" i="27"/>
  <c r="GP61" i="27"/>
  <c r="GQ61" i="27"/>
  <c r="GR61" i="27"/>
  <c r="GS61" i="27"/>
  <c r="GT61" i="27"/>
  <c r="GU61" i="27"/>
  <c r="GV61" i="27"/>
  <c r="GW61" i="27"/>
  <c r="GX61" i="27"/>
  <c r="GY61" i="27"/>
  <c r="GZ61" i="27"/>
  <c r="HA61" i="27"/>
  <c r="HB61" i="27"/>
  <c r="HC61" i="27"/>
  <c r="HD61" i="27"/>
  <c r="HE61" i="27"/>
  <c r="HF61" i="27"/>
  <c r="HG61" i="27"/>
  <c r="HH61" i="27"/>
  <c r="HI61" i="27"/>
  <c r="HJ61" i="27"/>
  <c r="HK61" i="27"/>
  <c r="HL61" i="27"/>
  <c r="HM61" i="27"/>
  <c r="HN61" i="27"/>
  <c r="HO61" i="27"/>
  <c r="HP61" i="27"/>
  <c r="HQ61" i="27"/>
  <c r="HR61" i="27"/>
  <c r="HS61" i="27"/>
  <c r="HT61" i="27"/>
  <c r="HU61" i="27"/>
  <c r="HV61" i="27"/>
  <c r="HW61" i="27"/>
  <c r="HX61" i="27"/>
  <c r="HY61" i="27"/>
  <c r="HZ61" i="27"/>
  <c r="IA61" i="27"/>
  <c r="IB61" i="27"/>
  <c r="IC61" i="27"/>
  <c r="ID61" i="27"/>
  <c r="IE61" i="27"/>
  <c r="IF61" i="27"/>
  <c r="IG61" i="27"/>
  <c r="IH61" i="27"/>
  <c r="II61" i="27"/>
  <c r="IJ61" i="27"/>
  <c r="IK61" i="27"/>
  <c r="IL61" i="27"/>
  <c r="IM61" i="27"/>
  <c r="IN61" i="27"/>
  <c r="IO61" i="27"/>
  <c r="IP61" i="27"/>
  <c r="IQ61" i="27"/>
  <c r="IR61" i="27"/>
  <c r="IS61" i="27"/>
  <c r="IT61" i="27"/>
  <c r="IU61" i="27"/>
  <c r="IV61" i="27"/>
  <c r="A60" i="27"/>
  <c r="B60" i="27"/>
  <c r="C60" i="27"/>
  <c r="D60"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BQ60" i="27"/>
  <c r="BR60" i="27"/>
  <c r="BS60" i="27"/>
  <c r="BT60" i="27"/>
  <c r="BU60" i="27"/>
  <c r="BV60" i="27"/>
  <c r="BW60" i="27"/>
  <c r="BX60" i="27"/>
  <c r="BY60" i="27"/>
  <c r="BZ60" i="27"/>
  <c r="CA60" i="27"/>
  <c r="CB60" i="27"/>
  <c r="CC60" i="27"/>
  <c r="CD60" i="27"/>
  <c r="CE60" i="27"/>
  <c r="CF60" i="27"/>
  <c r="CG60" i="27"/>
  <c r="CH60" i="27"/>
  <c r="CI60" i="27"/>
  <c r="CJ60" i="27"/>
  <c r="CK60" i="27"/>
  <c r="CL60" i="27"/>
  <c r="CM60" i="27"/>
  <c r="CN60" i="27"/>
  <c r="CO60" i="27"/>
  <c r="CP60" i="27"/>
  <c r="CQ60" i="27"/>
  <c r="CR60" i="27"/>
  <c r="CS60" i="27"/>
  <c r="CT60" i="27"/>
  <c r="CU60" i="27"/>
  <c r="CV60" i="27"/>
  <c r="CW60" i="27"/>
  <c r="CX60" i="27"/>
  <c r="CY60" i="27"/>
  <c r="CZ60" i="27"/>
  <c r="DA60" i="27"/>
  <c r="DB60" i="27"/>
  <c r="DC60" i="27"/>
  <c r="DD60" i="27"/>
  <c r="DE60" i="27"/>
  <c r="DF60" i="27"/>
  <c r="DG60" i="27"/>
  <c r="DH60" i="27"/>
  <c r="DI60" i="27"/>
  <c r="DJ60" i="27"/>
  <c r="DK60" i="27"/>
  <c r="DL60" i="27"/>
  <c r="DM60" i="27"/>
  <c r="DN60" i="27"/>
  <c r="DO60" i="27"/>
  <c r="DP60" i="27"/>
  <c r="DQ60" i="27"/>
  <c r="DR60" i="27"/>
  <c r="DS60" i="27"/>
  <c r="DT60" i="27"/>
  <c r="DU60" i="27"/>
  <c r="DV60" i="27"/>
  <c r="DW60" i="27"/>
  <c r="DX60" i="27"/>
  <c r="DY60" i="27"/>
  <c r="DZ60" i="27"/>
  <c r="EA60" i="27"/>
  <c r="EB60" i="27"/>
  <c r="EC60" i="27"/>
  <c r="ED60" i="27"/>
  <c r="EE60" i="27"/>
  <c r="EF60" i="27"/>
  <c r="EG60" i="27"/>
  <c r="EH60" i="27"/>
  <c r="EI60" i="27"/>
  <c r="EJ60" i="27"/>
  <c r="EK60" i="27"/>
  <c r="EL60" i="27"/>
  <c r="EM60" i="27"/>
  <c r="EN60" i="27"/>
  <c r="EO60" i="27"/>
  <c r="EP60" i="27"/>
  <c r="EQ60" i="27"/>
  <c r="ER60" i="27"/>
  <c r="ES60" i="27"/>
  <c r="ET60" i="27"/>
  <c r="EU60" i="27"/>
  <c r="EV60" i="27"/>
  <c r="EW60" i="27"/>
  <c r="EX60" i="27"/>
  <c r="EY60" i="27"/>
  <c r="EZ60" i="27"/>
  <c r="FA60" i="27"/>
  <c r="FB60" i="27"/>
  <c r="FC60" i="27"/>
  <c r="FD60" i="27"/>
  <c r="FE60" i="27"/>
  <c r="FF60" i="27"/>
  <c r="FG60" i="27"/>
  <c r="FH60" i="27"/>
  <c r="FI60" i="27"/>
  <c r="FJ60" i="27"/>
  <c r="FK60" i="27"/>
  <c r="FL60" i="27"/>
  <c r="FM60" i="27"/>
  <c r="FN60" i="27"/>
  <c r="FO60" i="27"/>
  <c r="FP60" i="27"/>
  <c r="FQ60" i="27"/>
  <c r="FR60" i="27"/>
  <c r="FS60" i="27"/>
  <c r="FT60" i="27"/>
  <c r="FU60" i="27"/>
  <c r="FV60" i="27"/>
  <c r="FW60" i="27"/>
  <c r="FX60" i="27"/>
  <c r="FY60" i="27"/>
  <c r="FZ60" i="27"/>
  <c r="GA60" i="27"/>
  <c r="GB60" i="27"/>
  <c r="GC60" i="27"/>
  <c r="GD60" i="27"/>
  <c r="GE60" i="27"/>
  <c r="GF60" i="27"/>
  <c r="GG60" i="27"/>
  <c r="GH60" i="27"/>
  <c r="GI60" i="27"/>
  <c r="GJ60" i="27"/>
  <c r="GK60" i="27"/>
  <c r="GL60" i="27"/>
  <c r="GM60" i="27"/>
  <c r="GN60" i="27"/>
  <c r="GO60" i="27"/>
  <c r="GP60" i="27"/>
  <c r="GQ60" i="27"/>
  <c r="GR60" i="27"/>
  <c r="GS60" i="27"/>
  <c r="GT60" i="27"/>
  <c r="GU60" i="27"/>
  <c r="GV60" i="27"/>
  <c r="GW60" i="27"/>
  <c r="GX60" i="27"/>
  <c r="GY60" i="27"/>
  <c r="GZ60" i="27"/>
  <c r="HA60" i="27"/>
  <c r="HB60" i="27"/>
  <c r="HC60" i="27"/>
  <c r="HD60" i="27"/>
  <c r="HE60" i="27"/>
  <c r="HF60" i="27"/>
  <c r="HG60" i="27"/>
  <c r="HH60" i="27"/>
  <c r="HI60" i="27"/>
  <c r="HJ60" i="27"/>
  <c r="HK60" i="27"/>
  <c r="HL60" i="27"/>
  <c r="HM60" i="27"/>
  <c r="HN60" i="27"/>
  <c r="HO60" i="27"/>
  <c r="HP60" i="27"/>
  <c r="HQ60" i="27"/>
  <c r="HR60" i="27"/>
  <c r="HS60" i="27"/>
  <c r="HT60" i="27"/>
  <c r="HU60" i="27"/>
  <c r="HV60" i="27"/>
  <c r="HW60" i="27"/>
  <c r="HX60" i="27"/>
  <c r="HY60" i="27"/>
  <c r="HZ60" i="27"/>
  <c r="IA60" i="27"/>
  <c r="IB60" i="27"/>
  <c r="IC60" i="27"/>
  <c r="ID60" i="27"/>
  <c r="IE60" i="27"/>
  <c r="IF60" i="27"/>
  <c r="IG60" i="27"/>
  <c r="IH60" i="27"/>
  <c r="II60" i="27"/>
  <c r="IJ60" i="27"/>
  <c r="IK60" i="27"/>
  <c r="IL60" i="27"/>
  <c r="IM60" i="27"/>
  <c r="IN60" i="27"/>
  <c r="IO60" i="27"/>
  <c r="IP60" i="27"/>
  <c r="IQ60" i="27"/>
  <c r="IR60" i="27"/>
  <c r="IS60" i="27"/>
  <c r="IT60" i="27"/>
  <c r="IU60" i="27"/>
  <c r="IV60" i="27"/>
  <c r="A59" i="27"/>
  <c r="B59" i="27"/>
  <c r="C59" i="27"/>
  <c r="D59" i="27"/>
  <c r="E59" i="27"/>
  <c r="F59" i="27"/>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BQ59" i="27"/>
  <c r="BR59" i="27"/>
  <c r="BS59" i="27"/>
  <c r="BT59" i="27"/>
  <c r="BU59" i="27"/>
  <c r="BV59" i="27"/>
  <c r="BW59" i="27"/>
  <c r="BX59" i="27"/>
  <c r="BY59" i="27"/>
  <c r="BZ59" i="27"/>
  <c r="CA59" i="27"/>
  <c r="CB59" i="27"/>
  <c r="CC59" i="27"/>
  <c r="CD59" i="27"/>
  <c r="CE59" i="27"/>
  <c r="CF59" i="27"/>
  <c r="CG59" i="27"/>
  <c r="CH59" i="27"/>
  <c r="CI59" i="27"/>
  <c r="CJ59" i="27"/>
  <c r="CK59" i="27"/>
  <c r="CL59" i="27"/>
  <c r="CM59" i="27"/>
  <c r="CN59" i="27"/>
  <c r="CO59" i="27"/>
  <c r="CP59" i="27"/>
  <c r="CQ59" i="27"/>
  <c r="CR59" i="27"/>
  <c r="CS59" i="27"/>
  <c r="CT59" i="27"/>
  <c r="CU59" i="27"/>
  <c r="CV59" i="27"/>
  <c r="CW59" i="27"/>
  <c r="CX59" i="27"/>
  <c r="CY59" i="27"/>
  <c r="CZ59" i="27"/>
  <c r="DA59" i="27"/>
  <c r="DB59" i="27"/>
  <c r="DC59" i="27"/>
  <c r="DD59" i="27"/>
  <c r="DE59" i="27"/>
  <c r="DF59" i="27"/>
  <c r="DG59" i="27"/>
  <c r="DH59" i="27"/>
  <c r="DI59" i="27"/>
  <c r="DJ59" i="27"/>
  <c r="DK59" i="27"/>
  <c r="DL59" i="27"/>
  <c r="DM59" i="27"/>
  <c r="DN59" i="27"/>
  <c r="DO59" i="27"/>
  <c r="DP59" i="27"/>
  <c r="DQ59" i="27"/>
  <c r="DR59" i="27"/>
  <c r="DS59" i="27"/>
  <c r="DT59" i="27"/>
  <c r="DU59" i="27"/>
  <c r="DV59" i="27"/>
  <c r="DW59" i="27"/>
  <c r="DX59" i="27"/>
  <c r="DY59" i="27"/>
  <c r="DZ59" i="27"/>
  <c r="EA59" i="27"/>
  <c r="EB59" i="27"/>
  <c r="EC59" i="27"/>
  <c r="ED59" i="27"/>
  <c r="EE59" i="27"/>
  <c r="EF59" i="27"/>
  <c r="EG59" i="27"/>
  <c r="EH59" i="27"/>
  <c r="EI59" i="27"/>
  <c r="EJ59" i="27"/>
  <c r="EK59" i="27"/>
  <c r="EL59" i="27"/>
  <c r="EM59" i="27"/>
  <c r="EN59" i="27"/>
  <c r="EO59" i="27"/>
  <c r="EP59" i="27"/>
  <c r="EQ59" i="27"/>
  <c r="ER59" i="27"/>
  <c r="ES59" i="27"/>
  <c r="ET59" i="27"/>
  <c r="EU59" i="27"/>
  <c r="EV59" i="27"/>
  <c r="EW59" i="27"/>
  <c r="EX59" i="27"/>
  <c r="EY59" i="27"/>
  <c r="EZ59" i="27"/>
  <c r="FA59" i="27"/>
  <c r="FB59" i="27"/>
  <c r="FC59" i="27"/>
  <c r="FD59" i="27"/>
  <c r="FE59" i="27"/>
  <c r="FF59" i="27"/>
  <c r="FG59" i="27"/>
  <c r="FH59" i="27"/>
  <c r="FI59" i="27"/>
  <c r="FJ59" i="27"/>
  <c r="FK59" i="27"/>
  <c r="FL59" i="27"/>
  <c r="FM59" i="27"/>
  <c r="FN59" i="27"/>
  <c r="FO59" i="27"/>
  <c r="FP59" i="27"/>
  <c r="FQ59" i="27"/>
  <c r="FR59" i="27"/>
  <c r="FS59" i="27"/>
  <c r="FT59" i="27"/>
  <c r="FU59" i="27"/>
  <c r="FV59" i="27"/>
  <c r="FW59" i="27"/>
  <c r="FX59" i="27"/>
  <c r="FY59" i="27"/>
  <c r="FZ59" i="27"/>
  <c r="GA59" i="27"/>
  <c r="GB59" i="27"/>
  <c r="GC59" i="27"/>
  <c r="GD59" i="27"/>
  <c r="GE59" i="27"/>
  <c r="GF59" i="27"/>
  <c r="GG59" i="27"/>
  <c r="GH59" i="27"/>
  <c r="GI59" i="27"/>
  <c r="GJ59" i="27"/>
  <c r="GK59" i="27"/>
  <c r="GL59" i="27"/>
  <c r="GM59" i="27"/>
  <c r="GN59" i="27"/>
  <c r="GO59" i="27"/>
  <c r="GP59" i="27"/>
  <c r="GQ59" i="27"/>
  <c r="GR59" i="27"/>
  <c r="GS59" i="27"/>
  <c r="GT59" i="27"/>
  <c r="GU59" i="27"/>
  <c r="GV59" i="27"/>
  <c r="GW59" i="27"/>
  <c r="GX59" i="27"/>
  <c r="GY59" i="27"/>
  <c r="GZ59" i="27"/>
  <c r="HA59" i="27"/>
  <c r="HB59" i="27"/>
  <c r="HC59" i="27"/>
  <c r="HD59" i="27"/>
  <c r="HE59" i="27"/>
  <c r="HF59" i="27"/>
  <c r="HG59" i="27"/>
  <c r="HH59" i="27"/>
  <c r="HI59" i="27"/>
  <c r="HJ59" i="27"/>
  <c r="HK59" i="27"/>
  <c r="HL59" i="27"/>
  <c r="HM59" i="27"/>
  <c r="HN59" i="27"/>
  <c r="HO59" i="27"/>
  <c r="HP59" i="27"/>
  <c r="HQ59" i="27"/>
  <c r="HR59" i="27"/>
  <c r="HS59" i="27"/>
  <c r="HT59" i="27"/>
  <c r="HU59" i="27"/>
  <c r="HV59" i="27"/>
  <c r="HW59" i="27"/>
  <c r="HX59" i="27"/>
  <c r="HY59" i="27"/>
  <c r="HZ59" i="27"/>
  <c r="IA59" i="27"/>
  <c r="IB59" i="27"/>
  <c r="IC59" i="27"/>
  <c r="ID59" i="27"/>
  <c r="IE59" i="27"/>
  <c r="IF59" i="27"/>
  <c r="IG59" i="27"/>
  <c r="IH59" i="27"/>
  <c r="II59" i="27"/>
  <c r="IJ59" i="27"/>
  <c r="IK59" i="27"/>
  <c r="IL59" i="27"/>
  <c r="IM59" i="27"/>
  <c r="IN59" i="27"/>
  <c r="IO59" i="27"/>
  <c r="IP59" i="27"/>
  <c r="IQ59" i="27"/>
  <c r="IR59" i="27"/>
  <c r="IS59" i="27"/>
  <c r="IT59" i="27"/>
  <c r="IU59" i="27"/>
  <c r="IV59" i="27"/>
  <c r="A58" i="27"/>
  <c r="B58" i="27"/>
  <c r="C58" i="27"/>
  <c r="D58"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BQ58" i="27"/>
  <c r="BR58" i="27"/>
  <c r="BS58" i="27"/>
  <c r="BT58" i="27"/>
  <c r="BU58" i="27"/>
  <c r="BV58" i="27"/>
  <c r="BW58" i="27"/>
  <c r="BX58" i="27"/>
  <c r="BY58" i="27"/>
  <c r="BZ58" i="27"/>
  <c r="CA58" i="27"/>
  <c r="CB58" i="27"/>
  <c r="CC58" i="27"/>
  <c r="CD58" i="27"/>
  <c r="CE58" i="27"/>
  <c r="CF58" i="27"/>
  <c r="CG58" i="27"/>
  <c r="CH58" i="27"/>
  <c r="CI58" i="27"/>
  <c r="CJ58" i="27"/>
  <c r="CK58" i="27"/>
  <c r="CL58" i="27"/>
  <c r="CM58" i="27"/>
  <c r="CN58" i="27"/>
  <c r="CO58" i="27"/>
  <c r="CP58" i="27"/>
  <c r="CQ58" i="27"/>
  <c r="CR58" i="27"/>
  <c r="CS58" i="27"/>
  <c r="CT58" i="27"/>
  <c r="CU58" i="27"/>
  <c r="CV58" i="27"/>
  <c r="CW58" i="27"/>
  <c r="CX58" i="27"/>
  <c r="CY58" i="27"/>
  <c r="CZ58" i="27"/>
  <c r="DA58" i="27"/>
  <c r="DB58" i="27"/>
  <c r="DC58" i="27"/>
  <c r="DD58" i="27"/>
  <c r="DE58" i="27"/>
  <c r="DF58" i="27"/>
  <c r="DG58" i="27"/>
  <c r="DH58" i="27"/>
  <c r="DI58" i="27"/>
  <c r="DJ58" i="27"/>
  <c r="DK58" i="27"/>
  <c r="DL58" i="27"/>
  <c r="DM58" i="27"/>
  <c r="DN58" i="27"/>
  <c r="DO58" i="27"/>
  <c r="DP58" i="27"/>
  <c r="DQ58" i="27"/>
  <c r="DR58" i="27"/>
  <c r="DS58" i="27"/>
  <c r="DT58" i="27"/>
  <c r="DU58" i="27"/>
  <c r="DV58" i="27"/>
  <c r="DW58" i="27"/>
  <c r="DX58" i="27"/>
  <c r="DY58" i="27"/>
  <c r="DZ58" i="27"/>
  <c r="EA58" i="27"/>
  <c r="EB58" i="27"/>
  <c r="EC58" i="27"/>
  <c r="ED58" i="27"/>
  <c r="EE58" i="27"/>
  <c r="EF58" i="27"/>
  <c r="EG58" i="27"/>
  <c r="EH58" i="27"/>
  <c r="EI58" i="27"/>
  <c r="EJ58" i="27"/>
  <c r="EK58" i="27"/>
  <c r="EL58" i="27"/>
  <c r="EM58" i="27"/>
  <c r="EN58" i="27"/>
  <c r="EO58" i="27"/>
  <c r="EP58" i="27"/>
  <c r="EQ58" i="27"/>
  <c r="ER58" i="27"/>
  <c r="ES58" i="27"/>
  <c r="ET58" i="27"/>
  <c r="EU58" i="27"/>
  <c r="EV58" i="27"/>
  <c r="EW58" i="27"/>
  <c r="EX58" i="27"/>
  <c r="EY58" i="27"/>
  <c r="EZ58" i="27"/>
  <c r="FA58" i="27"/>
  <c r="FB58" i="27"/>
  <c r="FC58" i="27"/>
  <c r="FD58" i="27"/>
  <c r="FE58" i="27"/>
  <c r="FF58" i="27"/>
  <c r="FG58" i="27"/>
  <c r="FH58" i="27"/>
  <c r="FI58" i="27"/>
  <c r="FJ58" i="27"/>
  <c r="FK58" i="27"/>
  <c r="FL58" i="27"/>
  <c r="FM58" i="27"/>
  <c r="FN58" i="27"/>
  <c r="FO58" i="27"/>
  <c r="FP58" i="27"/>
  <c r="FQ58" i="27"/>
  <c r="FR58" i="27"/>
  <c r="FS58" i="27"/>
  <c r="FT58" i="27"/>
  <c r="FU58" i="27"/>
  <c r="FV58" i="27"/>
  <c r="FW58" i="27"/>
  <c r="FX58" i="27"/>
  <c r="FY58" i="27"/>
  <c r="FZ58" i="27"/>
  <c r="GA58" i="27"/>
  <c r="GB58" i="27"/>
  <c r="GC58" i="27"/>
  <c r="GD58" i="27"/>
  <c r="GE58" i="27"/>
  <c r="GF58" i="27"/>
  <c r="GG58" i="27"/>
  <c r="GH58" i="27"/>
  <c r="GI58" i="27"/>
  <c r="GJ58" i="27"/>
  <c r="GK58" i="27"/>
  <c r="GL58" i="27"/>
  <c r="GM58" i="27"/>
  <c r="GN58" i="27"/>
  <c r="GO58" i="27"/>
  <c r="GP58" i="27"/>
  <c r="GQ58" i="27"/>
  <c r="GR58" i="27"/>
  <c r="GS58" i="27"/>
  <c r="GT58" i="27"/>
  <c r="GU58" i="27"/>
  <c r="GV58" i="27"/>
  <c r="GW58" i="27"/>
  <c r="GX58" i="27"/>
  <c r="GY58" i="27"/>
  <c r="GZ58" i="27"/>
  <c r="HA58" i="27"/>
  <c r="HB58" i="27"/>
  <c r="HC58" i="27"/>
  <c r="HD58" i="27"/>
  <c r="HE58" i="27"/>
  <c r="HF58" i="27"/>
  <c r="HG58" i="27"/>
  <c r="HH58" i="27"/>
  <c r="HI58" i="27"/>
  <c r="HJ58" i="27"/>
  <c r="HK58" i="27"/>
  <c r="HL58" i="27"/>
  <c r="HM58" i="27"/>
  <c r="HN58" i="27"/>
  <c r="HO58" i="27"/>
  <c r="HP58" i="27"/>
  <c r="HQ58" i="27"/>
  <c r="HR58" i="27"/>
  <c r="HS58" i="27"/>
  <c r="HT58" i="27"/>
  <c r="HU58" i="27"/>
  <c r="HV58" i="27"/>
  <c r="HW58" i="27"/>
  <c r="HX58" i="27"/>
  <c r="HY58" i="27"/>
  <c r="HZ58" i="27"/>
  <c r="IA58" i="27"/>
  <c r="IB58" i="27"/>
  <c r="IC58" i="27"/>
  <c r="ID58" i="27"/>
  <c r="IE58" i="27"/>
  <c r="IF58" i="27"/>
  <c r="IG58" i="27"/>
  <c r="IH58" i="27"/>
  <c r="II58" i="27"/>
  <c r="IJ58" i="27"/>
  <c r="IK58" i="27"/>
  <c r="IL58" i="27"/>
  <c r="IM58" i="27"/>
  <c r="IN58" i="27"/>
  <c r="IO58" i="27"/>
  <c r="IP58" i="27"/>
  <c r="IQ58" i="27"/>
  <c r="IR58" i="27"/>
  <c r="IS58" i="27"/>
  <c r="IT58" i="27"/>
  <c r="IU58" i="27"/>
  <c r="IV58" i="27"/>
  <c r="A57" i="27"/>
  <c r="B57" i="27"/>
  <c r="C57" i="27"/>
  <c r="D57"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BQ57" i="27"/>
  <c r="BR57" i="27"/>
  <c r="BS57" i="27"/>
  <c r="BT57" i="27"/>
  <c r="BU57" i="27"/>
  <c r="BV57" i="27"/>
  <c r="BW57" i="27"/>
  <c r="BX57" i="27"/>
  <c r="BY57" i="27"/>
  <c r="BZ57" i="27"/>
  <c r="CA57" i="27"/>
  <c r="CB57" i="27"/>
  <c r="CC57" i="27"/>
  <c r="CD57" i="27"/>
  <c r="CE57" i="27"/>
  <c r="CF57" i="27"/>
  <c r="CG57" i="27"/>
  <c r="CH57" i="27"/>
  <c r="CI57" i="27"/>
  <c r="CJ57" i="27"/>
  <c r="CK57" i="27"/>
  <c r="CL57" i="27"/>
  <c r="CM57" i="27"/>
  <c r="CN57" i="27"/>
  <c r="CO57" i="27"/>
  <c r="CP57" i="27"/>
  <c r="CQ57" i="27"/>
  <c r="CR57" i="27"/>
  <c r="CS57" i="27"/>
  <c r="CT57" i="27"/>
  <c r="CU57" i="27"/>
  <c r="CV57" i="27"/>
  <c r="CW57" i="27"/>
  <c r="CX57" i="27"/>
  <c r="CY57" i="27"/>
  <c r="CZ57" i="27"/>
  <c r="DA57" i="27"/>
  <c r="DB57" i="27"/>
  <c r="DC57" i="27"/>
  <c r="DD57" i="27"/>
  <c r="DE57" i="27"/>
  <c r="DF57" i="27"/>
  <c r="DG57" i="27"/>
  <c r="DH57" i="27"/>
  <c r="DI57" i="27"/>
  <c r="DJ57" i="27"/>
  <c r="DK57" i="27"/>
  <c r="DL57" i="27"/>
  <c r="DM57" i="27"/>
  <c r="DN57" i="27"/>
  <c r="DO57" i="27"/>
  <c r="DP57" i="27"/>
  <c r="DQ57" i="27"/>
  <c r="DR57" i="27"/>
  <c r="DS57" i="27"/>
  <c r="DT57" i="27"/>
  <c r="DU57" i="27"/>
  <c r="DV57" i="27"/>
  <c r="DW57" i="27"/>
  <c r="DX57" i="27"/>
  <c r="DY57" i="27"/>
  <c r="DZ57" i="27"/>
  <c r="EA57" i="27"/>
  <c r="EB57" i="27"/>
  <c r="EC57" i="27"/>
  <c r="ED57" i="27"/>
  <c r="EE57" i="27"/>
  <c r="EF57" i="27"/>
  <c r="EG57" i="27"/>
  <c r="EH57" i="27"/>
  <c r="EI57" i="27"/>
  <c r="EJ57" i="27"/>
  <c r="EK57" i="27"/>
  <c r="EL57" i="27"/>
  <c r="EM57" i="27"/>
  <c r="EN57" i="27"/>
  <c r="EO57" i="27"/>
  <c r="EP57" i="27"/>
  <c r="EQ57" i="27"/>
  <c r="ER57" i="27"/>
  <c r="ES57" i="27"/>
  <c r="ET57" i="27"/>
  <c r="EU57" i="27"/>
  <c r="EV57" i="27"/>
  <c r="EW57" i="27"/>
  <c r="EX57" i="27"/>
  <c r="EY57" i="27"/>
  <c r="EZ57" i="27"/>
  <c r="FA57" i="27"/>
  <c r="FB57" i="27"/>
  <c r="FC57" i="27"/>
  <c r="FD57" i="27"/>
  <c r="FE57" i="27"/>
  <c r="FF57" i="27"/>
  <c r="FG57" i="27"/>
  <c r="FH57" i="27"/>
  <c r="FI57" i="27"/>
  <c r="FJ57" i="27"/>
  <c r="FK57" i="27"/>
  <c r="FL57" i="27"/>
  <c r="FM57" i="27"/>
  <c r="FN57" i="27"/>
  <c r="FO57" i="27"/>
  <c r="FP57" i="27"/>
  <c r="FQ57" i="27"/>
  <c r="FR57" i="27"/>
  <c r="FS57" i="27"/>
  <c r="FT57" i="27"/>
  <c r="FU57" i="27"/>
  <c r="FV57" i="27"/>
  <c r="FW57" i="27"/>
  <c r="FX57" i="27"/>
  <c r="FY57" i="27"/>
  <c r="FZ57" i="27"/>
  <c r="GA57" i="27"/>
  <c r="GB57" i="27"/>
  <c r="GC57" i="27"/>
  <c r="GD57" i="27"/>
  <c r="GE57" i="27"/>
  <c r="GF57" i="27"/>
  <c r="GG57" i="27"/>
  <c r="GH57" i="27"/>
  <c r="GI57" i="27"/>
  <c r="GJ57" i="27"/>
  <c r="GK57" i="27"/>
  <c r="GL57" i="27"/>
  <c r="GM57" i="27"/>
  <c r="GN57" i="27"/>
  <c r="GO57" i="27"/>
  <c r="GP57" i="27"/>
  <c r="GQ57" i="27"/>
  <c r="GR57" i="27"/>
  <c r="GS57" i="27"/>
  <c r="GT57" i="27"/>
  <c r="GU57" i="27"/>
  <c r="GV57" i="27"/>
  <c r="GW57" i="27"/>
  <c r="GX57" i="27"/>
  <c r="GY57" i="27"/>
  <c r="GZ57" i="27"/>
  <c r="HA57" i="27"/>
  <c r="HB57" i="27"/>
  <c r="HC57" i="27"/>
  <c r="HD57" i="27"/>
  <c r="HE57" i="27"/>
  <c r="HF57" i="27"/>
  <c r="HG57" i="27"/>
  <c r="HH57" i="27"/>
  <c r="HI57" i="27"/>
  <c r="HJ57" i="27"/>
  <c r="HK57" i="27"/>
  <c r="HL57" i="27"/>
  <c r="HM57" i="27"/>
  <c r="HN57" i="27"/>
  <c r="HO57" i="27"/>
  <c r="HP57" i="27"/>
  <c r="HQ57" i="27"/>
  <c r="HR57" i="27"/>
  <c r="HS57" i="27"/>
  <c r="HT57" i="27"/>
  <c r="HU57" i="27"/>
  <c r="HV57" i="27"/>
  <c r="HW57" i="27"/>
  <c r="HX57" i="27"/>
  <c r="HY57" i="27"/>
  <c r="HZ57" i="27"/>
  <c r="IA57" i="27"/>
  <c r="IB57" i="27"/>
  <c r="IC57" i="27"/>
  <c r="ID57" i="27"/>
  <c r="IE57" i="27"/>
  <c r="IF57" i="27"/>
  <c r="IG57" i="27"/>
  <c r="IH57" i="27"/>
  <c r="II57" i="27"/>
  <c r="IJ57" i="27"/>
  <c r="IK57" i="27"/>
  <c r="IL57" i="27"/>
  <c r="IM57" i="27"/>
  <c r="IN57" i="27"/>
  <c r="IO57" i="27"/>
  <c r="IP57" i="27"/>
  <c r="IQ57" i="27"/>
  <c r="IR57" i="27"/>
  <c r="IS57" i="27"/>
  <c r="IT57" i="27"/>
  <c r="IU57" i="27"/>
  <c r="IV57" i="27"/>
  <c r="A56" i="27"/>
  <c r="B56" i="27"/>
  <c r="C56" i="27"/>
  <c r="D56" i="27"/>
  <c r="E56" i="27"/>
  <c r="F56" i="27"/>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BQ56" i="27"/>
  <c r="BR56" i="27"/>
  <c r="BS56" i="27"/>
  <c r="BT56" i="27"/>
  <c r="BU56" i="27"/>
  <c r="BV56" i="27"/>
  <c r="BW56" i="27"/>
  <c r="BX56" i="27"/>
  <c r="BY56" i="27"/>
  <c r="BZ56" i="27"/>
  <c r="CA56" i="27"/>
  <c r="CB56" i="27"/>
  <c r="CC56" i="27"/>
  <c r="CD56" i="27"/>
  <c r="CE56" i="27"/>
  <c r="CF56" i="27"/>
  <c r="CG56" i="27"/>
  <c r="CH56" i="27"/>
  <c r="CI56" i="27"/>
  <c r="CJ56" i="27"/>
  <c r="CK56" i="27"/>
  <c r="CL56" i="27"/>
  <c r="CM56" i="27"/>
  <c r="CN56" i="27"/>
  <c r="CO56" i="27"/>
  <c r="CP56" i="27"/>
  <c r="CQ56" i="27"/>
  <c r="CR56" i="27"/>
  <c r="CS56" i="27"/>
  <c r="CT56" i="27"/>
  <c r="CU56" i="27"/>
  <c r="CV56" i="27"/>
  <c r="CW56" i="27"/>
  <c r="CX56" i="27"/>
  <c r="CY56" i="27"/>
  <c r="CZ56" i="27"/>
  <c r="DA56" i="27"/>
  <c r="DB56" i="27"/>
  <c r="DC56" i="27"/>
  <c r="DD56" i="27"/>
  <c r="DE56" i="27"/>
  <c r="DF56" i="27"/>
  <c r="DG56" i="27"/>
  <c r="DH56" i="27"/>
  <c r="DI56" i="27"/>
  <c r="DJ56" i="27"/>
  <c r="DK56" i="27"/>
  <c r="DL56" i="27"/>
  <c r="DM56" i="27"/>
  <c r="DN56" i="27"/>
  <c r="DO56" i="27"/>
  <c r="DP56" i="27"/>
  <c r="DQ56" i="27"/>
  <c r="DR56" i="27"/>
  <c r="DS56" i="27"/>
  <c r="DT56" i="27"/>
  <c r="DU56" i="27"/>
  <c r="DV56" i="27"/>
  <c r="DW56" i="27"/>
  <c r="DX56" i="27"/>
  <c r="DY56" i="27"/>
  <c r="DZ56" i="27"/>
  <c r="EA56" i="27"/>
  <c r="EB56" i="27"/>
  <c r="EC56" i="27"/>
  <c r="ED56" i="27"/>
  <c r="EE56" i="27"/>
  <c r="EF56" i="27"/>
  <c r="EG56" i="27"/>
  <c r="EH56" i="27"/>
  <c r="EI56" i="27"/>
  <c r="EJ56" i="27"/>
  <c r="EK56" i="27"/>
  <c r="EL56" i="27"/>
  <c r="EM56" i="27"/>
  <c r="EN56" i="27"/>
  <c r="EO56" i="27"/>
  <c r="EP56" i="27"/>
  <c r="EQ56" i="27"/>
  <c r="ER56" i="27"/>
  <c r="ES56" i="27"/>
  <c r="ET56" i="27"/>
  <c r="EU56" i="27"/>
  <c r="EV56" i="27"/>
  <c r="EW56" i="27"/>
  <c r="EX56" i="27"/>
  <c r="EY56" i="27"/>
  <c r="EZ56" i="27"/>
  <c r="FA56" i="27"/>
  <c r="FB56" i="27"/>
  <c r="FC56" i="27"/>
  <c r="FD56" i="27"/>
  <c r="FE56" i="27"/>
  <c r="FF56" i="27"/>
  <c r="FG56" i="27"/>
  <c r="FH56" i="27"/>
  <c r="FI56" i="27"/>
  <c r="FJ56" i="27"/>
  <c r="FK56" i="27"/>
  <c r="FL56" i="27"/>
  <c r="FM56" i="27"/>
  <c r="FN56" i="27"/>
  <c r="FO56" i="27"/>
  <c r="FP56" i="27"/>
  <c r="FQ56" i="27"/>
  <c r="FR56" i="27"/>
  <c r="FS56" i="27"/>
  <c r="FT56" i="27"/>
  <c r="FU56" i="27"/>
  <c r="FV56" i="27"/>
  <c r="FW56" i="27"/>
  <c r="FX56" i="27"/>
  <c r="FY56" i="27"/>
  <c r="FZ56" i="27"/>
  <c r="GA56" i="27"/>
  <c r="GB56" i="27"/>
  <c r="GC56" i="27"/>
  <c r="GD56" i="27"/>
  <c r="GE56" i="27"/>
  <c r="GF56" i="27"/>
  <c r="GG56" i="27"/>
  <c r="GH56" i="27"/>
  <c r="GI56" i="27"/>
  <c r="GJ56" i="27"/>
  <c r="GK56" i="27"/>
  <c r="GL56" i="27"/>
  <c r="GM56" i="27"/>
  <c r="GN56" i="27"/>
  <c r="GO56" i="27"/>
  <c r="GP56" i="27"/>
  <c r="GQ56" i="27"/>
  <c r="GR56" i="27"/>
  <c r="GS56" i="27"/>
  <c r="GT56" i="27"/>
  <c r="GU56" i="27"/>
  <c r="GV56" i="27"/>
  <c r="GW56" i="27"/>
  <c r="GX56" i="27"/>
  <c r="GY56" i="27"/>
  <c r="GZ56" i="27"/>
  <c r="HA56" i="27"/>
  <c r="HB56" i="27"/>
  <c r="HC56" i="27"/>
  <c r="HD56" i="27"/>
  <c r="HE56" i="27"/>
  <c r="HF56" i="27"/>
  <c r="HG56" i="27"/>
  <c r="HH56" i="27"/>
  <c r="HI56" i="27"/>
  <c r="HJ56" i="27"/>
  <c r="HK56" i="27"/>
  <c r="HL56" i="27"/>
  <c r="HM56" i="27"/>
  <c r="HN56" i="27"/>
  <c r="HO56" i="27"/>
  <c r="HP56" i="27"/>
  <c r="HQ56" i="27"/>
  <c r="HR56" i="27"/>
  <c r="HS56" i="27"/>
  <c r="HT56" i="27"/>
  <c r="HU56" i="27"/>
  <c r="HV56" i="27"/>
  <c r="HW56" i="27"/>
  <c r="HX56" i="27"/>
  <c r="HY56" i="27"/>
  <c r="HZ56" i="27"/>
  <c r="IA56" i="27"/>
  <c r="IB56" i="27"/>
  <c r="IC56" i="27"/>
  <c r="ID56" i="27"/>
  <c r="IE56" i="27"/>
  <c r="IF56" i="27"/>
  <c r="IG56" i="27"/>
  <c r="IH56" i="27"/>
  <c r="II56" i="27"/>
  <c r="IJ56" i="27"/>
  <c r="IK56" i="27"/>
  <c r="IL56" i="27"/>
  <c r="IM56" i="27"/>
  <c r="IN56" i="27"/>
  <c r="IO56" i="27"/>
  <c r="IP56" i="27"/>
  <c r="IQ56" i="27"/>
  <c r="IR56" i="27"/>
  <c r="IS56" i="27"/>
  <c r="IT56" i="27"/>
  <c r="IU56" i="27"/>
  <c r="IV56" i="27"/>
  <c r="A55" i="27"/>
  <c r="B55" i="27"/>
  <c r="C55" i="27"/>
  <c r="D55" i="27"/>
  <c r="E55" i="27"/>
  <c r="F55" i="27"/>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BQ55" i="27"/>
  <c r="BR55" i="27"/>
  <c r="BS55" i="27"/>
  <c r="BT55" i="27"/>
  <c r="BU55" i="27"/>
  <c r="BV55" i="27"/>
  <c r="BW55" i="27"/>
  <c r="BX55" i="27"/>
  <c r="BY55" i="27"/>
  <c r="BZ55" i="27"/>
  <c r="CA55" i="27"/>
  <c r="CB55" i="27"/>
  <c r="CC55" i="27"/>
  <c r="CD55" i="27"/>
  <c r="CE55" i="27"/>
  <c r="CF55" i="27"/>
  <c r="CG55" i="27"/>
  <c r="CH55" i="27"/>
  <c r="CI55" i="27"/>
  <c r="CJ55" i="27"/>
  <c r="CK55" i="27"/>
  <c r="CL55" i="27"/>
  <c r="CM55" i="27"/>
  <c r="CN55" i="27"/>
  <c r="CO55" i="27"/>
  <c r="CP55" i="27"/>
  <c r="CQ55" i="27"/>
  <c r="CR55" i="27"/>
  <c r="CS55" i="27"/>
  <c r="CT55" i="27"/>
  <c r="CU55" i="27"/>
  <c r="CV55" i="27"/>
  <c r="CW55" i="27"/>
  <c r="CX55" i="27"/>
  <c r="CY55" i="27"/>
  <c r="CZ55" i="27"/>
  <c r="DA55" i="27"/>
  <c r="DB55" i="27"/>
  <c r="DC55" i="27"/>
  <c r="DD55" i="27"/>
  <c r="DE55" i="27"/>
  <c r="DF55" i="27"/>
  <c r="DG55" i="27"/>
  <c r="DH55" i="27"/>
  <c r="DI55" i="27"/>
  <c r="DJ55" i="27"/>
  <c r="DK55" i="27"/>
  <c r="DL55" i="27"/>
  <c r="DM55" i="27"/>
  <c r="DN55" i="27"/>
  <c r="DO55" i="27"/>
  <c r="DP55" i="27"/>
  <c r="DQ55" i="27"/>
  <c r="DR55" i="27"/>
  <c r="DS55" i="27"/>
  <c r="DT55" i="27"/>
  <c r="DU55" i="27"/>
  <c r="DV55" i="27"/>
  <c r="DW55" i="27"/>
  <c r="DX55" i="27"/>
  <c r="DY55" i="27"/>
  <c r="DZ55" i="27"/>
  <c r="EA55" i="27"/>
  <c r="EB55" i="27"/>
  <c r="EC55" i="27"/>
  <c r="ED55" i="27"/>
  <c r="EE55" i="27"/>
  <c r="EF55" i="27"/>
  <c r="EG55" i="27"/>
  <c r="EH55" i="27"/>
  <c r="EI55" i="27"/>
  <c r="EJ55" i="27"/>
  <c r="EK55" i="27"/>
  <c r="EL55" i="27"/>
  <c r="EM55" i="27"/>
  <c r="EN55" i="27"/>
  <c r="EO55" i="27"/>
  <c r="EP55" i="27"/>
  <c r="EQ55" i="27"/>
  <c r="ER55" i="27"/>
  <c r="ES55" i="27"/>
  <c r="ET55" i="27"/>
  <c r="EU55" i="27"/>
  <c r="EV55" i="27"/>
  <c r="EW55" i="27"/>
  <c r="EX55" i="27"/>
  <c r="EY55" i="27"/>
  <c r="EZ55" i="27"/>
  <c r="FA55" i="27"/>
  <c r="FB55" i="27"/>
  <c r="FC55" i="27"/>
  <c r="FD55" i="27"/>
  <c r="FE55" i="27"/>
  <c r="FF55" i="27"/>
  <c r="FG55" i="27"/>
  <c r="FH55" i="27"/>
  <c r="FI55" i="27"/>
  <c r="FJ55" i="27"/>
  <c r="FK55" i="27"/>
  <c r="FL55" i="27"/>
  <c r="FM55" i="27"/>
  <c r="FN55" i="27"/>
  <c r="FO55" i="27"/>
  <c r="FP55" i="27"/>
  <c r="FQ55" i="27"/>
  <c r="FR55" i="27"/>
  <c r="FS55" i="27"/>
  <c r="FT55" i="27"/>
  <c r="FU55" i="27"/>
  <c r="FV55" i="27"/>
  <c r="FW55" i="27"/>
  <c r="FX55" i="27"/>
  <c r="FY55" i="27"/>
  <c r="FZ55" i="27"/>
  <c r="GA55" i="27"/>
  <c r="GB55" i="27"/>
  <c r="GC55" i="27"/>
  <c r="GD55" i="27"/>
  <c r="GE55" i="27"/>
  <c r="GF55" i="27"/>
  <c r="GG55" i="27"/>
  <c r="GH55" i="27"/>
  <c r="GI55" i="27"/>
  <c r="GJ55" i="27"/>
  <c r="GK55" i="27"/>
  <c r="GL55" i="27"/>
  <c r="GM55" i="27"/>
  <c r="GN55" i="27"/>
  <c r="GO55" i="27"/>
  <c r="GP55" i="27"/>
  <c r="GQ55" i="27"/>
  <c r="GR55" i="27"/>
  <c r="GS55" i="27"/>
  <c r="GT55" i="27"/>
  <c r="GU55" i="27"/>
  <c r="GV55" i="27"/>
  <c r="GW55" i="27"/>
  <c r="GX55" i="27"/>
  <c r="GY55" i="27"/>
  <c r="GZ55" i="27"/>
  <c r="HA55" i="27"/>
  <c r="HB55" i="27"/>
  <c r="HC55" i="27"/>
  <c r="HD55" i="27"/>
  <c r="HE55" i="27"/>
  <c r="HF55" i="27"/>
  <c r="HG55" i="27"/>
  <c r="HH55" i="27"/>
  <c r="HI55" i="27"/>
  <c r="HJ55" i="27"/>
  <c r="HK55" i="27"/>
  <c r="HL55" i="27"/>
  <c r="HM55" i="27"/>
  <c r="HN55" i="27"/>
  <c r="HO55" i="27"/>
  <c r="HP55" i="27"/>
  <c r="HQ55" i="27"/>
  <c r="HR55" i="27"/>
  <c r="HS55" i="27"/>
  <c r="HT55" i="27"/>
  <c r="HU55" i="27"/>
  <c r="HV55" i="27"/>
  <c r="HW55" i="27"/>
  <c r="HX55" i="27"/>
  <c r="HY55" i="27"/>
  <c r="HZ55" i="27"/>
  <c r="IA55" i="27"/>
  <c r="IB55" i="27"/>
  <c r="IC55" i="27"/>
  <c r="ID55" i="27"/>
  <c r="IE55" i="27"/>
  <c r="IF55" i="27"/>
  <c r="IG55" i="27"/>
  <c r="IH55" i="27"/>
  <c r="II55" i="27"/>
  <c r="IJ55" i="27"/>
  <c r="IK55" i="27"/>
  <c r="IL55" i="27"/>
  <c r="IM55" i="27"/>
  <c r="IN55" i="27"/>
  <c r="IO55" i="27"/>
  <c r="IP55" i="27"/>
  <c r="IQ55" i="27"/>
  <c r="IR55" i="27"/>
  <c r="IS55" i="27"/>
  <c r="IT55" i="27"/>
  <c r="IU55" i="27"/>
  <c r="IV55" i="27"/>
  <c r="A54" i="27"/>
  <c r="B54" i="27"/>
  <c r="C54" i="27"/>
  <c r="D54" i="27"/>
  <c r="E54" i="27"/>
  <c r="F54" i="27"/>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BQ54" i="27"/>
  <c r="BR54" i="27"/>
  <c r="BS54" i="27"/>
  <c r="BT54" i="27"/>
  <c r="BU54" i="27"/>
  <c r="BV54" i="27"/>
  <c r="BW54" i="27"/>
  <c r="BX54" i="27"/>
  <c r="BY54" i="27"/>
  <c r="BZ54" i="27"/>
  <c r="CA54" i="27"/>
  <c r="CB54" i="27"/>
  <c r="CC54" i="27"/>
  <c r="CD54" i="27"/>
  <c r="CE54" i="27"/>
  <c r="CF54" i="27"/>
  <c r="CG54" i="27"/>
  <c r="CH54" i="27"/>
  <c r="CI54" i="27"/>
  <c r="CJ54" i="27"/>
  <c r="CK54" i="27"/>
  <c r="CL54" i="27"/>
  <c r="CM54" i="27"/>
  <c r="CN54" i="27"/>
  <c r="CO54" i="27"/>
  <c r="CP54" i="27"/>
  <c r="CQ54" i="27"/>
  <c r="CR54" i="27"/>
  <c r="CS54" i="27"/>
  <c r="CT54" i="27"/>
  <c r="CU54" i="27"/>
  <c r="CV54" i="27"/>
  <c r="CW54" i="27"/>
  <c r="CX54" i="27"/>
  <c r="CY54" i="27"/>
  <c r="CZ54" i="27"/>
  <c r="DA54" i="27"/>
  <c r="DB54" i="27"/>
  <c r="DC54" i="27"/>
  <c r="DD54" i="27"/>
  <c r="DE54" i="27"/>
  <c r="DF54" i="27"/>
  <c r="DG54" i="27"/>
  <c r="DH54" i="27"/>
  <c r="DI54" i="27"/>
  <c r="DJ54" i="27"/>
  <c r="DK54" i="27"/>
  <c r="DL54" i="27"/>
  <c r="DM54" i="27"/>
  <c r="DN54" i="27"/>
  <c r="DO54" i="27"/>
  <c r="DP54" i="27"/>
  <c r="DQ54" i="27"/>
  <c r="DR54" i="27"/>
  <c r="DS54" i="27"/>
  <c r="DT54" i="27"/>
  <c r="DU54" i="27"/>
  <c r="DV54" i="27"/>
  <c r="DW54" i="27"/>
  <c r="DX54" i="27"/>
  <c r="DY54" i="27"/>
  <c r="DZ54" i="27"/>
  <c r="EA54" i="27"/>
  <c r="EB54" i="27"/>
  <c r="EC54" i="27"/>
  <c r="ED54" i="27"/>
  <c r="EE54" i="27"/>
  <c r="EF54" i="27"/>
  <c r="EG54" i="27"/>
  <c r="EH54" i="27"/>
  <c r="EI54" i="27"/>
  <c r="EJ54" i="27"/>
  <c r="EK54" i="27"/>
  <c r="EL54" i="27"/>
  <c r="EM54" i="27"/>
  <c r="EN54" i="27"/>
  <c r="EO54" i="27"/>
  <c r="EP54" i="27"/>
  <c r="EQ54" i="27"/>
  <c r="ER54" i="27"/>
  <c r="ES54" i="27"/>
  <c r="ET54" i="27"/>
  <c r="EU54" i="27"/>
  <c r="EV54" i="27"/>
  <c r="EW54" i="27"/>
  <c r="EX54" i="27"/>
  <c r="EY54" i="27"/>
  <c r="EZ54" i="27"/>
  <c r="FA54" i="27"/>
  <c r="FB54" i="27"/>
  <c r="FC54" i="27"/>
  <c r="FD54" i="27"/>
  <c r="FE54" i="27"/>
  <c r="FF54" i="27"/>
  <c r="FG54" i="27"/>
  <c r="FH54" i="27"/>
  <c r="FI54" i="27"/>
  <c r="FJ54" i="27"/>
  <c r="FK54" i="27"/>
  <c r="FL54" i="27"/>
  <c r="FM54" i="27"/>
  <c r="FN54" i="27"/>
  <c r="FO54" i="27"/>
  <c r="FP54" i="27"/>
  <c r="FQ54" i="27"/>
  <c r="FR54" i="27"/>
  <c r="FS54" i="27"/>
  <c r="FT54" i="27"/>
  <c r="FU54" i="27"/>
  <c r="FV54" i="27"/>
  <c r="FW54" i="27"/>
  <c r="FX54" i="27"/>
  <c r="FY54" i="27"/>
  <c r="FZ54" i="27"/>
  <c r="GA54" i="27"/>
  <c r="GB54" i="27"/>
  <c r="GC54" i="27"/>
  <c r="GD54" i="27"/>
  <c r="GE54" i="27"/>
  <c r="GF54" i="27"/>
  <c r="GG54" i="27"/>
  <c r="GH54" i="27"/>
  <c r="GI54" i="27"/>
  <c r="GJ54" i="27"/>
  <c r="GK54" i="27"/>
  <c r="GL54" i="27"/>
  <c r="GM54" i="27"/>
  <c r="GN54" i="27"/>
  <c r="GO54" i="27"/>
  <c r="GP54" i="27"/>
  <c r="GQ54" i="27"/>
  <c r="GR54" i="27"/>
  <c r="GS54" i="27"/>
  <c r="GT54" i="27"/>
  <c r="GU54" i="27"/>
  <c r="GV54" i="27"/>
  <c r="GW54" i="27"/>
  <c r="GX54" i="27"/>
  <c r="GY54" i="27"/>
  <c r="GZ54" i="27"/>
  <c r="HA54" i="27"/>
  <c r="HB54" i="27"/>
  <c r="HC54" i="27"/>
  <c r="HD54" i="27"/>
  <c r="HE54" i="27"/>
  <c r="HF54" i="27"/>
  <c r="HG54" i="27"/>
  <c r="HH54" i="27"/>
  <c r="HI54" i="27"/>
  <c r="HJ54" i="27"/>
  <c r="HK54" i="27"/>
  <c r="HL54" i="27"/>
  <c r="HM54" i="27"/>
  <c r="HN54" i="27"/>
  <c r="HO54" i="27"/>
  <c r="HP54" i="27"/>
  <c r="HQ54" i="27"/>
  <c r="HR54" i="27"/>
  <c r="HS54" i="27"/>
  <c r="HT54" i="27"/>
  <c r="HU54" i="27"/>
  <c r="HV54" i="27"/>
  <c r="HW54" i="27"/>
  <c r="HX54" i="27"/>
  <c r="HY54" i="27"/>
  <c r="HZ54" i="27"/>
  <c r="IA54" i="27"/>
  <c r="IB54" i="27"/>
  <c r="IC54" i="27"/>
  <c r="ID54" i="27"/>
  <c r="IE54" i="27"/>
  <c r="IF54" i="27"/>
  <c r="IG54" i="27"/>
  <c r="IH54" i="27"/>
  <c r="II54" i="27"/>
  <c r="IJ54" i="27"/>
  <c r="IK54" i="27"/>
  <c r="IL54" i="27"/>
  <c r="IM54" i="27"/>
  <c r="IN54" i="27"/>
  <c r="IO54" i="27"/>
  <c r="IP54" i="27"/>
  <c r="IQ54" i="27"/>
  <c r="IR54" i="27"/>
  <c r="IS54" i="27"/>
  <c r="IT54" i="27"/>
  <c r="IU54" i="27"/>
  <c r="IV54" i="27"/>
  <c r="A53" i="27"/>
  <c r="B53" i="27"/>
  <c r="C53" i="27"/>
  <c r="D53" i="27"/>
  <c r="E53" i="27"/>
  <c r="F53" i="27"/>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BQ53" i="27"/>
  <c r="BR53" i="27"/>
  <c r="BS53" i="27"/>
  <c r="BT53" i="27"/>
  <c r="BU53" i="27"/>
  <c r="BV53" i="27"/>
  <c r="BW53" i="27"/>
  <c r="BX53" i="27"/>
  <c r="BY53" i="27"/>
  <c r="BZ53" i="27"/>
  <c r="CA53" i="27"/>
  <c r="CB53" i="27"/>
  <c r="CC53" i="27"/>
  <c r="CD53" i="27"/>
  <c r="CE53" i="27"/>
  <c r="CF53" i="27"/>
  <c r="CG53" i="27"/>
  <c r="CH53" i="27"/>
  <c r="CI53" i="27"/>
  <c r="CJ53" i="27"/>
  <c r="CK53" i="27"/>
  <c r="CL53" i="27"/>
  <c r="CM53" i="27"/>
  <c r="CN53" i="27"/>
  <c r="CO53" i="27"/>
  <c r="CP53" i="27"/>
  <c r="CQ53" i="27"/>
  <c r="CR53" i="27"/>
  <c r="CS53" i="27"/>
  <c r="CT53" i="27"/>
  <c r="CU53" i="27"/>
  <c r="CV53" i="27"/>
  <c r="CW53" i="27"/>
  <c r="CX53" i="27"/>
  <c r="CY53" i="27"/>
  <c r="CZ53" i="27"/>
  <c r="DA53" i="27"/>
  <c r="DB53" i="27"/>
  <c r="DC53" i="27"/>
  <c r="DD53" i="27"/>
  <c r="DE53" i="27"/>
  <c r="DF53" i="27"/>
  <c r="DG53" i="27"/>
  <c r="DH53" i="27"/>
  <c r="DI53" i="27"/>
  <c r="DJ53" i="27"/>
  <c r="DK53" i="27"/>
  <c r="DL53" i="27"/>
  <c r="DM53" i="27"/>
  <c r="DN53" i="27"/>
  <c r="DO53" i="27"/>
  <c r="DP53" i="27"/>
  <c r="DQ53" i="27"/>
  <c r="DR53" i="27"/>
  <c r="DS53" i="27"/>
  <c r="DT53" i="27"/>
  <c r="DU53" i="27"/>
  <c r="DV53" i="27"/>
  <c r="DW53" i="27"/>
  <c r="DX53" i="27"/>
  <c r="DY53" i="27"/>
  <c r="DZ53" i="27"/>
  <c r="EA53" i="27"/>
  <c r="EB53" i="27"/>
  <c r="EC53" i="27"/>
  <c r="ED53" i="27"/>
  <c r="EE53" i="27"/>
  <c r="EF53" i="27"/>
  <c r="EG53" i="27"/>
  <c r="EH53" i="27"/>
  <c r="EI53" i="27"/>
  <c r="EJ53" i="27"/>
  <c r="EK53" i="27"/>
  <c r="EL53" i="27"/>
  <c r="EM53" i="27"/>
  <c r="EN53" i="27"/>
  <c r="EO53" i="27"/>
  <c r="EP53" i="27"/>
  <c r="EQ53" i="27"/>
  <c r="ER53" i="27"/>
  <c r="ES53" i="27"/>
  <c r="ET53" i="27"/>
  <c r="EU53" i="27"/>
  <c r="EV53" i="27"/>
  <c r="EW53" i="27"/>
  <c r="EX53" i="27"/>
  <c r="EY53" i="27"/>
  <c r="EZ53" i="27"/>
  <c r="FA53" i="27"/>
  <c r="FB53" i="27"/>
  <c r="FC53" i="27"/>
  <c r="FD53" i="27"/>
  <c r="FE53" i="27"/>
  <c r="FF53" i="27"/>
  <c r="FG53" i="27"/>
  <c r="FH53" i="27"/>
  <c r="FI53" i="27"/>
  <c r="FJ53" i="27"/>
  <c r="FK53" i="27"/>
  <c r="FL53" i="27"/>
  <c r="FM53" i="27"/>
  <c r="FN53" i="27"/>
  <c r="FO53" i="27"/>
  <c r="FP53" i="27"/>
  <c r="FQ53" i="27"/>
  <c r="FR53" i="27"/>
  <c r="FS53" i="27"/>
  <c r="FT53" i="27"/>
  <c r="FU53" i="27"/>
  <c r="FV53" i="27"/>
  <c r="FW53" i="27"/>
  <c r="FX53" i="27"/>
  <c r="FY53" i="27"/>
  <c r="FZ53" i="27"/>
  <c r="GA53" i="27"/>
  <c r="GB53" i="27"/>
  <c r="GC53" i="27"/>
  <c r="GD53" i="27"/>
  <c r="GE53" i="27"/>
  <c r="GF53" i="27"/>
  <c r="GG53" i="27"/>
  <c r="GH53" i="27"/>
  <c r="GI53" i="27"/>
  <c r="GJ53" i="27"/>
  <c r="GK53" i="27"/>
  <c r="GL53" i="27"/>
  <c r="GM53" i="27"/>
  <c r="GN53" i="27"/>
  <c r="GO53" i="27"/>
  <c r="GP53" i="27"/>
  <c r="GQ53" i="27"/>
  <c r="GR53" i="27"/>
  <c r="GS53" i="27"/>
  <c r="GT53" i="27"/>
  <c r="GU53" i="27"/>
  <c r="GV53" i="27"/>
  <c r="GW53" i="27"/>
  <c r="GX53" i="27"/>
  <c r="GY53" i="27"/>
  <c r="GZ53" i="27"/>
  <c r="HA53" i="27"/>
  <c r="HB53" i="27"/>
  <c r="HC53" i="27"/>
  <c r="HD53" i="27"/>
  <c r="HE53" i="27"/>
  <c r="HF53" i="27"/>
  <c r="HG53" i="27"/>
  <c r="HH53" i="27"/>
  <c r="HI53" i="27"/>
  <c r="HJ53" i="27"/>
  <c r="HK53" i="27"/>
  <c r="HL53" i="27"/>
  <c r="HM53" i="27"/>
  <c r="HN53" i="27"/>
  <c r="HO53" i="27"/>
  <c r="HP53" i="27"/>
  <c r="HQ53" i="27"/>
  <c r="HR53" i="27"/>
  <c r="HS53" i="27"/>
  <c r="HT53" i="27"/>
  <c r="HU53" i="27"/>
  <c r="HV53" i="27"/>
  <c r="HW53" i="27"/>
  <c r="HX53" i="27"/>
  <c r="HY53" i="27"/>
  <c r="HZ53" i="27"/>
  <c r="IA53" i="27"/>
  <c r="IB53" i="27"/>
  <c r="IC53" i="27"/>
  <c r="ID53" i="27"/>
  <c r="IE53" i="27"/>
  <c r="IF53" i="27"/>
  <c r="IG53" i="27"/>
  <c r="IH53" i="27"/>
  <c r="II53" i="27"/>
  <c r="IJ53" i="27"/>
  <c r="IK53" i="27"/>
  <c r="IL53" i="27"/>
  <c r="IM53" i="27"/>
  <c r="IN53" i="27"/>
  <c r="IO53" i="27"/>
  <c r="IP53" i="27"/>
  <c r="IQ53" i="27"/>
  <c r="IR53" i="27"/>
  <c r="IS53" i="27"/>
  <c r="IT53" i="27"/>
  <c r="IU53" i="27"/>
  <c r="IV53" i="27"/>
  <c r="A52" i="27"/>
  <c r="B52" i="27"/>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BQ52" i="27"/>
  <c r="BR52" i="27"/>
  <c r="BS52" i="27"/>
  <c r="BT52" i="27"/>
  <c r="BU52" i="27"/>
  <c r="BV52" i="27"/>
  <c r="BW52" i="27"/>
  <c r="BX52" i="27"/>
  <c r="BY52" i="27"/>
  <c r="BZ52" i="27"/>
  <c r="CA52" i="27"/>
  <c r="CB52" i="27"/>
  <c r="CC52" i="27"/>
  <c r="CD52" i="27"/>
  <c r="CE52" i="27"/>
  <c r="CF52" i="27"/>
  <c r="CG52" i="27"/>
  <c r="CH52" i="27"/>
  <c r="CI52" i="27"/>
  <c r="CJ52" i="27"/>
  <c r="CK52" i="27"/>
  <c r="CL52" i="27"/>
  <c r="CM52" i="27"/>
  <c r="CN52" i="27"/>
  <c r="CO52" i="27"/>
  <c r="CP52" i="27"/>
  <c r="CQ52" i="27"/>
  <c r="CR52" i="27"/>
  <c r="CS52" i="27"/>
  <c r="CT52" i="27"/>
  <c r="CU52" i="27"/>
  <c r="CV52" i="27"/>
  <c r="CW52" i="27"/>
  <c r="CX52" i="27"/>
  <c r="CY52" i="27"/>
  <c r="CZ52" i="27"/>
  <c r="DA52" i="27"/>
  <c r="DB52" i="27"/>
  <c r="DC52" i="27"/>
  <c r="DD52" i="27"/>
  <c r="DE52" i="27"/>
  <c r="DF52" i="27"/>
  <c r="DG52" i="27"/>
  <c r="DH52" i="27"/>
  <c r="DI52" i="27"/>
  <c r="DJ52" i="27"/>
  <c r="DK52" i="27"/>
  <c r="DL52" i="27"/>
  <c r="DM52" i="27"/>
  <c r="DN52" i="27"/>
  <c r="DO52" i="27"/>
  <c r="DP52" i="27"/>
  <c r="DQ52" i="27"/>
  <c r="DR52" i="27"/>
  <c r="DS52" i="27"/>
  <c r="DT52" i="27"/>
  <c r="DU52" i="27"/>
  <c r="DV52" i="27"/>
  <c r="DW52" i="27"/>
  <c r="DX52" i="27"/>
  <c r="DY52" i="27"/>
  <c r="DZ52" i="27"/>
  <c r="EA52" i="27"/>
  <c r="EB52" i="27"/>
  <c r="EC52" i="27"/>
  <c r="ED52" i="27"/>
  <c r="EE52" i="27"/>
  <c r="EF52" i="27"/>
  <c r="EG52" i="27"/>
  <c r="EH52" i="27"/>
  <c r="EI52" i="27"/>
  <c r="EJ52" i="27"/>
  <c r="EK52" i="27"/>
  <c r="EL52" i="27"/>
  <c r="EM52" i="27"/>
  <c r="EN52" i="27"/>
  <c r="EO52" i="27"/>
  <c r="EP52" i="27"/>
  <c r="EQ52" i="27"/>
  <c r="ER52" i="27"/>
  <c r="ES52" i="27"/>
  <c r="ET52" i="27"/>
  <c r="EU52" i="27"/>
  <c r="EV52" i="27"/>
  <c r="EW52" i="27"/>
  <c r="EX52" i="27"/>
  <c r="EY52" i="27"/>
  <c r="EZ52" i="27"/>
  <c r="FA52" i="27"/>
  <c r="FB52" i="27"/>
  <c r="FC52" i="27"/>
  <c r="FD52" i="27"/>
  <c r="FE52" i="27"/>
  <c r="FF52" i="27"/>
  <c r="FG52" i="27"/>
  <c r="FH52" i="27"/>
  <c r="FI52" i="27"/>
  <c r="FJ52" i="27"/>
  <c r="FK52" i="27"/>
  <c r="FL52" i="27"/>
  <c r="FM52" i="27"/>
  <c r="FN52" i="27"/>
  <c r="FO52" i="27"/>
  <c r="FP52" i="27"/>
  <c r="FQ52" i="27"/>
  <c r="FR52" i="27"/>
  <c r="FS52" i="27"/>
  <c r="FT52" i="27"/>
  <c r="FU52" i="27"/>
  <c r="FV52" i="27"/>
  <c r="FW52" i="27"/>
  <c r="FX52" i="27"/>
  <c r="FY52" i="27"/>
  <c r="FZ52" i="27"/>
  <c r="GA52" i="27"/>
  <c r="GB52" i="27"/>
  <c r="GC52" i="27"/>
  <c r="GD52" i="27"/>
  <c r="GE52" i="27"/>
  <c r="GF52" i="27"/>
  <c r="GG52" i="27"/>
  <c r="GH52" i="27"/>
  <c r="GI52" i="27"/>
  <c r="GJ52" i="27"/>
  <c r="GK52" i="27"/>
  <c r="GL52" i="27"/>
  <c r="GM52" i="27"/>
  <c r="GN52" i="27"/>
  <c r="GO52" i="27"/>
  <c r="GP52" i="27"/>
  <c r="GQ52" i="27"/>
  <c r="GR52" i="27"/>
  <c r="GS52" i="27"/>
  <c r="GT52" i="27"/>
  <c r="GU52" i="27"/>
  <c r="GV52" i="27"/>
  <c r="GW52" i="27"/>
  <c r="GX52" i="27"/>
  <c r="GY52" i="27"/>
  <c r="GZ52" i="27"/>
  <c r="HA52" i="27"/>
  <c r="HB52" i="27"/>
  <c r="HC52" i="27"/>
  <c r="HD52" i="27"/>
  <c r="HE52" i="27"/>
  <c r="HF52" i="27"/>
  <c r="HG52" i="27"/>
  <c r="HH52" i="27"/>
  <c r="HI52" i="27"/>
  <c r="HJ52" i="27"/>
  <c r="HK52" i="27"/>
  <c r="HL52" i="27"/>
  <c r="HM52" i="27"/>
  <c r="HN52" i="27"/>
  <c r="HO52" i="27"/>
  <c r="HP52" i="27"/>
  <c r="HQ52" i="27"/>
  <c r="HR52" i="27"/>
  <c r="HS52" i="27"/>
  <c r="HT52" i="27"/>
  <c r="HU52" i="27"/>
  <c r="HV52" i="27"/>
  <c r="HW52" i="27"/>
  <c r="HX52" i="27"/>
  <c r="HY52" i="27"/>
  <c r="HZ52" i="27"/>
  <c r="IA52" i="27"/>
  <c r="IB52" i="27"/>
  <c r="IC52" i="27"/>
  <c r="ID52" i="27"/>
  <c r="IE52" i="27"/>
  <c r="IF52" i="27"/>
  <c r="IG52" i="27"/>
  <c r="IH52" i="27"/>
  <c r="II52" i="27"/>
  <c r="IJ52" i="27"/>
  <c r="IK52" i="27"/>
  <c r="IL52" i="27"/>
  <c r="IM52" i="27"/>
  <c r="IN52" i="27"/>
  <c r="IO52" i="27"/>
  <c r="IP52" i="27"/>
  <c r="IQ52" i="27"/>
  <c r="IR52" i="27"/>
  <c r="IS52" i="27"/>
  <c r="IT52" i="27"/>
  <c r="IU52" i="27"/>
  <c r="IV52" i="27"/>
  <c r="A51" i="27"/>
  <c r="B51" i="27"/>
  <c r="C51" i="27"/>
  <c r="D51" i="27"/>
  <c r="E51" i="27"/>
  <c r="F51"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AG51" i="27"/>
  <c r="AH51" i="27"/>
  <c r="AI51" i="27"/>
  <c r="AJ51" i="27"/>
  <c r="AK51" i="27"/>
  <c r="AL51" i="27"/>
  <c r="AM51" i="27"/>
  <c r="AN51" i="27"/>
  <c r="AO51" i="27"/>
  <c r="AP51" i="27"/>
  <c r="AQ51" i="27"/>
  <c r="AR51" i="27"/>
  <c r="AS51" i="27"/>
  <c r="AT51" i="27"/>
  <c r="AU51" i="27"/>
  <c r="AV51" i="27"/>
  <c r="AW51" i="27"/>
  <c r="AX51" i="27"/>
  <c r="AY51" i="27"/>
  <c r="AZ51" i="27"/>
  <c r="BA51" i="27"/>
  <c r="BB51" i="27"/>
  <c r="BC51" i="27"/>
  <c r="BD51" i="27"/>
  <c r="BE51" i="27"/>
  <c r="BF51" i="27"/>
  <c r="BG51" i="27"/>
  <c r="BH51" i="27"/>
  <c r="BI51" i="27"/>
  <c r="BJ51" i="27"/>
  <c r="BK51" i="27"/>
  <c r="BL51" i="27"/>
  <c r="BM51" i="27"/>
  <c r="BN51" i="27"/>
  <c r="BO51" i="27"/>
  <c r="BP51" i="27"/>
  <c r="BQ51" i="27"/>
  <c r="BR51" i="27"/>
  <c r="BS51" i="27"/>
  <c r="BT51" i="27"/>
  <c r="BU51" i="27"/>
  <c r="BV51" i="27"/>
  <c r="BW51" i="27"/>
  <c r="BX51" i="27"/>
  <c r="BY51" i="27"/>
  <c r="BZ51" i="27"/>
  <c r="CA51" i="27"/>
  <c r="CB51" i="27"/>
  <c r="CC51" i="27"/>
  <c r="CD51" i="27"/>
  <c r="CE51" i="27"/>
  <c r="CF51" i="27"/>
  <c r="CG51" i="27"/>
  <c r="CH51" i="27"/>
  <c r="CI51" i="27"/>
  <c r="CJ51" i="27"/>
  <c r="CK51" i="27"/>
  <c r="CL51" i="27"/>
  <c r="CM51" i="27"/>
  <c r="CN51" i="27"/>
  <c r="CO51" i="27"/>
  <c r="CP51" i="27"/>
  <c r="CQ51" i="27"/>
  <c r="CR51" i="27"/>
  <c r="CS51" i="27"/>
  <c r="CT51" i="27"/>
  <c r="CU51" i="27"/>
  <c r="CV51" i="27"/>
  <c r="CW51" i="27"/>
  <c r="CX51" i="27"/>
  <c r="CY51" i="27"/>
  <c r="CZ51" i="27"/>
  <c r="DA51" i="27"/>
  <c r="DB51" i="27"/>
  <c r="DC51" i="27"/>
  <c r="DD51" i="27"/>
  <c r="DE51" i="27"/>
  <c r="DF51" i="27"/>
  <c r="DG51" i="27"/>
  <c r="DH51" i="27"/>
  <c r="DI51" i="27"/>
  <c r="DJ51" i="27"/>
  <c r="DK51" i="27"/>
  <c r="DL51" i="27"/>
  <c r="DM51" i="27"/>
  <c r="DN51" i="27"/>
  <c r="DO51" i="27"/>
  <c r="DP51" i="27"/>
  <c r="DQ51" i="27"/>
  <c r="DR51" i="27"/>
  <c r="DS51" i="27"/>
  <c r="DT51" i="27"/>
  <c r="DU51" i="27"/>
  <c r="DV51" i="27"/>
  <c r="DW51" i="27"/>
  <c r="DX51" i="27"/>
  <c r="DY51" i="27"/>
  <c r="DZ51" i="27"/>
  <c r="EA51" i="27"/>
  <c r="EB51" i="27"/>
  <c r="EC51" i="27"/>
  <c r="ED51" i="27"/>
  <c r="EE51" i="27"/>
  <c r="EF51" i="27"/>
  <c r="EG51" i="27"/>
  <c r="EH51" i="27"/>
  <c r="EI51" i="27"/>
  <c r="EJ51" i="27"/>
  <c r="EK51" i="27"/>
  <c r="EL51" i="27"/>
  <c r="EM51" i="27"/>
  <c r="EN51" i="27"/>
  <c r="EO51" i="27"/>
  <c r="EP51" i="27"/>
  <c r="EQ51" i="27"/>
  <c r="ER51" i="27"/>
  <c r="ES51" i="27"/>
  <c r="ET51" i="27"/>
  <c r="EU51" i="27"/>
  <c r="EV51" i="27"/>
  <c r="EW51" i="27"/>
  <c r="EX51" i="27"/>
  <c r="EY51" i="27"/>
  <c r="EZ51" i="27"/>
  <c r="FA51" i="27"/>
  <c r="FB51" i="27"/>
  <c r="FC51" i="27"/>
  <c r="FD51" i="27"/>
  <c r="FE51" i="27"/>
  <c r="FF51" i="27"/>
  <c r="FG51" i="27"/>
  <c r="FH51" i="27"/>
  <c r="FI51" i="27"/>
  <c r="FJ51" i="27"/>
  <c r="FK51" i="27"/>
  <c r="FL51" i="27"/>
  <c r="FM51" i="27"/>
  <c r="FN51" i="27"/>
  <c r="FO51" i="27"/>
  <c r="FP51" i="27"/>
  <c r="FQ51" i="27"/>
  <c r="FR51" i="27"/>
  <c r="FS51" i="27"/>
  <c r="FT51" i="27"/>
  <c r="FU51" i="27"/>
  <c r="FV51" i="27"/>
  <c r="FW51" i="27"/>
  <c r="FX51" i="27"/>
  <c r="FY51" i="27"/>
  <c r="FZ51" i="27"/>
  <c r="GA51" i="27"/>
  <c r="GB51" i="27"/>
  <c r="GC51" i="27"/>
  <c r="GD51" i="27"/>
  <c r="GE51" i="27"/>
  <c r="GF51" i="27"/>
  <c r="GG51" i="27"/>
  <c r="GH51" i="27"/>
  <c r="GI51" i="27"/>
  <c r="GJ51" i="27"/>
  <c r="GK51" i="27"/>
  <c r="GL51" i="27"/>
  <c r="GM51" i="27"/>
  <c r="GN51" i="27"/>
  <c r="GO51" i="27"/>
  <c r="GP51" i="27"/>
  <c r="GQ51" i="27"/>
  <c r="GR51" i="27"/>
  <c r="GS51" i="27"/>
  <c r="GT51" i="27"/>
  <c r="GU51" i="27"/>
  <c r="GV51" i="27"/>
  <c r="GW51" i="27"/>
  <c r="GX51" i="27"/>
  <c r="GY51" i="27"/>
  <c r="GZ51" i="27"/>
  <c r="HA51" i="27"/>
  <c r="HB51" i="27"/>
  <c r="HC51" i="27"/>
  <c r="HD51" i="27"/>
  <c r="HE51" i="27"/>
  <c r="HF51" i="27"/>
  <c r="HG51" i="27"/>
  <c r="HH51" i="27"/>
  <c r="HI51" i="27"/>
  <c r="HJ51" i="27"/>
  <c r="HK51" i="27"/>
  <c r="HL51" i="27"/>
  <c r="HM51" i="27"/>
  <c r="HN51" i="27"/>
  <c r="HO51" i="27"/>
  <c r="HP51" i="27"/>
  <c r="HQ51" i="27"/>
  <c r="HR51" i="27"/>
  <c r="HS51" i="27"/>
  <c r="HT51" i="27"/>
  <c r="HU51" i="27"/>
  <c r="HV51" i="27"/>
  <c r="HW51" i="27"/>
  <c r="HX51" i="27"/>
  <c r="HY51" i="27"/>
  <c r="HZ51" i="27"/>
  <c r="IA51" i="27"/>
  <c r="IB51" i="27"/>
  <c r="IC51" i="27"/>
  <c r="ID51" i="27"/>
  <c r="IE51" i="27"/>
  <c r="IF51" i="27"/>
  <c r="IG51" i="27"/>
  <c r="IH51" i="27"/>
  <c r="II51" i="27"/>
  <c r="IJ51" i="27"/>
  <c r="IK51" i="27"/>
  <c r="IL51" i="27"/>
  <c r="IM51" i="27"/>
  <c r="IN51" i="27"/>
  <c r="IO51" i="27"/>
  <c r="IP51" i="27"/>
  <c r="IQ51" i="27"/>
  <c r="IR51" i="27"/>
  <c r="IS51" i="27"/>
  <c r="IT51" i="27"/>
  <c r="IU51" i="27"/>
  <c r="IV51" i="27"/>
  <c r="A50" i="27"/>
  <c r="B50" i="27"/>
  <c r="C50" i="27"/>
  <c r="D50" i="27"/>
  <c r="E50" i="27"/>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AH50" i="27"/>
  <c r="AI50" i="27"/>
  <c r="AJ50" i="27"/>
  <c r="AK50" i="27"/>
  <c r="AL50" i="27"/>
  <c r="AM50" i="27"/>
  <c r="AN50" i="27"/>
  <c r="AO50" i="27"/>
  <c r="AP50" i="27"/>
  <c r="AQ50" i="27"/>
  <c r="AR50" i="27"/>
  <c r="AS50" i="27"/>
  <c r="AT50" i="27"/>
  <c r="AU50" i="27"/>
  <c r="AV50" i="27"/>
  <c r="AW50" i="27"/>
  <c r="AX50" i="27"/>
  <c r="AY50" i="27"/>
  <c r="AZ50" i="27"/>
  <c r="BA50" i="27"/>
  <c r="BB50" i="27"/>
  <c r="BC50" i="27"/>
  <c r="BD50" i="27"/>
  <c r="BE50" i="27"/>
  <c r="BF50" i="27"/>
  <c r="BG50" i="27"/>
  <c r="BH50" i="27"/>
  <c r="BI50" i="27"/>
  <c r="BJ50" i="27"/>
  <c r="BK50" i="27"/>
  <c r="BL50" i="27"/>
  <c r="BM50" i="27"/>
  <c r="BN50" i="27"/>
  <c r="BO50" i="27"/>
  <c r="BP50" i="27"/>
  <c r="BQ50" i="27"/>
  <c r="BR50" i="27"/>
  <c r="BS50" i="27"/>
  <c r="BT50" i="27"/>
  <c r="BU50" i="27"/>
  <c r="BV50" i="27"/>
  <c r="BW50" i="27"/>
  <c r="BX50" i="27"/>
  <c r="BY50" i="27"/>
  <c r="BZ50" i="27"/>
  <c r="CA50" i="27"/>
  <c r="CB50" i="27"/>
  <c r="CC50" i="27"/>
  <c r="CD50" i="27"/>
  <c r="CE50" i="27"/>
  <c r="CF50" i="27"/>
  <c r="CG50" i="27"/>
  <c r="CH50" i="27"/>
  <c r="CI50" i="27"/>
  <c r="CJ50" i="27"/>
  <c r="CK50" i="27"/>
  <c r="CL50" i="27"/>
  <c r="CM50" i="27"/>
  <c r="CN50" i="27"/>
  <c r="CO50" i="27"/>
  <c r="CP50" i="27"/>
  <c r="CQ50" i="27"/>
  <c r="CR50" i="27"/>
  <c r="CS50" i="27"/>
  <c r="CT50" i="27"/>
  <c r="CU50" i="27"/>
  <c r="CV50" i="27"/>
  <c r="CW50" i="27"/>
  <c r="CX50" i="27"/>
  <c r="CY50" i="27"/>
  <c r="CZ50" i="27"/>
  <c r="DA50" i="27"/>
  <c r="DB50" i="27"/>
  <c r="DC50" i="27"/>
  <c r="DD50" i="27"/>
  <c r="DE50" i="27"/>
  <c r="DF50" i="27"/>
  <c r="DG50" i="27"/>
  <c r="DH50" i="27"/>
  <c r="DI50" i="27"/>
  <c r="DJ50" i="27"/>
  <c r="DK50" i="27"/>
  <c r="DL50" i="27"/>
  <c r="DM50" i="27"/>
  <c r="DN50" i="27"/>
  <c r="DO50" i="27"/>
  <c r="DP50" i="27"/>
  <c r="DQ50" i="27"/>
  <c r="DR50" i="27"/>
  <c r="DS50" i="27"/>
  <c r="DT50" i="27"/>
  <c r="DU50" i="27"/>
  <c r="DV50" i="27"/>
  <c r="DW50" i="27"/>
  <c r="DX50" i="27"/>
  <c r="DY50" i="27"/>
  <c r="DZ50" i="27"/>
  <c r="EA50" i="27"/>
  <c r="EB50" i="27"/>
  <c r="EC50" i="27"/>
  <c r="ED50" i="27"/>
  <c r="EE50" i="27"/>
  <c r="EF50" i="27"/>
  <c r="EG50" i="27"/>
  <c r="EH50" i="27"/>
  <c r="EI50" i="27"/>
  <c r="EJ50" i="27"/>
  <c r="EK50" i="27"/>
  <c r="EL50" i="27"/>
  <c r="EM50" i="27"/>
  <c r="EN50" i="27"/>
  <c r="EO50" i="27"/>
  <c r="EP50" i="27"/>
  <c r="EQ50" i="27"/>
  <c r="ER50" i="27"/>
  <c r="ES50" i="27"/>
  <c r="ET50" i="27"/>
  <c r="EU50" i="27"/>
  <c r="EV50" i="27"/>
  <c r="EW50" i="27"/>
  <c r="EX50" i="27"/>
  <c r="EY50" i="27"/>
  <c r="EZ50" i="27"/>
  <c r="FA50" i="27"/>
  <c r="FB50" i="27"/>
  <c r="FC50" i="27"/>
  <c r="FD50" i="27"/>
  <c r="FE50" i="27"/>
  <c r="FF50" i="27"/>
  <c r="FG50" i="27"/>
  <c r="FH50" i="27"/>
  <c r="FI50" i="27"/>
  <c r="FJ50" i="27"/>
  <c r="FK50" i="27"/>
  <c r="FL50" i="27"/>
  <c r="FM50" i="27"/>
  <c r="FN50" i="27"/>
  <c r="FO50" i="27"/>
  <c r="FP50" i="27"/>
  <c r="FQ50" i="27"/>
  <c r="FR50" i="27"/>
  <c r="FS50" i="27"/>
  <c r="FT50" i="27"/>
  <c r="FU50" i="27"/>
  <c r="FV50" i="27"/>
  <c r="FW50" i="27"/>
  <c r="FX50" i="27"/>
  <c r="FY50" i="27"/>
  <c r="FZ50" i="27"/>
  <c r="GA50" i="27"/>
  <c r="GB50" i="27"/>
  <c r="GC50" i="27"/>
  <c r="GD50" i="27"/>
  <c r="GE50" i="27"/>
  <c r="GF50" i="27"/>
  <c r="GG50" i="27"/>
  <c r="GH50" i="27"/>
  <c r="GI50" i="27"/>
  <c r="GJ50" i="27"/>
  <c r="GK50" i="27"/>
  <c r="GL50" i="27"/>
  <c r="GM50" i="27"/>
  <c r="GN50" i="27"/>
  <c r="GO50" i="27"/>
  <c r="GP50" i="27"/>
  <c r="GQ50" i="27"/>
  <c r="GR50" i="27"/>
  <c r="GS50" i="27"/>
  <c r="GT50" i="27"/>
  <c r="GU50" i="27"/>
  <c r="GV50" i="27"/>
  <c r="GW50" i="27"/>
  <c r="GX50" i="27"/>
  <c r="GY50" i="27"/>
  <c r="GZ50" i="27"/>
  <c r="HA50" i="27"/>
  <c r="HB50" i="27"/>
  <c r="HC50" i="27"/>
  <c r="HD50" i="27"/>
  <c r="HE50" i="27"/>
  <c r="HF50" i="27"/>
  <c r="HG50" i="27"/>
  <c r="HH50" i="27"/>
  <c r="HI50" i="27"/>
  <c r="HJ50" i="27"/>
  <c r="HK50" i="27"/>
  <c r="HL50" i="27"/>
  <c r="HM50" i="27"/>
  <c r="HN50" i="27"/>
  <c r="HO50" i="27"/>
  <c r="HP50" i="27"/>
  <c r="HQ50" i="27"/>
  <c r="HR50" i="27"/>
  <c r="HS50" i="27"/>
  <c r="HT50" i="27"/>
  <c r="HU50" i="27"/>
  <c r="HV50" i="27"/>
  <c r="HW50" i="27"/>
  <c r="HX50" i="27"/>
  <c r="HY50" i="27"/>
  <c r="HZ50" i="27"/>
  <c r="IA50" i="27"/>
  <c r="IB50" i="27"/>
  <c r="IC50" i="27"/>
  <c r="ID50" i="27"/>
  <c r="IE50" i="27"/>
  <c r="IF50" i="27"/>
  <c r="IG50" i="27"/>
  <c r="IH50" i="27"/>
  <c r="II50" i="27"/>
  <c r="IJ50" i="27"/>
  <c r="IK50" i="27"/>
  <c r="IL50" i="27"/>
  <c r="IM50" i="27"/>
  <c r="IN50" i="27"/>
  <c r="IO50" i="27"/>
  <c r="IP50" i="27"/>
  <c r="IQ50" i="27"/>
  <c r="IR50" i="27"/>
  <c r="IS50" i="27"/>
  <c r="IT50" i="27"/>
  <c r="IU50" i="27"/>
  <c r="IV50" i="27"/>
  <c r="A49" i="27"/>
  <c r="B49" i="27"/>
  <c r="C49" i="27"/>
  <c r="D49" i="27"/>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BQ49" i="27"/>
  <c r="BR49" i="27"/>
  <c r="BS49" i="27"/>
  <c r="BT49" i="27"/>
  <c r="BU49" i="27"/>
  <c r="BV49" i="27"/>
  <c r="BW49" i="27"/>
  <c r="BX49" i="27"/>
  <c r="BY49" i="27"/>
  <c r="BZ49" i="27"/>
  <c r="CA49" i="27"/>
  <c r="CB49" i="27"/>
  <c r="CC49" i="27"/>
  <c r="CD49" i="27"/>
  <c r="CE49" i="27"/>
  <c r="CF49" i="27"/>
  <c r="CG49" i="27"/>
  <c r="CH49" i="27"/>
  <c r="CI49" i="27"/>
  <c r="CJ49" i="27"/>
  <c r="CK49" i="27"/>
  <c r="CL49" i="27"/>
  <c r="CM49" i="27"/>
  <c r="CN49" i="27"/>
  <c r="CO49" i="27"/>
  <c r="CP49" i="27"/>
  <c r="CQ49" i="27"/>
  <c r="CR49" i="27"/>
  <c r="CS49" i="27"/>
  <c r="CT49" i="27"/>
  <c r="CU49" i="27"/>
  <c r="CV49" i="27"/>
  <c r="CW49" i="27"/>
  <c r="CX49" i="27"/>
  <c r="CY49" i="27"/>
  <c r="CZ49" i="27"/>
  <c r="DA49" i="27"/>
  <c r="DB49" i="27"/>
  <c r="DC49" i="27"/>
  <c r="DD49" i="27"/>
  <c r="DE49" i="27"/>
  <c r="DF49" i="27"/>
  <c r="DG49" i="27"/>
  <c r="DH49" i="27"/>
  <c r="DI49" i="27"/>
  <c r="DJ49" i="27"/>
  <c r="DK49" i="27"/>
  <c r="DL49" i="27"/>
  <c r="DM49" i="27"/>
  <c r="DN49" i="27"/>
  <c r="DO49" i="27"/>
  <c r="DP49" i="27"/>
  <c r="DQ49" i="27"/>
  <c r="DR49" i="27"/>
  <c r="DS49" i="27"/>
  <c r="DT49" i="27"/>
  <c r="DU49" i="27"/>
  <c r="DV49" i="27"/>
  <c r="DW49" i="27"/>
  <c r="DX49" i="27"/>
  <c r="DY49" i="27"/>
  <c r="DZ49" i="27"/>
  <c r="EA49" i="27"/>
  <c r="EB49" i="27"/>
  <c r="EC49" i="27"/>
  <c r="ED49" i="27"/>
  <c r="EE49" i="27"/>
  <c r="EF49" i="27"/>
  <c r="EG49" i="27"/>
  <c r="EH49" i="27"/>
  <c r="EI49" i="27"/>
  <c r="EJ49" i="27"/>
  <c r="EK49" i="27"/>
  <c r="EL49" i="27"/>
  <c r="EM49" i="27"/>
  <c r="EN49" i="27"/>
  <c r="EO49" i="27"/>
  <c r="EP49" i="27"/>
  <c r="EQ49" i="27"/>
  <c r="ER49" i="27"/>
  <c r="ES49" i="27"/>
  <c r="ET49" i="27"/>
  <c r="EU49" i="27"/>
  <c r="EV49" i="27"/>
  <c r="EW49" i="27"/>
  <c r="EX49" i="27"/>
  <c r="EY49" i="27"/>
  <c r="EZ49" i="27"/>
  <c r="FA49" i="27"/>
  <c r="FB49" i="27"/>
  <c r="FC49" i="27"/>
  <c r="FD49" i="27"/>
  <c r="FE49" i="27"/>
  <c r="FF49" i="27"/>
  <c r="FG49" i="27"/>
  <c r="FH49" i="27"/>
  <c r="FI49" i="27"/>
  <c r="FJ49" i="27"/>
  <c r="FK49" i="27"/>
  <c r="FL49" i="27"/>
  <c r="FM49" i="27"/>
  <c r="FN49" i="27"/>
  <c r="FO49" i="27"/>
  <c r="FP49" i="27"/>
  <c r="FQ49" i="27"/>
  <c r="FR49" i="27"/>
  <c r="FS49" i="27"/>
  <c r="FT49" i="27"/>
  <c r="FU49" i="27"/>
  <c r="FV49" i="27"/>
  <c r="FW49" i="27"/>
  <c r="FX49" i="27"/>
  <c r="FY49" i="27"/>
  <c r="FZ49" i="27"/>
  <c r="GA49" i="27"/>
  <c r="GB49" i="27"/>
  <c r="GC49" i="27"/>
  <c r="GD49" i="27"/>
  <c r="GE49" i="27"/>
  <c r="GF49" i="27"/>
  <c r="GG49" i="27"/>
  <c r="GH49" i="27"/>
  <c r="GI49" i="27"/>
  <c r="GJ49" i="27"/>
  <c r="GK49" i="27"/>
  <c r="GL49" i="27"/>
  <c r="GM49" i="27"/>
  <c r="GN49" i="27"/>
  <c r="GO49" i="27"/>
  <c r="GP49" i="27"/>
  <c r="GQ49" i="27"/>
  <c r="GR49" i="27"/>
  <c r="GS49" i="27"/>
  <c r="GT49" i="27"/>
  <c r="GU49" i="27"/>
  <c r="GV49" i="27"/>
  <c r="GW49" i="27"/>
  <c r="GX49" i="27"/>
  <c r="GY49" i="27"/>
  <c r="GZ49" i="27"/>
  <c r="HA49" i="27"/>
  <c r="HB49" i="27"/>
  <c r="HC49" i="27"/>
  <c r="HD49" i="27"/>
  <c r="HE49" i="27"/>
  <c r="HF49" i="27"/>
  <c r="HG49" i="27"/>
  <c r="HH49" i="27"/>
  <c r="HI49" i="27"/>
  <c r="HJ49" i="27"/>
  <c r="HK49" i="27"/>
  <c r="HL49" i="27"/>
  <c r="HM49" i="27"/>
  <c r="HN49" i="27"/>
  <c r="HO49" i="27"/>
  <c r="HP49" i="27"/>
  <c r="HQ49" i="27"/>
  <c r="HR49" i="27"/>
  <c r="HS49" i="27"/>
  <c r="HT49" i="27"/>
  <c r="HU49" i="27"/>
  <c r="HV49" i="27"/>
  <c r="HW49" i="27"/>
  <c r="HX49" i="27"/>
  <c r="HY49" i="27"/>
  <c r="HZ49" i="27"/>
  <c r="IA49" i="27"/>
  <c r="IB49" i="27"/>
  <c r="IC49" i="27"/>
  <c r="ID49" i="27"/>
  <c r="IE49" i="27"/>
  <c r="IF49" i="27"/>
  <c r="IG49" i="27"/>
  <c r="IH49" i="27"/>
  <c r="II49" i="27"/>
  <c r="IJ49" i="27"/>
  <c r="IK49" i="27"/>
  <c r="IL49" i="27"/>
  <c r="IM49" i="27"/>
  <c r="IN49" i="27"/>
  <c r="IO49" i="27"/>
  <c r="IP49" i="27"/>
  <c r="IQ49" i="27"/>
  <c r="IR49" i="27"/>
  <c r="IS49" i="27"/>
  <c r="IT49" i="27"/>
  <c r="IU49" i="27"/>
  <c r="IV49" i="27"/>
  <c r="A48" i="27"/>
  <c r="B48" i="27"/>
  <c r="C48" i="27"/>
  <c r="D48" i="27"/>
  <c r="E48" i="27"/>
  <c r="F48" i="27"/>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BQ48" i="27"/>
  <c r="BR48" i="27"/>
  <c r="BS48" i="27"/>
  <c r="BT48" i="27"/>
  <c r="BU48" i="27"/>
  <c r="BV48" i="27"/>
  <c r="BW48" i="27"/>
  <c r="BX48" i="27"/>
  <c r="BY48" i="27"/>
  <c r="BZ48" i="27"/>
  <c r="CA48" i="27"/>
  <c r="CB48" i="27"/>
  <c r="CC48" i="27"/>
  <c r="CD48" i="27"/>
  <c r="CE48" i="27"/>
  <c r="CF48" i="27"/>
  <c r="CG48" i="27"/>
  <c r="CH48" i="27"/>
  <c r="CI48" i="27"/>
  <c r="CJ48" i="27"/>
  <c r="CK48" i="27"/>
  <c r="CL48" i="27"/>
  <c r="CM48" i="27"/>
  <c r="CN48" i="27"/>
  <c r="CO48" i="27"/>
  <c r="CP48" i="27"/>
  <c r="CQ48" i="27"/>
  <c r="CR48" i="27"/>
  <c r="CS48" i="27"/>
  <c r="CT48" i="27"/>
  <c r="CU48" i="27"/>
  <c r="CV48" i="27"/>
  <c r="CW48" i="27"/>
  <c r="CX48" i="27"/>
  <c r="CY48" i="27"/>
  <c r="CZ48" i="27"/>
  <c r="DA48" i="27"/>
  <c r="DB48" i="27"/>
  <c r="DC48" i="27"/>
  <c r="DD48" i="27"/>
  <c r="DE48" i="27"/>
  <c r="DF48" i="27"/>
  <c r="DG48" i="27"/>
  <c r="DH48" i="27"/>
  <c r="DI48" i="27"/>
  <c r="DJ48" i="27"/>
  <c r="DK48" i="27"/>
  <c r="DL48" i="27"/>
  <c r="DM48" i="27"/>
  <c r="DN48" i="27"/>
  <c r="DO48" i="27"/>
  <c r="DP48" i="27"/>
  <c r="DQ48" i="27"/>
  <c r="DR48" i="27"/>
  <c r="DS48" i="27"/>
  <c r="DT48" i="27"/>
  <c r="DU48" i="27"/>
  <c r="DV48" i="27"/>
  <c r="DW48" i="27"/>
  <c r="DX48" i="27"/>
  <c r="DY48" i="27"/>
  <c r="DZ48" i="27"/>
  <c r="EA48" i="27"/>
  <c r="EB48" i="27"/>
  <c r="EC48" i="27"/>
  <c r="ED48" i="27"/>
  <c r="EE48" i="27"/>
  <c r="EF48" i="27"/>
  <c r="EG48" i="27"/>
  <c r="EH48" i="27"/>
  <c r="EI48" i="27"/>
  <c r="EJ48" i="27"/>
  <c r="EK48" i="27"/>
  <c r="EL48" i="27"/>
  <c r="EM48" i="27"/>
  <c r="EN48" i="27"/>
  <c r="EO48" i="27"/>
  <c r="EP48" i="27"/>
  <c r="EQ48" i="27"/>
  <c r="ER48" i="27"/>
  <c r="ES48" i="27"/>
  <c r="ET48" i="27"/>
  <c r="EU48" i="27"/>
  <c r="EV48" i="27"/>
  <c r="EW48" i="27"/>
  <c r="EX48" i="27"/>
  <c r="EY48" i="27"/>
  <c r="EZ48" i="27"/>
  <c r="FA48" i="27"/>
  <c r="FB48" i="27"/>
  <c r="FC48" i="27"/>
  <c r="FD48" i="27"/>
  <c r="FE48" i="27"/>
  <c r="FF48" i="27"/>
  <c r="FG48" i="27"/>
  <c r="FH48" i="27"/>
  <c r="FI48" i="27"/>
  <c r="FJ48" i="27"/>
  <c r="FK48" i="27"/>
  <c r="FL48" i="27"/>
  <c r="FM48" i="27"/>
  <c r="FN48" i="27"/>
  <c r="FO48" i="27"/>
  <c r="FP48" i="27"/>
  <c r="FQ48" i="27"/>
  <c r="FR48" i="27"/>
  <c r="FS48" i="27"/>
  <c r="FT48" i="27"/>
  <c r="FU48" i="27"/>
  <c r="FV48" i="27"/>
  <c r="FW48" i="27"/>
  <c r="FX48" i="27"/>
  <c r="FY48" i="27"/>
  <c r="FZ48" i="27"/>
  <c r="GA48" i="27"/>
  <c r="GB48" i="27"/>
  <c r="GC48" i="27"/>
  <c r="GD48" i="27"/>
  <c r="GE48" i="27"/>
  <c r="GF48" i="27"/>
  <c r="GG48" i="27"/>
  <c r="GH48" i="27"/>
  <c r="GI48" i="27"/>
  <c r="GJ48" i="27"/>
  <c r="GK48" i="27"/>
  <c r="GL48" i="27"/>
  <c r="GM48" i="27"/>
  <c r="GN48" i="27"/>
  <c r="GO48" i="27"/>
  <c r="GP48" i="27"/>
  <c r="GQ48" i="27"/>
  <c r="GR48" i="27"/>
  <c r="GS48" i="27"/>
  <c r="GT48" i="27"/>
  <c r="GU48" i="27"/>
  <c r="GV48" i="27"/>
  <c r="GW48" i="27"/>
  <c r="GX48" i="27"/>
  <c r="GY48" i="27"/>
  <c r="GZ48" i="27"/>
  <c r="HA48" i="27"/>
  <c r="HB48" i="27"/>
  <c r="HC48" i="27"/>
  <c r="HD48" i="27"/>
  <c r="HE48" i="27"/>
  <c r="HF48" i="27"/>
  <c r="HG48" i="27"/>
  <c r="HH48" i="27"/>
  <c r="HI48" i="27"/>
  <c r="HJ48" i="27"/>
  <c r="HK48" i="27"/>
  <c r="HL48" i="27"/>
  <c r="HM48" i="27"/>
  <c r="HN48" i="27"/>
  <c r="HO48" i="27"/>
  <c r="HP48" i="27"/>
  <c r="HQ48" i="27"/>
  <c r="HR48" i="27"/>
  <c r="HS48" i="27"/>
  <c r="HT48" i="27"/>
  <c r="HU48" i="27"/>
  <c r="HV48" i="27"/>
  <c r="HW48" i="27"/>
  <c r="HX48" i="27"/>
  <c r="HY48" i="27"/>
  <c r="HZ48" i="27"/>
  <c r="IA48" i="27"/>
  <c r="IB48" i="27"/>
  <c r="IC48" i="27"/>
  <c r="ID48" i="27"/>
  <c r="IE48" i="27"/>
  <c r="IF48" i="27"/>
  <c r="IG48" i="27"/>
  <c r="IH48" i="27"/>
  <c r="II48" i="27"/>
  <c r="IJ48" i="27"/>
  <c r="IK48" i="27"/>
  <c r="IL48" i="27"/>
  <c r="IM48" i="27"/>
  <c r="IN48" i="27"/>
  <c r="IO48" i="27"/>
  <c r="IP48" i="27"/>
  <c r="IQ48" i="27"/>
  <c r="IR48" i="27"/>
  <c r="IS48" i="27"/>
  <c r="IT48" i="27"/>
  <c r="IU48" i="27"/>
  <c r="IV48" i="27"/>
  <c r="A47" i="27"/>
  <c r="B47" i="27"/>
  <c r="C47"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BQ47" i="27"/>
  <c r="BR47" i="27"/>
  <c r="BS47" i="27"/>
  <c r="BT47" i="27"/>
  <c r="BU47" i="27"/>
  <c r="BV47" i="27"/>
  <c r="BW47" i="27"/>
  <c r="BX47" i="27"/>
  <c r="BY47" i="27"/>
  <c r="BZ47" i="27"/>
  <c r="CA47" i="27"/>
  <c r="CB47" i="27"/>
  <c r="CC47" i="27"/>
  <c r="CD47" i="27"/>
  <c r="CE47" i="27"/>
  <c r="CF47" i="27"/>
  <c r="CG47" i="27"/>
  <c r="CH47" i="27"/>
  <c r="CI47" i="27"/>
  <c r="CJ47" i="27"/>
  <c r="CK47" i="27"/>
  <c r="CL47" i="27"/>
  <c r="CM47" i="27"/>
  <c r="CN47" i="27"/>
  <c r="CO47" i="27"/>
  <c r="CP47" i="27"/>
  <c r="CQ47" i="27"/>
  <c r="CR47" i="27"/>
  <c r="CS47" i="27"/>
  <c r="CT47" i="27"/>
  <c r="CU47" i="27"/>
  <c r="CV47" i="27"/>
  <c r="CW47" i="27"/>
  <c r="CX47" i="27"/>
  <c r="CY47" i="27"/>
  <c r="CZ47" i="27"/>
  <c r="DA47" i="27"/>
  <c r="DB47" i="27"/>
  <c r="DC47" i="27"/>
  <c r="DD47" i="27"/>
  <c r="DE47" i="27"/>
  <c r="DF47" i="27"/>
  <c r="DG47" i="27"/>
  <c r="DH47" i="27"/>
  <c r="DI47" i="27"/>
  <c r="DJ47" i="27"/>
  <c r="DK47" i="27"/>
  <c r="DL47" i="27"/>
  <c r="DM47" i="27"/>
  <c r="DN47" i="27"/>
  <c r="DO47" i="27"/>
  <c r="DP47" i="27"/>
  <c r="DQ47" i="27"/>
  <c r="DR47" i="27"/>
  <c r="DS47" i="27"/>
  <c r="DT47" i="27"/>
  <c r="DU47" i="27"/>
  <c r="DV47" i="27"/>
  <c r="DW47" i="27"/>
  <c r="DX47" i="27"/>
  <c r="DY47" i="27"/>
  <c r="DZ47" i="27"/>
  <c r="EA47" i="27"/>
  <c r="EB47" i="27"/>
  <c r="EC47" i="27"/>
  <c r="ED47" i="27"/>
  <c r="EE47" i="27"/>
  <c r="EF47" i="27"/>
  <c r="EG47" i="27"/>
  <c r="EH47" i="27"/>
  <c r="EI47" i="27"/>
  <c r="EJ47" i="27"/>
  <c r="EK47" i="27"/>
  <c r="EL47" i="27"/>
  <c r="EM47" i="27"/>
  <c r="EN47" i="27"/>
  <c r="EO47" i="27"/>
  <c r="EP47" i="27"/>
  <c r="EQ47" i="27"/>
  <c r="ER47" i="27"/>
  <c r="ES47" i="27"/>
  <c r="ET47" i="27"/>
  <c r="EU47" i="27"/>
  <c r="EV47" i="27"/>
  <c r="EW47" i="27"/>
  <c r="EX47" i="27"/>
  <c r="EY47" i="27"/>
  <c r="EZ47" i="27"/>
  <c r="FA47" i="27"/>
  <c r="FB47" i="27"/>
  <c r="FC47" i="27"/>
  <c r="FD47" i="27"/>
  <c r="FE47" i="27"/>
  <c r="FF47" i="27"/>
  <c r="FG47" i="27"/>
  <c r="FH47" i="27"/>
  <c r="FI47" i="27"/>
  <c r="FJ47" i="27"/>
  <c r="FK47" i="27"/>
  <c r="FL47" i="27"/>
  <c r="FM47" i="27"/>
  <c r="FN47" i="27"/>
  <c r="FO47" i="27"/>
  <c r="FP47" i="27"/>
  <c r="FQ47" i="27"/>
  <c r="FR47" i="27"/>
  <c r="FS47" i="27"/>
  <c r="FT47" i="27"/>
  <c r="FU47" i="27"/>
  <c r="FV47" i="27"/>
  <c r="FW47" i="27"/>
  <c r="FX47" i="27"/>
  <c r="FY47" i="27"/>
  <c r="FZ47" i="27"/>
  <c r="GA47" i="27"/>
  <c r="GB47" i="27"/>
  <c r="GC47" i="27"/>
  <c r="GD47" i="27"/>
  <c r="GE47" i="27"/>
  <c r="GF47" i="27"/>
  <c r="GG47" i="27"/>
  <c r="GH47" i="27"/>
  <c r="GI47" i="27"/>
  <c r="GJ47" i="27"/>
  <c r="GK47" i="27"/>
  <c r="GL47" i="27"/>
  <c r="GM47" i="27"/>
  <c r="GN47" i="27"/>
  <c r="GO47" i="27"/>
  <c r="GP47" i="27"/>
  <c r="GQ47" i="27"/>
  <c r="GR47" i="27"/>
  <c r="GS47" i="27"/>
  <c r="GT47" i="27"/>
  <c r="GU47" i="27"/>
  <c r="GV47" i="27"/>
  <c r="GW47" i="27"/>
  <c r="GX47" i="27"/>
  <c r="GY47" i="27"/>
  <c r="GZ47" i="27"/>
  <c r="HA47" i="27"/>
  <c r="HB47" i="27"/>
  <c r="HC47" i="27"/>
  <c r="HD47" i="27"/>
  <c r="HE47" i="27"/>
  <c r="HF47" i="27"/>
  <c r="HG47" i="27"/>
  <c r="HH47" i="27"/>
  <c r="HI47" i="27"/>
  <c r="HJ47" i="27"/>
  <c r="HK47" i="27"/>
  <c r="HL47" i="27"/>
  <c r="HM47" i="27"/>
  <c r="HN47" i="27"/>
  <c r="HO47" i="27"/>
  <c r="HP47" i="27"/>
  <c r="HQ47" i="27"/>
  <c r="HR47" i="27"/>
  <c r="HS47" i="27"/>
  <c r="HT47" i="27"/>
  <c r="HU47" i="27"/>
  <c r="HV47" i="27"/>
  <c r="HW47" i="27"/>
  <c r="HX47" i="27"/>
  <c r="HY47" i="27"/>
  <c r="HZ47" i="27"/>
  <c r="IA47" i="27"/>
  <c r="IB47" i="27"/>
  <c r="IC47" i="27"/>
  <c r="ID47" i="27"/>
  <c r="IE47" i="27"/>
  <c r="IF47" i="27"/>
  <c r="IG47" i="27"/>
  <c r="IH47" i="27"/>
  <c r="II47" i="27"/>
  <c r="IJ47" i="27"/>
  <c r="IK47" i="27"/>
  <c r="IL47" i="27"/>
  <c r="IM47" i="27"/>
  <c r="IN47" i="27"/>
  <c r="IO47" i="27"/>
  <c r="IP47" i="27"/>
  <c r="IQ47" i="27"/>
  <c r="IR47" i="27"/>
  <c r="IS47" i="27"/>
  <c r="IT47" i="27"/>
  <c r="IU47" i="27"/>
  <c r="IV47" i="27"/>
  <c r="A46" i="27"/>
  <c r="B46" i="27"/>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BQ46" i="27"/>
  <c r="BR46" i="27"/>
  <c r="BS46" i="27"/>
  <c r="BT46" i="27"/>
  <c r="BU46" i="27"/>
  <c r="BV46" i="27"/>
  <c r="BW46" i="27"/>
  <c r="BX46" i="27"/>
  <c r="BY46" i="27"/>
  <c r="BZ46" i="27"/>
  <c r="CA46" i="27"/>
  <c r="CB46" i="27"/>
  <c r="CC46" i="27"/>
  <c r="CD46" i="27"/>
  <c r="CE46" i="27"/>
  <c r="CF46" i="27"/>
  <c r="CG46" i="27"/>
  <c r="CH46" i="27"/>
  <c r="CI46" i="27"/>
  <c r="CJ46" i="27"/>
  <c r="CK46" i="27"/>
  <c r="CL46" i="27"/>
  <c r="CM46" i="27"/>
  <c r="CN46" i="27"/>
  <c r="CO46" i="27"/>
  <c r="CP46" i="27"/>
  <c r="CQ46" i="27"/>
  <c r="CR46" i="27"/>
  <c r="CS46" i="27"/>
  <c r="CT46" i="27"/>
  <c r="CU46" i="27"/>
  <c r="CV46" i="27"/>
  <c r="CW46" i="27"/>
  <c r="CX46" i="27"/>
  <c r="CY46" i="27"/>
  <c r="CZ46" i="27"/>
  <c r="DA46" i="27"/>
  <c r="DB46" i="27"/>
  <c r="DC46" i="27"/>
  <c r="DD46" i="27"/>
  <c r="DE46" i="27"/>
  <c r="DF46" i="27"/>
  <c r="DG46" i="27"/>
  <c r="DH46" i="27"/>
  <c r="DI46" i="27"/>
  <c r="DJ46" i="27"/>
  <c r="DK46" i="27"/>
  <c r="DL46" i="27"/>
  <c r="DM46" i="27"/>
  <c r="DN46" i="27"/>
  <c r="DO46" i="27"/>
  <c r="DP46" i="27"/>
  <c r="DQ46" i="27"/>
  <c r="DR46" i="27"/>
  <c r="DS46" i="27"/>
  <c r="DT46" i="27"/>
  <c r="DU46" i="27"/>
  <c r="DV46" i="27"/>
  <c r="DW46" i="27"/>
  <c r="DX46" i="27"/>
  <c r="DY46" i="27"/>
  <c r="DZ46" i="27"/>
  <c r="EA46" i="27"/>
  <c r="EB46" i="27"/>
  <c r="EC46" i="27"/>
  <c r="ED46" i="27"/>
  <c r="EE46" i="27"/>
  <c r="EF46" i="27"/>
  <c r="EG46" i="27"/>
  <c r="EH46" i="27"/>
  <c r="EI46" i="27"/>
  <c r="EJ46" i="27"/>
  <c r="EK46" i="27"/>
  <c r="EL46" i="27"/>
  <c r="EM46" i="27"/>
  <c r="EN46" i="27"/>
  <c r="EO46" i="27"/>
  <c r="EP46" i="27"/>
  <c r="EQ46" i="27"/>
  <c r="ER46" i="27"/>
  <c r="ES46" i="27"/>
  <c r="ET46" i="27"/>
  <c r="EU46" i="27"/>
  <c r="EV46" i="27"/>
  <c r="EW46" i="27"/>
  <c r="EX46" i="27"/>
  <c r="EY46" i="27"/>
  <c r="EZ46" i="27"/>
  <c r="FA46" i="27"/>
  <c r="FB46" i="27"/>
  <c r="FC46" i="27"/>
  <c r="FD46" i="27"/>
  <c r="FE46" i="27"/>
  <c r="FF46" i="27"/>
  <c r="FG46" i="27"/>
  <c r="FH46" i="27"/>
  <c r="FI46" i="27"/>
  <c r="FJ46" i="27"/>
  <c r="FK46" i="27"/>
  <c r="FL46" i="27"/>
  <c r="FM46" i="27"/>
  <c r="FN46" i="27"/>
  <c r="FO46" i="27"/>
  <c r="FP46" i="27"/>
  <c r="FQ46" i="27"/>
  <c r="FR46" i="27"/>
  <c r="FS46" i="27"/>
  <c r="FT46" i="27"/>
  <c r="FU46" i="27"/>
  <c r="FV46" i="27"/>
  <c r="FW46" i="27"/>
  <c r="FX46" i="27"/>
  <c r="FY46" i="27"/>
  <c r="FZ46" i="27"/>
  <c r="GA46" i="27"/>
  <c r="GB46" i="27"/>
  <c r="GC46" i="27"/>
  <c r="GD46" i="27"/>
  <c r="GE46" i="27"/>
  <c r="GF46" i="27"/>
  <c r="GG46" i="27"/>
  <c r="GH46" i="27"/>
  <c r="GI46" i="27"/>
  <c r="GJ46" i="27"/>
  <c r="GK46" i="27"/>
  <c r="GL46" i="27"/>
  <c r="GM46" i="27"/>
  <c r="GN46" i="27"/>
  <c r="GO46" i="27"/>
  <c r="GP46" i="27"/>
  <c r="GQ46" i="27"/>
  <c r="GR46" i="27"/>
  <c r="GS46" i="27"/>
  <c r="GT46" i="27"/>
  <c r="GU46" i="27"/>
  <c r="GV46" i="27"/>
  <c r="GW46" i="27"/>
  <c r="GX46" i="27"/>
  <c r="GY46" i="27"/>
  <c r="GZ46" i="27"/>
  <c r="HA46" i="27"/>
  <c r="HB46" i="27"/>
  <c r="HC46" i="27"/>
  <c r="HD46" i="27"/>
  <c r="HE46" i="27"/>
  <c r="HF46" i="27"/>
  <c r="HG46" i="27"/>
  <c r="HH46" i="27"/>
  <c r="HI46" i="27"/>
  <c r="HJ46" i="27"/>
  <c r="HK46" i="27"/>
  <c r="HL46" i="27"/>
  <c r="HM46" i="27"/>
  <c r="HN46" i="27"/>
  <c r="HO46" i="27"/>
  <c r="HP46" i="27"/>
  <c r="HQ46" i="27"/>
  <c r="HR46" i="27"/>
  <c r="HS46" i="27"/>
  <c r="HT46" i="27"/>
  <c r="HU46" i="27"/>
  <c r="HV46" i="27"/>
  <c r="HW46" i="27"/>
  <c r="HX46" i="27"/>
  <c r="HY46" i="27"/>
  <c r="HZ46" i="27"/>
  <c r="IA46" i="27"/>
  <c r="IB46" i="27"/>
  <c r="IC46" i="27"/>
  <c r="ID46" i="27"/>
  <c r="IE46" i="27"/>
  <c r="IF46" i="27"/>
  <c r="IG46" i="27"/>
  <c r="IH46" i="27"/>
  <c r="II46" i="27"/>
  <c r="IJ46" i="27"/>
  <c r="IK46" i="27"/>
  <c r="IL46" i="27"/>
  <c r="IM46" i="27"/>
  <c r="IN46" i="27"/>
  <c r="IO46" i="27"/>
  <c r="IP46" i="27"/>
  <c r="IQ46" i="27"/>
  <c r="IR46" i="27"/>
  <c r="IS46" i="27"/>
  <c r="IT46" i="27"/>
  <c r="IU46" i="27"/>
  <c r="IV46" i="27"/>
  <c r="A45" i="27"/>
  <c r="B45" i="27"/>
  <c r="C45"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BQ45" i="27"/>
  <c r="BR45" i="27"/>
  <c r="BS45" i="27"/>
  <c r="BT45" i="27"/>
  <c r="BU45" i="27"/>
  <c r="BV45" i="27"/>
  <c r="BW45" i="27"/>
  <c r="BX45" i="27"/>
  <c r="BY45" i="27"/>
  <c r="BZ45" i="27"/>
  <c r="CA45" i="27"/>
  <c r="CB45" i="27"/>
  <c r="CC45" i="27"/>
  <c r="CD45" i="27"/>
  <c r="CE45" i="27"/>
  <c r="CF45" i="27"/>
  <c r="CG45" i="27"/>
  <c r="CH45" i="27"/>
  <c r="CI45" i="27"/>
  <c r="CJ45" i="27"/>
  <c r="CK45" i="27"/>
  <c r="CL45" i="27"/>
  <c r="CM45" i="27"/>
  <c r="CN45" i="27"/>
  <c r="CO45" i="27"/>
  <c r="CP45" i="27"/>
  <c r="CQ45" i="27"/>
  <c r="CR45" i="27"/>
  <c r="CS45" i="27"/>
  <c r="CT45" i="27"/>
  <c r="CU45" i="27"/>
  <c r="CV45" i="27"/>
  <c r="CW45" i="27"/>
  <c r="CX45" i="27"/>
  <c r="CY45" i="27"/>
  <c r="CZ45" i="27"/>
  <c r="DA45" i="27"/>
  <c r="DB45" i="27"/>
  <c r="DC45" i="27"/>
  <c r="DD45" i="27"/>
  <c r="DE45" i="27"/>
  <c r="DF45" i="27"/>
  <c r="DG45" i="27"/>
  <c r="DH45" i="27"/>
  <c r="DI45" i="27"/>
  <c r="DJ45" i="27"/>
  <c r="DK45" i="27"/>
  <c r="DL45" i="27"/>
  <c r="DM45" i="27"/>
  <c r="DN45" i="27"/>
  <c r="DO45" i="27"/>
  <c r="DP45" i="27"/>
  <c r="DQ45" i="27"/>
  <c r="DR45" i="27"/>
  <c r="DS45" i="27"/>
  <c r="DT45" i="27"/>
  <c r="DU45" i="27"/>
  <c r="DV45" i="27"/>
  <c r="DW45" i="27"/>
  <c r="DX45" i="27"/>
  <c r="DY45" i="27"/>
  <c r="DZ45" i="27"/>
  <c r="EA45" i="27"/>
  <c r="EB45" i="27"/>
  <c r="EC45" i="27"/>
  <c r="ED45" i="27"/>
  <c r="EE45" i="27"/>
  <c r="EF45" i="27"/>
  <c r="EG45" i="27"/>
  <c r="EH45" i="27"/>
  <c r="EI45" i="27"/>
  <c r="EJ45" i="27"/>
  <c r="EK45" i="27"/>
  <c r="EL45" i="27"/>
  <c r="EM45" i="27"/>
  <c r="EN45" i="27"/>
  <c r="EO45" i="27"/>
  <c r="EP45" i="27"/>
  <c r="EQ45" i="27"/>
  <c r="ER45" i="27"/>
  <c r="ES45" i="27"/>
  <c r="ET45" i="27"/>
  <c r="EU45" i="27"/>
  <c r="EV45" i="27"/>
  <c r="EW45" i="27"/>
  <c r="EX45" i="27"/>
  <c r="EY45" i="27"/>
  <c r="EZ45" i="27"/>
  <c r="FA45" i="27"/>
  <c r="FB45" i="27"/>
  <c r="FC45" i="27"/>
  <c r="FD45" i="27"/>
  <c r="FE45" i="27"/>
  <c r="FF45" i="27"/>
  <c r="FG45" i="27"/>
  <c r="FH45" i="27"/>
  <c r="FI45" i="27"/>
  <c r="FJ45" i="27"/>
  <c r="FK45" i="27"/>
  <c r="FL45" i="27"/>
  <c r="FM45" i="27"/>
  <c r="FN45" i="27"/>
  <c r="FO45" i="27"/>
  <c r="FP45" i="27"/>
  <c r="FQ45" i="27"/>
  <c r="FR45" i="27"/>
  <c r="FS45" i="27"/>
  <c r="FT45" i="27"/>
  <c r="FU45" i="27"/>
  <c r="FV45" i="27"/>
  <c r="FW45" i="27"/>
  <c r="FX45" i="27"/>
  <c r="FY45" i="27"/>
  <c r="FZ45" i="27"/>
  <c r="GA45" i="27"/>
  <c r="GB45" i="27"/>
  <c r="GC45" i="27"/>
  <c r="GD45" i="27"/>
  <c r="GE45" i="27"/>
  <c r="GF45" i="27"/>
  <c r="GG45" i="27"/>
  <c r="GH45" i="27"/>
  <c r="GI45" i="27"/>
  <c r="GJ45" i="27"/>
  <c r="GK45" i="27"/>
  <c r="GL45" i="27"/>
  <c r="GM45" i="27"/>
  <c r="GN45" i="27"/>
  <c r="GO45" i="27"/>
  <c r="GP45" i="27"/>
  <c r="GQ45" i="27"/>
  <c r="GR45" i="27"/>
  <c r="GS45" i="27"/>
  <c r="GT45" i="27"/>
  <c r="GU45" i="27"/>
  <c r="GV45" i="27"/>
  <c r="GW45" i="27"/>
  <c r="GX45" i="27"/>
  <c r="GY45" i="27"/>
  <c r="GZ45" i="27"/>
  <c r="HA45" i="27"/>
  <c r="HB45" i="27"/>
  <c r="HC45" i="27"/>
  <c r="HD45" i="27"/>
  <c r="HE45" i="27"/>
  <c r="HF45" i="27"/>
  <c r="HG45" i="27"/>
  <c r="HH45" i="27"/>
  <c r="HI45" i="27"/>
  <c r="HJ45" i="27"/>
  <c r="HK45" i="27"/>
  <c r="HL45" i="27"/>
  <c r="HM45" i="27"/>
  <c r="HN45" i="27"/>
  <c r="HO45" i="27"/>
  <c r="HP45" i="27"/>
  <c r="HQ45" i="27"/>
  <c r="HR45" i="27"/>
  <c r="HS45" i="27"/>
  <c r="HT45" i="27"/>
  <c r="HU45" i="27"/>
  <c r="HV45" i="27"/>
  <c r="HW45" i="27"/>
  <c r="HX45" i="27"/>
  <c r="HY45" i="27"/>
  <c r="HZ45" i="27"/>
  <c r="IA45" i="27"/>
  <c r="IB45" i="27"/>
  <c r="IC45" i="27"/>
  <c r="ID45" i="27"/>
  <c r="IE45" i="27"/>
  <c r="IF45" i="27"/>
  <c r="IG45" i="27"/>
  <c r="IH45" i="27"/>
  <c r="II45" i="27"/>
  <c r="IJ45" i="27"/>
  <c r="IK45" i="27"/>
  <c r="IL45" i="27"/>
  <c r="IM45" i="27"/>
  <c r="IN45" i="27"/>
  <c r="IO45" i="27"/>
  <c r="IP45" i="27"/>
  <c r="IQ45" i="27"/>
  <c r="IR45" i="27"/>
  <c r="IS45" i="27"/>
  <c r="IT45" i="27"/>
  <c r="IU45" i="27"/>
  <c r="IV45" i="27"/>
  <c r="A44" i="27"/>
  <c r="B44" i="27"/>
  <c r="C44" i="27"/>
  <c r="D44" i="27"/>
  <c r="E44" i="27"/>
  <c r="F44" i="27"/>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BQ44" i="27"/>
  <c r="BR44" i="27"/>
  <c r="BS44" i="27"/>
  <c r="BT44" i="27"/>
  <c r="BU44" i="27"/>
  <c r="BV44" i="27"/>
  <c r="BW44" i="27"/>
  <c r="BX44" i="27"/>
  <c r="BY44" i="27"/>
  <c r="BZ44" i="27"/>
  <c r="CA44" i="27"/>
  <c r="CB44" i="27"/>
  <c r="CC44" i="27"/>
  <c r="CD44" i="27"/>
  <c r="CE44" i="27"/>
  <c r="CF44" i="27"/>
  <c r="CG44" i="27"/>
  <c r="CH44" i="27"/>
  <c r="CI44" i="27"/>
  <c r="CJ44" i="27"/>
  <c r="CK44" i="27"/>
  <c r="CL44" i="27"/>
  <c r="CM44" i="27"/>
  <c r="CN44" i="27"/>
  <c r="CO44" i="27"/>
  <c r="CP44" i="27"/>
  <c r="CQ44" i="27"/>
  <c r="CR44" i="27"/>
  <c r="CS44" i="27"/>
  <c r="CT44" i="27"/>
  <c r="CU44" i="27"/>
  <c r="CV44" i="27"/>
  <c r="CW44" i="27"/>
  <c r="CX44" i="27"/>
  <c r="CY44" i="27"/>
  <c r="CZ44" i="27"/>
  <c r="DA44" i="27"/>
  <c r="DB44" i="27"/>
  <c r="DC44" i="27"/>
  <c r="DD44" i="27"/>
  <c r="DE44" i="27"/>
  <c r="DF44" i="27"/>
  <c r="DG44" i="27"/>
  <c r="DH44" i="27"/>
  <c r="DI44" i="27"/>
  <c r="DJ44" i="27"/>
  <c r="DK44" i="27"/>
  <c r="DL44" i="27"/>
  <c r="DM44" i="27"/>
  <c r="DN44" i="27"/>
  <c r="DO44" i="27"/>
  <c r="DP44" i="27"/>
  <c r="DQ44" i="27"/>
  <c r="DR44" i="27"/>
  <c r="DS44" i="27"/>
  <c r="DT44" i="27"/>
  <c r="DU44" i="27"/>
  <c r="DV44" i="27"/>
  <c r="DW44" i="27"/>
  <c r="DX44" i="27"/>
  <c r="DY44" i="27"/>
  <c r="DZ44" i="27"/>
  <c r="EA44" i="27"/>
  <c r="EB44" i="27"/>
  <c r="EC44" i="27"/>
  <c r="ED44" i="27"/>
  <c r="EE44" i="27"/>
  <c r="EF44" i="27"/>
  <c r="EG44" i="27"/>
  <c r="EH44" i="27"/>
  <c r="EI44" i="27"/>
  <c r="EJ44" i="27"/>
  <c r="EK44" i="27"/>
  <c r="EL44" i="27"/>
  <c r="EM44" i="27"/>
  <c r="EN44" i="27"/>
  <c r="EO44" i="27"/>
  <c r="EP44" i="27"/>
  <c r="EQ44" i="27"/>
  <c r="ER44" i="27"/>
  <c r="ES44" i="27"/>
  <c r="ET44" i="27"/>
  <c r="EU44" i="27"/>
  <c r="EV44" i="27"/>
  <c r="EW44" i="27"/>
  <c r="EX44" i="27"/>
  <c r="EY44" i="27"/>
  <c r="EZ44" i="27"/>
  <c r="FA44" i="27"/>
  <c r="FB44" i="27"/>
  <c r="FC44" i="27"/>
  <c r="FD44" i="27"/>
  <c r="FE44" i="27"/>
  <c r="FF44" i="27"/>
  <c r="FG44" i="27"/>
  <c r="FH44" i="27"/>
  <c r="FI44" i="27"/>
  <c r="FJ44" i="27"/>
  <c r="FK44" i="27"/>
  <c r="FL44" i="27"/>
  <c r="FM44" i="27"/>
  <c r="FN44" i="27"/>
  <c r="FO44" i="27"/>
  <c r="FP44" i="27"/>
  <c r="FQ44" i="27"/>
  <c r="FR44" i="27"/>
  <c r="FS44" i="27"/>
  <c r="FT44" i="27"/>
  <c r="FU44" i="27"/>
  <c r="FV44" i="27"/>
  <c r="FW44" i="27"/>
  <c r="FX44" i="27"/>
  <c r="FY44" i="27"/>
  <c r="FZ44" i="27"/>
  <c r="GA44" i="27"/>
  <c r="GB44" i="27"/>
  <c r="GC44" i="27"/>
  <c r="GD44" i="27"/>
  <c r="GE44" i="27"/>
  <c r="GF44" i="27"/>
  <c r="GG44" i="27"/>
  <c r="GH44" i="27"/>
  <c r="GI44" i="27"/>
  <c r="GJ44" i="27"/>
  <c r="GK44" i="27"/>
  <c r="GL44" i="27"/>
  <c r="GM44" i="27"/>
  <c r="GN44" i="27"/>
  <c r="GO44" i="27"/>
  <c r="GP44" i="27"/>
  <c r="GQ44" i="27"/>
  <c r="GR44" i="27"/>
  <c r="GS44" i="27"/>
  <c r="GT44" i="27"/>
  <c r="GU44" i="27"/>
  <c r="GV44" i="27"/>
  <c r="GW44" i="27"/>
  <c r="GX44" i="27"/>
  <c r="GY44" i="27"/>
  <c r="GZ44" i="27"/>
  <c r="HA44" i="27"/>
  <c r="HB44" i="27"/>
  <c r="HC44" i="27"/>
  <c r="HD44" i="27"/>
  <c r="HE44" i="27"/>
  <c r="HF44" i="27"/>
  <c r="HG44" i="27"/>
  <c r="HH44" i="27"/>
  <c r="HI44" i="27"/>
  <c r="HJ44" i="27"/>
  <c r="HK44" i="27"/>
  <c r="HL44" i="27"/>
  <c r="HM44" i="27"/>
  <c r="HN44" i="27"/>
  <c r="HO44" i="27"/>
  <c r="HP44" i="27"/>
  <c r="HQ44" i="27"/>
  <c r="HR44" i="27"/>
  <c r="HS44" i="27"/>
  <c r="HT44" i="27"/>
  <c r="HU44" i="27"/>
  <c r="HV44" i="27"/>
  <c r="HW44" i="27"/>
  <c r="HX44" i="27"/>
  <c r="HY44" i="27"/>
  <c r="HZ44" i="27"/>
  <c r="IA44" i="27"/>
  <c r="IB44" i="27"/>
  <c r="IC44" i="27"/>
  <c r="ID44" i="27"/>
  <c r="IE44" i="27"/>
  <c r="IF44" i="27"/>
  <c r="IG44" i="27"/>
  <c r="IH44" i="27"/>
  <c r="II44" i="27"/>
  <c r="IJ44" i="27"/>
  <c r="IK44" i="27"/>
  <c r="IL44" i="27"/>
  <c r="IM44" i="27"/>
  <c r="IN44" i="27"/>
  <c r="IO44" i="27"/>
  <c r="IP44" i="27"/>
  <c r="IQ44" i="27"/>
  <c r="IR44" i="27"/>
  <c r="IS44" i="27"/>
  <c r="IT44" i="27"/>
  <c r="IU44" i="27"/>
  <c r="IV44" i="27"/>
  <c r="A43" i="27"/>
  <c r="B43" i="27"/>
  <c r="C43" i="27"/>
  <c r="D43" i="27"/>
  <c r="E43" i="27"/>
  <c r="F43" i="27"/>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BQ43" i="27"/>
  <c r="BR43" i="27"/>
  <c r="BS43" i="27"/>
  <c r="BT43" i="27"/>
  <c r="BU43" i="27"/>
  <c r="BV43" i="27"/>
  <c r="BW43" i="27"/>
  <c r="BX43" i="27"/>
  <c r="BY43" i="27"/>
  <c r="BZ43" i="27"/>
  <c r="CA43" i="27"/>
  <c r="CB43" i="27"/>
  <c r="CC43" i="27"/>
  <c r="CD43" i="27"/>
  <c r="CE43" i="27"/>
  <c r="CF43" i="27"/>
  <c r="CG43" i="27"/>
  <c r="CH43" i="27"/>
  <c r="CI43" i="27"/>
  <c r="CJ43" i="27"/>
  <c r="CK43" i="27"/>
  <c r="CL43" i="27"/>
  <c r="CM43" i="27"/>
  <c r="CN43" i="27"/>
  <c r="CO43" i="27"/>
  <c r="CP43" i="27"/>
  <c r="CQ43" i="27"/>
  <c r="CR43" i="27"/>
  <c r="CS43" i="27"/>
  <c r="CT43" i="27"/>
  <c r="CU43" i="27"/>
  <c r="CV43" i="27"/>
  <c r="CW43" i="27"/>
  <c r="CX43" i="27"/>
  <c r="CY43" i="27"/>
  <c r="CZ43" i="27"/>
  <c r="DA43" i="27"/>
  <c r="DB43" i="27"/>
  <c r="DC43" i="27"/>
  <c r="DD43" i="27"/>
  <c r="DE43" i="27"/>
  <c r="DF43" i="27"/>
  <c r="DG43" i="27"/>
  <c r="DH43" i="27"/>
  <c r="DI43" i="27"/>
  <c r="DJ43" i="27"/>
  <c r="DK43" i="27"/>
  <c r="DL43" i="27"/>
  <c r="DM43" i="27"/>
  <c r="DN43" i="27"/>
  <c r="DO43" i="27"/>
  <c r="DP43" i="27"/>
  <c r="DQ43" i="27"/>
  <c r="DR43" i="27"/>
  <c r="DS43" i="27"/>
  <c r="DT43" i="27"/>
  <c r="DU43" i="27"/>
  <c r="DV43" i="27"/>
  <c r="DW43" i="27"/>
  <c r="DX43" i="27"/>
  <c r="DY43" i="27"/>
  <c r="DZ43" i="27"/>
  <c r="EA43" i="27"/>
  <c r="EB43" i="27"/>
  <c r="EC43" i="27"/>
  <c r="ED43" i="27"/>
  <c r="EE43" i="27"/>
  <c r="EF43" i="27"/>
  <c r="EG43" i="27"/>
  <c r="EH43" i="27"/>
  <c r="EI43" i="27"/>
  <c r="EJ43" i="27"/>
  <c r="EK43" i="27"/>
  <c r="EL43" i="27"/>
  <c r="EM43" i="27"/>
  <c r="EN43" i="27"/>
  <c r="EO43" i="27"/>
  <c r="EP43" i="27"/>
  <c r="EQ43" i="27"/>
  <c r="ER43" i="27"/>
  <c r="ES43" i="27"/>
  <c r="ET43" i="27"/>
  <c r="EU43" i="27"/>
  <c r="EV43" i="27"/>
  <c r="EW43" i="27"/>
  <c r="EX43" i="27"/>
  <c r="EY43" i="27"/>
  <c r="EZ43" i="27"/>
  <c r="FA43" i="27"/>
  <c r="FB43" i="27"/>
  <c r="FC43" i="27"/>
  <c r="FD43" i="27"/>
  <c r="FE43" i="27"/>
  <c r="FF43" i="27"/>
  <c r="FG43" i="27"/>
  <c r="FH43" i="27"/>
  <c r="FI43" i="27"/>
  <c r="FJ43" i="27"/>
  <c r="FK43" i="27"/>
  <c r="FL43" i="27"/>
  <c r="FM43" i="27"/>
  <c r="FN43" i="27"/>
  <c r="FO43" i="27"/>
  <c r="FP43" i="27"/>
  <c r="FQ43" i="27"/>
  <c r="FR43" i="27"/>
  <c r="FS43" i="27"/>
  <c r="FT43" i="27"/>
  <c r="FU43" i="27"/>
  <c r="FV43" i="27"/>
  <c r="FW43" i="27"/>
  <c r="FX43" i="27"/>
  <c r="FY43" i="27"/>
  <c r="FZ43" i="27"/>
  <c r="GA43" i="27"/>
  <c r="GB43" i="27"/>
  <c r="GC43" i="27"/>
  <c r="GD43" i="27"/>
  <c r="GE43" i="27"/>
  <c r="GF43" i="27"/>
  <c r="GG43" i="27"/>
  <c r="GH43" i="27"/>
  <c r="GI43" i="27"/>
  <c r="GJ43" i="27"/>
  <c r="GK43" i="27"/>
  <c r="GL43" i="27"/>
  <c r="GM43" i="27"/>
  <c r="GN43" i="27"/>
  <c r="GO43" i="27"/>
  <c r="GP43" i="27"/>
  <c r="GQ43" i="27"/>
  <c r="GR43" i="27"/>
  <c r="GS43" i="27"/>
  <c r="GT43" i="27"/>
  <c r="GU43" i="27"/>
  <c r="GV43" i="27"/>
  <c r="GW43" i="27"/>
  <c r="GX43" i="27"/>
  <c r="GY43" i="27"/>
  <c r="GZ43" i="27"/>
  <c r="HA43" i="27"/>
  <c r="HB43" i="27"/>
  <c r="HC43" i="27"/>
  <c r="HD43" i="27"/>
  <c r="HE43" i="27"/>
  <c r="HF43" i="27"/>
  <c r="HG43" i="27"/>
  <c r="HH43" i="27"/>
  <c r="HI43" i="27"/>
  <c r="HJ43" i="27"/>
  <c r="HK43" i="27"/>
  <c r="HL43" i="27"/>
  <c r="HM43" i="27"/>
  <c r="HN43" i="27"/>
  <c r="HO43" i="27"/>
  <c r="HP43" i="27"/>
  <c r="HQ43" i="27"/>
  <c r="HR43" i="27"/>
  <c r="HS43" i="27"/>
  <c r="HT43" i="27"/>
  <c r="HU43" i="27"/>
  <c r="HV43" i="27"/>
  <c r="HW43" i="27"/>
  <c r="HX43" i="27"/>
  <c r="HY43" i="27"/>
  <c r="HZ43" i="27"/>
  <c r="IA43" i="27"/>
  <c r="IB43" i="27"/>
  <c r="IC43" i="27"/>
  <c r="ID43" i="27"/>
  <c r="IE43" i="27"/>
  <c r="IF43" i="27"/>
  <c r="IG43" i="27"/>
  <c r="IH43" i="27"/>
  <c r="II43" i="27"/>
  <c r="IJ43" i="27"/>
  <c r="IK43" i="27"/>
  <c r="IL43" i="27"/>
  <c r="IM43" i="27"/>
  <c r="IN43" i="27"/>
  <c r="IO43" i="27"/>
  <c r="IP43" i="27"/>
  <c r="IQ43" i="27"/>
  <c r="IR43" i="27"/>
  <c r="IS43" i="27"/>
  <c r="IT43" i="27"/>
  <c r="IU43" i="27"/>
  <c r="IV43" i="27"/>
  <c r="A42" i="27"/>
  <c r="B42" i="27"/>
  <c r="C42" i="27"/>
  <c r="D42" i="27"/>
  <c r="E42" i="27"/>
  <c r="F42" i="27"/>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BQ42" i="27"/>
  <c r="BR42" i="27"/>
  <c r="BS42" i="27"/>
  <c r="BT42" i="27"/>
  <c r="BU42" i="27"/>
  <c r="BV42" i="27"/>
  <c r="BW42" i="27"/>
  <c r="BX42" i="27"/>
  <c r="BY42" i="27"/>
  <c r="BZ42" i="27"/>
  <c r="CA42" i="27"/>
  <c r="CB42" i="27"/>
  <c r="CC42" i="27"/>
  <c r="CD42" i="27"/>
  <c r="CE42" i="27"/>
  <c r="CF42" i="27"/>
  <c r="CG42" i="27"/>
  <c r="CH42" i="27"/>
  <c r="CI42" i="27"/>
  <c r="CJ42" i="27"/>
  <c r="CK42" i="27"/>
  <c r="CL42" i="27"/>
  <c r="CM42" i="27"/>
  <c r="CN42" i="27"/>
  <c r="CO42" i="27"/>
  <c r="CP42" i="27"/>
  <c r="CQ42" i="27"/>
  <c r="CR42" i="27"/>
  <c r="CS42" i="27"/>
  <c r="CT42" i="27"/>
  <c r="CU42" i="27"/>
  <c r="CV42" i="27"/>
  <c r="CW42" i="27"/>
  <c r="CX42" i="27"/>
  <c r="CY42" i="27"/>
  <c r="CZ42" i="27"/>
  <c r="DA42" i="27"/>
  <c r="DB42" i="27"/>
  <c r="DC42" i="27"/>
  <c r="DD42" i="27"/>
  <c r="DE42" i="27"/>
  <c r="DF42" i="27"/>
  <c r="DG42" i="27"/>
  <c r="DH42" i="27"/>
  <c r="DI42" i="27"/>
  <c r="DJ42" i="27"/>
  <c r="DK42" i="27"/>
  <c r="DL42" i="27"/>
  <c r="DM42" i="27"/>
  <c r="DN42" i="27"/>
  <c r="DO42" i="27"/>
  <c r="DP42" i="27"/>
  <c r="DQ42" i="27"/>
  <c r="DR42" i="27"/>
  <c r="DS42" i="27"/>
  <c r="DT42" i="27"/>
  <c r="DU42" i="27"/>
  <c r="DV42" i="27"/>
  <c r="DW42" i="27"/>
  <c r="DX42" i="27"/>
  <c r="DY42" i="27"/>
  <c r="DZ42" i="27"/>
  <c r="EA42" i="27"/>
  <c r="EB42" i="27"/>
  <c r="EC42" i="27"/>
  <c r="ED42" i="27"/>
  <c r="EE42" i="27"/>
  <c r="EF42" i="27"/>
  <c r="EG42" i="27"/>
  <c r="EH42" i="27"/>
  <c r="EI42" i="27"/>
  <c r="EJ42" i="27"/>
  <c r="EK42" i="27"/>
  <c r="EL42" i="27"/>
  <c r="EM42" i="27"/>
  <c r="EN42" i="27"/>
  <c r="EO42" i="27"/>
  <c r="EP42" i="27"/>
  <c r="EQ42" i="27"/>
  <c r="ER42" i="27"/>
  <c r="ES42" i="27"/>
  <c r="ET42" i="27"/>
  <c r="EU42" i="27"/>
  <c r="EV42" i="27"/>
  <c r="EW42" i="27"/>
  <c r="EX42" i="27"/>
  <c r="EY42" i="27"/>
  <c r="EZ42" i="27"/>
  <c r="FA42" i="27"/>
  <c r="FB42" i="27"/>
  <c r="FC42" i="27"/>
  <c r="FD42" i="27"/>
  <c r="FE42" i="27"/>
  <c r="FF42" i="27"/>
  <c r="FG42" i="27"/>
  <c r="FH42" i="27"/>
  <c r="FI42" i="27"/>
  <c r="FJ42" i="27"/>
  <c r="FK42" i="27"/>
  <c r="FL42" i="27"/>
  <c r="FM42" i="27"/>
  <c r="FN42" i="27"/>
  <c r="FO42" i="27"/>
  <c r="FP42" i="27"/>
  <c r="FQ42" i="27"/>
  <c r="FR42" i="27"/>
  <c r="FS42" i="27"/>
  <c r="FT42" i="27"/>
  <c r="FU42" i="27"/>
  <c r="FV42" i="27"/>
  <c r="FW42" i="27"/>
  <c r="FX42" i="27"/>
  <c r="FY42" i="27"/>
  <c r="FZ42" i="27"/>
  <c r="GA42" i="27"/>
  <c r="GB42" i="27"/>
  <c r="GC42" i="27"/>
  <c r="GD42" i="27"/>
  <c r="GE42" i="27"/>
  <c r="GF42" i="27"/>
  <c r="GG42" i="27"/>
  <c r="GH42" i="27"/>
  <c r="GI42" i="27"/>
  <c r="GJ42" i="27"/>
  <c r="GK42" i="27"/>
  <c r="GL42" i="27"/>
  <c r="GM42" i="27"/>
  <c r="GN42" i="27"/>
  <c r="GO42" i="27"/>
  <c r="GP42" i="27"/>
  <c r="GQ42" i="27"/>
  <c r="GR42" i="27"/>
  <c r="GS42" i="27"/>
  <c r="GT42" i="27"/>
  <c r="GU42" i="27"/>
  <c r="GV42" i="27"/>
  <c r="GW42" i="27"/>
  <c r="GX42" i="27"/>
  <c r="GY42" i="27"/>
  <c r="GZ42" i="27"/>
  <c r="HA42" i="27"/>
  <c r="HB42" i="27"/>
  <c r="HC42" i="27"/>
  <c r="HD42" i="27"/>
  <c r="HE42" i="27"/>
  <c r="HF42" i="27"/>
  <c r="HG42" i="27"/>
  <c r="HH42" i="27"/>
  <c r="HI42" i="27"/>
  <c r="HJ42" i="27"/>
  <c r="HK42" i="27"/>
  <c r="HL42" i="27"/>
  <c r="HM42" i="27"/>
  <c r="HN42" i="27"/>
  <c r="HO42" i="27"/>
  <c r="HP42" i="27"/>
  <c r="HQ42" i="27"/>
  <c r="HR42" i="27"/>
  <c r="HS42" i="27"/>
  <c r="HT42" i="27"/>
  <c r="HU42" i="27"/>
  <c r="HV42" i="27"/>
  <c r="HW42" i="27"/>
  <c r="HX42" i="27"/>
  <c r="HY42" i="27"/>
  <c r="HZ42" i="27"/>
  <c r="IA42" i="27"/>
  <c r="IB42" i="27"/>
  <c r="IC42" i="27"/>
  <c r="ID42" i="27"/>
  <c r="IE42" i="27"/>
  <c r="IF42" i="27"/>
  <c r="IG42" i="27"/>
  <c r="IH42" i="27"/>
  <c r="II42" i="27"/>
  <c r="IJ42" i="27"/>
  <c r="IK42" i="27"/>
  <c r="IL42" i="27"/>
  <c r="IM42" i="27"/>
  <c r="IN42" i="27"/>
  <c r="IO42" i="27"/>
  <c r="IP42" i="27"/>
  <c r="IQ42" i="27"/>
  <c r="IR42" i="27"/>
  <c r="IS42" i="27"/>
  <c r="IT42" i="27"/>
  <c r="IU42" i="27"/>
  <c r="IV42" i="27"/>
  <c r="A41" i="27"/>
  <c r="B41" i="27"/>
  <c r="C41" i="27"/>
  <c r="D41"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CF41" i="27"/>
  <c r="CG41" i="27"/>
  <c r="CH41" i="27"/>
  <c r="CI41" i="27"/>
  <c r="CJ41" i="27"/>
  <c r="CK41" i="27"/>
  <c r="CL41" i="27"/>
  <c r="CM41" i="27"/>
  <c r="CN41" i="27"/>
  <c r="CO41" i="27"/>
  <c r="CP41" i="27"/>
  <c r="CQ41" i="27"/>
  <c r="CR41" i="27"/>
  <c r="CS41" i="27"/>
  <c r="CT41" i="27"/>
  <c r="CU41" i="27"/>
  <c r="CV41" i="27"/>
  <c r="CW41" i="27"/>
  <c r="CX41" i="27"/>
  <c r="CY41" i="27"/>
  <c r="CZ41" i="27"/>
  <c r="DA41" i="27"/>
  <c r="DB41" i="27"/>
  <c r="DC41" i="27"/>
  <c r="DD41" i="27"/>
  <c r="DE41" i="27"/>
  <c r="DF41" i="27"/>
  <c r="DG41" i="27"/>
  <c r="DH41" i="27"/>
  <c r="DI41" i="27"/>
  <c r="DJ41" i="27"/>
  <c r="DK41" i="27"/>
  <c r="DL41" i="27"/>
  <c r="DM41" i="27"/>
  <c r="DN41" i="27"/>
  <c r="DO41" i="27"/>
  <c r="DP41" i="27"/>
  <c r="DQ41" i="27"/>
  <c r="DR41" i="27"/>
  <c r="DS41" i="27"/>
  <c r="DT41" i="27"/>
  <c r="DU41" i="27"/>
  <c r="DV41" i="27"/>
  <c r="DW41" i="27"/>
  <c r="DX41" i="27"/>
  <c r="DY41" i="27"/>
  <c r="DZ41" i="27"/>
  <c r="EA41" i="27"/>
  <c r="EB41" i="27"/>
  <c r="EC41" i="27"/>
  <c r="ED41" i="27"/>
  <c r="EE41" i="27"/>
  <c r="EF41" i="27"/>
  <c r="EG41" i="27"/>
  <c r="EH41" i="27"/>
  <c r="EI41" i="27"/>
  <c r="EJ41" i="27"/>
  <c r="EK41" i="27"/>
  <c r="EL41" i="27"/>
  <c r="EM41" i="27"/>
  <c r="EN41" i="27"/>
  <c r="EO41" i="27"/>
  <c r="EP41" i="27"/>
  <c r="EQ41" i="27"/>
  <c r="ER41" i="27"/>
  <c r="ES41" i="27"/>
  <c r="ET41" i="27"/>
  <c r="EU41" i="27"/>
  <c r="EV41" i="27"/>
  <c r="EW41" i="27"/>
  <c r="EX41" i="27"/>
  <c r="EY41" i="27"/>
  <c r="EZ41" i="27"/>
  <c r="FA41" i="27"/>
  <c r="FB41" i="27"/>
  <c r="FC41" i="27"/>
  <c r="FD41" i="27"/>
  <c r="FE41" i="27"/>
  <c r="FF41" i="27"/>
  <c r="FG41" i="27"/>
  <c r="FH41" i="27"/>
  <c r="FI41" i="27"/>
  <c r="FJ41" i="27"/>
  <c r="FK41" i="27"/>
  <c r="FL41" i="27"/>
  <c r="FM41" i="27"/>
  <c r="FN41" i="27"/>
  <c r="FO41" i="27"/>
  <c r="FP41" i="27"/>
  <c r="FQ41" i="27"/>
  <c r="FR41" i="27"/>
  <c r="FS41" i="27"/>
  <c r="FT41" i="27"/>
  <c r="FU41" i="27"/>
  <c r="FV41" i="27"/>
  <c r="FW41" i="27"/>
  <c r="FX41" i="27"/>
  <c r="FY41" i="27"/>
  <c r="FZ41" i="27"/>
  <c r="GA41" i="27"/>
  <c r="GB41" i="27"/>
  <c r="GC41" i="27"/>
  <c r="GD41" i="27"/>
  <c r="GE41" i="27"/>
  <c r="GF41" i="27"/>
  <c r="GG41" i="27"/>
  <c r="GH41" i="27"/>
  <c r="GI41" i="27"/>
  <c r="GJ41" i="27"/>
  <c r="GK41" i="27"/>
  <c r="GL41" i="27"/>
  <c r="GM41" i="27"/>
  <c r="GN41" i="27"/>
  <c r="GO41" i="27"/>
  <c r="GP41" i="27"/>
  <c r="GQ41" i="27"/>
  <c r="GR41" i="27"/>
  <c r="GS41" i="27"/>
  <c r="GT41" i="27"/>
  <c r="GU41" i="27"/>
  <c r="GV41" i="27"/>
  <c r="GW41" i="27"/>
  <c r="GX41" i="27"/>
  <c r="GY41" i="27"/>
  <c r="GZ41" i="27"/>
  <c r="HA41" i="27"/>
  <c r="HB41" i="27"/>
  <c r="HC41" i="27"/>
  <c r="HD41" i="27"/>
  <c r="HE41" i="27"/>
  <c r="HF41" i="27"/>
  <c r="HG41" i="27"/>
  <c r="HH41" i="27"/>
  <c r="HI41" i="27"/>
  <c r="HJ41" i="27"/>
  <c r="HK41" i="27"/>
  <c r="HL41" i="27"/>
  <c r="HM41" i="27"/>
  <c r="HN41" i="27"/>
  <c r="HO41" i="27"/>
  <c r="HP41" i="27"/>
  <c r="HQ41" i="27"/>
  <c r="HR41" i="27"/>
  <c r="HS41" i="27"/>
  <c r="HT41" i="27"/>
  <c r="HU41" i="27"/>
  <c r="HV41" i="27"/>
  <c r="HW41" i="27"/>
  <c r="HX41" i="27"/>
  <c r="HY41" i="27"/>
  <c r="HZ41" i="27"/>
  <c r="IA41" i="27"/>
  <c r="IB41" i="27"/>
  <c r="IC41" i="27"/>
  <c r="ID41" i="27"/>
  <c r="IE41" i="27"/>
  <c r="IF41" i="27"/>
  <c r="IG41" i="27"/>
  <c r="IH41" i="27"/>
  <c r="II41" i="27"/>
  <c r="IJ41" i="27"/>
  <c r="IK41" i="27"/>
  <c r="IL41" i="27"/>
  <c r="IM41" i="27"/>
  <c r="IN41" i="27"/>
  <c r="IO41" i="27"/>
  <c r="IP41" i="27"/>
  <c r="IQ41" i="27"/>
  <c r="IR41" i="27"/>
  <c r="IS41" i="27"/>
  <c r="IT41" i="27"/>
  <c r="IU41" i="27"/>
  <c r="IV41" i="27"/>
  <c r="A40" i="27"/>
  <c r="B40" i="27"/>
  <c r="C40" i="27"/>
  <c r="D40"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AG40" i="27"/>
  <c r="AH40" i="27"/>
  <c r="AI40" i="27"/>
  <c r="AJ40" i="27"/>
  <c r="AK40" i="27"/>
  <c r="AL40" i="27"/>
  <c r="AM40" i="27"/>
  <c r="AN40" i="27"/>
  <c r="AO40" i="27"/>
  <c r="AP40" i="27"/>
  <c r="AQ40" i="27"/>
  <c r="AR40" i="27"/>
  <c r="AS40" i="27"/>
  <c r="AT40" i="27"/>
  <c r="AU40" i="27"/>
  <c r="AV40" i="27"/>
  <c r="AW40" i="27"/>
  <c r="AX40" i="27"/>
  <c r="AY40" i="27"/>
  <c r="AZ40"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CF40" i="27"/>
  <c r="CG40" i="27"/>
  <c r="CH40" i="27"/>
  <c r="CI40" i="27"/>
  <c r="CJ40" i="27"/>
  <c r="CK40" i="27"/>
  <c r="CL40" i="27"/>
  <c r="CM40" i="27"/>
  <c r="CN40" i="27"/>
  <c r="CO40" i="27"/>
  <c r="CP40" i="27"/>
  <c r="CQ40" i="27"/>
  <c r="CR40" i="27"/>
  <c r="CS40" i="27"/>
  <c r="CT40" i="27"/>
  <c r="CU40" i="27"/>
  <c r="CV40" i="27"/>
  <c r="CW40" i="27"/>
  <c r="CX40" i="27"/>
  <c r="CY40" i="27"/>
  <c r="CZ40" i="27"/>
  <c r="DA40" i="27"/>
  <c r="DB40" i="27"/>
  <c r="DC40" i="27"/>
  <c r="DD40" i="27"/>
  <c r="DE40" i="27"/>
  <c r="DF40" i="27"/>
  <c r="DG40" i="27"/>
  <c r="DH40" i="27"/>
  <c r="DI40" i="27"/>
  <c r="DJ40" i="27"/>
  <c r="DK40" i="27"/>
  <c r="DL40" i="27"/>
  <c r="DM40" i="27"/>
  <c r="DN40" i="27"/>
  <c r="DO40" i="27"/>
  <c r="DP40" i="27"/>
  <c r="DQ40" i="27"/>
  <c r="DR40" i="27"/>
  <c r="DS40" i="27"/>
  <c r="DT40" i="27"/>
  <c r="DU40" i="27"/>
  <c r="DV40" i="27"/>
  <c r="DW40" i="27"/>
  <c r="DX40" i="27"/>
  <c r="DY40" i="27"/>
  <c r="DZ40" i="27"/>
  <c r="EA40" i="27"/>
  <c r="EB40" i="27"/>
  <c r="EC40" i="27"/>
  <c r="ED40" i="27"/>
  <c r="EE40" i="27"/>
  <c r="EF40" i="27"/>
  <c r="EG40" i="27"/>
  <c r="EH40" i="27"/>
  <c r="EI40" i="27"/>
  <c r="EJ40" i="27"/>
  <c r="EK40" i="27"/>
  <c r="EL40" i="27"/>
  <c r="EM40" i="27"/>
  <c r="EN40" i="27"/>
  <c r="EO40" i="27"/>
  <c r="EP40" i="27"/>
  <c r="EQ40" i="27"/>
  <c r="ER40" i="27"/>
  <c r="ES40" i="27"/>
  <c r="ET40" i="27"/>
  <c r="EU40" i="27"/>
  <c r="EV40" i="27"/>
  <c r="EW40" i="27"/>
  <c r="EX40" i="27"/>
  <c r="EY40" i="27"/>
  <c r="EZ40" i="27"/>
  <c r="FA40" i="27"/>
  <c r="FB40" i="27"/>
  <c r="FC40" i="27"/>
  <c r="FD40" i="27"/>
  <c r="FE40" i="27"/>
  <c r="FF40" i="27"/>
  <c r="FG40" i="27"/>
  <c r="FH40" i="27"/>
  <c r="FI40" i="27"/>
  <c r="FJ40" i="27"/>
  <c r="FK40" i="27"/>
  <c r="FL40" i="27"/>
  <c r="FM40" i="27"/>
  <c r="FN40" i="27"/>
  <c r="FO40" i="27"/>
  <c r="FP40" i="27"/>
  <c r="FQ40" i="27"/>
  <c r="FR40" i="27"/>
  <c r="FS40" i="27"/>
  <c r="FT40" i="27"/>
  <c r="FU40" i="27"/>
  <c r="FV40" i="27"/>
  <c r="FW40" i="27"/>
  <c r="FX40" i="27"/>
  <c r="FY40" i="27"/>
  <c r="FZ40" i="27"/>
  <c r="GA40" i="27"/>
  <c r="GB40" i="27"/>
  <c r="GC40" i="27"/>
  <c r="GD40" i="27"/>
  <c r="GE40" i="27"/>
  <c r="GF40" i="27"/>
  <c r="GG40" i="27"/>
  <c r="GH40" i="27"/>
  <c r="GI40" i="27"/>
  <c r="GJ40" i="27"/>
  <c r="GK40" i="27"/>
  <c r="GL40" i="27"/>
  <c r="GM40" i="27"/>
  <c r="GN40" i="27"/>
  <c r="GO40" i="27"/>
  <c r="GP40" i="27"/>
  <c r="GQ40" i="27"/>
  <c r="GR40" i="27"/>
  <c r="GS40" i="27"/>
  <c r="GT40" i="27"/>
  <c r="GU40" i="27"/>
  <c r="GV40" i="27"/>
  <c r="GW40" i="27"/>
  <c r="GX40" i="27"/>
  <c r="GY40" i="27"/>
  <c r="GZ40" i="27"/>
  <c r="HA40" i="27"/>
  <c r="HB40" i="27"/>
  <c r="HC40" i="27"/>
  <c r="HD40" i="27"/>
  <c r="HE40" i="27"/>
  <c r="HF40" i="27"/>
  <c r="HG40" i="27"/>
  <c r="HH40" i="27"/>
  <c r="HI40" i="27"/>
  <c r="HJ40" i="27"/>
  <c r="HK40" i="27"/>
  <c r="HL40" i="27"/>
  <c r="HM40" i="27"/>
  <c r="HN40" i="27"/>
  <c r="HO40" i="27"/>
  <c r="HP40" i="27"/>
  <c r="HQ40" i="27"/>
  <c r="HR40" i="27"/>
  <c r="HS40" i="27"/>
  <c r="HT40" i="27"/>
  <c r="HU40" i="27"/>
  <c r="HV40" i="27"/>
  <c r="HW40" i="27"/>
  <c r="HX40" i="27"/>
  <c r="HY40" i="27"/>
  <c r="HZ40" i="27"/>
  <c r="IA40" i="27"/>
  <c r="IB40" i="27"/>
  <c r="IC40" i="27"/>
  <c r="ID40" i="27"/>
  <c r="IE40" i="27"/>
  <c r="IF40" i="27"/>
  <c r="IG40" i="27"/>
  <c r="IH40" i="27"/>
  <c r="II40" i="27"/>
  <c r="IJ40" i="27"/>
  <c r="IK40" i="27"/>
  <c r="IL40" i="27"/>
  <c r="IM40" i="27"/>
  <c r="IN40" i="27"/>
  <c r="IO40" i="27"/>
  <c r="IP40" i="27"/>
  <c r="IQ40" i="27"/>
  <c r="IR40" i="27"/>
  <c r="IS40" i="27"/>
  <c r="IT40" i="27"/>
  <c r="IU40" i="27"/>
  <c r="IV40" i="27"/>
  <c r="A39" i="27"/>
  <c r="B39" i="27"/>
  <c r="C39" i="27"/>
  <c r="D39"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L39" i="27"/>
  <c r="AM39" i="27"/>
  <c r="AN39" i="27"/>
  <c r="AO39" i="27"/>
  <c r="AP39" i="27"/>
  <c r="AQ39" i="27"/>
  <c r="AR39" i="27"/>
  <c r="AS39" i="27"/>
  <c r="AT39" i="27"/>
  <c r="AU39" i="27"/>
  <c r="AV39" i="27"/>
  <c r="AW39" i="27"/>
  <c r="AX39" i="27"/>
  <c r="AY39" i="27"/>
  <c r="AZ39"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CF39" i="27"/>
  <c r="CG39" i="27"/>
  <c r="CH39" i="27"/>
  <c r="CI39" i="27"/>
  <c r="CJ39" i="27"/>
  <c r="CK39" i="27"/>
  <c r="CL39" i="27"/>
  <c r="CM39" i="27"/>
  <c r="CN39" i="27"/>
  <c r="CO39" i="27"/>
  <c r="CP39" i="27"/>
  <c r="CQ39" i="27"/>
  <c r="CR39" i="27"/>
  <c r="CS39" i="27"/>
  <c r="CT39" i="27"/>
  <c r="CU39" i="27"/>
  <c r="CV39" i="27"/>
  <c r="CW39" i="27"/>
  <c r="CX39" i="27"/>
  <c r="CY39" i="27"/>
  <c r="CZ39" i="27"/>
  <c r="DA39" i="27"/>
  <c r="DB39" i="27"/>
  <c r="DC39" i="27"/>
  <c r="DD39" i="27"/>
  <c r="DE39" i="27"/>
  <c r="DF39" i="27"/>
  <c r="DG39" i="27"/>
  <c r="DH39" i="27"/>
  <c r="DI39" i="27"/>
  <c r="DJ39" i="27"/>
  <c r="DK39" i="27"/>
  <c r="DL39" i="27"/>
  <c r="DM39" i="27"/>
  <c r="DN39" i="27"/>
  <c r="DO39" i="27"/>
  <c r="DP39" i="27"/>
  <c r="DQ39" i="27"/>
  <c r="DR39" i="27"/>
  <c r="DS39" i="27"/>
  <c r="DT39" i="27"/>
  <c r="DU39" i="27"/>
  <c r="DV39" i="27"/>
  <c r="DW39" i="27"/>
  <c r="DX39" i="27"/>
  <c r="DY39" i="27"/>
  <c r="DZ39" i="27"/>
  <c r="EA39" i="27"/>
  <c r="EB39" i="27"/>
  <c r="EC39" i="27"/>
  <c r="ED39" i="27"/>
  <c r="EE39" i="27"/>
  <c r="EF39" i="27"/>
  <c r="EG39" i="27"/>
  <c r="EH39" i="27"/>
  <c r="EI39" i="27"/>
  <c r="EJ39" i="27"/>
  <c r="EK39" i="27"/>
  <c r="EL39" i="27"/>
  <c r="EM39" i="27"/>
  <c r="EN39" i="27"/>
  <c r="EO39" i="27"/>
  <c r="EP39" i="27"/>
  <c r="EQ39" i="27"/>
  <c r="ER39" i="27"/>
  <c r="ES39" i="27"/>
  <c r="ET39" i="27"/>
  <c r="EU39" i="27"/>
  <c r="EV39" i="27"/>
  <c r="EW39" i="27"/>
  <c r="EX39" i="27"/>
  <c r="EY39" i="27"/>
  <c r="EZ39" i="27"/>
  <c r="FA39" i="27"/>
  <c r="FB39" i="27"/>
  <c r="FC39" i="27"/>
  <c r="FD39" i="27"/>
  <c r="FE39" i="27"/>
  <c r="FF39" i="27"/>
  <c r="FG39" i="27"/>
  <c r="FH39" i="27"/>
  <c r="FI39" i="27"/>
  <c r="FJ39" i="27"/>
  <c r="FK39" i="27"/>
  <c r="FL39" i="27"/>
  <c r="FM39" i="27"/>
  <c r="FN39" i="27"/>
  <c r="FO39" i="27"/>
  <c r="FP39" i="27"/>
  <c r="FQ39" i="27"/>
  <c r="FR39" i="27"/>
  <c r="FS39" i="27"/>
  <c r="FT39" i="27"/>
  <c r="FU39" i="27"/>
  <c r="FV39" i="27"/>
  <c r="FW39" i="27"/>
  <c r="FX39" i="27"/>
  <c r="FY39" i="27"/>
  <c r="FZ39" i="27"/>
  <c r="GA39" i="27"/>
  <c r="GB39" i="27"/>
  <c r="GC39" i="27"/>
  <c r="GD39" i="27"/>
  <c r="GE39" i="27"/>
  <c r="GF39" i="27"/>
  <c r="GG39" i="27"/>
  <c r="GH39" i="27"/>
  <c r="GI39" i="27"/>
  <c r="GJ39" i="27"/>
  <c r="GK39" i="27"/>
  <c r="GL39" i="27"/>
  <c r="GM39" i="27"/>
  <c r="GN39" i="27"/>
  <c r="GO39" i="27"/>
  <c r="GP39" i="27"/>
  <c r="GQ39" i="27"/>
  <c r="GR39" i="27"/>
  <c r="GS39" i="27"/>
  <c r="GT39" i="27"/>
  <c r="GU39" i="27"/>
  <c r="GV39" i="27"/>
  <c r="GW39" i="27"/>
  <c r="GX39" i="27"/>
  <c r="GY39" i="27"/>
  <c r="GZ39" i="27"/>
  <c r="HA39" i="27"/>
  <c r="HB39" i="27"/>
  <c r="HC39" i="27"/>
  <c r="HD39" i="27"/>
  <c r="HE39" i="27"/>
  <c r="HF39" i="27"/>
  <c r="HG39" i="27"/>
  <c r="HH39" i="27"/>
  <c r="HI39" i="27"/>
  <c r="HJ39" i="27"/>
  <c r="HK39" i="27"/>
  <c r="HL39" i="27"/>
  <c r="HM39" i="27"/>
  <c r="HN39" i="27"/>
  <c r="HO39" i="27"/>
  <c r="HP39" i="27"/>
  <c r="HQ39" i="27"/>
  <c r="HR39" i="27"/>
  <c r="HS39" i="27"/>
  <c r="HT39" i="27"/>
  <c r="HU39" i="27"/>
  <c r="HV39" i="27"/>
  <c r="HW39" i="27"/>
  <c r="HX39" i="27"/>
  <c r="HY39" i="27"/>
  <c r="HZ39" i="27"/>
  <c r="IA39" i="27"/>
  <c r="IB39" i="27"/>
  <c r="IC39" i="27"/>
  <c r="ID39" i="27"/>
  <c r="IE39" i="27"/>
  <c r="IF39" i="27"/>
  <c r="IG39" i="27"/>
  <c r="IH39" i="27"/>
  <c r="II39" i="27"/>
  <c r="IJ39" i="27"/>
  <c r="IK39" i="27"/>
  <c r="IL39" i="27"/>
  <c r="IM39" i="27"/>
  <c r="IN39" i="27"/>
  <c r="IO39" i="27"/>
  <c r="IP39" i="27"/>
  <c r="IQ39" i="27"/>
  <c r="IR39" i="27"/>
  <c r="IS39" i="27"/>
  <c r="IT39" i="27"/>
  <c r="IU39" i="27"/>
  <c r="IV39" i="27"/>
  <c r="A38" i="27"/>
  <c r="B38" i="27"/>
  <c r="C38" i="27"/>
  <c r="D38" i="27"/>
  <c r="E38" i="27"/>
  <c r="F38" i="27"/>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CF38" i="27"/>
  <c r="CG38" i="27"/>
  <c r="CH38" i="27"/>
  <c r="CI38" i="27"/>
  <c r="CJ38" i="27"/>
  <c r="CK38" i="27"/>
  <c r="CL38" i="27"/>
  <c r="CM38" i="27"/>
  <c r="CN38" i="27"/>
  <c r="CO38" i="27"/>
  <c r="CP38" i="27"/>
  <c r="CQ38" i="27"/>
  <c r="CR38" i="27"/>
  <c r="CS38" i="27"/>
  <c r="CT38" i="27"/>
  <c r="CU38" i="27"/>
  <c r="CV38" i="27"/>
  <c r="CW38" i="27"/>
  <c r="CX38" i="27"/>
  <c r="CY38" i="27"/>
  <c r="CZ38" i="27"/>
  <c r="DA38" i="27"/>
  <c r="DB38" i="27"/>
  <c r="DC38" i="27"/>
  <c r="DD38" i="27"/>
  <c r="DE38" i="27"/>
  <c r="DF38" i="27"/>
  <c r="DG38" i="27"/>
  <c r="DH38" i="27"/>
  <c r="DI38" i="27"/>
  <c r="DJ38" i="27"/>
  <c r="DK38" i="27"/>
  <c r="DL38" i="27"/>
  <c r="DM38" i="27"/>
  <c r="DN38" i="27"/>
  <c r="DO38" i="27"/>
  <c r="DP38" i="27"/>
  <c r="DQ38" i="27"/>
  <c r="DR38" i="27"/>
  <c r="DS38" i="27"/>
  <c r="DT38" i="27"/>
  <c r="DU38" i="27"/>
  <c r="DV38" i="27"/>
  <c r="DW38" i="27"/>
  <c r="DX38" i="27"/>
  <c r="DY38" i="27"/>
  <c r="DZ38" i="27"/>
  <c r="EA38" i="27"/>
  <c r="EB38" i="27"/>
  <c r="EC38" i="27"/>
  <c r="ED38" i="27"/>
  <c r="EE38" i="27"/>
  <c r="EF38" i="27"/>
  <c r="EG38" i="27"/>
  <c r="EH38" i="27"/>
  <c r="EI38" i="27"/>
  <c r="EJ38" i="27"/>
  <c r="EK38" i="27"/>
  <c r="EL38" i="27"/>
  <c r="EM38" i="27"/>
  <c r="EN38" i="27"/>
  <c r="EO38" i="27"/>
  <c r="EP38" i="27"/>
  <c r="EQ38" i="27"/>
  <c r="ER38" i="27"/>
  <c r="ES38" i="27"/>
  <c r="ET38" i="27"/>
  <c r="EU38" i="27"/>
  <c r="EV38" i="27"/>
  <c r="EW38" i="27"/>
  <c r="EX38" i="27"/>
  <c r="EY38" i="27"/>
  <c r="EZ38" i="27"/>
  <c r="FA38" i="27"/>
  <c r="FB38" i="27"/>
  <c r="FC38" i="27"/>
  <c r="FD38" i="27"/>
  <c r="FE38" i="27"/>
  <c r="FF38" i="27"/>
  <c r="FG38" i="27"/>
  <c r="FH38" i="27"/>
  <c r="FI38" i="27"/>
  <c r="FJ38" i="27"/>
  <c r="FK38" i="27"/>
  <c r="FL38" i="27"/>
  <c r="FM38" i="27"/>
  <c r="FN38" i="27"/>
  <c r="FO38" i="27"/>
  <c r="FP38" i="27"/>
  <c r="FQ38" i="27"/>
  <c r="FR38" i="27"/>
  <c r="FS38" i="27"/>
  <c r="FT38" i="27"/>
  <c r="FU38" i="27"/>
  <c r="FV38" i="27"/>
  <c r="FW38" i="27"/>
  <c r="FX38" i="27"/>
  <c r="FY38" i="27"/>
  <c r="FZ38" i="27"/>
  <c r="GA38" i="27"/>
  <c r="GB38" i="27"/>
  <c r="GC38" i="27"/>
  <c r="GD38" i="27"/>
  <c r="GE38" i="27"/>
  <c r="GF38" i="27"/>
  <c r="GG38" i="27"/>
  <c r="GH38" i="27"/>
  <c r="GI38" i="27"/>
  <c r="GJ38" i="27"/>
  <c r="GK38" i="27"/>
  <c r="GL38" i="27"/>
  <c r="GM38" i="27"/>
  <c r="GN38" i="27"/>
  <c r="GO38" i="27"/>
  <c r="GP38" i="27"/>
  <c r="GQ38" i="27"/>
  <c r="GR38" i="27"/>
  <c r="GS38" i="27"/>
  <c r="GT38" i="27"/>
  <c r="GU38" i="27"/>
  <c r="GV38" i="27"/>
  <c r="GW38" i="27"/>
  <c r="GX38" i="27"/>
  <c r="GY38" i="27"/>
  <c r="GZ38" i="27"/>
  <c r="HA38" i="27"/>
  <c r="HB38" i="27"/>
  <c r="HC38" i="27"/>
  <c r="HD38" i="27"/>
  <c r="HE38" i="27"/>
  <c r="HF38" i="27"/>
  <c r="HG38" i="27"/>
  <c r="HH38" i="27"/>
  <c r="HI38" i="27"/>
  <c r="HJ38" i="27"/>
  <c r="HK38" i="27"/>
  <c r="HL38" i="27"/>
  <c r="HM38" i="27"/>
  <c r="HN38" i="27"/>
  <c r="HO38" i="27"/>
  <c r="HP38" i="27"/>
  <c r="HQ38" i="27"/>
  <c r="HR38" i="27"/>
  <c r="HS38" i="27"/>
  <c r="HT38" i="27"/>
  <c r="HU38" i="27"/>
  <c r="HV38" i="27"/>
  <c r="HW38" i="27"/>
  <c r="HX38" i="27"/>
  <c r="HY38" i="27"/>
  <c r="HZ38" i="27"/>
  <c r="IA38" i="27"/>
  <c r="IB38" i="27"/>
  <c r="IC38" i="27"/>
  <c r="ID38" i="27"/>
  <c r="IE38" i="27"/>
  <c r="IF38" i="27"/>
  <c r="IG38" i="27"/>
  <c r="IH38" i="27"/>
  <c r="II38" i="27"/>
  <c r="IJ38" i="27"/>
  <c r="IK38" i="27"/>
  <c r="IL38" i="27"/>
  <c r="IM38" i="27"/>
  <c r="IN38" i="27"/>
  <c r="IO38" i="27"/>
  <c r="IP38" i="27"/>
  <c r="IQ38" i="27"/>
  <c r="IR38" i="27"/>
  <c r="IS38" i="27"/>
  <c r="IT38" i="27"/>
  <c r="IU38" i="27"/>
  <c r="IV38" i="27"/>
  <c r="A37" i="27"/>
  <c r="B37" i="27"/>
  <c r="C37" i="27"/>
  <c r="D37" i="27"/>
  <c r="E37" i="27"/>
  <c r="F37" i="27"/>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CF37" i="27"/>
  <c r="CG37" i="27"/>
  <c r="CH37" i="27"/>
  <c r="CI37" i="27"/>
  <c r="CJ37" i="27"/>
  <c r="CK37" i="27"/>
  <c r="CL37" i="27"/>
  <c r="CM37" i="27"/>
  <c r="CN37" i="27"/>
  <c r="CO37" i="27"/>
  <c r="CP37" i="27"/>
  <c r="CQ37" i="27"/>
  <c r="CR37" i="27"/>
  <c r="CS37" i="27"/>
  <c r="CT37" i="27"/>
  <c r="CU37" i="27"/>
  <c r="CV37" i="27"/>
  <c r="CW37" i="27"/>
  <c r="CX37" i="27"/>
  <c r="CY37" i="27"/>
  <c r="CZ37" i="27"/>
  <c r="DA37" i="27"/>
  <c r="DB37" i="27"/>
  <c r="DC37" i="27"/>
  <c r="DD37" i="27"/>
  <c r="DE37" i="27"/>
  <c r="DF37" i="27"/>
  <c r="DG37" i="27"/>
  <c r="DH37" i="27"/>
  <c r="DI37" i="27"/>
  <c r="DJ37" i="27"/>
  <c r="DK37" i="27"/>
  <c r="DL37" i="27"/>
  <c r="DM37" i="27"/>
  <c r="DN37" i="27"/>
  <c r="DO37" i="27"/>
  <c r="DP37" i="27"/>
  <c r="DQ37" i="27"/>
  <c r="DR37" i="27"/>
  <c r="DS37" i="27"/>
  <c r="DT37" i="27"/>
  <c r="DU37" i="27"/>
  <c r="DV37" i="27"/>
  <c r="DW37" i="27"/>
  <c r="DX37" i="27"/>
  <c r="DY37" i="27"/>
  <c r="DZ37" i="27"/>
  <c r="EA37" i="27"/>
  <c r="EB37" i="27"/>
  <c r="EC37" i="27"/>
  <c r="ED37" i="27"/>
  <c r="EE37" i="27"/>
  <c r="EF37" i="27"/>
  <c r="EG37" i="27"/>
  <c r="EH37" i="27"/>
  <c r="EI37" i="27"/>
  <c r="EJ37" i="27"/>
  <c r="EK37" i="27"/>
  <c r="EL37" i="27"/>
  <c r="EM37" i="27"/>
  <c r="EN37" i="27"/>
  <c r="EO37" i="27"/>
  <c r="EP37" i="27"/>
  <c r="EQ37" i="27"/>
  <c r="ER37" i="27"/>
  <c r="ES37" i="27"/>
  <c r="ET37" i="27"/>
  <c r="EU37" i="27"/>
  <c r="EV37" i="27"/>
  <c r="EW37" i="27"/>
  <c r="EX37" i="27"/>
  <c r="EY37" i="27"/>
  <c r="EZ37" i="27"/>
  <c r="FA37" i="27"/>
  <c r="FB37" i="27"/>
  <c r="FC37" i="27"/>
  <c r="FD37" i="27"/>
  <c r="FE37" i="27"/>
  <c r="FF37" i="27"/>
  <c r="FG37" i="27"/>
  <c r="FH37" i="27"/>
  <c r="FI37" i="27"/>
  <c r="FJ37" i="27"/>
  <c r="FK37" i="27"/>
  <c r="FL37" i="27"/>
  <c r="FM37" i="27"/>
  <c r="FN37" i="27"/>
  <c r="FO37" i="27"/>
  <c r="FP37" i="27"/>
  <c r="FQ37" i="27"/>
  <c r="FR37" i="27"/>
  <c r="FS37" i="27"/>
  <c r="FT37" i="27"/>
  <c r="FU37" i="27"/>
  <c r="FV37" i="27"/>
  <c r="FW37" i="27"/>
  <c r="FX37" i="27"/>
  <c r="FY37" i="27"/>
  <c r="FZ37" i="27"/>
  <c r="GA37" i="27"/>
  <c r="GB37" i="27"/>
  <c r="GC37" i="27"/>
  <c r="GD37" i="27"/>
  <c r="GE37" i="27"/>
  <c r="GF37" i="27"/>
  <c r="GG37" i="27"/>
  <c r="GH37" i="27"/>
  <c r="GI37" i="27"/>
  <c r="GJ37" i="27"/>
  <c r="GK37" i="27"/>
  <c r="GL37" i="27"/>
  <c r="GM37" i="27"/>
  <c r="GN37" i="27"/>
  <c r="GO37" i="27"/>
  <c r="GP37" i="27"/>
  <c r="GQ37" i="27"/>
  <c r="GR37" i="27"/>
  <c r="GS37" i="27"/>
  <c r="GT37" i="27"/>
  <c r="GU37" i="27"/>
  <c r="GV37" i="27"/>
  <c r="GW37" i="27"/>
  <c r="GX37" i="27"/>
  <c r="GY37" i="27"/>
  <c r="GZ37" i="27"/>
  <c r="HA37" i="27"/>
  <c r="HB37" i="27"/>
  <c r="HC37" i="27"/>
  <c r="HD37" i="27"/>
  <c r="HE37" i="27"/>
  <c r="HF37" i="27"/>
  <c r="HG37" i="27"/>
  <c r="HH37" i="27"/>
  <c r="HI37" i="27"/>
  <c r="HJ37" i="27"/>
  <c r="HK37" i="27"/>
  <c r="HL37" i="27"/>
  <c r="HM37" i="27"/>
  <c r="HN37" i="27"/>
  <c r="HO37" i="27"/>
  <c r="HP37" i="27"/>
  <c r="HQ37" i="27"/>
  <c r="HR37" i="27"/>
  <c r="HS37" i="27"/>
  <c r="HT37" i="27"/>
  <c r="HU37" i="27"/>
  <c r="HV37" i="27"/>
  <c r="HW37" i="27"/>
  <c r="HX37" i="27"/>
  <c r="HY37" i="27"/>
  <c r="HZ37" i="27"/>
  <c r="IA37" i="27"/>
  <c r="IB37" i="27"/>
  <c r="IC37" i="27"/>
  <c r="ID37" i="27"/>
  <c r="IE37" i="27"/>
  <c r="IF37" i="27"/>
  <c r="IG37" i="27"/>
  <c r="IH37" i="27"/>
  <c r="II37" i="27"/>
  <c r="IJ37" i="27"/>
  <c r="IK37" i="27"/>
  <c r="IL37" i="27"/>
  <c r="IM37" i="27"/>
  <c r="IN37" i="27"/>
  <c r="IO37" i="27"/>
  <c r="IP37" i="27"/>
  <c r="IQ37" i="27"/>
  <c r="IR37" i="27"/>
  <c r="IS37" i="27"/>
  <c r="IT37" i="27"/>
  <c r="IU37" i="27"/>
  <c r="IV37" i="27"/>
  <c r="A36" i="27"/>
  <c r="B36" i="27"/>
  <c r="C36" i="27"/>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CF36" i="27"/>
  <c r="CG36" i="27"/>
  <c r="CH36" i="27"/>
  <c r="CI36" i="27"/>
  <c r="CJ36" i="27"/>
  <c r="CK36" i="27"/>
  <c r="CL36" i="27"/>
  <c r="CM36" i="27"/>
  <c r="CN36" i="27"/>
  <c r="CO36" i="27"/>
  <c r="CP36" i="27"/>
  <c r="CQ36" i="27"/>
  <c r="CR36" i="27"/>
  <c r="CS36" i="27"/>
  <c r="CT36" i="27"/>
  <c r="CU36" i="27"/>
  <c r="CV36" i="27"/>
  <c r="CW36" i="27"/>
  <c r="CX36" i="27"/>
  <c r="CY36" i="27"/>
  <c r="CZ36" i="27"/>
  <c r="DA36" i="27"/>
  <c r="DB36" i="27"/>
  <c r="DC36" i="27"/>
  <c r="DD36" i="27"/>
  <c r="DE36" i="27"/>
  <c r="DF36" i="27"/>
  <c r="DG36" i="27"/>
  <c r="DH36" i="27"/>
  <c r="DI36" i="27"/>
  <c r="DJ36" i="27"/>
  <c r="DK36" i="27"/>
  <c r="DL36" i="27"/>
  <c r="DM36" i="27"/>
  <c r="DN36" i="27"/>
  <c r="DO36" i="27"/>
  <c r="DP36" i="27"/>
  <c r="DQ36" i="27"/>
  <c r="DR36" i="27"/>
  <c r="DS36" i="27"/>
  <c r="DT36" i="27"/>
  <c r="DU36" i="27"/>
  <c r="DV36" i="27"/>
  <c r="DW36" i="27"/>
  <c r="DX36" i="27"/>
  <c r="DY36" i="27"/>
  <c r="DZ36" i="27"/>
  <c r="EA36" i="27"/>
  <c r="EB36" i="27"/>
  <c r="EC36" i="27"/>
  <c r="ED36" i="27"/>
  <c r="EE36" i="27"/>
  <c r="EF36" i="27"/>
  <c r="EG36" i="27"/>
  <c r="EH36" i="27"/>
  <c r="EI36" i="27"/>
  <c r="EJ36" i="27"/>
  <c r="EK36" i="27"/>
  <c r="EL36" i="27"/>
  <c r="EM36" i="27"/>
  <c r="EN36" i="27"/>
  <c r="EO36" i="27"/>
  <c r="EP36" i="27"/>
  <c r="EQ36" i="27"/>
  <c r="ER36" i="27"/>
  <c r="ES36" i="27"/>
  <c r="ET36" i="27"/>
  <c r="EU36" i="27"/>
  <c r="EV36" i="27"/>
  <c r="EW36" i="27"/>
  <c r="EX36" i="27"/>
  <c r="EY36" i="27"/>
  <c r="EZ36" i="27"/>
  <c r="FA36" i="27"/>
  <c r="FB36" i="27"/>
  <c r="FC36" i="27"/>
  <c r="FD36" i="27"/>
  <c r="FE36" i="27"/>
  <c r="FF36" i="27"/>
  <c r="FG36" i="27"/>
  <c r="FH36" i="27"/>
  <c r="FI36" i="27"/>
  <c r="FJ36" i="27"/>
  <c r="FK36" i="27"/>
  <c r="FL36" i="27"/>
  <c r="FM36" i="27"/>
  <c r="FN36" i="27"/>
  <c r="FO36" i="27"/>
  <c r="FP36" i="27"/>
  <c r="FQ36" i="27"/>
  <c r="FR36" i="27"/>
  <c r="FS36" i="27"/>
  <c r="FT36" i="27"/>
  <c r="FU36" i="27"/>
  <c r="FV36" i="27"/>
  <c r="FW36" i="27"/>
  <c r="FX36" i="27"/>
  <c r="FY36" i="27"/>
  <c r="FZ36" i="27"/>
  <c r="GA36" i="27"/>
  <c r="GB36" i="27"/>
  <c r="GC36" i="27"/>
  <c r="GD36" i="27"/>
  <c r="GE36" i="27"/>
  <c r="GF36" i="27"/>
  <c r="GG36" i="27"/>
  <c r="GH36" i="27"/>
  <c r="GI36" i="27"/>
  <c r="GJ36" i="27"/>
  <c r="GK36" i="27"/>
  <c r="GL36" i="27"/>
  <c r="GM36" i="27"/>
  <c r="GN36" i="27"/>
  <c r="GO36" i="27"/>
  <c r="GP36" i="27"/>
  <c r="GQ36" i="27"/>
  <c r="GR36" i="27"/>
  <c r="GS36" i="27"/>
  <c r="GT36" i="27"/>
  <c r="GU36" i="27"/>
  <c r="GV36" i="27"/>
  <c r="GW36" i="27"/>
  <c r="GX36" i="27"/>
  <c r="GY36" i="27"/>
  <c r="GZ36" i="27"/>
  <c r="HA36" i="27"/>
  <c r="HB36" i="27"/>
  <c r="HC36" i="27"/>
  <c r="HD36" i="27"/>
  <c r="HE36" i="27"/>
  <c r="HF36" i="27"/>
  <c r="HG36" i="27"/>
  <c r="HH36" i="27"/>
  <c r="HI36" i="27"/>
  <c r="HJ36" i="27"/>
  <c r="HK36" i="27"/>
  <c r="HL36" i="27"/>
  <c r="HM36" i="27"/>
  <c r="HN36" i="27"/>
  <c r="HO36" i="27"/>
  <c r="HP36" i="27"/>
  <c r="HQ36" i="27"/>
  <c r="HR36" i="27"/>
  <c r="HS36" i="27"/>
  <c r="HT36" i="27"/>
  <c r="HU36" i="27"/>
  <c r="HV36" i="27"/>
  <c r="HW36" i="27"/>
  <c r="HX36" i="27"/>
  <c r="HY36" i="27"/>
  <c r="HZ36" i="27"/>
  <c r="IA36" i="27"/>
  <c r="IB36" i="27"/>
  <c r="IC36" i="27"/>
  <c r="ID36" i="27"/>
  <c r="IE36" i="27"/>
  <c r="IF36" i="27"/>
  <c r="IG36" i="27"/>
  <c r="IH36" i="27"/>
  <c r="II36" i="27"/>
  <c r="IJ36" i="27"/>
  <c r="IK36" i="27"/>
  <c r="IL36" i="27"/>
  <c r="IM36" i="27"/>
  <c r="IN36" i="27"/>
  <c r="IO36" i="27"/>
  <c r="IP36" i="27"/>
  <c r="IQ36" i="27"/>
  <c r="IR36" i="27"/>
  <c r="IS36" i="27"/>
  <c r="IT36" i="27"/>
  <c r="IU36" i="27"/>
  <c r="IV36" i="27"/>
  <c r="A35" i="27"/>
  <c r="B35" i="27"/>
  <c r="C35" i="27"/>
  <c r="D35" i="27"/>
  <c r="E35" i="27"/>
  <c r="F35" i="27"/>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BQ35" i="27"/>
  <c r="BR35" i="27"/>
  <c r="BS35" i="27"/>
  <c r="BT35" i="27"/>
  <c r="BU35" i="27"/>
  <c r="BV35" i="27"/>
  <c r="BW35" i="27"/>
  <c r="BX35" i="27"/>
  <c r="BY35" i="27"/>
  <c r="BZ35" i="27"/>
  <c r="CA35" i="27"/>
  <c r="CB35" i="27"/>
  <c r="CC35" i="27"/>
  <c r="CD35" i="27"/>
  <c r="CE35" i="27"/>
  <c r="CF35" i="27"/>
  <c r="CG35" i="27"/>
  <c r="CH35" i="27"/>
  <c r="CI35" i="27"/>
  <c r="CJ35" i="27"/>
  <c r="CK35" i="27"/>
  <c r="CL35" i="27"/>
  <c r="CM35" i="27"/>
  <c r="CN35" i="27"/>
  <c r="CO35" i="27"/>
  <c r="CP35" i="27"/>
  <c r="CQ35" i="27"/>
  <c r="CR35" i="27"/>
  <c r="CS35" i="27"/>
  <c r="CT35" i="27"/>
  <c r="CU35" i="27"/>
  <c r="CV35" i="27"/>
  <c r="CW35" i="27"/>
  <c r="CX35" i="27"/>
  <c r="CY35" i="27"/>
  <c r="CZ35" i="27"/>
  <c r="DA35" i="27"/>
  <c r="DB35" i="27"/>
  <c r="DC35" i="27"/>
  <c r="DD35" i="27"/>
  <c r="DE35" i="27"/>
  <c r="DF35" i="27"/>
  <c r="DG35" i="27"/>
  <c r="DH35" i="27"/>
  <c r="DI35" i="27"/>
  <c r="DJ35" i="27"/>
  <c r="DK35" i="27"/>
  <c r="DL35" i="27"/>
  <c r="DM35" i="27"/>
  <c r="DN35" i="27"/>
  <c r="DO35" i="27"/>
  <c r="DP35" i="27"/>
  <c r="DQ35" i="27"/>
  <c r="DR35" i="27"/>
  <c r="DS35" i="27"/>
  <c r="DT35" i="27"/>
  <c r="DU35" i="27"/>
  <c r="DV35" i="27"/>
  <c r="DW35" i="27"/>
  <c r="DX35" i="27"/>
  <c r="DY35" i="27"/>
  <c r="DZ35" i="27"/>
  <c r="EA35" i="27"/>
  <c r="EB35" i="27"/>
  <c r="EC35" i="27"/>
  <c r="ED35" i="27"/>
  <c r="EE35" i="27"/>
  <c r="EF35" i="27"/>
  <c r="EG35" i="27"/>
  <c r="EH35" i="27"/>
  <c r="EI35" i="27"/>
  <c r="EJ35" i="27"/>
  <c r="EK35" i="27"/>
  <c r="EL35" i="27"/>
  <c r="EM35" i="27"/>
  <c r="EN35" i="27"/>
  <c r="EO35" i="27"/>
  <c r="EP35" i="27"/>
  <c r="EQ35" i="27"/>
  <c r="ER35" i="27"/>
  <c r="ES35" i="27"/>
  <c r="ET35" i="27"/>
  <c r="EU35" i="27"/>
  <c r="EV35" i="27"/>
  <c r="EW35" i="27"/>
  <c r="EX35" i="27"/>
  <c r="EY35" i="27"/>
  <c r="EZ35" i="27"/>
  <c r="FA35" i="27"/>
  <c r="FB35" i="27"/>
  <c r="FC35" i="27"/>
  <c r="FD35" i="27"/>
  <c r="FE35" i="27"/>
  <c r="FF35" i="27"/>
  <c r="FG35" i="27"/>
  <c r="FH35" i="27"/>
  <c r="FI35" i="27"/>
  <c r="FJ35" i="27"/>
  <c r="FK35" i="27"/>
  <c r="FL35" i="27"/>
  <c r="FM35" i="27"/>
  <c r="FN35" i="27"/>
  <c r="FO35" i="27"/>
  <c r="FP35" i="27"/>
  <c r="FQ35" i="27"/>
  <c r="FR35" i="27"/>
  <c r="FS35" i="27"/>
  <c r="FT35" i="27"/>
  <c r="FU35" i="27"/>
  <c r="FV35" i="27"/>
  <c r="FW35" i="27"/>
  <c r="FX35" i="27"/>
  <c r="FY35" i="27"/>
  <c r="FZ35" i="27"/>
  <c r="GA35" i="27"/>
  <c r="GB35" i="27"/>
  <c r="GC35" i="27"/>
  <c r="GD35" i="27"/>
  <c r="GE35" i="27"/>
  <c r="GF35" i="27"/>
  <c r="GG35" i="27"/>
  <c r="GH35" i="27"/>
  <c r="GI35" i="27"/>
  <c r="GJ35" i="27"/>
  <c r="GK35" i="27"/>
  <c r="GL35" i="27"/>
  <c r="GM35" i="27"/>
  <c r="GN35" i="27"/>
  <c r="GO35" i="27"/>
  <c r="GP35" i="27"/>
  <c r="GQ35" i="27"/>
  <c r="GR35" i="27"/>
  <c r="GS35" i="27"/>
  <c r="GT35" i="27"/>
  <c r="GU35" i="27"/>
  <c r="GV35" i="27"/>
  <c r="GW35" i="27"/>
  <c r="GX35" i="27"/>
  <c r="GY35" i="27"/>
  <c r="GZ35" i="27"/>
  <c r="HA35" i="27"/>
  <c r="HB35" i="27"/>
  <c r="HC35" i="27"/>
  <c r="HD35" i="27"/>
  <c r="HE35" i="27"/>
  <c r="HF35" i="27"/>
  <c r="HG35" i="27"/>
  <c r="HH35" i="27"/>
  <c r="HI35" i="27"/>
  <c r="HJ35" i="27"/>
  <c r="HK35" i="27"/>
  <c r="HL35" i="27"/>
  <c r="HM35" i="27"/>
  <c r="HN35" i="27"/>
  <c r="HO35" i="27"/>
  <c r="HP35" i="27"/>
  <c r="HQ35" i="27"/>
  <c r="HR35" i="27"/>
  <c r="HS35" i="27"/>
  <c r="HT35" i="27"/>
  <c r="HU35" i="27"/>
  <c r="HV35" i="27"/>
  <c r="HW35" i="27"/>
  <c r="HX35" i="27"/>
  <c r="HY35" i="27"/>
  <c r="HZ35" i="27"/>
  <c r="IA35" i="27"/>
  <c r="IB35" i="27"/>
  <c r="IC35" i="27"/>
  <c r="ID35" i="27"/>
  <c r="IE35" i="27"/>
  <c r="IF35" i="27"/>
  <c r="IG35" i="27"/>
  <c r="IH35" i="27"/>
  <c r="II35" i="27"/>
  <c r="IJ35" i="27"/>
  <c r="IK35" i="27"/>
  <c r="IL35" i="27"/>
  <c r="IM35" i="27"/>
  <c r="IN35" i="27"/>
  <c r="IO35" i="27"/>
  <c r="IP35" i="27"/>
  <c r="IQ35" i="27"/>
  <c r="IR35" i="27"/>
  <c r="IS35" i="27"/>
  <c r="IT35" i="27"/>
  <c r="IU35" i="27"/>
  <c r="IV35" i="27"/>
  <c r="A34" i="27"/>
  <c r="B34" i="27"/>
  <c r="C34" i="27"/>
  <c r="D34" i="27"/>
  <c r="E34" i="27"/>
  <c r="F34" i="27"/>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BQ34" i="27"/>
  <c r="BR34" i="27"/>
  <c r="BS34" i="27"/>
  <c r="BT34" i="27"/>
  <c r="BU34" i="27"/>
  <c r="BV34" i="27"/>
  <c r="BW34" i="27"/>
  <c r="BX34" i="27"/>
  <c r="BY34" i="27"/>
  <c r="BZ34" i="27"/>
  <c r="CA34" i="27"/>
  <c r="CB34" i="27"/>
  <c r="CC34" i="27"/>
  <c r="CD34" i="27"/>
  <c r="CE34" i="27"/>
  <c r="CF34" i="27"/>
  <c r="CG34" i="27"/>
  <c r="CH34" i="27"/>
  <c r="CI34" i="27"/>
  <c r="CJ34" i="27"/>
  <c r="CK34" i="27"/>
  <c r="CL34" i="27"/>
  <c r="CM34" i="27"/>
  <c r="CN34" i="27"/>
  <c r="CO34" i="27"/>
  <c r="CP34" i="27"/>
  <c r="CQ34" i="27"/>
  <c r="CR34" i="27"/>
  <c r="CS34" i="27"/>
  <c r="CT34" i="27"/>
  <c r="CU34" i="27"/>
  <c r="CV34" i="27"/>
  <c r="CW34" i="27"/>
  <c r="CX34" i="27"/>
  <c r="CY34" i="27"/>
  <c r="CZ34" i="27"/>
  <c r="DA34" i="27"/>
  <c r="DB34" i="27"/>
  <c r="DC34" i="27"/>
  <c r="DD34" i="27"/>
  <c r="DE34" i="27"/>
  <c r="DF34" i="27"/>
  <c r="DG34" i="27"/>
  <c r="DH34" i="27"/>
  <c r="DI34" i="27"/>
  <c r="DJ34" i="27"/>
  <c r="DK34" i="27"/>
  <c r="DL34" i="27"/>
  <c r="DM34" i="27"/>
  <c r="DN34" i="27"/>
  <c r="DO34" i="27"/>
  <c r="DP34" i="27"/>
  <c r="DQ34" i="27"/>
  <c r="DR34" i="27"/>
  <c r="DS34" i="27"/>
  <c r="DT34" i="27"/>
  <c r="DU34" i="27"/>
  <c r="DV34" i="27"/>
  <c r="DW34" i="27"/>
  <c r="DX34" i="27"/>
  <c r="DY34" i="27"/>
  <c r="DZ34" i="27"/>
  <c r="EA34" i="27"/>
  <c r="EB34" i="27"/>
  <c r="EC34" i="27"/>
  <c r="ED34" i="27"/>
  <c r="EE34" i="27"/>
  <c r="EF34" i="27"/>
  <c r="EG34" i="27"/>
  <c r="EH34" i="27"/>
  <c r="EI34" i="27"/>
  <c r="EJ34" i="27"/>
  <c r="EK34" i="27"/>
  <c r="EL34" i="27"/>
  <c r="EM34" i="27"/>
  <c r="EN34" i="27"/>
  <c r="EO34" i="27"/>
  <c r="EP34" i="27"/>
  <c r="EQ34" i="27"/>
  <c r="ER34" i="27"/>
  <c r="ES34" i="27"/>
  <c r="ET34" i="27"/>
  <c r="EU34" i="27"/>
  <c r="EV34" i="27"/>
  <c r="EW34" i="27"/>
  <c r="EX34" i="27"/>
  <c r="EY34" i="27"/>
  <c r="EZ34" i="27"/>
  <c r="FA34" i="27"/>
  <c r="FB34" i="27"/>
  <c r="FC34" i="27"/>
  <c r="FD34" i="27"/>
  <c r="FE34" i="27"/>
  <c r="FF34" i="27"/>
  <c r="FG34" i="27"/>
  <c r="FH34" i="27"/>
  <c r="FI34" i="27"/>
  <c r="FJ34" i="27"/>
  <c r="FK34" i="27"/>
  <c r="FL34" i="27"/>
  <c r="FM34" i="27"/>
  <c r="FN34" i="27"/>
  <c r="FO34" i="27"/>
  <c r="FP34" i="27"/>
  <c r="FQ34" i="27"/>
  <c r="FR34" i="27"/>
  <c r="FS34" i="27"/>
  <c r="FT34" i="27"/>
  <c r="FU34" i="27"/>
  <c r="FV34" i="27"/>
  <c r="FW34" i="27"/>
  <c r="FX34" i="27"/>
  <c r="FY34" i="27"/>
  <c r="FZ34" i="27"/>
  <c r="GA34" i="27"/>
  <c r="GB34" i="27"/>
  <c r="GC34" i="27"/>
  <c r="GD34" i="27"/>
  <c r="GE34" i="27"/>
  <c r="GF34" i="27"/>
  <c r="GG34" i="27"/>
  <c r="GH34" i="27"/>
  <c r="GI34" i="27"/>
  <c r="GJ34" i="27"/>
  <c r="GK34" i="27"/>
  <c r="GL34" i="27"/>
  <c r="GM34" i="27"/>
  <c r="GN34" i="27"/>
  <c r="GO34" i="27"/>
  <c r="GP34" i="27"/>
  <c r="GQ34" i="27"/>
  <c r="GR34" i="27"/>
  <c r="GS34" i="27"/>
  <c r="GT34" i="27"/>
  <c r="GU34" i="27"/>
  <c r="GV34" i="27"/>
  <c r="GW34" i="27"/>
  <c r="GX34" i="27"/>
  <c r="GY34" i="27"/>
  <c r="GZ34" i="27"/>
  <c r="HA34" i="27"/>
  <c r="HB34" i="27"/>
  <c r="HC34" i="27"/>
  <c r="HD34" i="27"/>
  <c r="HE34" i="27"/>
  <c r="HF34" i="27"/>
  <c r="HG34" i="27"/>
  <c r="HH34" i="27"/>
  <c r="HI34" i="27"/>
  <c r="HJ34" i="27"/>
  <c r="HK34" i="27"/>
  <c r="HL34" i="27"/>
  <c r="HM34" i="27"/>
  <c r="HN34" i="27"/>
  <c r="HO34" i="27"/>
  <c r="HP34" i="27"/>
  <c r="HQ34" i="27"/>
  <c r="HR34" i="27"/>
  <c r="HS34" i="27"/>
  <c r="HT34" i="27"/>
  <c r="HU34" i="27"/>
  <c r="HV34" i="27"/>
  <c r="HW34" i="27"/>
  <c r="HX34" i="27"/>
  <c r="HY34" i="27"/>
  <c r="HZ34" i="27"/>
  <c r="IA34" i="27"/>
  <c r="IB34" i="27"/>
  <c r="IC34" i="27"/>
  <c r="ID34" i="27"/>
  <c r="IE34" i="27"/>
  <c r="IF34" i="27"/>
  <c r="IG34" i="27"/>
  <c r="IH34" i="27"/>
  <c r="II34" i="27"/>
  <c r="IJ34" i="27"/>
  <c r="IK34" i="27"/>
  <c r="IL34" i="27"/>
  <c r="IM34" i="27"/>
  <c r="IN34" i="27"/>
  <c r="IO34" i="27"/>
  <c r="IP34" i="27"/>
  <c r="IQ34" i="27"/>
  <c r="IR34" i="27"/>
  <c r="IS34" i="27"/>
  <c r="IT34" i="27"/>
  <c r="IU34" i="27"/>
  <c r="IV34" i="27"/>
  <c r="A33" i="27"/>
  <c r="B33" i="27"/>
  <c r="C33" i="27"/>
  <c r="D33" i="27"/>
  <c r="E33" i="27"/>
  <c r="F33" i="27"/>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BQ33" i="27"/>
  <c r="BR33" i="27"/>
  <c r="BS33" i="27"/>
  <c r="BT33" i="27"/>
  <c r="BU33" i="27"/>
  <c r="BV33" i="27"/>
  <c r="BW33" i="27"/>
  <c r="BX33" i="27"/>
  <c r="BY33" i="27"/>
  <c r="BZ33" i="27"/>
  <c r="CA33" i="27"/>
  <c r="CB33" i="27"/>
  <c r="CC33" i="27"/>
  <c r="CD33" i="27"/>
  <c r="CE33" i="27"/>
  <c r="CF33" i="27"/>
  <c r="CG33" i="27"/>
  <c r="CH33" i="27"/>
  <c r="CI33" i="27"/>
  <c r="CJ33" i="27"/>
  <c r="CK33" i="27"/>
  <c r="CL33" i="27"/>
  <c r="CM33" i="27"/>
  <c r="CN33" i="27"/>
  <c r="CO33" i="27"/>
  <c r="CP33" i="27"/>
  <c r="CQ33" i="27"/>
  <c r="CR33" i="27"/>
  <c r="CS33" i="27"/>
  <c r="CT33" i="27"/>
  <c r="CU33" i="27"/>
  <c r="CV33" i="27"/>
  <c r="CW33" i="27"/>
  <c r="CX33" i="27"/>
  <c r="CY33" i="27"/>
  <c r="CZ33" i="27"/>
  <c r="DA33" i="27"/>
  <c r="DB33" i="27"/>
  <c r="DC33" i="27"/>
  <c r="DD33" i="27"/>
  <c r="DE33" i="27"/>
  <c r="DF33" i="27"/>
  <c r="DG33" i="27"/>
  <c r="DH33" i="27"/>
  <c r="DI33" i="27"/>
  <c r="DJ33" i="27"/>
  <c r="DK33" i="27"/>
  <c r="DL33" i="27"/>
  <c r="DM33" i="27"/>
  <c r="DN33" i="27"/>
  <c r="DO33" i="27"/>
  <c r="DP33" i="27"/>
  <c r="DQ33" i="27"/>
  <c r="DR33" i="27"/>
  <c r="DS33" i="27"/>
  <c r="DT33" i="27"/>
  <c r="DU33" i="27"/>
  <c r="DV33" i="27"/>
  <c r="DW33" i="27"/>
  <c r="DX33" i="27"/>
  <c r="DY33" i="27"/>
  <c r="DZ33" i="27"/>
  <c r="EA33" i="27"/>
  <c r="EB33" i="27"/>
  <c r="EC33" i="27"/>
  <c r="ED33" i="27"/>
  <c r="EE33" i="27"/>
  <c r="EF33" i="27"/>
  <c r="EG33" i="27"/>
  <c r="EH33" i="27"/>
  <c r="EI33" i="27"/>
  <c r="EJ33" i="27"/>
  <c r="EK33" i="27"/>
  <c r="EL33" i="27"/>
  <c r="EM33" i="27"/>
  <c r="EN33" i="27"/>
  <c r="EO33" i="27"/>
  <c r="EP33" i="27"/>
  <c r="EQ33" i="27"/>
  <c r="ER33" i="27"/>
  <c r="ES33" i="27"/>
  <c r="ET33" i="27"/>
  <c r="EU33" i="27"/>
  <c r="EV33" i="27"/>
  <c r="EW33" i="27"/>
  <c r="EX33" i="27"/>
  <c r="EY33" i="27"/>
  <c r="EZ33" i="27"/>
  <c r="FA33" i="27"/>
  <c r="FB33" i="27"/>
  <c r="FC33" i="27"/>
  <c r="FD33" i="27"/>
  <c r="FE33" i="27"/>
  <c r="FF33" i="27"/>
  <c r="FG33" i="27"/>
  <c r="FH33" i="27"/>
  <c r="FI33" i="27"/>
  <c r="FJ33" i="27"/>
  <c r="FK33" i="27"/>
  <c r="FL33" i="27"/>
  <c r="FM33" i="27"/>
  <c r="FN33" i="27"/>
  <c r="FO33" i="27"/>
  <c r="FP33" i="27"/>
  <c r="FQ33" i="27"/>
  <c r="FR33" i="27"/>
  <c r="FS33" i="27"/>
  <c r="FT33" i="27"/>
  <c r="FU33" i="27"/>
  <c r="FV33" i="27"/>
  <c r="FW33" i="27"/>
  <c r="FX33" i="27"/>
  <c r="FY33" i="27"/>
  <c r="FZ33" i="27"/>
  <c r="GA33" i="27"/>
  <c r="GB33" i="27"/>
  <c r="GC33" i="27"/>
  <c r="GD33" i="27"/>
  <c r="GE33" i="27"/>
  <c r="GF33" i="27"/>
  <c r="GG33" i="27"/>
  <c r="GH33" i="27"/>
  <c r="GI33" i="27"/>
  <c r="GJ33" i="27"/>
  <c r="GK33" i="27"/>
  <c r="GL33" i="27"/>
  <c r="GM33" i="27"/>
  <c r="GN33" i="27"/>
  <c r="GO33" i="27"/>
  <c r="GP33" i="27"/>
  <c r="GQ33" i="27"/>
  <c r="GR33" i="27"/>
  <c r="GS33" i="27"/>
  <c r="GT33" i="27"/>
  <c r="GU33" i="27"/>
  <c r="GV33" i="27"/>
  <c r="GW33" i="27"/>
  <c r="GX33" i="27"/>
  <c r="GY33" i="27"/>
  <c r="GZ33" i="27"/>
  <c r="HA33" i="27"/>
  <c r="HB33" i="27"/>
  <c r="HC33" i="27"/>
  <c r="HD33" i="27"/>
  <c r="HE33" i="27"/>
  <c r="HF33" i="27"/>
  <c r="HG33" i="27"/>
  <c r="HH33" i="27"/>
  <c r="HI33" i="27"/>
  <c r="HJ33" i="27"/>
  <c r="HK33" i="27"/>
  <c r="HL33" i="27"/>
  <c r="HM33" i="27"/>
  <c r="HN33" i="27"/>
  <c r="HO33" i="27"/>
  <c r="HP33" i="27"/>
  <c r="HQ33" i="27"/>
  <c r="HR33" i="27"/>
  <c r="HS33" i="27"/>
  <c r="HT33" i="27"/>
  <c r="HU33" i="27"/>
  <c r="HV33" i="27"/>
  <c r="HW33" i="27"/>
  <c r="HX33" i="27"/>
  <c r="HY33" i="27"/>
  <c r="HZ33" i="27"/>
  <c r="IA33" i="27"/>
  <c r="IB33" i="27"/>
  <c r="IC33" i="27"/>
  <c r="ID33" i="27"/>
  <c r="IE33" i="27"/>
  <c r="IF33" i="27"/>
  <c r="IG33" i="27"/>
  <c r="IH33" i="27"/>
  <c r="II33" i="27"/>
  <c r="IJ33" i="27"/>
  <c r="IK33" i="27"/>
  <c r="IL33" i="27"/>
  <c r="IM33" i="27"/>
  <c r="IN33" i="27"/>
  <c r="IO33" i="27"/>
  <c r="IP33" i="27"/>
  <c r="IQ33" i="27"/>
  <c r="IR33" i="27"/>
  <c r="IS33" i="27"/>
  <c r="IT33" i="27"/>
  <c r="IU33" i="27"/>
  <c r="IV33" i="27"/>
  <c r="A32" i="27"/>
  <c r="B32" i="27"/>
  <c r="C32" i="27"/>
  <c r="D32" i="27"/>
  <c r="E32" i="27"/>
  <c r="F32" i="27"/>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CF32" i="27"/>
  <c r="CG32" i="27"/>
  <c r="CH32" i="27"/>
  <c r="CI32" i="27"/>
  <c r="CJ32" i="27"/>
  <c r="CK32" i="27"/>
  <c r="CL32" i="27"/>
  <c r="CM32" i="27"/>
  <c r="CN32" i="27"/>
  <c r="CO32" i="27"/>
  <c r="CP32" i="27"/>
  <c r="CQ32" i="27"/>
  <c r="CR32" i="27"/>
  <c r="CS32" i="27"/>
  <c r="CT32" i="27"/>
  <c r="CU32" i="27"/>
  <c r="CV32" i="27"/>
  <c r="CW32" i="27"/>
  <c r="CX32" i="27"/>
  <c r="CY32" i="27"/>
  <c r="CZ32" i="27"/>
  <c r="DA32" i="27"/>
  <c r="DB32" i="27"/>
  <c r="DC32" i="27"/>
  <c r="DD32" i="27"/>
  <c r="DE32" i="27"/>
  <c r="DF32" i="27"/>
  <c r="DG32" i="27"/>
  <c r="DH32" i="27"/>
  <c r="DI32" i="27"/>
  <c r="DJ32" i="27"/>
  <c r="DK32" i="27"/>
  <c r="DL32" i="27"/>
  <c r="DM32" i="27"/>
  <c r="DN32" i="27"/>
  <c r="DO32" i="27"/>
  <c r="DP32" i="27"/>
  <c r="DQ32" i="27"/>
  <c r="DR32" i="27"/>
  <c r="DS32" i="27"/>
  <c r="DT32" i="27"/>
  <c r="DU32" i="27"/>
  <c r="DV32" i="27"/>
  <c r="DW32" i="27"/>
  <c r="DX32" i="27"/>
  <c r="DY32" i="27"/>
  <c r="DZ32" i="27"/>
  <c r="EA32" i="27"/>
  <c r="EB32" i="27"/>
  <c r="EC32" i="27"/>
  <c r="ED32" i="27"/>
  <c r="EE32" i="27"/>
  <c r="EF32" i="27"/>
  <c r="EG32" i="27"/>
  <c r="EH32" i="27"/>
  <c r="EI32" i="27"/>
  <c r="EJ32" i="27"/>
  <c r="EK32" i="27"/>
  <c r="EL32" i="27"/>
  <c r="EM32" i="27"/>
  <c r="EN32" i="27"/>
  <c r="EO32" i="27"/>
  <c r="EP32" i="27"/>
  <c r="EQ32" i="27"/>
  <c r="ER32" i="27"/>
  <c r="ES32" i="27"/>
  <c r="ET32" i="27"/>
  <c r="EU32" i="27"/>
  <c r="EV32" i="27"/>
  <c r="EW32" i="27"/>
  <c r="EX32" i="27"/>
  <c r="EY32" i="27"/>
  <c r="EZ32" i="27"/>
  <c r="FA32" i="27"/>
  <c r="FB32" i="27"/>
  <c r="FC32" i="27"/>
  <c r="FD32" i="27"/>
  <c r="FE32" i="27"/>
  <c r="FF32" i="27"/>
  <c r="FG32" i="27"/>
  <c r="FH32" i="27"/>
  <c r="FI32" i="27"/>
  <c r="FJ32" i="27"/>
  <c r="FK32" i="27"/>
  <c r="FL32" i="27"/>
  <c r="FM32" i="27"/>
  <c r="FN32" i="27"/>
  <c r="FO32" i="27"/>
  <c r="FP32" i="27"/>
  <c r="FQ32" i="27"/>
  <c r="FR32" i="27"/>
  <c r="FS32" i="27"/>
  <c r="FT32" i="27"/>
  <c r="FU32" i="27"/>
  <c r="FV32" i="27"/>
  <c r="FW32" i="27"/>
  <c r="FX32" i="27"/>
  <c r="FY32" i="27"/>
  <c r="FZ32" i="27"/>
  <c r="GA32" i="27"/>
  <c r="GB32" i="27"/>
  <c r="GC32" i="27"/>
  <c r="GD32" i="27"/>
  <c r="GE32" i="27"/>
  <c r="GF32" i="27"/>
  <c r="GG32" i="27"/>
  <c r="GH32" i="27"/>
  <c r="GI32" i="27"/>
  <c r="GJ32" i="27"/>
  <c r="GK32" i="27"/>
  <c r="GL32" i="27"/>
  <c r="GM32" i="27"/>
  <c r="GN32" i="27"/>
  <c r="GO32" i="27"/>
  <c r="GP32" i="27"/>
  <c r="GQ32" i="27"/>
  <c r="GR32" i="27"/>
  <c r="GS32" i="27"/>
  <c r="GT32" i="27"/>
  <c r="GU32" i="27"/>
  <c r="GV32" i="27"/>
  <c r="GW32" i="27"/>
  <c r="GX32" i="27"/>
  <c r="GY32" i="27"/>
  <c r="GZ32" i="27"/>
  <c r="HA32" i="27"/>
  <c r="HB32" i="27"/>
  <c r="HC32" i="27"/>
  <c r="HD32" i="27"/>
  <c r="HE32" i="27"/>
  <c r="HF32" i="27"/>
  <c r="HG32" i="27"/>
  <c r="HH32" i="27"/>
  <c r="HI32" i="27"/>
  <c r="HJ32" i="27"/>
  <c r="HK32" i="27"/>
  <c r="HL32" i="27"/>
  <c r="HM32" i="27"/>
  <c r="HN32" i="27"/>
  <c r="HO32" i="27"/>
  <c r="HP32" i="27"/>
  <c r="HQ32" i="27"/>
  <c r="HR32" i="27"/>
  <c r="HS32" i="27"/>
  <c r="HT32" i="27"/>
  <c r="HU32" i="27"/>
  <c r="HV32" i="27"/>
  <c r="HW32" i="27"/>
  <c r="HX32" i="27"/>
  <c r="HY32" i="27"/>
  <c r="HZ32" i="27"/>
  <c r="IA32" i="27"/>
  <c r="IB32" i="27"/>
  <c r="IC32" i="27"/>
  <c r="ID32" i="27"/>
  <c r="IE32" i="27"/>
  <c r="IF32" i="27"/>
  <c r="IG32" i="27"/>
  <c r="IH32" i="27"/>
  <c r="II32" i="27"/>
  <c r="IJ32" i="27"/>
  <c r="IK32" i="27"/>
  <c r="IL32" i="27"/>
  <c r="IM32" i="27"/>
  <c r="IN32" i="27"/>
  <c r="IO32" i="27"/>
  <c r="IP32" i="27"/>
  <c r="IQ32" i="27"/>
  <c r="IR32" i="27"/>
  <c r="IS32" i="27"/>
  <c r="IT32" i="27"/>
  <c r="IU32" i="27"/>
  <c r="IV32" i="27"/>
  <c r="A31" i="27"/>
  <c r="B31" i="27"/>
  <c r="C31" i="27"/>
  <c r="D31" i="27"/>
  <c r="E31" i="27"/>
  <c r="F31" i="27"/>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Y31" i="27"/>
  <c r="BZ31" i="27"/>
  <c r="CA31" i="27"/>
  <c r="CB31" i="27"/>
  <c r="CC31" i="27"/>
  <c r="CD31" i="27"/>
  <c r="CE31" i="27"/>
  <c r="CF31" i="27"/>
  <c r="CG31" i="27"/>
  <c r="CH31" i="27"/>
  <c r="CI31" i="27"/>
  <c r="CJ31" i="27"/>
  <c r="CK31" i="27"/>
  <c r="CL31" i="27"/>
  <c r="CM31" i="27"/>
  <c r="CN31" i="27"/>
  <c r="CO31" i="27"/>
  <c r="CP31" i="27"/>
  <c r="CQ31" i="27"/>
  <c r="CR31" i="27"/>
  <c r="CS31" i="27"/>
  <c r="CT31" i="27"/>
  <c r="CU31" i="27"/>
  <c r="CV31" i="27"/>
  <c r="CW31" i="27"/>
  <c r="CX31" i="27"/>
  <c r="CY31" i="27"/>
  <c r="CZ31" i="27"/>
  <c r="DA31" i="27"/>
  <c r="DB31" i="27"/>
  <c r="DC31" i="27"/>
  <c r="DD31" i="27"/>
  <c r="DE31" i="27"/>
  <c r="DF31" i="27"/>
  <c r="DG31" i="27"/>
  <c r="DH31" i="27"/>
  <c r="DI31" i="27"/>
  <c r="DJ31" i="27"/>
  <c r="DK31" i="27"/>
  <c r="DL31" i="27"/>
  <c r="DM31" i="27"/>
  <c r="DN31" i="27"/>
  <c r="DO31" i="27"/>
  <c r="DP31" i="27"/>
  <c r="DQ31" i="27"/>
  <c r="DR31" i="27"/>
  <c r="DS31" i="27"/>
  <c r="DT31" i="27"/>
  <c r="DU31" i="27"/>
  <c r="DV31" i="27"/>
  <c r="DW31" i="27"/>
  <c r="DX31" i="27"/>
  <c r="DY31" i="27"/>
  <c r="DZ31" i="27"/>
  <c r="EA31" i="27"/>
  <c r="EB31" i="27"/>
  <c r="EC31" i="27"/>
  <c r="ED31" i="27"/>
  <c r="EE31" i="27"/>
  <c r="EF31" i="27"/>
  <c r="EG31" i="27"/>
  <c r="EH31" i="27"/>
  <c r="EI31" i="27"/>
  <c r="EJ31" i="27"/>
  <c r="EK31" i="27"/>
  <c r="EL31" i="27"/>
  <c r="EM31" i="27"/>
  <c r="EN31" i="27"/>
  <c r="EO31" i="27"/>
  <c r="EP31" i="27"/>
  <c r="EQ31" i="27"/>
  <c r="ER31" i="27"/>
  <c r="ES31" i="27"/>
  <c r="ET31" i="27"/>
  <c r="EU31" i="27"/>
  <c r="EV31" i="27"/>
  <c r="EW31" i="27"/>
  <c r="EX31" i="27"/>
  <c r="EY31" i="27"/>
  <c r="EZ31" i="27"/>
  <c r="FA31" i="27"/>
  <c r="FB31" i="27"/>
  <c r="FC31" i="27"/>
  <c r="FD31" i="27"/>
  <c r="FE31" i="27"/>
  <c r="FF31" i="27"/>
  <c r="FG31" i="27"/>
  <c r="FH31" i="27"/>
  <c r="FI31" i="27"/>
  <c r="FJ31" i="27"/>
  <c r="FK31" i="27"/>
  <c r="FL31" i="27"/>
  <c r="FM31" i="27"/>
  <c r="FN31" i="27"/>
  <c r="FO31" i="27"/>
  <c r="FP31" i="27"/>
  <c r="FQ31" i="27"/>
  <c r="FR31" i="27"/>
  <c r="FS31" i="27"/>
  <c r="FT31" i="27"/>
  <c r="FU31" i="27"/>
  <c r="FV31" i="27"/>
  <c r="FW31" i="27"/>
  <c r="FX31" i="27"/>
  <c r="FY31" i="27"/>
  <c r="FZ31" i="27"/>
  <c r="GA31" i="27"/>
  <c r="GB31" i="27"/>
  <c r="GC31" i="27"/>
  <c r="GD31" i="27"/>
  <c r="GE31" i="27"/>
  <c r="GF31" i="27"/>
  <c r="GG31" i="27"/>
  <c r="GH31" i="27"/>
  <c r="GI31" i="27"/>
  <c r="GJ31" i="27"/>
  <c r="GK31" i="27"/>
  <c r="GL31" i="27"/>
  <c r="GM31" i="27"/>
  <c r="GN31" i="27"/>
  <c r="GO31" i="27"/>
  <c r="GP31" i="27"/>
  <c r="GQ31" i="27"/>
  <c r="GR31" i="27"/>
  <c r="GS31" i="27"/>
  <c r="GT31" i="27"/>
  <c r="GU31" i="27"/>
  <c r="GV31" i="27"/>
  <c r="GW31" i="27"/>
  <c r="GX31" i="27"/>
  <c r="GY31" i="27"/>
  <c r="GZ31" i="27"/>
  <c r="HA31" i="27"/>
  <c r="HB31" i="27"/>
  <c r="HC31" i="27"/>
  <c r="HD31" i="27"/>
  <c r="HE31" i="27"/>
  <c r="HF31" i="27"/>
  <c r="HG31" i="27"/>
  <c r="HH31" i="27"/>
  <c r="HI31" i="27"/>
  <c r="HJ31" i="27"/>
  <c r="HK31" i="27"/>
  <c r="HL31" i="27"/>
  <c r="HM31" i="27"/>
  <c r="HN31" i="27"/>
  <c r="HO31" i="27"/>
  <c r="HP31" i="27"/>
  <c r="HQ31" i="27"/>
  <c r="HR31" i="27"/>
  <c r="HS31" i="27"/>
  <c r="HT31" i="27"/>
  <c r="HU31" i="27"/>
  <c r="HV31" i="27"/>
  <c r="HW31" i="27"/>
  <c r="HX31" i="27"/>
  <c r="HY31" i="27"/>
  <c r="HZ31" i="27"/>
  <c r="IA31" i="27"/>
  <c r="IB31" i="27"/>
  <c r="IC31" i="27"/>
  <c r="ID31" i="27"/>
  <c r="IE31" i="27"/>
  <c r="IF31" i="27"/>
  <c r="IG31" i="27"/>
  <c r="IH31" i="27"/>
  <c r="II31" i="27"/>
  <c r="IJ31" i="27"/>
  <c r="IK31" i="27"/>
  <c r="IL31" i="27"/>
  <c r="IM31" i="27"/>
  <c r="IN31" i="27"/>
  <c r="IO31" i="27"/>
  <c r="IP31" i="27"/>
  <c r="IQ31" i="27"/>
  <c r="IR31" i="27"/>
  <c r="IS31" i="27"/>
  <c r="IT31" i="27"/>
  <c r="IU31" i="27"/>
  <c r="IV31" i="27"/>
  <c r="A30" i="27"/>
  <c r="B30" i="27"/>
  <c r="C30" i="27"/>
  <c r="D30" i="27"/>
  <c r="E30" i="27"/>
  <c r="F30" i="27"/>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Y30" i="27"/>
  <c r="BZ30" i="27"/>
  <c r="CA30" i="27"/>
  <c r="CB30" i="27"/>
  <c r="CC30" i="27"/>
  <c r="CD30" i="27"/>
  <c r="CE30" i="27"/>
  <c r="CF30" i="27"/>
  <c r="CG30" i="27"/>
  <c r="CH30" i="27"/>
  <c r="CI30" i="27"/>
  <c r="CJ30" i="27"/>
  <c r="CK30" i="27"/>
  <c r="CL30" i="27"/>
  <c r="CM30" i="27"/>
  <c r="CN30" i="27"/>
  <c r="CO30" i="27"/>
  <c r="CP30" i="27"/>
  <c r="CQ30" i="27"/>
  <c r="CR30" i="27"/>
  <c r="CS30" i="27"/>
  <c r="CT30" i="27"/>
  <c r="CU30" i="27"/>
  <c r="CV30" i="27"/>
  <c r="CW30" i="27"/>
  <c r="CX30" i="27"/>
  <c r="CY30" i="27"/>
  <c r="CZ30" i="27"/>
  <c r="DA30" i="27"/>
  <c r="DB30" i="27"/>
  <c r="DC30" i="27"/>
  <c r="DD30" i="27"/>
  <c r="DE30" i="27"/>
  <c r="DF30" i="27"/>
  <c r="DG30" i="27"/>
  <c r="DH30" i="27"/>
  <c r="DI30" i="27"/>
  <c r="DJ30" i="27"/>
  <c r="DK30" i="27"/>
  <c r="DL30" i="27"/>
  <c r="DM30" i="27"/>
  <c r="DN30" i="27"/>
  <c r="DO30" i="27"/>
  <c r="DP30" i="27"/>
  <c r="DQ30" i="27"/>
  <c r="DR30" i="27"/>
  <c r="DS30" i="27"/>
  <c r="DT30" i="27"/>
  <c r="DU30" i="27"/>
  <c r="DV30" i="27"/>
  <c r="DW30" i="27"/>
  <c r="DX30" i="27"/>
  <c r="DY30" i="27"/>
  <c r="DZ30" i="27"/>
  <c r="EA30" i="27"/>
  <c r="EB30" i="27"/>
  <c r="EC30" i="27"/>
  <c r="ED30" i="27"/>
  <c r="EE30" i="27"/>
  <c r="EF30" i="27"/>
  <c r="EG30" i="27"/>
  <c r="EH30" i="27"/>
  <c r="EI30" i="27"/>
  <c r="EJ30" i="27"/>
  <c r="EK30" i="27"/>
  <c r="EL30" i="27"/>
  <c r="EM30" i="27"/>
  <c r="EN30" i="27"/>
  <c r="EO30" i="27"/>
  <c r="EP30" i="27"/>
  <c r="EQ30" i="27"/>
  <c r="ER30" i="27"/>
  <c r="ES30" i="27"/>
  <c r="ET30" i="27"/>
  <c r="EU30" i="27"/>
  <c r="EV30" i="27"/>
  <c r="EW30" i="27"/>
  <c r="EX30" i="27"/>
  <c r="EY30" i="27"/>
  <c r="EZ30" i="27"/>
  <c r="FA30" i="27"/>
  <c r="FB30" i="27"/>
  <c r="FC30" i="27"/>
  <c r="FD30" i="27"/>
  <c r="FE30" i="27"/>
  <c r="FF30" i="27"/>
  <c r="FG30" i="27"/>
  <c r="FH30" i="27"/>
  <c r="FI30" i="27"/>
  <c r="FJ30" i="27"/>
  <c r="FK30" i="27"/>
  <c r="FL30" i="27"/>
  <c r="FM30" i="27"/>
  <c r="FN30" i="27"/>
  <c r="FO30" i="27"/>
  <c r="FP30" i="27"/>
  <c r="FQ30" i="27"/>
  <c r="FR30" i="27"/>
  <c r="FS30" i="27"/>
  <c r="FT30" i="27"/>
  <c r="FU30" i="27"/>
  <c r="FV30" i="27"/>
  <c r="FW30" i="27"/>
  <c r="FX30" i="27"/>
  <c r="FY30" i="27"/>
  <c r="FZ30" i="27"/>
  <c r="GA30" i="27"/>
  <c r="GB30" i="27"/>
  <c r="GC30" i="27"/>
  <c r="GD30" i="27"/>
  <c r="GE30" i="27"/>
  <c r="GF30" i="27"/>
  <c r="GG30" i="27"/>
  <c r="GH30" i="27"/>
  <c r="GI30" i="27"/>
  <c r="GJ30" i="27"/>
  <c r="GK30" i="27"/>
  <c r="GL30" i="27"/>
  <c r="GM30" i="27"/>
  <c r="GN30" i="27"/>
  <c r="GO30" i="27"/>
  <c r="GP30" i="27"/>
  <c r="GQ30" i="27"/>
  <c r="GR30" i="27"/>
  <c r="GS30" i="27"/>
  <c r="GT30" i="27"/>
  <c r="GU30" i="27"/>
  <c r="GV30" i="27"/>
  <c r="GW30" i="27"/>
  <c r="GX30" i="27"/>
  <c r="GY30" i="27"/>
  <c r="GZ30" i="27"/>
  <c r="HA30" i="27"/>
  <c r="HB30" i="27"/>
  <c r="HC30" i="27"/>
  <c r="HD30" i="27"/>
  <c r="HE30" i="27"/>
  <c r="HF30" i="27"/>
  <c r="HG30" i="27"/>
  <c r="HH30" i="27"/>
  <c r="HI30" i="27"/>
  <c r="HJ30" i="27"/>
  <c r="HK30" i="27"/>
  <c r="HL30" i="27"/>
  <c r="HM30" i="27"/>
  <c r="HN30" i="27"/>
  <c r="HO30" i="27"/>
  <c r="HP30" i="27"/>
  <c r="HQ30" i="27"/>
  <c r="HR30" i="27"/>
  <c r="HS30" i="27"/>
  <c r="HT30" i="27"/>
  <c r="HU30" i="27"/>
  <c r="HV30" i="27"/>
  <c r="HW30" i="27"/>
  <c r="HX30" i="27"/>
  <c r="HY30" i="27"/>
  <c r="HZ30" i="27"/>
  <c r="IA30" i="27"/>
  <c r="IB30" i="27"/>
  <c r="IC30" i="27"/>
  <c r="ID30" i="27"/>
  <c r="IE30" i="27"/>
  <c r="IF30" i="27"/>
  <c r="IG30" i="27"/>
  <c r="IH30" i="27"/>
  <c r="II30" i="27"/>
  <c r="IJ30" i="27"/>
  <c r="IK30" i="27"/>
  <c r="IL30" i="27"/>
  <c r="IM30" i="27"/>
  <c r="IN30" i="27"/>
  <c r="IO30" i="27"/>
  <c r="IP30" i="27"/>
  <c r="IQ30" i="27"/>
  <c r="IR30" i="27"/>
  <c r="IS30" i="27"/>
  <c r="IT30" i="27"/>
  <c r="IU30" i="27"/>
  <c r="IV30" i="27"/>
  <c r="A29" i="27"/>
  <c r="B29" i="27"/>
  <c r="C29" i="27"/>
  <c r="D29" i="27"/>
  <c r="E29" i="27"/>
  <c r="F29" i="27"/>
  <c r="G29" i="27"/>
  <c r="H29" i="27"/>
  <c r="I29" i="27"/>
  <c r="J29"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CF29" i="27"/>
  <c r="CG29" i="27"/>
  <c r="CH29" i="27"/>
  <c r="CI29" i="27"/>
  <c r="CJ29" i="27"/>
  <c r="CK29" i="27"/>
  <c r="CL29" i="27"/>
  <c r="CM29" i="27"/>
  <c r="CN29" i="27"/>
  <c r="CO29" i="27"/>
  <c r="CP29" i="27"/>
  <c r="CQ29" i="27"/>
  <c r="CR29" i="27"/>
  <c r="CS29" i="27"/>
  <c r="CT29" i="27"/>
  <c r="CU29" i="27"/>
  <c r="CV29" i="27"/>
  <c r="CW29" i="27"/>
  <c r="CX29" i="27"/>
  <c r="CY29" i="27"/>
  <c r="CZ29" i="27"/>
  <c r="DA29" i="27"/>
  <c r="DB29" i="27"/>
  <c r="DC29" i="27"/>
  <c r="DD29" i="27"/>
  <c r="DE29" i="27"/>
  <c r="DF29" i="27"/>
  <c r="DG29" i="27"/>
  <c r="DH29" i="27"/>
  <c r="DI29" i="27"/>
  <c r="DJ29" i="27"/>
  <c r="DK29" i="27"/>
  <c r="DL29" i="27"/>
  <c r="DM29" i="27"/>
  <c r="DN29" i="27"/>
  <c r="DO29" i="27"/>
  <c r="DP29" i="27"/>
  <c r="DQ29" i="27"/>
  <c r="DR29" i="27"/>
  <c r="DS29" i="27"/>
  <c r="DT29" i="27"/>
  <c r="DU29" i="27"/>
  <c r="DV29" i="27"/>
  <c r="DW29" i="27"/>
  <c r="DX29" i="27"/>
  <c r="DY29" i="27"/>
  <c r="DZ29" i="27"/>
  <c r="EA29" i="27"/>
  <c r="EB29" i="27"/>
  <c r="EC29" i="27"/>
  <c r="ED29" i="27"/>
  <c r="EE29" i="27"/>
  <c r="EF29" i="27"/>
  <c r="EG29" i="27"/>
  <c r="EH29" i="27"/>
  <c r="EI29" i="27"/>
  <c r="EJ29" i="27"/>
  <c r="EK29" i="27"/>
  <c r="EL29" i="27"/>
  <c r="EM29" i="27"/>
  <c r="EN29" i="27"/>
  <c r="EO29" i="27"/>
  <c r="EP29" i="27"/>
  <c r="EQ29" i="27"/>
  <c r="ER29" i="27"/>
  <c r="ES29" i="27"/>
  <c r="ET29" i="27"/>
  <c r="EU29" i="27"/>
  <c r="EV29" i="27"/>
  <c r="EW29" i="27"/>
  <c r="EX29" i="27"/>
  <c r="EY29" i="27"/>
  <c r="EZ29" i="27"/>
  <c r="FA29" i="27"/>
  <c r="FB29" i="27"/>
  <c r="FC29" i="27"/>
  <c r="FD29" i="27"/>
  <c r="FE29" i="27"/>
  <c r="FF29" i="27"/>
  <c r="FG29" i="27"/>
  <c r="FH29" i="27"/>
  <c r="FI29" i="27"/>
  <c r="FJ29" i="27"/>
  <c r="FK29" i="27"/>
  <c r="FL29" i="27"/>
  <c r="FM29" i="27"/>
  <c r="FN29" i="27"/>
  <c r="FO29" i="27"/>
  <c r="FP29" i="27"/>
  <c r="FQ29" i="27"/>
  <c r="FR29" i="27"/>
  <c r="FS29" i="27"/>
  <c r="FT29" i="27"/>
  <c r="FU29" i="27"/>
  <c r="FV29" i="27"/>
  <c r="FW29" i="27"/>
  <c r="FX29" i="27"/>
  <c r="FY29" i="27"/>
  <c r="FZ29" i="27"/>
  <c r="GA29" i="27"/>
  <c r="GB29" i="27"/>
  <c r="GC29" i="27"/>
  <c r="GD29" i="27"/>
  <c r="GE29" i="27"/>
  <c r="GF29" i="27"/>
  <c r="GG29" i="27"/>
  <c r="GH29" i="27"/>
  <c r="GI29" i="27"/>
  <c r="GJ29" i="27"/>
  <c r="GK29" i="27"/>
  <c r="GL29" i="27"/>
  <c r="GM29" i="27"/>
  <c r="GN29" i="27"/>
  <c r="GO29" i="27"/>
  <c r="GP29" i="27"/>
  <c r="GQ29" i="27"/>
  <c r="GR29" i="27"/>
  <c r="GS29" i="27"/>
  <c r="GT29" i="27"/>
  <c r="GU29" i="27"/>
  <c r="GV29" i="27"/>
  <c r="GW29" i="27"/>
  <c r="GX29" i="27"/>
  <c r="GY29" i="27"/>
  <c r="GZ29" i="27"/>
  <c r="HA29" i="27"/>
  <c r="HB29" i="27"/>
  <c r="HC29" i="27"/>
  <c r="HD29" i="27"/>
  <c r="HE29" i="27"/>
  <c r="HF29" i="27"/>
  <c r="HG29" i="27"/>
  <c r="HH29" i="27"/>
  <c r="HI29" i="27"/>
  <c r="HJ29" i="27"/>
  <c r="HK29" i="27"/>
  <c r="HL29" i="27"/>
  <c r="HM29" i="27"/>
  <c r="HN29" i="27"/>
  <c r="HO29" i="27"/>
  <c r="HP29" i="27"/>
  <c r="HQ29" i="27"/>
  <c r="HR29" i="27"/>
  <c r="HS29" i="27"/>
  <c r="HT29" i="27"/>
  <c r="HU29" i="27"/>
  <c r="HV29" i="27"/>
  <c r="HW29" i="27"/>
  <c r="HX29" i="27"/>
  <c r="HY29" i="27"/>
  <c r="HZ29" i="27"/>
  <c r="IA29" i="27"/>
  <c r="IB29" i="27"/>
  <c r="IC29" i="27"/>
  <c r="ID29" i="27"/>
  <c r="IE29" i="27"/>
  <c r="IF29" i="27"/>
  <c r="IG29" i="27"/>
  <c r="IH29" i="27"/>
  <c r="II29" i="27"/>
  <c r="IJ29" i="27"/>
  <c r="IK29" i="27"/>
  <c r="IL29" i="27"/>
  <c r="IM29" i="27"/>
  <c r="IN29" i="27"/>
  <c r="IO29" i="27"/>
  <c r="IP29" i="27"/>
  <c r="IQ29" i="27"/>
  <c r="IR29" i="27"/>
  <c r="IS29" i="27"/>
  <c r="IT29" i="27"/>
  <c r="IU29" i="27"/>
  <c r="IV29" i="27"/>
  <c r="A28" i="27"/>
  <c r="B28" i="27"/>
  <c r="C28" i="27"/>
  <c r="D28" i="27"/>
  <c r="E28" i="27"/>
  <c r="F28" i="27"/>
  <c r="G28" i="27"/>
  <c r="H28" i="27"/>
  <c r="I28" i="27"/>
  <c r="J28" i="27"/>
  <c r="K28" i="27"/>
  <c r="L28" i="27"/>
  <c r="M28" i="27"/>
  <c r="N28" i="27"/>
  <c r="O28" i="27"/>
  <c r="P28" i="27"/>
  <c r="Q28" i="27"/>
  <c r="R28" i="27"/>
  <c r="S28" i="27"/>
  <c r="T28" i="27"/>
  <c r="U28" i="27"/>
  <c r="V28" i="27"/>
  <c r="W28" i="27"/>
  <c r="X28" i="27"/>
  <c r="Y28" i="27"/>
  <c r="Z28" i="27"/>
  <c r="AA28" i="27"/>
  <c r="AB28" i="27"/>
  <c r="AC28" i="2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CF28" i="27"/>
  <c r="CG28" i="27"/>
  <c r="CH28" i="27"/>
  <c r="CI28" i="27"/>
  <c r="CJ28" i="27"/>
  <c r="CK28" i="27"/>
  <c r="CL28" i="27"/>
  <c r="CM28" i="27"/>
  <c r="CN28" i="27"/>
  <c r="CO28" i="27"/>
  <c r="CP28" i="27"/>
  <c r="CQ28" i="27"/>
  <c r="CR28" i="27"/>
  <c r="CS28" i="27"/>
  <c r="CT28" i="27"/>
  <c r="CU28" i="27"/>
  <c r="CV28" i="27"/>
  <c r="CW28" i="27"/>
  <c r="CX28" i="27"/>
  <c r="CY28" i="27"/>
  <c r="CZ28" i="27"/>
  <c r="DA28" i="27"/>
  <c r="DB28" i="27"/>
  <c r="DC28" i="27"/>
  <c r="DD28" i="27"/>
  <c r="DE28" i="27"/>
  <c r="DF28" i="27"/>
  <c r="DG28" i="27"/>
  <c r="DH28" i="27"/>
  <c r="DI28" i="27"/>
  <c r="DJ28" i="27"/>
  <c r="DK28" i="27"/>
  <c r="DL28" i="27"/>
  <c r="DM28" i="27"/>
  <c r="DN28" i="27"/>
  <c r="DO28" i="27"/>
  <c r="DP28" i="27"/>
  <c r="DQ28" i="27"/>
  <c r="DR28" i="27"/>
  <c r="DS28" i="27"/>
  <c r="DT28" i="27"/>
  <c r="DU28" i="27"/>
  <c r="DV28" i="27"/>
  <c r="DW28" i="27"/>
  <c r="DX28" i="27"/>
  <c r="DY28" i="27"/>
  <c r="DZ28" i="27"/>
  <c r="EA28" i="27"/>
  <c r="EB28" i="27"/>
  <c r="EC28" i="27"/>
  <c r="ED28" i="27"/>
  <c r="EE28" i="27"/>
  <c r="EF28" i="27"/>
  <c r="EG28" i="27"/>
  <c r="EH28" i="27"/>
  <c r="EI28" i="27"/>
  <c r="EJ28" i="27"/>
  <c r="EK28" i="27"/>
  <c r="EL28" i="27"/>
  <c r="EM28" i="27"/>
  <c r="EN28" i="27"/>
  <c r="EO28" i="27"/>
  <c r="EP28" i="27"/>
  <c r="EQ28" i="27"/>
  <c r="ER28" i="27"/>
  <c r="ES28" i="27"/>
  <c r="ET28" i="27"/>
  <c r="EU28" i="27"/>
  <c r="EV28" i="27"/>
  <c r="EW28" i="27"/>
  <c r="EX28" i="27"/>
  <c r="EY28" i="27"/>
  <c r="EZ28" i="27"/>
  <c r="FA28" i="27"/>
  <c r="FB28" i="27"/>
  <c r="FC28" i="27"/>
  <c r="FD28" i="27"/>
  <c r="FE28" i="27"/>
  <c r="FF28" i="27"/>
  <c r="FG28" i="27"/>
  <c r="FH28" i="27"/>
  <c r="FI28" i="27"/>
  <c r="FJ28" i="27"/>
  <c r="FK28" i="27"/>
  <c r="FL28" i="27"/>
  <c r="FM28" i="27"/>
  <c r="FN28" i="27"/>
  <c r="FO28" i="27"/>
  <c r="FP28" i="27"/>
  <c r="FQ28" i="27"/>
  <c r="FR28" i="27"/>
  <c r="FS28" i="27"/>
  <c r="FT28" i="27"/>
  <c r="FU28" i="27"/>
  <c r="FV28" i="27"/>
  <c r="FW28" i="27"/>
  <c r="FX28" i="27"/>
  <c r="FY28" i="27"/>
  <c r="FZ28" i="27"/>
  <c r="GA28" i="27"/>
  <c r="GB28" i="27"/>
  <c r="GC28" i="27"/>
  <c r="GD28" i="27"/>
  <c r="GE28" i="27"/>
  <c r="GF28" i="27"/>
  <c r="GG28" i="27"/>
  <c r="GH28" i="27"/>
  <c r="GI28" i="27"/>
  <c r="GJ28" i="27"/>
  <c r="GK28" i="27"/>
  <c r="GL28" i="27"/>
  <c r="GM28" i="27"/>
  <c r="GN28" i="27"/>
  <c r="GO28" i="27"/>
  <c r="GP28" i="27"/>
  <c r="GQ28" i="27"/>
  <c r="GR28" i="27"/>
  <c r="GS28" i="27"/>
  <c r="GT28" i="27"/>
  <c r="GU28" i="27"/>
  <c r="GV28" i="27"/>
  <c r="GW28" i="27"/>
  <c r="GX28" i="27"/>
  <c r="GY28" i="27"/>
  <c r="GZ28" i="27"/>
  <c r="HA28" i="27"/>
  <c r="HB28" i="27"/>
  <c r="HC28" i="27"/>
  <c r="HD28" i="27"/>
  <c r="HE28" i="27"/>
  <c r="HF28" i="27"/>
  <c r="HG28" i="27"/>
  <c r="HH28" i="27"/>
  <c r="HI28" i="27"/>
  <c r="HJ28" i="27"/>
  <c r="HK28" i="27"/>
  <c r="HL28" i="27"/>
  <c r="HM28" i="27"/>
  <c r="HN28" i="27"/>
  <c r="HO28" i="27"/>
  <c r="HP28" i="27"/>
  <c r="HQ28" i="27"/>
  <c r="HR28" i="27"/>
  <c r="HS28" i="27"/>
  <c r="HT28" i="27"/>
  <c r="HU28" i="27"/>
  <c r="HV28" i="27"/>
  <c r="HW28" i="27"/>
  <c r="HX28" i="27"/>
  <c r="HY28" i="27"/>
  <c r="HZ28" i="27"/>
  <c r="IA28" i="27"/>
  <c r="IB28" i="27"/>
  <c r="IC28" i="27"/>
  <c r="ID28" i="27"/>
  <c r="IE28" i="27"/>
  <c r="IF28" i="27"/>
  <c r="IG28" i="27"/>
  <c r="IH28" i="27"/>
  <c r="II28" i="27"/>
  <c r="IJ28" i="27"/>
  <c r="IK28" i="27"/>
  <c r="IL28" i="27"/>
  <c r="IM28" i="27"/>
  <c r="IN28" i="27"/>
  <c r="IO28" i="27"/>
  <c r="IP28" i="27"/>
  <c r="IQ28" i="27"/>
  <c r="IR28" i="27"/>
  <c r="IS28" i="27"/>
  <c r="IT28" i="27"/>
  <c r="IU28" i="27"/>
  <c r="IV28" i="27"/>
  <c r="A27" i="27"/>
  <c r="B27" i="27"/>
  <c r="C27" i="27"/>
  <c r="D27" i="27"/>
  <c r="E27" i="27"/>
  <c r="F27" i="27"/>
  <c r="G27" i="27"/>
  <c r="H27" i="27"/>
  <c r="I27" i="27"/>
  <c r="J27" i="27"/>
  <c r="K27" i="27"/>
  <c r="L27" i="27"/>
  <c r="M27" i="27"/>
  <c r="N27" i="27"/>
  <c r="O27" i="27"/>
  <c r="P27" i="27"/>
  <c r="Q27" i="27"/>
  <c r="R27" i="27"/>
  <c r="S27" i="27"/>
  <c r="T27" i="27"/>
  <c r="U27" i="27"/>
  <c r="V27" i="27"/>
  <c r="W27" i="27"/>
  <c r="X27" i="27"/>
  <c r="Y27" i="27"/>
  <c r="Z27" i="27"/>
  <c r="AA27" i="27"/>
  <c r="AB27" i="27"/>
  <c r="AC27" i="2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CF27" i="27"/>
  <c r="CG27" i="27"/>
  <c r="CH27" i="27"/>
  <c r="CI27" i="27"/>
  <c r="CJ27" i="27"/>
  <c r="CK27" i="27"/>
  <c r="CL27" i="27"/>
  <c r="CM27" i="27"/>
  <c r="CN27" i="27"/>
  <c r="CO27" i="27"/>
  <c r="CP27" i="27"/>
  <c r="CQ27" i="27"/>
  <c r="CR27" i="27"/>
  <c r="CS27" i="27"/>
  <c r="CT27" i="27"/>
  <c r="CU27" i="27"/>
  <c r="CV27" i="27"/>
  <c r="CW27" i="27"/>
  <c r="CX27" i="27"/>
  <c r="CY27" i="27"/>
  <c r="CZ27" i="27"/>
  <c r="DA27" i="27"/>
  <c r="DB27" i="27"/>
  <c r="DC27" i="27"/>
  <c r="DD27" i="27"/>
  <c r="DE27" i="27"/>
  <c r="DF27" i="27"/>
  <c r="DG27" i="27"/>
  <c r="DH27" i="27"/>
  <c r="DI27" i="27"/>
  <c r="DJ27" i="27"/>
  <c r="DK27" i="27"/>
  <c r="DL27" i="27"/>
  <c r="DM27" i="27"/>
  <c r="DN27" i="27"/>
  <c r="DO27" i="27"/>
  <c r="DP27" i="27"/>
  <c r="DQ27" i="27"/>
  <c r="DR27" i="27"/>
  <c r="DS27" i="27"/>
  <c r="DT27" i="27"/>
  <c r="DU27" i="27"/>
  <c r="DV27" i="27"/>
  <c r="DW27" i="27"/>
  <c r="DX27" i="27"/>
  <c r="DY27" i="27"/>
  <c r="DZ27" i="27"/>
  <c r="EA27" i="27"/>
  <c r="EB27" i="27"/>
  <c r="EC27" i="27"/>
  <c r="ED27" i="27"/>
  <c r="EE27" i="27"/>
  <c r="EF27" i="27"/>
  <c r="EG27" i="27"/>
  <c r="EH27" i="27"/>
  <c r="EI27" i="27"/>
  <c r="EJ27" i="27"/>
  <c r="EK27" i="27"/>
  <c r="EL27" i="27"/>
  <c r="EM27" i="27"/>
  <c r="EN27" i="27"/>
  <c r="EO27" i="27"/>
  <c r="EP27" i="27"/>
  <c r="EQ27" i="27"/>
  <c r="ER27" i="27"/>
  <c r="ES27" i="27"/>
  <c r="ET27" i="27"/>
  <c r="EU27" i="27"/>
  <c r="EV27" i="27"/>
  <c r="EW27" i="27"/>
  <c r="EX27" i="27"/>
  <c r="EY27" i="27"/>
  <c r="EZ27" i="27"/>
  <c r="FA27" i="27"/>
  <c r="FB27" i="27"/>
  <c r="FC27" i="27"/>
  <c r="FD27" i="27"/>
  <c r="FE27" i="27"/>
  <c r="FF27" i="27"/>
  <c r="FG27" i="27"/>
  <c r="FH27" i="27"/>
  <c r="FI27" i="27"/>
  <c r="FJ27" i="27"/>
  <c r="FK27" i="27"/>
  <c r="FL27" i="27"/>
  <c r="FM27" i="27"/>
  <c r="FN27" i="27"/>
  <c r="FO27" i="27"/>
  <c r="FP27" i="27"/>
  <c r="FQ27" i="27"/>
  <c r="FR27" i="27"/>
  <c r="FS27" i="27"/>
  <c r="FT27" i="27"/>
  <c r="FU27" i="27"/>
  <c r="FV27" i="27"/>
  <c r="FW27" i="27"/>
  <c r="FX27" i="27"/>
  <c r="FY27" i="27"/>
  <c r="FZ27" i="27"/>
  <c r="GA27" i="27"/>
  <c r="GB27" i="27"/>
  <c r="GC27" i="27"/>
  <c r="GD27" i="27"/>
  <c r="GE27" i="27"/>
  <c r="GF27" i="27"/>
  <c r="GG27" i="27"/>
  <c r="GH27" i="27"/>
  <c r="GI27" i="27"/>
  <c r="GJ27" i="27"/>
  <c r="GK27" i="27"/>
  <c r="GL27" i="27"/>
  <c r="GM27" i="27"/>
  <c r="GN27" i="27"/>
  <c r="GO27" i="27"/>
  <c r="GP27" i="27"/>
  <c r="GQ27" i="27"/>
  <c r="GR27" i="27"/>
  <c r="GS27" i="27"/>
  <c r="GT27" i="27"/>
  <c r="GU27" i="27"/>
  <c r="GV27" i="27"/>
  <c r="GW27" i="27"/>
  <c r="GX27" i="27"/>
  <c r="GY27" i="27"/>
  <c r="GZ27" i="27"/>
  <c r="HA27" i="27"/>
  <c r="HB27" i="27"/>
  <c r="HC27" i="27"/>
  <c r="HD27" i="27"/>
  <c r="HE27" i="27"/>
  <c r="HF27" i="27"/>
  <c r="HG27" i="27"/>
  <c r="HH27" i="27"/>
  <c r="HI27" i="27"/>
  <c r="HJ27" i="27"/>
  <c r="HK27" i="27"/>
  <c r="HL27" i="27"/>
  <c r="HM27" i="27"/>
  <c r="HN27" i="27"/>
  <c r="HO27" i="27"/>
  <c r="HP27" i="27"/>
  <c r="HQ27" i="27"/>
  <c r="HR27" i="27"/>
  <c r="HS27" i="27"/>
  <c r="HT27" i="27"/>
  <c r="HU27" i="27"/>
  <c r="HV27" i="27"/>
  <c r="HW27" i="27"/>
  <c r="HX27" i="27"/>
  <c r="HY27" i="27"/>
  <c r="HZ27" i="27"/>
  <c r="IA27" i="27"/>
  <c r="IB27" i="27"/>
  <c r="IC27" i="27"/>
  <c r="ID27" i="27"/>
  <c r="IE27" i="27"/>
  <c r="IF27" i="27"/>
  <c r="IG27" i="27"/>
  <c r="IH27" i="27"/>
  <c r="II27" i="27"/>
  <c r="IJ27" i="27"/>
  <c r="IK27" i="27"/>
  <c r="IL27" i="27"/>
  <c r="IM27" i="27"/>
  <c r="IN27" i="27"/>
  <c r="IO27" i="27"/>
  <c r="IP27" i="27"/>
  <c r="IQ27" i="27"/>
  <c r="IR27" i="27"/>
  <c r="IS27" i="27"/>
  <c r="IT27" i="27"/>
  <c r="IU27" i="27"/>
  <c r="IV27" i="27"/>
  <c r="A26" i="27"/>
  <c r="B26" i="27"/>
  <c r="C26" i="27"/>
  <c r="D26" i="27"/>
  <c r="E26" i="27"/>
  <c r="F26" i="27"/>
  <c r="G26" i="27"/>
  <c r="H26" i="27"/>
  <c r="I26" i="27"/>
  <c r="J26" i="27"/>
  <c r="K26" i="27"/>
  <c r="L26" i="27"/>
  <c r="M26" i="27"/>
  <c r="N26" i="27"/>
  <c r="O26" i="27"/>
  <c r="P26" i="27"/>
  <c r="Q26" i="27"/>
  <c r="R26" i="27"/>
  <c r="S26" i="27"/>
  <c r="T26" i="27"/>
  <c r="U26" i="27"/>
  <c r="V26" i="27"/>
  <c r="W26" i="27"/>
  <c r="X26" i="27"/>
  <c r="Y26" i="27"/>
  <c r="Z26" i="27"/>
  <c r="AA26" i="27"/>
  <c r="AB26" i="27"/>
  <c r="AC26" i="27"/>
  <c r="AD26" i="27"/>
  <c r="AE26" i="27"/>
  <c r="AF26" i="27"/>
  <c r="AG26" i="27"/>
  <c r="AH26" i="27"/>
  <c r="AI26" i="27"/>
  <c r="AJ26" i="27"/>
  <c r="AK26" i="27"/>
  <c r="AL26" i="27"/>
  <c r="AM26" i="27"/>
  <c r="AN26" i="27"/>
  <c r="AO26" i="27"/>
  <c r="AP26" i="27"/>
  <c r="AQ26" i="27"/>
  <c r="AR26" i="27"/>
  <c r="AS26" i="27"/>
  <c r="AT26" i="27"/>
  <c r="AU26" i="27"/>
  <c r="AV26" i="27"/>
  <c r="AW26" i="27"/>
  <c r="AX26" i="27"/>
  <c r="AY26" i="27"/>
  <c r="AZ26" i="27"/>
  <c r="BA26" i="27"/>
  <c r="BB26" i="27"/>
  <c r="BC26" i="27"/>
  <c r="BD26" i="27"/>
  <c r="BE26" i="27"/>
  <c r="BF26" i="27"/>
  <c r="BG26" i="27"/>
  <c r="BH26" i="27"/>
  <c r="BI26" i="27"/>
  <c r="BJ26" i="27"/>
  <c r="BK26" i="27"/>
  <c r="BL26" i="27"/>
  <c r="BM26" i="27"/>
  <c r="BN26" i="27"/>
  <c r="BO26" i="27"/>
  <c r="BP26" i="27"/>
  <c r="BQ26" i="27"/>
  <c r="BR26" i="27"/>
  <c r="BS26" i="27"/>
  <c r="BT26" i="27"/>
  <c r="BU26" i="27"/>
  <c r="BV26" i="27"/>
  <c r="BW26" i="27"/>
  <c r="BX26" i="27"/>
  <c r="BY26" i="27"/>
  <c r="BZ26" i="27"/>
  <c r="CA26" i="27"/>
  <c r="CB26" i="27"/>
  <c r="CC26" i="27"/>
  <c r="CD26" i="27"/>
  <c r="CE26" i="27"/>
  <c r="CF26" i="27"/>
  <c r="CG26" i="27"/>
  <c r="CH26" i="27"/>
  <c r="CI26" i="27"/>
  <c r="CJ26" i="27"/>
  <c r="CK26" i="27"/>
  <c r="CL26" i="27"/>
  <c r="CM26" i="27"/>
  <c r="CN26" i="27"/>
  <c r="CO26" i="27"/>
  <c r="CP26" i="27"/>
  <c r="CQ26" i="27"/>
  <c r="CR26" i="27"/>
  <c r="CS26" i="27"/>
  <c r="CT26" i="27"/>
  <c r="CU26" i="27"/>
  <c r="CV26" i="27"/>
  <c r="CW26" i="27"/>
  <c r="CX26" i="27"/>
  <c r="CY26" i="27"/>
  <c r="CZ26" i="27"/>
  <c r="DA26" i="27"/>
  <c r="DB26" i="27"/>
  <c r="DC26" i="27"/>
  <c r="DD26" i="27"/>
  <c r="DE26" i="27"/>
  <c r="DF26" i="27"/>
  <c r="DG26" i="27"/>
  <c r="DH26" i="27"/>
  <c r="DI26" i="27"/>
  <c r="DJ26" i="27"/>
  <c r="DK26" i="27"/>
  <c r="DL26" i="27"/>
  <c r="DM26" i="27"/>
  <c r="DN26" i="27"/>
  <c r="DO26" i="27"/>
  <c r="DP26" i="27"/>
  <c r="DQ26" i="27"/>
  <c r="DR26" i="27"/>
  <c r="DS26" i="27"/>
  <c r="DT26" i="27"/>
  <c r="DU26" i="27"/>
  <c r="DV26" i="27"/>
  <c r="DW26" i="27"/>
  <c r="DX26" i="27"/>
  <c r="DY26" i="27"/>
  <c r="DZ26" i="27"/>
  <c r="EA26" i="27"/>
  <c r="EB26" i="27"/>
  <c r="EC26" i="27"/>
  <c r="ED26" i="27"/>
  <c r="EE26" i="27"/>
  <c r="EF26" i="27"/>
  <c r="EG26" i="27"/>
  <c r="EH26" i="27"/>
  <c r="EI26" i="27"/>
  <c r="EJ26" i="27"/>
  <c r="EK26" i="27"/>
  <c r="EL26" i="27"/>
  <c r="EM26" i="27"/>
  <c r="EN26" i="27"/>
  <c r="EO26" i="27"/>
  <c r="EP26" i="27"/>
  <c r="EQ26" i="27"/>
  <c r="ER26" i="27"/>
  <c r="ES26" i="27"/>
  <c r="ET26" i="27"/>
  <c r="EU26" i="27"/>
  <c r="EV26" i="27"/>
  <c r="EW26" i="27"/>
  <c r="EX26" i="27"/>
  <c r="EY26" i="27"/>
  <c r="EZ26" i="27"/>
  <c r="FA26" i="27"/>
  <c r="FB26" i="27"/>
  <c r="FC26" i="27"/>
  <c r="FD26" i="27"/>
  <c r="FE26" i="27"/>
  <c r="FF26" i="27"/>
  <c r="FG26" i="27"/>
  <c r="FH26" i="27"/>
  <c r="FI26" i="27"/>
  <c r="FJ26" i="27"/>
  <c r="FK26" i="27"/>
  <c r="FL26" i="27"/>
  <c r="FM26" i="27"/>
  <c r="FN26" i="27"/>
  <c r="FO26" i="27"/>
  <c r="FP26" i="27"/>
  <c r="FQ26" i="27"/>
  <c r="FR26" i="27"/>
  <c r="FS26" i="27"/>
  <c r="FT26" i="27"/>
  <c r="FU26" i="27"/>
  <c r="FV26" i="27"/>
  <c r="FW26" i="27"/>
  <c r="FX26" i="27"/>
  <c r="FY26" i="27"/>
  <c r="FZ26" i="27"/>
  <c r="GA26" i="27"/>
  <c r="GB26" i="27"/>
  <c r="GC26" i="27"/>
  <c r="GD26" i="27"/>
  <c r="GE26" i="27"/>
  <c r="GF26" i="27"/>
  <c r="GG26" i="27"/>
  <c r="GH26" i="27"/>
  <c r="GI26" i="27"/>
  <c r="GJ26" i="27"/>
  <c r="GK26" i="27"/>
  <c r="GL26" i="27"/>
  <c r="GM26" i="27"/>
  <c r="GN26" i="27"/>
  <c r="GO26" i="27"/>
  <c r="GP26" i="27"/>
  <c r="GQ26" i="27"/>
  <c r="GR26" i="27"/>
  <c r="GS26" i="27"/>
  <c r="GT26" i="27"/>
  <c r="GU26" i="27"/>
  <c r="GV26" i="27"/>
  <c r="GW26" i="27"/>
  <c r="GX26" i="27"/>
  <c r="GY26" i="27"/>
  <c r="GZ26" i="27"/>
  <c r="HA26" i="27"/>
  <c r="HB26" i="27"/>
  <c r="HC26" i="27"/>
  <c r="HD26" i="27"/>
  <c r="HE26" i="27"/>
  <c r="HF26" i="27"/>
  <c r="HG26" i="27"/>
  <c r="HH26" i="27"/>
  <c r="HI26" i="27"/>
  <c r="HJ26" i="27"/>
  <c r="HK26" i="27"/>
  <c r="HL26" i="27"/>
  <c r="HM26" i="27"/>
  <c r="HN26" i="27"/>
  <c r="HO26" i="27"/>
  <c r="HP26" i="27"/>
  <c r="HQ26" i="27"/>
  <c r="HR26" i="27"/>
  <c r="HS26" i="27"/>
  <c r="HT26" i="27"/>
  <c r="HU26" i="27"/>
  <c r="HV26" i="27"/>
  <c r="HW26" i="27"/>
  <c r="HX26" i="27"/>
  <c r="HY26" i="27"/>
  <c r="HZ26" i="27"/>
  <c r="IA26" i="27"/>
  <c r="IB26" i="27"/>
  <c r="IC26" i="27"/>
  <c r="ID26" i="27"/>
  <c r="IE26" i="27"/>
  <c r="IF26" i="27"/>
  <c r="IG26" i="27"/>
  <c r="IH26" i="27"/>
  <c r="II26" i="27"/>
  <c r="IJ26" i="27"/>
  <c r="IK26" i="27"/>
  <c r="IL26" i="27"/>
  <c r="IM26" i="27"/>
  <c r="IN26" i="27"/>
  <c r="IO26" i="27"/>
  <c r="IP26" i="27"/>
  <c r="IQ26" i="27"/>
  <c r="IR26" i="27"/>
  <c r="IS26" i="27"/>
  <c r="IT26" i="27"/>
  <c r="IU26" i="27"/>
  <c r="IV26" i="27"/>
  <c r="A25" i="27"/>
  <c r="B25" i="27"/>
  <c r="C25" i="27"/>
  <c r="D25" i="27"/>
  <c r="E25" i="27"/>
  <c r="F25" i="27"/>
  <c r="G25" i="27"/>
  <c r="H25" i="27"/>
  <c r="I25" i="27"/>
  <c r="J25" i="27"/>
  <c r="K25" i="27"/>
  <c r="L25" i="27"/>
  <c r="M25" i="27"/>
  <c r="N25" i="27"/>
  <c r="O25" i="27"/>
  <c r="P25" i="27"/>
  <c r="Q25" i="27"/>
  <c r="R25" i="27"/>
  <c r="S25" i="27"/>
  <c r="T25" i="27"/>
  <c r="U25" i="27"/>
  <c r="V25" i="27"/>
  <c r="W25" i="27"/>
  <c r="X25" i="27"/>
  <c r="Y25" i="27"/>
  <c r="Z25" i="27"/>
  <c r="AA25" i="27"/>
  <c r="AB25" i="27"/>
  <c r="AC25" i="27"/>
  <c r="AD25" i="27"/>
  <c r="AE25" i="27"/>
  <c r="AF25" i="27"/>
  <c r="AG25" i="27"/>
  <c r="AH25" i="27"/>
  <c r="AI25" i="27"/>
  <c r="AJ25" i="27"/>
  <c r="AK25" i="27"/>
  <c r="AL25" i="27"/>
  <c r="AM25" i="27"/>
  <c r="AN25" i="27"/>
  <c r="AO25" i="27"/>
  <c r="AP25" i="27"/>
  <c r="AQ25" i="27"/>
  <c r="AR25" i="27"/>
  <c r="AS25" i="27"/>
  <c r="AT25" i="27"/>
  <c r="AU25" i="27"/>
  <c r="AV25" i="27"/>
  <c r="AW25" i="27"/>
  <c r="AX25" i="27"/>
  <c r="AY25" i="27"/>
  <c r="AZ25" i="27"/>
  <c r="BA25" i="27"/>
  <c r="BB25" i="27"/>
  <c r="BC25" i="27"/>
  <c r="BD25" i="27"/>
  <c r="BE25" i="27"/>
  <c r="BF25" i="27"/>
  <c r="BG25" i="27"/>
  <c r="BH25" i="27"/>
  <c r="BI25" i="27"/>
  <c r="BJ25" i="27"/>
  <c r="BK25" i="27"/>
  <c r="BL25" i="27"/>
  <c r="BM25" i="27"/>
  <c r="BN25" i="27"/>
  <c r="BO25" i="27"/>
  <c r="BP25" i="27"/>
  <c r="BQ25" i="27"/>
  <c r="BR25" i="27"/>
  <c r="BS25" i="27"/>
  <c r="BT25" i="27"/>
  <c r="BU25" i="27"/>
  <c r="BV25" i="27"/>
  <c r="BW25" i="27"/>
  <c r="BX25" i="27"/>
  <c r="BY25" i="27"/>
  <c r="BZ25" i="27"/>
  <c r="CA25" i="27"/>
  <c r="CB25" i="27"/>
  <c r="CC25" i="27"/>
  <c r="CD25" i="27"/>
  <c r="CE25" i="27"/>
  <c r="CF25" i="27"/>
  <c r="CG25" i="27"/>
  <c r="CH25" i="27"/>
  <c r="CI25" i="27"/>
  <c r="CJ25" i="27"/>
  <c r="CK25" i="27"/>
  <c r="CL25" i="27"/>
  <c r="CM25" i="27"/>
  <c r="CN25" i="27"/>
  <c r="CO25" i="27"/>
  <c r="CP25" i="27"/>
  <c r="CQ25" i="27"/>
  <c r="CR25" i="27"/>
  <c r="CS25" i="27"/>
  <c r="CT25" i="27"/>
  <c r="CU25" i="27"/>
  <c r="CV25" i="27"/>
  <c r="CW25" i="27"/>
  <c r="CX25" i="27"/>
  <c r="CY25" i="27"/>
  <c r="CZ25" i="27"/>
  <c r="DA25" i="27"/>
  <c r="DB25" i="27"/>
  <c r="DC25" i="27"/>
  <c r="DD25" i="27"/>
  <c r="DE25" i="27"/>
  <c r="DF25" i="27"/>
  <c r="DG25" i="27"/>
  <c r="DH25" i="27"/>
  <c r="DI25" i="27"/>
  <c r="DJ25" i="27"/>
  <c r="DK25" i="27"/>
  <c r="DL25" i="27"/>
  <c r="DM25" i="27"/>
  <c r="DN25" i="27"/>
  <c r="DO25" i="27"/>
  <c r="DP25" i="27"/>
  <c r="DQ25" i="27"/>
  <c r="DR25" i="27"/>
  <c r="DS25" i="27"/>
  <c r="DT25" i="27"/>
  <c r="DU25" i="27"/>
  <c r="DV25" i="27"/>
  <c r="DW25" i="27"/>
  <c r="DX25" i="27"/>
  <c r="DY25" i="27"/>
  <c r="DZ25" i="27"/>
  <c r="EA25" i="27"/>
  <c r="EB25" i="27"/>
  <c r="EC25" i="27"/>
  <c r="ED25" i="27"/>
  <c r="EE25" i="27"/>
  <c r="EF25" i="27"/>
  <c r="EG25" i="27"/>
  <c r="EH25" i="27"/>
  <c r="EI25" i="27"/>
  <c r="EJ25" i="27"/>
  <c r="EK25" i="27"/>
  <c r="EL25" i="27"/>
  <c r="EM25" i="27"/>
  <c r="EN25" i="27"/>
  <c r="EO25" i="27"/>
  <c r="EP25" i="27"/>
  <c r="EQ25" i="27"/>
  <c r="ER25" i="27"/>
  <c r="ES25" i="27"/>
  <c r="ET25" i="27"/>
  <c r="EU25" i="27"/>
  <c r="EV25" i="27"/>
  <c r="EW25" i="27"/>
  <c r="EX25" i="27"/>
  <c r="EY25" i="27"/>
  <c r="EZ25" i="27"/>
  <c r="FA25" i="27"/>
  <c r="FB25" i="27"/>
  <c r="FC25" i="27"/>
  <c r="FD25" i="27"/>
  <c r="FE25" i="27"/>
  <c r="FF25" i="27"/>
  <c r="FG25" i="27"/>
  <c r="FH25" i="27"/>
  <c r="FI25" i="27"/>
  <c r="FJ25" i="27"/>
  <c r="FK25" i="27"/>
  <c r="FL25" i="27"/>
  <c r="FM25" i="27"/>
  <c r="FN25" i="27"/>
  <c r="FO25" i="27"/>
  <c r="FP25" i="27"/>
  <c r="FQ25" i="27"/>
  <c r="FR25" i="27"/>
  <c r="FS25" i="27"/>
  <c r="FT25" i="27"/>
  <c r="FU25" i="27"/>
  <c r="FV25" i="27"/>
  <c r="FW25" i="27"/>
  <c r="FX25" i="27"/>
  <c r="FY25" i="27"/>
  <c r="FZ25" i="27"/>
  <c r="GA25" i="27"/>
  <c r="GB25" i="27"/>
  <c r="GC25" i="27"/>
  <c r="GD25" i="27"/>
  <c r="GE25" i="27"/>
  <c r="GF25" i="27"/>
  <c r="GG25" i="27"/>
  <c r="GH25" i="27"/>
  <c r="GI25" i="27"/>
  <c r="GJ25" i="27"/>
  <c r="GK25" i="27"/>
  <c r="GL25" i="27"/>
  <c r="GM25" i="27"/>
  <c r="GN25" i="27"/>
  <c r="GO25" i="27"/>
  <c r="GP25" i="27"/>
  <c r="GQ25" i="27"/>
  <c r="GR25" i="27"/>
  <c r="GS25" i="27"/>
  <c r="GT25" i="27"/>
  <c r="GU25" i="27"/>
  <c r="GV25" i="27"/>
  <c r="GW25" i="27"/>
  <c r="GX25" i="27"/>
  <c r="GY25" i="27"/>
  <c r="GZ25" i="27"/>
  <c r="HA25" i="27"/>
  <c r="HB25" i="27"/>
  <c r="HC25" i="27"/>
  <c r="HD25" i="27"/>
  <c r="HE25" i="27"/>
  <c r="HF25" i="27"/>
  <c r="HG25" i="27"/>
  <c r="HH25" i="27"/>
  <c r="HI25" i="27"/>
  <c r="HJ25" i="27"/>
  <c r="HK25" i="27"/>
  <c r="HL25" i="27"/>
  <c r="HM25" i="27"/>
  <c r="HN25" i="27"/>
  <c r="HO25" i="27"/>
  <c r="HP25" i="27"/>
  <c r="HQ25" i="27"/>
  <c r="HR25" i="27"/>
  <c r="HS25" i="27"/>
  <c r="HT25" i="27"/>
  <c r="HU25" i="27"/>
  <c r="HV25" i="27"/>
  <c r="HW25" i="27"/>
  <c r="HX25" i="27"/>
  <c r="HY25" i="27"/>
  <c r="HZ25" i="27"/>
  <c r="IA25" i="27"/>
  <c r="IB25" i="27"/>
  <c r="IC25" i="27"/>
  <c r="ID25" i="27"/>
  <c r="IE25" i="27"/>
  <c r="IF25" i="27"/>
  <c r="IG25" i="27"/>
  <c r="IH25" i="27"/>
  <c r="II25" i="27"/>
  <c r="IJ25" i="27"/>
  <c r="IK25" i="27"/>
  <c r="IL25" i="27"/>
  <c r="IM25" i="27"/>
  <c r="IN25" i="27"/>
  <c r="IO25" i="27"/>
  <c r="IP25" i="27"/>
  <c r="IQ25" i="27"/>
  <c r="IR25" i="27"/>
  <c r="IS25" i="27"/>
  <c r="IT25" i="27"/>
  <c r="IU25" i="27"/>
  <c r="IV25" i="27"/>
  <c r="A24" i="27"/>
  <c r="B24" i="27"/>
  <c r="C24" i="27"/>
  <c r="D24" i="27"/>
  <c r="E24" i="27"/>
  <c r="F24" i="27"/>
  <c r="G24" i="27"/>
  <c r="H24" i="27"/>
  <c r="I24" i="27"/>
  <c r="J24" i="27"/>
  <c r="K24" i="27"/>
  <c r="L24" i="27"/>
  <c r="M24" i="27"/>
  <c r="N24" i="27"/>
  <c r="O24" i="27"/>
  <c r="P24" i="27"/>
  <c r="Q24" i="27"/>
  <c r="R24" i="27"/>
  <c r="S24" i="27"/>
  <c r="T24" i="27"/>
  <c r="U24" i="27"/>
  <c r="V24" i="27"/>
  <c r="W24" i="27"/>
  <c r="X24" i="27"/>
  <c r="Y24" i="27"/>
  <c r="Z24" i="27"/>
  <c r="AA24" i="27"/>
  <c r="AB24" i="27"/>
  <c r="AC24" i="2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BA24" i="27"/>
  <c r="BB24" i="27"/>
  <c r="BC24" i="27"/>
  <c r="BD24" i="27"/>
  <c r="BE24" i="27"/>
  <c r="BF24" i="27"/>
  <c r="BG24" i="27"/>
  <c r="BH24" i="27"/>
  <c r="BI24" i="27"/>
  <c r="BJ24" i="27"/>
  <c r="BK24" i="27"/>
  <c r="BL24" i="27"/>
  <c r="BM24" i="27"/>
  <c r="BN24" i="27"/>
  <c r="BO24" i="27"/>
  <c r="BP24" i="27"/>
  <c r="BQ24" i="27"/>
  <c r="BR24" i="27"/>
  <c r="BS24" i="27"/>
  <c r="BT24" i="27"/>
  <c r="BU24" i="27"/>
  <c r="BV24" i="27"/>
  <c r="BW24" i="27"/>
  <c r="BX24" i="27"/>
  <c r="BY24" i="27"/>
  <c r="BZ24" i="27"/>
  <c r="CA24" i="27"/>
  <c r="CB24" i="27"/>
  <c r="CC24" i="27"/>
  <c r="CD24" i="27"/>
  <c r="CE24" i="27"/>
  <c r="CF24" i="27"/>
  <c r="CG24" i="27"/>
  <c r="CH24" i="27"/>
  <c r="CI24" i="27"/>
  <c r="CJ24" i="27"/>
  <c r="CK24" i="27"/>
  <c r="CL24" i="27"/>
  <c r="CM24" i="27"/>
  <c r="CN24" i="27"/>
  <c r="CO24" i="27"/>
  <c r="CP24" i="27"/>
  <c r="CQ24" i="27"/>
  <c r="CR24" i="27"/>
  <c r="CS24" i="27"/>
  <c r="CT24" i="27"/>
  <c r="CU24" i="27"/>
  <c r="CV24" i="27"/>
  <c r="CW24" i="27"/>
  <c r="CX24" i="27"/>
  <c r="CY24" i="27"/>
  <c r="CZ24" i="27"/>
  <c r="DA24" i="27"/>
  <c r="DB24" i="27"/>
  <c r="DC24" i="27"/>
  <c r="DD24" i="27"/>
  <c r="DE24" i="27"/>
  <c r="DF24" i="27"/>
  <c r="DG24" i="27"/>
  <c r="DH24" i="27"/>
  <c r="DI24" i="27"/>
  <c r="DJ24" i="27"/>
  <c r="DK24" i="27"/>
  <c r="DL24" i="27"/>
  <c r="DM24" i="27"/>
  <c r="DN24" i="27"/>
  <c r="DO24" i="27"/>
  <c r="DP24" i="27"/>
  <c r="DQ24" i="27"/>
  <c r="DR24" i="27"/>
  <c r="DS24" i="27"/>
  <c r="DT24" i="27"/>
  <c r="DU24" i="27"/>
  <c r="DV24" i="27"/>
  <c r="DW24" i="27"/>
  <c r="DX24" i="27"/>
  <c r="DY24" i="27"/>
  <c r="DZ24" i="27"/>
  <c r="EA24" i="27"/>
  <c r="EB24" i="27"/>
  <c r="EC24" i="27"/>
  <c r="ED24" i="27"/>
  <c r="EE24" i="27"/>
  <c r="EF24" i="27"/>
  <c r="EG24" i="27"/>
  <c r="EH24" i="27"/>
  <c r="EI24" i="27"/>
  <c r="EJ24" i="27"/>
  <c r="EK24" i="27"/>
  <c r="EL24" i="27"/>
  <c r="EM24" i="27"/>
  <c r="EN24" i="27"/>
  <c r="EO24" i="27"/>
  <c r="EP24" i="27"/>
  <c r="EQ24" i="27"/>
  <c r="ER24" i="27"/>
  <c r="ES24" i="27"/>
  <c r="ET24" i="27"/>
  <c r="EU24" i="27"/>
  <c r="EV24" i="27"/>
  <c r="EW24" i="27"/>
  <c r="EX24" i="27"/>
  <c r="EY24" i="27"/>
  <c r="EZ24" i="27"/>
  <c r="FA24" i="27"/>
  <c r="FB24" i="27"/>
  <c r="FC24" i="27"/>
  <c r="FD24" i="27"/>
  <c r="FE24" i="27"/>
  <c r="FF24" i="27"/>
  <c r="FG24" i="27"/>
  <c r="FH24" i="27"/>
  <c r="FI24" i="27"/>
  <c r="FJ24" i="27"/>
  <c r="FK24" i="27"/>
  <c r="FL24" i="27"/>
  <c r="FM24" i="27"/>
  <c r="FN24" i="27"/>
  <c r="FO24" i="27"/>
  <c r="FP24" i="27"/>
  <c r="FQ24" i="27"/>
  <c r="FR24" i="27"/>
  <c r="FS24" i="27"/>
  <c r="FT24" i="27"/>
  <c r="FU24" i="27"/>
  <c r="FV24" i="27"/>
  <c r="FW24" i="27"/>
  <c r="FX24" i="27"/>
  <c r="FY24" i="27"/>
  <c r="FZ24" i="27"/>
  <c r="GA24" i="27"/>
  <c r="GB24" i="27"/>
  <c r="GC24" i="27"/>
  <c r="GD24" i="27"/>
  <c r="GE24" i="27"/>
  <c r="GF24" i="27"/>
  <c r="GG24" i="27"/>
  <c r="GH24" i="27"/>
  <c r="GI24" i="27"/>
  <c r="GJ24" i="27"/>
  <c r="GK24" i="27"/>
  <c r="GL24" i="27"/>
  <c r="GM24" i="27"/>
  <c r="GN24" i="27"/>
  <c r="GO24" i="27"/>
  <c r="GP24" i="27"/>
  <c r="GQ24" i="27"/>
  <c r="GR24" i="27"/>
  <c r="GS24" i="27"/>
  <c r="GT24" i="27"/>
  <c r="GU24" i="27"/>
  <c r="GV24" i="27"/>
  <c r="GW24" i="27"/>
  <c r="GX24" i="27"/>
  <c r="GY24" i="27"/>
  <c r="GZ24" i="27"/>
  <c r="HA24" i="27"/>
  <c r="HB24" i="27"/>
  <c r="HC24" i="27"/>
  <c r="HD24" i="27"/>
  <c r="HE24" i="27"/>
  <c r="HF24" i="27"/>
  <c r="HG24" i="27"/>
  <c r="HH24" i="27"/>
  <c r="HI24" i="27"/>
  <c r="HJ24" i="27"/>
  <c r="HK24" i="27"/>
  <c r="HL24" i="27"/>
  <c r="HM24" i="27"/>
  <c r="HN24" i="27"/>
  <c r="HO24" i="27"/>
  <c r="HP24" i="27"/>
  <c r="HQ24" i="27"/>
  <c r="HR24" i="27"/>
  <c r="HS24" i="27"/>
  <c r="HT24" i="27"/>
  <c r="HU24" i="27"/>
  <c r="HV24" i="27"/>
  <c r="HW24" i="27"/>
  <c r="HX24" i="27"/>
  <c r="HY24" i="27"/>
  <c r="HZ24" i="27"/>
  <c r="IA24" i="27"/>
  <c r="IB24" i="27"/>
  <c r="IC24" i="27"/>
  <c r="ID24" i="27"/>
  <c r="IE24" i="27"/>
  <c r="IF24" i="27"/>
  <c r="IG24" i="27"/>
  <c r="IH24" i="27"/>
  <c r="II24" i="27"/>
  <c r="IJ24" i="27"/>
  <c r="IK24" i="27"/>
  <c r="IL24" i="27"/>
  <c r="IM24" i="27"/>
  <c r="IN24" i="27"/>
  <c r="IO24" i="27"/>
  <c r="IP24" i="27"/>
  <c r="IQ24" i="27"/>
  <c r="IR24" i="27"/>
  <c r="IS24" i="27"/>
  <c r="IT24" i="27"/>
  <c r="IU24" i="27"/>
  <c r="IV24" i="27"/>
  <c r="A23" i="27"/>
  <c r="B23" i="27"/>
  <c r="C23" i="27"/>
  <c r="D23" i="27"/>
  <c r="E23" i="27"/>
  <c r="F23" i="27"/>
  <c r="G23" i="27"/>
  <c r="H23" i="27"/>
  <c r="I23" i="27"/>
  <c r="J23" i="27"/>
  <c r="K23" i="27"/>
  <c r="L23" i="27"/>
  <c r="M23" i="27"/>
  <c r="N23" i="27"/>
  <c r="O23" i="27"/>
  <c r="P23" i="27"/>
  <c r="Q23" i="27"/>
  <c r="R23" i="27"/>
  <c r="S23" i="27"/>
  <c r="T23" i="27"/>
  <c r="U23" i="27"/>
  <c r="V23" i="27"/>
  <c r="W23" i="27"/>
  <c r="X23" i="27"/>
  <c r="Y23" i="27"/>
  <c r="Z23" i="27"/>
  <c r="AA23" i="27"/>
  <c r="AB23" i="27"/>
  <c r="AC23" i="27"/>
  <c r="AD23" i="27"/>
  <c r="AE23" i="27"/>
  <c r="AF23" i="27"/>
  <c r="AG23" i="27"/>
  <c r="AH23" i="27"/>
  <c r="AI23" i="27"/>
  <c r="AJ23" i="27"/>
  <c r="AK23" i="27"/>
  <c r="AL23" i="27"/>
  <c r="AM23" i="27"/>
  <c r="AN23" i="27"/>
  <c r="AO23" i="27"/>
  <c r="AP23" i="27"/>
  <c r="AQ23" i="27"/>
  <c r="AR23" i="27"/>
  <c r="AS23" i="27"/>
  <c r="AT23" i="27"/>
  <c r="AU23" i="27"/>
  <c r="AV23" i="27"/>
  <c r="AW23" i="27"/>
  <c r="AX23" i="27"/>
  <c r="AY23" i="27"/>
  <c r="AZ23"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CF23" i="27"/>
  <c r="CG23" i="27"/>
  <c r="CH23" i="27"/>
  <c r="CI23" i="27"/>
  <c r="CJ23" i="27"/>
  <c r="CK23" i="27"/>
  <c r="CL23" i="27"/>
  <c r="CM23" i="27"/>
  <c r="CN23" i="27"/>
  <c r="CO23" i="27"/>
  <c r="CP23" i="27"/>
  <c r="CQ23" i="27"/>
  <c r="CR23" i="27"/>
  <c r="CS23" i="27"/>
  <c r="CT23" i="27"/>
  <c r="CU23" i="27"/>
  <c r="CV23" i="27"/>
  <c r="CW23" i="27"/>
  <c r="CX23" i="27"/>
  <c r="CY23" i="27"/>
  <c r="CZ23" i="27"/>
  <c r="DA23" i="27"/>
  <c r="DB23" i="27"/>
  <c r="DC23" i="27"/>
  <c r="DD23" i="27"/>
  <c r="DE23" i="27"/>
  <c r="DF23" i="27"/>
  <c r="DG23" i="27"/>
  <c r="DH23" i="27"/>
  <c r="DI23" i="27"/>
  <c r="DJ23" i="27"/>
  <c r="DK23" i="27"/>
  <c r="DL23" i="27"/>
  <c r="DM23" i="27"/>
  <c r="DN23" i="27"/>
  <c r="DO23" i="27"/>
  <c r="DP23" i="27"/>
  <c r="DQ23" i="27"/>
  <c r="DR23" i="27"/>
  <c r="DS23" i="27"/>
  <c r="DT23" i="27"/>
  <c r="DU23" i="27"/>
  <c r="DV23" i="27"/>
  <c r="DW23" i="27"/>
  <c r="DX23" i="27"/>
  <c r="DY23" i="27"/>
  <c r="DZ23" i="27"/>
  <c r="EA23" i="27"/>
  <c r="EB23" i="27"/>
  <c r="EC23" i="27"/>
  <c r="ED23" i="27"/>
  <c r="EE23" i="27"/>
  <c r="EF23" i="27"/>
  <c r="EG23" i="27"/>
  <c r="EH23" i="27"/>
  <c r="EI23" i="27"/>
  <c r="EJ23" i="27"/>
  <c r="EK23" i="27"/>
  <c r="EL23" i="27"/>
  <c r="EM23" i="27"/>
  <c r="EN23" i="27"/>
  <c r="EO23" i="27"/>
  <c r="EP23" i="27"/>
  <c r="EQ23" i="27"/>
  <c r="ER23" i="27"/>
  <c r="ES23" i="27"/>
  <c r="ET23" i="27"/>
  <c r="EU23" i="27"/>
  <c r="EV23" i="27"/>
  <c r="EW23" i="27"/>
  <c r="EX23" i="27"/>
  <c r="EY23" i="27"/>
  <c r="EZ23" i="27"/>
  <c r="FA23" i="27"/>
  <c r="FB23" i="27"/>
  <c r="FC23" i="27"/>
  <c r="FD23" i="27"/>
  <c r="FE23" i="27"/>
  <c r="FF23" i="27"/>
  <c r="FG23" i="27"/>
  <c r="FH23" i="27"/>
  <c r="FI23" i="27"/>
  <c r="FJ23" i="27"/>
  <c r="FK23" i="27"/>
  <c r="FL23" i="27"/>
  <c r="FM23" i="27"/>
  <c r="FN23" i="27"/>
  <c r="FO23" i="27"/>
  <c r="FP23" i="27"/>
  <c r="FQ23" i="27"/>
  <c r="FR23" i="27"/>
  <c r="FS23" i="27"/>
  <c r="FT23" i="27"/>
  <c r="FU23" i="27"/>
  <c r="FV23" i="27"/>
  <c r="FW23" i="27"/>
  <c r="FX23" i="27"/>
  <c r="FY23" i="27"/>
  <c r="FZ23" i="27"/>
  <c r="GA23" i="27"/>
  <c r="GB23" i="27"/>
  <c r="GC23" i="27"/>
  <c r="GD23" i="27"/>
  <c r="GE23" i="27"/>
  <c r="GF23" i="27"/>
  <c r="GG23" i="27"/>
  <c r="GH23" i="27"/>
  <c r="GI23" i="27"/>
  <c r="GJ23" i="27"/>
  <c r="GK23" i="27"/>
  <c r="GL23" i="27"/>
  <c r="GM23" i="27"/>
  <c r="GN23" i="27"/>
  <c r="GO23" i="27"/>
  <c r="GP23" i="27"/>
  <c r="GQ23" i="27"/>
  <c r="GR23" i="27"/>
  <c r="GS23" i="27"/>
  <c r="GT23" i="27"/>
  <c r="GU23" i="27"/>
  <c r="GV23" i="27"/>
  <c r="GW23" i="27"/>
  <c r="GX23" i="27"/>
  <c r="GY23" i="27"/>
  <c r="GZ23" i="27"/>
  <c r="HA23" i="27"/>
  <c r="HB23" i="27"/>
  <c r="HC23" i="27"/>
  <c r="HD23" i="27"/>
  <c r="HE23" i="27"/>
  <c r="HF23" i="27"/>
  <c r="HG23" i="27"/>
  <c r="HH23" i="27"/>
  <c r="HI23" i="27"/>
  <c r="HJ23" i="27"/>
  <c r="HK23" i="27"/>
  <c r="HL23" i="27"/>
  <c r="HM23" i="27"/>
  <c r="HN23" i="27"/>
  <c r="HO23" i="27"/>
  <c r="HP23" i="27"/>
  <c r="HQ23" i="27"/>
  <c r="HR23" i="27"/>
  <c r="HS23" i="27"/>
  <c r="HT23" i="27"/>
  <c r="HU23" i="27"/>
  <c r="HV23" i="27"/>
  <c r="HW23" i="27"/>
  <c r="HX23" i="27"/>
  <c r="HY23" i="27"/>
  <c r="HZ23" i="27"/>
  <c r="IA23" i="27"/>
  <c r="IB23" i="27"/>
  <c r="IC23" i="27"/>
  <c r="ID23" i="27"/>
  <c r="IE23" i="27"/>
  <c r="IF23" i="27"/>
  <c r="IG23" i="27"/>
  <c r="IH23" i="27"/>
  <c r="II23" i="27"/>
  <c r="IJ23" i="27"/>
  <c r="IK23" i="27"/>
  <c r="IL23" i="27"/>
  <c r="IM23" i="27"/>
  <c r="IN23" i="27"/>
  <c r="IO23" i="27"/>
  <c r="IP23" i="27"/>
  <c r="IQ23" i="27"/>
  <c r="IR23" i="27"/>
  <c r="IS23" i="27"/>
  <c r="IT23" i="27"/>
  <c r="IU23" i="27"/>
  <c r="IV23" i="27"/>
  <c r="A22" i="27"/>
  <c r="B22" i="27"/>
  <c r="C22" i="27"/>
  <c r="D22" i="27"/>
  <c r="E22" i="27"/>
  <c r="F22" i="27"/>
  <c r="G22" i="27"/>
  <c r="H22" i="27"/>
  <c r="I22" i="27"/>
  <c r="J22" i="27"/>
  <c r="K22" i="27"/>
  <c r="L22" i="27"/>
  <c r="M22" i="27"/>
  <c r="N22" i="27"/>
  <c r="O22" i="27"/>
  <c r="P22" i="27"/>
  <c r="Q22" i="27"/>
  <c r="R22" i="27"/>
  <c r="S22" i="27"/>
  <c r="T22" i="27"/>
  <c r="U22" i="27"/>
  <c r="V22" i="27"/>
  <c r="W22" i="27"/>
  <c r="X22" i="27"/>
  <c r="Y22" i="27"/>
  <c r="Z22" i="27"/>
  <c r="AA22" i="27"/>
  <c r="AB22" i="27"/>
  <c r="AC22" i="27"/>
  <c r="AD22" i="27"/>
  <c r="AE22" i="27"/>
  <c r="AF22" i="27"/>
  <c r="AG22" i="27"/>
  <c r="AH22" i="27"/>
  <c r="AI22" i="27"/>
  <c r="AJ22" i="27"/>
  <c r="AK22" i="27"/>
  <c r="AL22" i="27"/>
  <c r="AM22" i="27"/>
  <c r="AN22" i="27"/>
  <c r="AO22" i="27"/>
  <c r="AP22" i="27"/>
  <c r="AQ22" i="27"/>
  <c r="AR22" i="27"/>
  <c r="AS22" i="27"/>
  <c r="AT22" i="27"/>
  <c r="AU22" i="27"/>
  <c r="AV22" i="27"/>
  <c r="AW22" i="27"/>
  <c r="AX22" i="27"/>
  <c r="AY22" i="27"/>
  <c r="AZ22"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CF22" i="27"/>
  <c r="CG22" i="27"/>
  <c r="CH22" i="27"/>
  <c r="CI22" i="27"/>
  <c r="CJ22" i="27"/>
  <c r="CK22" i="27"/>
  <c r="CL22" i="27"/>
  <c r="CM22" i="27"/>
  <c r="CN22" i="27"/>
  <c r="CO22" i="27"/>
  <c r="CP22" i="27"/>
  <c r="CQ22" i="27"/>
  <c r="CR22" i="27"/>
  <c r="CS22" i="27"/>
  <c r="CT22" i="27"/>
  <c r="CU22" i="27"/>
  <c r="CV22" i="27"/>
  <c r="CW22" i="27"/>
  <c r="CX22" i="27"/>
  <c r="CY22" i="27"/>
  <c r="CZ22" i="27"/>
  <c r="DA22" i="27"/>
  <c r="DB22" i="27"/>
  <c r="DC22" i="27"/>
  <c r="DD22" i="27"/>
  <c r="DE22" i="27"/>
  <c r="DF22" i="27"/>
  <c r="DG22" i="27"/>
  <c r="DH22" i="27"/>
  <c r="DI22" i="27"/>
  <c r="DJ22" i="27"/>
  <c r="DK22" i="27"/>
  <c r="DL22" i="27"/>
  <c r="DM22" i="27"/>
  <c r="DN22" i="27"/>
  <c r="DO22" i="27"/>
  <c r="DP22" i="27"/>
  <c r="DQ22" i="27"/>
  <c r="DR22" i="27"/>
  <c r="DS22" i="27"/>
  <c r="DT22" i="27"/>
  <c r="DU22" i="27"/>
  <c r="DV22" i="27"/>
  <c r="DW22" i="27"/>
  <c r="DX22" i="27"/>
  <c r="DY22" i="27"/>
  <c r="DZ22" i="27"/>
  <c r="EA22" i="27"/>
  <c r="EB22" i="27"/>
  <c r="EC22" i="27"/>
  <c r="ED22" i="27"/>
  <c r="EE22" i="27"/>
  <c r="EF22" i="27"/>
  <c r="EG22" i="27"/>
  <c r="EH22" i="27"/>
  <c r="EI22" i="27"/>
  <c r="EJ22" i="27"/>
  <c r="EK22" i="27"/>
  <c r="EL22" i="27"/>
  <c r="EM22" i="27"/>
  <c r="EN22" i="27"/>
  <c r="EO22" i="27"/>
  <c r="EP22" i="27"/>
  <c r="EQ22" i="27"/>
  <c r="ER22" i="27"/>
  <c r="ES22" i="27"/>
  <c r="ET22" i="27"/>
  <c r="EU22" i="27"/>
  <c r="EV22" i="27"/>
  <c r="EW22" i="27"/>
  <c r="EX22" i="27"/>
  <c r="EY22" i="27"/>
  <c r="EZ22" i="27"/>
  <c r="FA22" i="27"/>
  <c r="FB22" i="27"/>
  <c r="FC22" i="27"/>
  <c r="FD22" i="27"/>
  <c r="FE22" i="27"/>
  <c r="FF22" i="27"/>
  <c r="FG22" i="27"/>
  <c r="FH22" i="27"/>
  <c r="FI22" i="27"/>
  <c r="FJ22" i="27"/>
  <c r="FK22" i="27"/>
  <c r="FL22" i="27"/>
  <c r="FM22" i="27"/>
  <c r="FN22" i="27"/>
  <c r="FO22" i="27"/>
  <c r="FP22" i="27"/>
  <c r="FQ22" i="27"/>
  <c r="FR22" i="27"/>
  <c r="FS22" i="27"/>
  <c r="FT22" i="27"/>
  <c r="FU22" i="27"/>
  <c r="FV22" i="27"/>
  <c r="FW22" i="27"/>
  <c r="FX22" i="27"/>
  <c r="FY22" i="27"/>
  <c r="FZ22" i="27"/>
  <c r="GA22" i="27"/>
  <c r="GB22" i="27"/>
  <c r="GC22" i="27"/>
  <c r="GD22" i="27"/>
  <c r="GE22" i="27"/>
  <c r="GF22" i="27"/>
  <c r="GG22" i="27"/>
  <c r="GH22" i="27"/>
  <c r="GI22" i="27"/>
  <c r="GJ22" i="27"/>
  <c r="GK22" i="27"/>
  <c r="GL22" i="27"/>
  <c r="GM22" i="27"/>
  <c r="GN22" i="27"/>
  <c r="GO22" i="27"/>
  <c r="GP22" i="27"/>
  <c r="GQ22" i="27"/>
  <c r="GR22" i="27"/>
  <c r="GS22" i="27"/>
  <c r="GT22" i="27"/>
  <c r="GU22" i="27"/>
  <c r="GV22" i="27"/>
  <c r="GW22" i="27"/>
  <c r="GX22" i="27"/>
  <c r="GY22" i="27"/>
  <c r="GZ22" i="27"/>
  <c r="HA22" i="27"/>
  <c r="HB22" i="27"/>
  <c r="HC22" i="27"/>
  <c r="HD22" i="27"/>
  <c r="HE22" i="27"/>
  <c r="HF22" i="27"/>
  <c r="HG22" i="27"/>
  <c r="HH22" i="27"/>
  <c r="HI22" i="27"/>
  <c r="HJ22" i="27"/>
  <c r="HK22" i="27"/>
  <c r="HL22" i="27"/>
  <c r="HM22" i="27"/>
  <c r="HN22" i="27"/>
  <c r="HO22" i="27"/>
  <c r="HP22" i="27"/>
  <c r="HQ22" i="27"/>
  <c r="HR22" i="27"/>
  <c r="HS22" i="27"/>
  <c r="HT22" i="27"/>
  <c r="HU22" i="27"/>
  <c r="HV22" i="27"/>
  <c r="HW22" i="27"/>
  <c r="HX22" i="27"/>
  <c r="HY22" i="27"/>
  <c r="HZ22" i="27"/>
  <c r="IA22" i="27"/>
  <c r="IB22" i="27"/>
  <c r="IC22" i="27"/>
  <c r="ID22" i="27"/>
  <c r="IE22" i="27"/>
  <c r="IF22" i="27"/>
  <c r="IG22" i="27"/>
  <c r="IH22" i="27"/>
  <c r="II22" i="27"/>
  <c r="IJ22" i="27"/>
  <c r="IK22" i="27"/>
  <c r="IL22" i="27"/>
  <c r="IM22" i="27"/>
  <c r="IN22" i="27"/>
  <c r="IO22" i="27"/>
  <c r="IP22" i="27"/>
  <c r="IQ22" i="27"/>
  <c r="IR22" i="27"/>
  <c r="IS22" i="27"/>
  <c r="IT22" i="27"/>
  <c r="IU22" i="27"/>
  <c r="IV22" i="27"/>
  <c r="A21" i="27"/>
  <c r="B21" i="27"/>
  <c r="C21" i="27"/>
  <c r="D21" i="27"/>
  <c r="E21" i="27"/>
  <c r="F21" i="27"/>
  <c r="G21" i="27"/>
  <c r="H21" i="27"/>
  <c r="I21" i="27"/>
  <c r="J21" i="27"/>
  <c r="K21" i="27"/>
  <c r="L21" i="27"/>
  <c r="M21" i="27"/>
  <c r="N21" i="27"/>
  <c r="O21" i="27"/>
  <c r="P21" i="27"/>
  <c r="Q21" i="27"/>
  <c r="R21" i="27"/>
  <c r="S21" i="27"/>
  <c r="T21" i="27"/>
  <c r="U21" i="27"/>
  <c r="V21" i="27"/>
  <c r="W21" i="27"/>
  <c r="X21" i="27"/>
  <c r="Y21" i="27"/>
  <c r="Z21" i="27"/>
  <c r="AA21" i="27"/>
  <c r="AB21" i="27"/>
  <c r="AC21" i="2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CF21" i="27"/>
  <c r="CG21" i="27"/>
  <c r="CH21" i="27"/>
  <c r="CI21" i="27"/>
  <c r="CJ21" i="27"/>
  <c r="CK21" i="27"/>
  <c r="CL21" i="27"/>
  <c r="CM21" i="27"/>
  <c r="CN21" i="27"/>
  <c r="CO21" i="27"/>
  <c r="CP21" i="27"/>
  <c r="CQ21" i="27"/>
  <c r="CR21" i="27"/>
  <c r="CS21" i="27"/>
  <c r="CT21" i="27"/>
  <c r="CU21" i="27"/>
  <c r="CV21" i="27"/>
  <c r="CW21" i="27"/>
  <c r="CX21" i="27"/>
  <c r="CY21" i="27"/>
  <c r="CZ21" i="27"/>
  <c r="DA21" i="27"/>
  <c r="DB21" i="27"/>
  <c r="DC21" i="27"/>
  <c r="DD21" i="27"/>
  <c r="DE21" i="27"/>
  <c r="DF21" i="27"/>
  <c r="DG21" i="27"/>
  <c r="DH21" i="27"/>
  <c r="DI21" i="27"/>
  <c r="DJ21" i="27"/>
  <c r="DK21" i="27"/>
  <c r="DL21" i="27"/>
  <c r="DM21" i="27"/>
  <c r="DN21" i="27"/>
  <c r="DO21" i="27"/>
  <c r="DP21" i="27"/>
  <c r="DQ21" i="27"/>
  <c r="DR21" i="27"/>
  <c r="DS21" i="27"/>
  <c r="DT21" i="27"/>
  <c r="DU21" i="27"/>
  <c r="DV21" i="27"/>
  <c r="DW21" i="27"/>
  <c r="DX21" i="27"/>
  <c r="DY21" i="27"/>
  <c r="DZ21" i="27"/>
  <c r="EA21" i="27"/>
  <c r="EB21" i="27"/>
  <c r="EC21" i="27"/>
  <c r="ED21" i="27"/>
  <c r="EE21" i="27"/>
  <c r="EF21" i="27"/>
  <c r="EG21" i="27"/>
  <c r="EH21" i="27"/>
  <c r="EI21" i="27"/>
  <c r="EJ21" i="27"/>
  <c r="EK21" i="27"/>
  <c r="EL21" i="27"/>
  <c r="EM21" i="27"/>
  <c r="EN21" i="27"/>
  <c r="EO21" i="27"/>
  <c r="EP21" i="27"/>
  <c r="EQ21" i="27"/>
  <c r="ER21" i="27"/>
  <c r="ES21" i="27"/>
  <c r="ET21" i="27"/>
  <c r="EU21" i="27"/>
  <c r="EV21" i="27"/>
  <c r="EW21" i="27"/>
  <c r="EX21" i="27"/>
  <c r="EY21" i="27"/>
  <c r="EZ21" i="27"/>
  <c r="FA21" i="27"/>
  <c r="FB21" i="27"/>
  <c r="FC21" i="27"/>
  <c r="FD21" i="27"/>
  <c r="FE21" i="27"/>
  <c r="FF21" i="27"/>
  <c r="FG21" i="27"/>
  <c r="FH21" i="27"/>
  <c r="FI21" i="27"/>
  <c r="FJ21" i="27"/>
  <c r="FK21" i="27"/>
  <c r="FL21" i="27"/>
  <c r="FM21" i="27"/>
  <c r="FN21" i="27"/>
  <c r="FO21" i="27"/>
  <c r="FP21" i="27"/>
  <c r="FQ21" i="27"/>
  <c r="FR21" i="27"/>
  <c r="FS21" i="27"/>
  <c r="FT21" i="27"/>
  <c r="FU21" i="27"/>
  <c r="FV21" i="27"/>
  <c r="FW21" i="27"/>
  <c r="FX21" i="27"/>
  <c r="FY21" i="27"/>
  <c r="FZ21" i="27"/>
  <c r="GA21" i="27"/>
  <c r="GB21" i="27"/>
  <c r="GC21" i="27"/>
  <c r="GD21" i="27"/>
  <c r="GE21" i="27"/>
  <c r="GF21" i="27"/>
  <c r="GG21" i="27"/>
  <c r="GH21" i="27"/>
  <c r="GI21" i="27"/>
  <c r="GJ21" i="27"/>
  <c r="GK21" i="27"/>
  <c r="GL21" i="27"/>
  <c r="GM21" i="27"/>
  <c r="GN21" i="27"/>
  <c r="GO21" i="27"/>
  <c r="GP21" i="27"/>
  <c r="GQ21" i="27"/>
  <c r="GR21" i="27"/>
  <c r="GS21" i="27"/>
  <c r="GT21" i="27"/>
  <c r="GU21" i="27"/>
  <c r="GV21" i="27"/>
  <c r="GW21" i="27"/>
  <c r="GX21" i="27"/>
  <c r="GY21" i="27"/>
  <c r="GZ21" i="27"/>
  <c r="HA21" i="27"/>
  <c r="HB21" i="27"/>
  <c r="HC21" i="27"/>
  <c r="HD21" i="27"/>
  <c r="HE21" i="27"/>
  <c r="HF21" i="27"/>
  <c r="HG21" i="27"/>
  <c r="HH21" i="27"/>
  <c r="HI21" i="27"/>
  <c r="HJ21" i="27"/>
  <c r="HK21" i="27"/>
  <c r="HL21" i="27"/>
  <c r="HM21" i="27"/>
  <c r="HN21" i="27"/>
  <c r="HO21" i="27"/>
  <c r="HP21" i="27"/>
  <c r="HQ21" i="27"/>
  <c r="HR21" i="27"/>
  <c r="HS21" i="27"/>
  <c r="HT21" i="27"/>
  <c r="HU21" i="27"/>
  <c r="HV21" i="27"/>
  <c r="HW21" i="27"/>
  <c r="HX21" i="27"/>
  <c r="HY21" i="27"/>
  <c r="HZ21" i="27"/>
  <c r="IA21" i="27"/>
  <c r="IB21" i="27"/>
  <c r="IC21" i="27"/>
  <c r="ID21" i="27"/>
  <c r="IE21" i="27"/>
  <c r="IF21" i="27"/>
  <c r="IG21" i="27"/>
  <c r="IH21" i="27"/>
  <c r="II21" i="27"/>
  <c r="IJ21" i="27"/>
  <c r="IK21" i="27"/>
  <c r="IL21" i="27"/>
  <c r="IM21" i="27"/>
  <c r="IN21" i="27"/>
  <c r="IO21" i="27"/>
  <c r="IP21" i="27"/>
  <c r="IQ21" i="27"/>
  <c r="IR21" i="27"/>
  <c r="IS21" i="27"/>
  <c r="IT21" i="27"/>
  <c r="IU21" i="27"/>
  <c r="IV21" i="27"/>
  <c r="A20" i="27"/>
  <c r="B20" i="27"/>
  <c r="C20" i="27"/>
  <c r="D20" i="27"/>
  <c r="E20" i="27"/>
  <c r="F20" i="27"/>
  <c r="G20" i="27"/>
  <c r="H20" i="27"/>
  <c r="I20" i="27"/>
  <c r="J20" i="27"/>
  <c r="K20" i="27"/>
  <c r="L20" i="27"/>
  <c r="M20" i="27"/>
  <c r="N20" i="27"/>
  <c r="O20" i="27"/>
  <c r="P20" i="27"/>
  <c r="Q20" i="27"/>
  <c r="R20" i="27"/>
  <c r="S20" i="27"/>
  <c r="T20" i="27"/>
  <c r="U20" i="27"/>
  <c r="V20" i="27"/>
  <c r="W20" i="27"/>
  <c r="X20" i="27"/>
  <c r="Y20" i="27"/>
  <c r="Z20" i="27"/>
  <c r="AA20" i="27"/>
  <c r="AB20" i="27"/>
  <c r="AC20" i="2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CF20" i="27"/>
  <c r="CG20" i="27"/>
  <c r="CH20" i="27"/>
  <c r="CI20" i="27"/>
  <c r="CJ20" i="27"/>
  <c r="CK20" i="27"/>
  <c r="CL20" i="27"/>
  <c r="CM20" i="27"/>
  <c r="CN20" i="27"/>
  <c r="CO20" i="27"/>
  <c r="CP20" i="27"/>
  <c r="CQ20" i="27"/>
  <c r="CR20" i="27"/>
  <c r="CS20" i="27"/>
  <c r="CT20" i="27"/>
  <c r="CU20" i="27"/>
  <c r="CV20" i="27"/>
  <c r="CW20" i="27"/>
  <c r="CX20" i="27"/>
  <c r="CY20" i="27"/>
  <c r="CZ20" i="27"/>
  <c r="DA20" i="27"/>
  <c r="DB20" i="27"/>
  <c r="DC20" i="27"/>
  <c r="DD20" i="27"/>
  <c r="DE20" i="27"/>
  <c r="DF20" i="27"/>
  <c r="DG20" i="27"/>
  <c r="DH20" i="27"/>
  <c r="DI20" i="27"/>
  <c r="DJ20" i="27"/>
  <c r="DK20" i="27"/>
  <c r="DL20" i="27"/>
  <c r="DM20" i="27"/>
  <c r="DN20" i="27"/>
  <c r="DO20" i="27"/>
  <c r="DP20" i="27"/>
  <c r="DQ20" i="27"/>
  <c r="DR20" i="27"/>
  <c r="DS20" i="27"/>
  <c r="DT20" i="27"/>
  <c r="DU20" i="27"/>
  <c r="DV20" i="27"/>
  <c r="DW20" i="27"/>
  <c r="DX20" i="27"/>
  <c r="DY20" i="27"/>
  <c r="DZ20" i="27"/>
  <c r="EA20" i="27"/>
  <c r="EB20" i="27"/>
  <c r="EC20" i="27"/>
  <c r="ED20" i="27"/>
  <c r="EE20" i="27"/>
  <c r="EF20" i="27"/>
  <c r="EG20" i="27"/>
  <c r="EH20" i="27"/>
  <c r="EI20" i="27"/>
  <c r="EJ20" i="27"/>
  <c r="EK20" i="27"/>
  <c r="EL20" i="27"/>
  <c r="EM20" i="27"/>
  <c r="EN20" i="27"/>
  <c r="EO20" i="27"/>
  <c r="EP20" i="27"/>
  <c r="EQ20" i="27"/>
  <c r="ER20" i="27"/>
  <c r="ES20" i="27"/>
  <c r="ET20" i="27"/>
  <c r="EU20" i="27"/>
  <c r="EV20" i="27"/>
  <c r="EW20" i="27"/>
  <c r="EX20" i="27"/>
  <c r="EY20" i="27"/>
  <c r="EZ20" i="27"/>
  <c r="FA20" i="27"/>
  <c r="FB20" i="27"/>
  <c r="FC20" i="27"/>
  <c r="FD20" i="27"/>
  <c r="FE20" i="27"/>
  <c r="FF20" i="27"/>
  <c r="FG20" i="27"/>
  <c r="FH20" i="27"/>
  <c r="FI20" i="27"/>
  <c r="FJ20" i="27"/>
  <c r="FK20" i="27"/>
  <c r="FL20" i="27"/>
  <c r="FM20" i="27"/>
  <c r="FN20" i="27"/>
  <c r="FO20" i="27"/>
  <c r="FP20" i="27"/>
  <c r="FQ20" i="27"/>
  <c r="FR20" i="27"/>
  <c r="FS20" i="27"/>
  <c r="FT20" i="27"/>
  <c r="FU20" i="27"/>
  <c r="FV20" i="27"/>
  <c r="FW20" i="27"/>
  <c r="FX20" i="27"/>
  <c r="FY20" i="27"/>
  <c r="FZ20" i="27"/>
  <c r="GA20" i="27"/>
  <c r="GB20" i="27"/>
  <c r="GC20" i="27"/>
  <c r="GD20" i="27"/>
  <c r="GE20" i="27"/>
  <c r="GF20" i="27"/>
  <c r="GG20" i="27"/>
  <c r="GH20" i="27"/>
  <c r="GI20" i="27"/>
  <c r="GJ20" i="27"/>
  <c r="GK20" i="27"/>
  <c r="GL20" i="27"/>
  <c r="GM20" i="27"/>
  <c r="GN20" i="27"/>
  <c r="GO20" i="27"/>
  <c r="GP20" i="27"/>
  <c r="GQ20" i="27"/>
  <c r="GR20" i="27"/>
  <c r="GS20" i="27"/>
  <c r="GT20" i="27"/>
  <c r="GU20" i="27"/>
  <c r="GV20" i="27"/>
  <c r="GW20" i="27"/>
  <c r="GX20" i="27"/>
  <c r="GY20" i="27"/>
  <c r="GZ20" i="27"/>
  <c r="HA20" i="27"/>
  <c r="HB20" i="27"/>
  <c r="HC20" i="27"/>
  <c r="HD20" i="27"/>
  <c r="HE20" i="27"/>
  <c r="HF20" i="27"/>
  <c r="HG20" i="27"/>
  <c r="HH20" i="27"/>
  <c r="HI20" i="27"/>
  <c r="HJ20" i="27"/>
  <c r="HK20" i="27"/>
  <c r="HL20" i="27"/>
  <c r="HM20" i="27"/>
  <c r="HN20" i="27"/>
  <c r="HO20" i="27"/>
  <c r="HP20" i="27"/>
  <c r="HQ20" i="27"/>
  <c r="HR20" i="27"/>
  <c r="HS20" i="27"/>
  <c r="HT20" i="27"/>
  <c r="HU20" i="27"/>
  <c r="HV20" i="27"/>
  <c r="HW20" i="27"/>
  <c r="HX20" i="27"/>
  <c r="HY20" i="27"/>
  <c r="HZ20" i="27"/>
  <c r="IA20" i="27"/>
  <c r="IB20" i="27"/>
  <c r="IC20" i="27"/>
  <c r="ID20" i="27"/>
  <c r="IE20" i="27"/>
  <c r="IF20" i="27"/>
  <c r="IG20" i="27"/>
  <c r="IH20" i="27"/>
  <c r="II20" i="27"/>
  <c r="IJ20" i="27"/>
  <c r="IK20" i="27"/>
  <c r="IL20" i="27"/>
  <c r="IM20" i="27"/>
  <c r="IN20" i="27"/>
  <c r="IO20" i="27"/>
  <c r="IP20" i="27"/>
  <c r="IQ20" i="27"/>
  <c r="IR20" i="27"/>
  <c r="IS20" i="27"/>
  <c r="IT20" i="27"/>
  <c r="IU20" i="27"/>
  <c r="IV20" i="27"/>
  <c r="A19" i="27"/>
  <c r="B19" i="27"/>
  <c r="C19" i="27"/>
  <c r="D19" i="27"/>
  <c r="E19" i="27"/>
  <c r="F19" i="27"/>
  <c r="G19" i="27"/>
  <c r="H19" i="27"/>
  <c r="I19" i="27"/>
  <c r="J19" i="27"/>
  <c r="K19" i="27"/>
  <c r="L19" i="27"/>
  <c r="M19" i="27"/>
  <c r="N19" i="27"/>
  <c r="O19" i="27"/>
  <c r="P19" i="27"/>
  <c r="Q19" i="27"/>
  <c r="R19" i="27"/>
  <c r="S19" i="27"/>
  <c r="T19" i="27"/>
  <c r="U19" i="27"/>
  <c r="V19" i="27"/>
  <c r="W19" i="27"/>
  <c r="X19" i="27"/>
  <c r="Y19" i="27"/>
  <c r="Z19" i="27"/>
  <c r="AA19" i="27"/>
  <c r="AB19" i="27"/>
  <c r="AC19" i="27"/>
  <c r="AD19" i="27"/>
  <c r="AE19" i="27"/>
  <c r="AF19" i="27"/>
  <c r="AG19" i="27"/>
  <c r="AH19" i="27"/>
  <c r="AI19" i="27"/>
  <c r="AJ19" i="27"/>
  <c r="AK19" i="27"/>
  <c r="AL19" i="27"/>
  <c r="AM19" i="27"/>
  <c r="AN19" i="27"/>
  <c r="AO19" i="27"/>
  <c r="AP19" i="27"/>
  <c r="AQ19" i="27"/>
  <c r="AR19" i="27"/>
  <c r="AS19" i="27"/>
  <c r="AT19" i="27"/>
  <c r="AU19" i="27"/>
  <c r="AV19" i="27"/>
  <c r="AW19" i="27"/>
  <c r="AX19" i="27"/>
  <c r="AY19" i="27"/>
  <c r="AZ19"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CF19" i="27"/>
  <c r="CG19" i="27"/>
  <c r="CH19" i="27"/>
  <c r="CI19" i="27"/>
  <c r="CJ19" i="27"/>
  <c r="CK19" i="27"/>
  <c r="CL19" i="27"/>
  <c r="CM19" i="27"/>
  <c r="CN19" i="27"/>
  <c r="CO19" i="27"/>
  <c r="CP19" i="27"/>
  <c r="CQ19" i="27"/>
  <c r="CR19" i="27"/>
  <c r="CS19" i="27"/>
  <c r="CT19" i="27"/>
  <c r="CU19" i="27"/>
  <c r="CV19" i="27"/>
  <c r="CW19" i="27"/>
  <c r="CX19" i="27"/>
  <c r="CY19" i="27"/>
  <c r="CZ19" i="27"/>
  <c r="DA19" i="27"/>
  <c r="DB19" i="27"/>
  <c r="DC19" i="27"/>
  <c r="DD19" i="27"/>
  <c r="DE19" i="27"/>
  <c r="DF19" i="27"/>
  <c r="DG19" i="27"/>
  <c r="DH19" i="27"/>
  <c r="DI19" i="27"/>
  <c r="DJ19" i="27"/>
  <c r="DK19" i="27"/>
  <c r="DL19" i="27"/>
  <c r="DM19" i="27"/>
  <c r="DN19" i="27"/>
  <c r="DO19" i="27"/>
  <c r="DP19" i="27"/>
  <c r="DQ19" i="27"/>
  <c r="DR19" i="27"/>
  <c r="DS19" i="27"/>
  <c r="DT19" i="27"/>
  <c r="DU19" i="27"/>
  <c r="DV19" i="27"/>
  <c r="DW19" i="27"/>
  <c r="DX19" i="27"/>
  <c r="DY19" i="27"/>
  <c r="DZ19" i="27"/>
  <c r="EA19" i="27"/>
  <c r="EB19" i="27"/>
  <c r="EC19" i="27"/>
  <c r="ED19" i="27"/>
  <c r="EE19" i="27"/>
  <c r="EF19" i="27"/>
  <c r="EG19" i="27"/>
  <c r="EH19" i="27"/>
  <c r="EI19" i="27"/>
  <c r="EJ19" i="27"/>
  <c r="EK19" i="27"/>
  <c r="EL19" i="27"/>
  <c r="EM19" i="27"/>
  <c r="EN19" i="27"/>
  <c r="EO19" i="27"/>
  <c r="EP19" i="27"/>
  <c r="EQ19" i="27"/>
  <c r="ER19" i="27"/>
  <c r="ES19" i="27"/>
  <c r="ET19" i="27"/>
  <c r="EU19" i="27"/>
  <c r="EV19" i="27"/>
  <c r="EW19" i="27"/>
  <c r="EX19" i="27"/>
  <c r="EY19" i="27"/>
  <c r="EZ19" i="27"/>
  <c r="FA19" i="27"/>
  <c r="FB19" i="27"/>
  <c r="FC19" i="27"/>
  <c r="FD19" i="27"/>
  <c r="FE19" i="27"/>
  <c r="FF19" i="27"/>
  <c r="FG19" i="27"/>
  <c r="FH19" i="27"/>
  <c r="FI19" i="27"/>
  <c r="FJ19" i="27"/>
  <c r="FK19" i="27"/>
  <c r="FL19" i="27"/>
  <c r="FM19" i="27"/>
  <c r="FN19" i="27"/>
  <c r="FO19" i="27"/>
  <c r="FP19" i="27"/>
  <c r="FQ19" i="27"/>
  <c r="FR19" i="27"/>
  <c r="FS19" i="27"/>
  <c r="FT19" i="27"/>
  <c r="FU19" i="27"/>
  <c r="FV19" i="27"/>
  <c r="FW19" i="27"/>
  <c r="FX19" i="27"/>
  <c r="FY19" i="27"/>
  <c r="FZ19" i="27"/>
  <c r="GA19" i="27"/>
  <c r="GB19" i="27"/>
  <c r="GC19" i="27"/>
  <c r="GD19" i="27"/>
  <c r="GE19" i="27"/>
  <c r="GF19" i="27"/>
  <c r="GG19" i="27"/>
  <c r="GH19" i="27"/>
  <c r="GI19" i="27"/>
  <c r="GJ19" i="27"/>
  <c r="GK19" i="27"/>
  <c r="GL19" i="27"/>
  <c r="GM19" i="27"/>
  <c r="GN19" i="27"/>
  <c r="GO19" i="27"/>
  <c r="GP19" i="27"/>
  <c r="GQ19" i="27"/>
  <c r="GR19" i="27"/>
  <c r="GS19" i="27"/>
  <c r="GT19" i="27"/>
  <c r="GU19" i="27"/>
  <c r="GV19" i="27"/>
  <c r="GW19" i="27"/>
  <c r="GX19" i="27"/>
  <c r="GY19" i="27"/>
  <c r="GZ19" i="27"/>
  <c r="HA19" i="27"/>
  <c r="HB19" i="27"/>
  <c r="HC19" i="27"/>
  <c r="HD19" i="27"/>
  <c r="HE19" i="27"/>
  <c r="HF19" i="27"/>
  <c r="HG19" i="27"/>
  <c r="HH19" i="27"/>
  <c r="HI19" i="27"/>
  <c r="HJ19" i="27"/>
  <c r="HK19" i="27"/>
  <c r="HL19" i="27"/>
  <c r="HM19" i="27"/>
  <c r="HN19" i="27"/>
  <c r="HO19" i="27"/>
  <c r="HP19" i="27"/>
  <c r="HQ19" i="27"/>
  <c r="HR19" i="27"/>
  <c r="HS19" i="27"/>
  <c r="HT19" i="27"/>
  <c r="HU19" i="27"/>
  <c r="HV19" i="27"/>
  <c r="HW19" i="27"/>
  <c r="HX19" i="27"/>
  <c r="HY19" i="27"/>
  <c r="HZ19" i="27"/>
  <c r="IA19" i="27"/>
  <c r="IB19" i="27"/>
  <c r="IC19" i="27"/>
  <c r="ID19" i="27"/>
  <c r="IE19" i="27"/>
  <c r="IF19" i="27"/>
  <c r="IG19" i="27"/>
  <c r="IH19" i="27"/>
  <c r="II19" i="27"/>
  <c r="IJ19" i="27"/>
  <c r="IK19" i="27"/>
  <c r="IL19" i="27"/>
  <c r="IM19" i="27"/>
  <c r="IN19" i="27"/>
  <c r="IO19" i="27"/>
  <c r="IP19" i="27"/>
  <c r="IQ19" i="27"/>
  <c r="IR19" i="27"/>
  <c r="IS19" i="27"/>
  <c r="IT19" i="27"/>
  <c r="IU19" i="27"/>
  <c r="IV19" i="27"/>
  <c r="A18" i="27"/>
  <c r="B18" i="27"/>
  <c r="C18" i="27"/>
  <c r="D18" i="27"/>
  <c r="E18" i="27"/>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V18" i="27"/>
  <c r="GW18" i="27"/>
  <c r="GX18" i="27"/>
  <c r="GY18" i="27"/>
  <c r="GZ18" i="27"/>
  <c r="HA18" i="27"/>
  <c r="HB18" i="27"/>
  <c r="HC18" i="27"/>
  <c r="HD18" i="27"/>
  <c r="HE18" i="27"/>
  <c r="HF18" i="27"/>
  <c r="HG18" i="27"/>
  <c r="HH18" i="27"/>
  <c r="HI18" i="27"/>
  <c r="HJ18" i="27"/>
  <c r="HK18" i="27"/>
  <c r="HL18" i="27"/>
  <c r="HM18" i="27"/>
  <c r="HN18" i="27"/>
  <c r="HO18" i="27"/>
  <c r="HP18" i="27"/>
  <c r="HQ18" i="27"/>
  <c r="HR18" i="27"/>
  <c r="HS18" i="27"/>
  <c r="HT18" i="27"/>
  <c r="HU18" i="27"/>
  <c r="HV18" i="27"/>
  <c r="HW18" i="27"/>
  <c r="HX18" i="27"/>
  <c r="HY18" i="27"/>
  <c r="HZ18" i="27"/>
  <c r="IA18" i="27"/>
  <c r="IB18" i="27"/>
  <c r="IC18" i="27"/>
  <c r="ID18" i="27"/>
  <c r="IE18" i="27"/>
  <c r="IF18" i="27"/>
  <c r="IG18" i="27"/>
  <c r="IH18" i="27"/>
  <c r="II18" i="27"/>
  <c r="IJ18" i="27"/>
  <c r="IK18" i="27"/>
  <c r="IL18" i="27"/>
  <c r="IM18" i="27"/>
  <c r="IN18" i="27"/>
  <c r="IO18" i="27"/>
  <c r="IP18" i="27"/>
  <c r="IQ18" i="27"/>
  <c r="IR18" i="27"/>
  <c r="IS18" i="27"/>
  <c r="IT18" i="27"/>
  <c r="IU18" i="27"/>
  <c r="IV18" i="27"/>
  <c r="A17" i="27"/>
  <c r="B17" i="27"/>
  <c r="C17" i="27"/>
  <c r="D17" i="27"/>
  <c r="E17" i="27"/>
  <c r="F17" i="27"/>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AF17" i="27"/>
  <c r="AG17" i="27"/>
  <c r="AH17" i="27"/>
  <c r="AI17" i="27"/>
  <c r="AJ17" i="27"/>
  <c r="AK17" i="27"/>
  <c r="AL17" i="27"/>
  <c r="AM17" i="27"/>
  <c r="AN17" i="27"/>
  <c r="AO17" i="27"/>
  <c r="AP17" i="27"/>
  <c r="AQ17" i="27"/>
  <c r="AR17" i="27"/>
  <c r="AS17" i="27"/>
  <c r="AT17" i="27"/>
  <c r="AU17" i="27"/>
  <c r="AV17" i="27"/>
  <c r="AY17" i="27"/>
  <c r="AZ17" i="27"/>
  <c r="BB17" i="27"/>
  <c r="BC17" i="27"/>
  <c r="BD17" i="27"/>
  <c r="BE17" i="27"/>
  <c r="BF17" i="27"/>
  <c r="BG17" i="27"/>
  <c r="BH17" i="27"/>
  <c r="BI17" i="27"/>
  <c r="BJ17" i="27"/>
  <c r="BK17" i="27"/>
  <c r="BL17" i="27"/>
  <c r="BM17" i="27"/>
  <c r="BN17" i="27"/>
  <c r="BO17" i="27"/>
  <c r="BP17" i="27"/>
  <c r="BQ17" i="27"/>
  <c r="BR17" i="27"/>
  <c r="BS17" i="27"/>
  <c r="BT17" i="27"/>
  <c r="BU17" i="27"/>
  <c r="BV17" i="27"/>
  <c r="BW17" i="27"/>
  <c r="BX17" i="27"/>
  <c r="BY17" i="27"/>
  <c r="BZ17" i="27"/>
  <c r="CA17" i="27"/>
  <c r="CB17" i="27"/>
  <c r="CC17" i="27"/>
  <c r="CD17" i="27"/>
  <c r="CE17" i="27"/>
  <c r="CF17" i="27"/>
  <c r="CG17" i="27"/>
  <c r="CH17" i="27"/>
  <c r="CI17" i="27"/>
  <c r="CJ17" i="27"/>
  <c r="CK17" i="27"/>
  <c r="CL17" i="27"/>
  <c r="CM17" i="27"/>
  <c r="CN17" i="27"/>
  <c r="CO17" i="27"/>
  <c r="CP17" i="27"/>
  <c r="CQ17" i="27"/>
  <c r="CR17" i="27"/>
  <c r="CS17" i="27"/>
  <c r="CT17" i="27"/>
  <c r="CU17" i="27"/>
  <c r="CV17" i="27"/>
  <c r="CW17" i="27"/>
  <c r="CX17" i="27"/>
  <c r="CY17" i="27"/>
  <c r="CZ17" i="27"/>
  <c r="DA17" i="27"/>
  <c r="DB17" i="27"/>
  <c r="DC17" i="27"/>
  <c r="DD17" i="27"/>
  <c r="DE17" i="27"/>
  <c r="DF17" i="27"/>
  <c r="DG17" i="27"/>
  <c r="DH17" i="27"/>
  <c r="DI17" i="27"/>
  <c r="DJ17" i="27"/>
  <c r="DK17" i="27"/>
  <c r="DL17" i="27"/>
  <c r="DM17" i="27"/>
  <c r="DN17" i="27"/>
  <c r="DO17" i="27"/>
  <c r="DP17" i="27"/>
  <c r="DQ17" i="27"/>
  <c r="DR17" i="27"/>
  <c r="DS17" i="27"/>
  <c r="DT17" i="27"/>
  <c r="DU17" i="27"/>
  <c r="DV17" i="27"/>
  <c r="DW17" i="27"/>
  <c r="DX17" i="27"/>
  <c r="DY17" i="27"/>
  <c r="DZ17" i="27"/>
  <c r="EA17" i="27"/>
  <c r="EB17" i="27"/>
  <c r="EC17" i="27"/>
  <c r="ED17" i="27"/>
  <c r="EE17" i="27"/>
  <c r="EF17" i="27"/>
  <c r="EG17" i="27"/>
  <c r="EH17" i="27"/>
  <c r="EI17" i="27"/>
  <c r="EJ17" i="27"/>
  <c r="EK17" i="27"/>
  <c r="EL17" i="27"/>
  <c r="EM17" i="27"/>
  <c r="EN17" i="27"/>
  <c r="EO17" i="27"/>
  <c r="EP17" i="27"/>
  <c r="EQ17" i="27"/>
  <c r="ER17" i="27"/>
  <c r="ES17" i="27"/>
  <c r="ET17" i="27"/>
  <c r="EU17" i="27"/>
  <c r="EV17" i="27"/>
  <c r="EW17" i="27"/>
  <c r="EX17" i="27"/>
  <c r="EY17" i="27"/>
  <c r="EZ17" i="27"/>
  <c r="FA17" i="27"/>
  <c r="FB17" i="27"/>
  <c r="FC17" i="27"/>
  <c r="FD17" i="27"/>
  <c r="FE17" i="27"/>
  <c r="FF17" i="27"/>
  <c r="FG17" i="27"/>
  <c r="FH17" i="27"/>
  <c r="FI17" i="27"/>
  <c r="FJ17" i="27"/>
  <c r="FK17" i="27"/>
  <c r="FL17" i="27"/>
  <c r="FM17" i="27"/>
  <c r="FN17" i="27"/>
  <c r="FO17" i="27"/>
  <c r="FP17" i="27"/>
  <c r="FQ17" i="27"/>
  <c r="FR17" i="27"/>
  <c r="FS17" i="27"/>
  <c r="FT17" i="27"/>
  <c r="FU17" i="27"/>
  <c r="FV17" i="27"/>
  <c r="FW17" i="27"/>
  <c r="FX17" i="27"/>
  <c r="FY17" i="27"/>
  <c r="FZ17" i="27"/>
  <c r="GA17" i="27"/>
  <c r="GB17" i="27"/>
  <c r="GC17" i="27"/>
  <c r="GD17" i="27"/>
  <c r="GE17" i="27"/>
  <c r="GF17" i="27"/>
  <c r="GG17" i="27"/>
  <c r="GH17" i="27"/>
  <c r="GI17" i="27"/>
  <c r="GJ17" i="27"/>
  <c r="GK17" i="27"/>
  <c r="GL17" i="27"/>
  <c r="GM17" i="27"/>
  <c r="GN17" i="27"/>
  <c r="GO17" i="27"/>
  <c r="GP17" i="27"/>
  <c r="GQ17" i="27"/>
  <c r="GR17" i="27"/>
  <c r="GS17" i="27"/>
  <c r="GT17" i="27"/>
  <c r="GU17" i="27"/>
  <c r="GV17" i="27"/>
  <c r="GW17" i="27"/>
  <c r="GX17" i="27"/>
  <c r="GY17" i="27"/>
  <c r="GZ17" i="27"/>
  <c r="HA17" i="27"/>
  <c r="HB17" i="27"/>
  <c r="HC17" i="27"/>
  <c r="HD17" i="27"/>
  <c r="HE17" i="27"/>
  <c r="HF17" i="27"/>
  <c r="HG17" i="27"/>
  <c r="HH17" i="27"/>
  <c r="HI17" i="27"/>
  <c r="HJ17" i="27"/>
  <c r="HK17" i="27"/>
  <c r="HL17" i="27"/>
  <c r="HM17" i="27"/>
  <c r="HN17" i="27"/>
  <c r="HO17" i="27"/>
  <c r="HP17" i="27"/>
  <c r="HQ17" i="27"/>
  <c r="HR17" i="27"/>
  <c r="HS17" i="27"/>
  <c r="HT17" i="27"/>
  <c r="HU17" i="27"/>
  <c r="HV17" i="27"/>
  <c r="HW17" i="27"/>
  <c r="HX17" i="27"/>
  <c r="HY17" i="27"/>
  <c r="HZ17" i="27"/>
  <c r="IA17" i="27"/>
  <c r="IB17" i="27"/>
  <c r="IC17" i="27"/>
  <c r="ID17" i="27"/>
  <c r="IE17" i="27"/>
  <c r="IF17" i="27"/>
  <c r="IG17" i="27"/>
  <c r="IH17" i="27"/>
  <c r="II17" i="27"/>
  <c r="IJ17" i="27"/>
  <c r="IK17" i="27"/>
  <c r="IL17" i="27"/>
  <c r="IM17" i="27"/>
  <c r="IN17" i="27"/>
  <c r="IO17" i="27"/>
  <c r="IP17" i="27"/>
  <c r="IQ17" i="27"/>
  <c r="IR17" i="27"/>
  <c r="IS17" i="27"/>
  <c r="IT17" i="27"/>
  <c r="IU17" i="27"/>
  <c r="IV17" i="27"/>
  <c r="A16" i="27"/>
  <c r="B16" i="27"/>
  <c r="C16" i="27"/>
  <c r="D16" i="27"/>
  <c r="E16" i="27"/>
  <c r="F16" i="27"/>
  <c r="G16" i="27"/>
  <c r="H16" i="27"/>
  <c r="I16" i="27"/>
  <c r="J16" i="27"/>
  <c r="K16" i="27"/>
  <c r="L16" i="27"/>
  <c r="M16" i="27"/>
  <c r="N16" i="27"/>
  <c r="O16" i="27"/>
  <c r="P16" i="27"/>
  <c r="Q16" i="27"/>
  <c r="R16" i="27"/>
  <c r="S16" i="27"/>
  <c r="T16" i="27"/>
  <c r="U16" i="27"/>
  <c r="V16" i="27"/>
  <c r="W16" i="27"/>
  <c r="X16" i="27"/>
  <c r="Y16" i="27"/>
  <c r="Z16" i="27"/>
  <c r="AA16" i="27"/>
  <c r="AB16" i="27"/>
  <c r="AC16" i="2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BA16" i="27"/>
  <c r="BB16" i="27"/>
  <c r="BC16" i="27"/>
  <c r="BD16" i="27"/>
  <c r="BE16" i="27"/>
  <c r="BF16" i="27"/>
  <c r="BG16" i="27"/>
  <c r="BH16" i="27"/>
  <c r="BI16" i="27"/>
  <c r="BJ16" i="27"/>
  <c r="BK16" i="27"/>
  <c r="BL16" i="27"/>
  <c r="BM16" i="27"/>
  <c r="BN16" i="27"/>
  <c r="BO16" i="27"/>
  <c r="BP16" i="27"/>
  <c r="BQ16" i="27"/>
  <c r="BR16" i="27"/>
  <c r="BS16" i="27"/>
  <c r="BT16" i="27"/>
  <c r="BU16" i="27"/>
  <c r="BV16" i="27"/>
  <c r="BW16" i="27"/>
  <c r="BX16" i="27"/>
  <c r="BY16" i="27"/>
  <c r="BZ16" i="27"/>
  <c r="CA16" i="27"/>
  <c r="CB16" i="27"/>
  <c r="CC16" i="27"/>
  <c r="CD16" i="27"/>
  <c r="CE16" i="27"/>
  <c r="CF16" i="27"/>
  <c r="CG16" i="27"/>
  <c r="CH16" i="27"/>
  <c r="CI16" i="27"/>
  <c r="CJ16" i="27"/>
  <c r="CK16" i="27"/>
  <c r="CL16" i="27"/>
  <c r="CM16" i="27"/>
  <c r="CN16" i="27"/>
  <c r="CO16" i="27"/>
  <c r="CP16" i="27"/>
  <c r="CQ16" i="27"/>
  <c r="CR16" i="27"/>
  <c r="CS16" i="27"/>
  <c r="CT16" i="27"/>
  <c r="CU16" i="27"/>
  <c r="CV16" i="27"/>
  <c r="CW16" i="27"/>
  <c r="CX16" i="27"/>
  <c r="CY16" i="27"/>
  <c r="CZ16" i="27"/>
  <c r="DA16" i="27"/>
  <c r="DB16" i="27"/>
  <c r="DC16" i="27"/>
  <c r="DD16" i="27"/>
  <c r="DE16" i="27"/>
  <c r="DF16" i="27"/>
  <c r="DG16" i="27"/>
  <c r="DH16" i="27"/>
  <c r="DI16" i="27"/>
  <c r="DJ16" i="27"/>
  <c r="DK16" i="27"/>
  <c r="DL16" i="27"/>
  <c r="DM16" i="27"/>
  <c r="DN16" i="27"/>
  <c r="DO16" i="27"/>
  <c r="DP16" i="27"/>
  <c r="DQ16" i="27"/>
  <c r="DR16" i="27"/>
  <c r="DS16" i="27"/>
  <c r="DT16" i="27"/>
  <c r="DU16" i="27"/>
  <c r="DV16" i="27"/>
  <c r="DW16" i="27"/>
  <c r="DX16" i="27"/>
  <c r="DY16" i="27"/>
  <c r="DZ16" i="27"/>
  <c r="EA16" i="27"/>
  <c r="EB16" i="27"/>
  <c r="EC16" i="27"/>
  <c r="ED16" i="27"/>
  <c r="EE16" i="27"/>
  <c r="EF16" i="27"/>
  <c r="EG16" i="27"/>
  <c r="EH16" i="27"/>
  <c r="EI16" i="27"/>
  <c r="EJ16" i="27"/>
  <c r="EK16" i="27"/>
  <c r="EL16" i="27"/>
  <c r="EM16" i="27"/>
  <c r="EN16" i="27"/>
  <c r="EO16" i="27"/>
  <c r="EP16" i="27"/>
  <c r="EQ16" i="27"/>
  <c r="ER16" i="27"/>
  <c r="ES16" i="27"/>
  <c r="ET16" i="27"/>
  <c r="EU16" i="27"/>
  <c r="EV16" i="27"/>
  <c r="EW16" i="27"/>
  <c r="EX16" i="27"/>
  <c r="EY16" i="27"/>
  <c r="EZ16" i="27"/>
  <c r="FA16" i="27"/>
  <c r="FB16" i="27"/>
  <c r="FC16" i="27"/>
  <c r="FD16" i="27"/>
  <c r="FE16" i="27"/>
  <c r="FF16" i="27"/>
  <c r="FG16" i="27"/>
  <c r="FH16" i="27"/>
  <c r="FI16" i="27"/>
  <c r="FJ16" i="27"/>
  <c r="FK16" i="27"/>
  <c r="FL16" i="27"/>
  <c r="FM16" i="27"/>
  <c r="FN16" i="27"/>
  <c r="FO16" i="27"/>
  <c r="FP16" i="27"/>
  <c r="FQ16" i="27"/>
  <c r="FR16" i="27"/>
  <c r="FS16" i="27"/>
  <c r="FT16" i="27"/>
  <c r="FU16" i="27"/>
  <c r="FV16" i="27"/>
  <c r="FW16" i="27"/>
  <c r="FX16" i="27"/>
  <c r="FY16" i="27"/>
  <c r="FZ16" i="27"/>
  <c r="GA16" i="27"/>
  <c r="GB16" i="27"/>
  <c r="GC16" i="27"/>
  <c r="GD16" i="27"/>
  <c r="GE16" i="27"/>
  <c r="GF16" i="27"/>
  <c r="GG16" i="27"/>
  <c r="GH16" i="27"/>
  <c r="GI16" i="27"/>
  <c r="GJ16" i="27"/>
  <c r="GK16" i="27"/>
  <c r="GL16" i="27"/>
  <c r="GM16" i="27"/>
  <c r="GN16" i="27"/>
  <c r="GO16" i="27"/>
  <c r="GP16" i="27"/>
  <c r="GQ16" i="27"/>
  <c r="GR16" i="27"/>
  <c r="GS16" i="27"/>
  <c r="GT16" i="27"/>
  <c r="GU16" i="27"/>
  <c r="GV16" i="27"/>
  <c r="GW16" i="27"/>
  <c r="GX16" i="27"/>
  <c r="GY16" i="27"/>
  <c r="GZ16" i="27"/>
  <c r="HA16" i="27"/>
  <c r="HB16" i="27"/>
  <c r="HC16" i="27"/>
  <c r="HD16" i="27"/>
  <c r="HE16" i="27"/>
  <c r="HF16" i="27"/>
  <c r="HG16" i="27"/>
  <c r="HH16" i="27"/>
  <c r="HI16" i="27"/>
  <c r="HJ16" i="27"/>
  <c r="HK16" i="27"/>
  <c r="HL16" i="27"/>
  <c r="HM16" i="27"/>
  <c r="HN16" i="27"/>
  <c r="HO16" i="27"/>
  <c r="HP16" i="27"/>
  <c r="HQ16" i="27"/>
  <c r="HR16" i="27"/>
  <c r="HS16" i="27"/>
  <c r="HT16" i="27"/>
  <c r="HU16" i="27"/>
  <c r="HV16" i="27"/>
  <c r="HW16" i="27"/>
  <c r="HX16" i="27"/>
  <c r="HY16" i="27"/>
  <c r="HZ16" i="27"/>
  <c r="IA16" i="27"/>
  <c r="IB16" i="27"/>
  <c r="IC16" i="27"/>
  <c r="ID16" i="27"/>
  <c r="IE16" i="27"/>
  <c r="IF16" i="27"/>
  <c r="IG16" i="27"/>
  <c r="IH16" i="27"/>
  <c r="II16" i="27"/>
  <c r="IJ16" i="27"/>
  <c r="IK16" i="27"/>
  <c r="IL16" i="27"/>
  <c r="IM16" i="27"/>
  <c r="IN16" i="27"/>
  <c r="IO16" i="27"/>
  <c r="IP16" i="27"/>
  <c r="IQ16" i="27"/>
  <c r="IR16" i="27"/>
  <c r="IS16" i="27"/>
  <c r="IT16" i="27"/>
  <c r="IU16" i="27"/>
  <c r="IV16" i="27"/>
  <c r="A15" i="27"/>
  <c r="B15" i="27"/>
  <c r="C15" i="27"/>
  <c r="D15" i="27"/>
  <c r="E15" i="27"/>
  <c r="F15" i="27"/>
  <c r="G15" i="27"/>
  <c r="H15" i="27"/>
  <c r="I15" i="27"/>
  <c r="J15" i="27"/>
  <c r="K15" i="27"/>
  <c r="L15" i="27"/>
  <c r="M15" i="27"/>
  <c r="N15" i="27"/>
  <c r="O15" i="27"/>
  <c r="P15" i="27"/>
  <c r="Q15" i="27"/>
  <c r="R15" i="27"/>
  <c r="S15" i="27"/>
  <c r="T15" i="27"/>
  <c r="U15" i="27"/>
  <c r="V15" i="27"/>
  <c r="W15" i="27"/>
  <c r="X15" i="27"/>
  <c r="Y15" i="27"/>
  <c r="Z15" i="27"/>
  <c r="AA15" i="27"/>
  <c r="AB15" i="27"/>
  <c r="AC15" i="2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BA15" i="27"/>
  <c r="BB15" i="27"/>
  <c r="BC15" i="27"/>
  <c r="BD15" i="27"/>
  <c r="BE15" i="27"/>
  <c r="BF15" i="27"/>
  <c r="BG15" i="27"/>
  <c r="BH15" i="27"/>
  <c r="BI15" i="27"/>
  <c r="BJ15" i="27"/>
  <c r="BK15" i="27"/>
  <c r="BL15" i="27"/>
  <c r="BM15" i="27"/>
  <c r="BN15" i="27"/>
  <c r="BO15" i="27"/>
  <c r="BP15" i="27"/>
  <c r="BQ15" i="27"/>
  <c r="BR15" i="27"/>
  <c r="BS15" i="27"/>
  <c r="BT15" i="27"/>
  <c r="BU15" i="27"/>
  <c r="BV15" i="27"/>
  <c r="BW15" i="27"/>
  <c r="BX15" i="27"/>
  <c r="BY15" i="27"/>
  <c r="BZ15" i="27"/>
  <c r="CA15" i="27"/>
  <c r="CB15" i="27"/>
  <c r="CC15" i="27"/>
  <c r="CD15" i="27"/>
  <c r="CE15" i="27"/>
  <c r="CF15" i="27"/>
  <c r="CG15" i="27"/>
  <c r="CH15" i="27"/>
  <c r="CI15" i="27"/>
  <c r="CJ15" i="27"/>
  <c r="CK15" i="27"/>
  <c r="CL15" i="27"/>
  <c r="CM15" i="27"/>
  <c r="CN15" i="27"/>
  <c r="CO15" i="27"/>
  <c r="CP15" i="27"/>
  <c r="CQ15" i="27"/>
  <c r="CR15" i="27"/>
  <c r="CS15" i="27"/>
  <c r="CT15" i="27"/>
  <c r="CU15" i="27"/>
  <c r="CV15" i="27"/>
  <c r="CW15" i="27"/>
  <c r="CX15" i="27"/>
  <c r="CY15" i="27"/>
  <c r="CZ15" i="27"/>
  <c r="DA15" i="27"/>
  <c r="DB15" i="27"/>
  <c r="DC15" i="27"/>
  <c r="DD15" i="27"/>
  <c r="DE15" i="27"/>
  <c r="DF15" i="27"/>
  <c r="DG15" i="27"/>
  <c r="DH15" i="27"/>
  <c r="DI15" i="27"/>
  <c r="DJ15" i="27"/>
  <c r="DK15" i="27"/>
  <c r="DL15" i="27"/>
  <c r="DM15" i="27"/>
  <c r="DN15" i="27"/>
  <c r="DO15" i="27"/>
  <c r="DP15" i="27"/>
  <c r="DQ15" i="27"/>
  <c r="DR15" i="27"/>
  <c r="DS15" i="27"/>
  <c r="DT15" i="27"/>
  <c r="DU15" i="27"/>
  <c r="DV15" i="27"/>
  <c r="DW15" i="27"/>
  <c r="DX15" i="27"/>
  <c r="DY15" i="27"/>
  <c r="DZ15" i="27"/>
  <c r="EA15" i="27"/>
  <c r="EB15" i="27"/>
  <c r="EC15" i="27"/>
  <c r="ED15" i="27"/>
  <c r="EE15" i="27"/>
  <c r="EF15" i="27"/>
  <c r="EG15" i="27"/>
  <c r="EH15" i="27"/>
  <c r="EI15" i="27"/>
  <c r="EJ15" i="27"/>
  <c r="EK15" i="27"/>
  <c r="EL15" i="27"/>
  <c r="EM15" i="27"/>
  <c r="EN15" i="27"/>
  <c r="EO15" i="27"/>
  <c r="EP15" i="27"/>
  <c r="EQ15" i="27"/>
  <c r="ER15" i="27"/>
  <c r="ES15" i="27"/>
  <c r="ET15" i="27"/>
  <c r="EU15" i="27"/>
  <c r="EV15" i="27"/>
  <c r="EW15" i="27"/>
  <c r="EX15" i="27"/>
  <c r="EY15" i="27"/>
  <c r="EZ15" i="27"/>
  <c r="FA15" i="27"/>
  <c r="FB15" i="27"/>
  <c r="FC15" i="27"/>
  <c r="FD15" i="27"/>
  <c r="FE15" i="27"/>
  <c r="FF15" i="27"/>
  <c r="FG15" i="27"/>
  <c r="FH15" i="27"/>
  <c r="FI15" i="27"/>
  <c r="FJ15" i="27"/>
  <c r="FK15" i="27"/>
  <c r="FL15" i="27"/>
  <c r="FM15" i="27"/>
  <c r="FN15" i="27"/>
  <c r="FO15" i="27"/>
  <c r="FP15" i="27"/>
  <c r="FQ15" i="27"/>
  <c r="FR15" i="27"/>
  <c r="FS15" i="27"/>
  <c r="FT15" i="27"/>
  <c r="FU15" i="27"/>
  <c r="FV15" i="27"/>
  <c r="FW15" i="27"/>
  <c r="FX15" i="27"/>
  <c r="FY15" i="27"/>
  <c r="FZ15" i="27"/>
  <c r="GA15" i="27"/>
  <c r="GB15" i="27"/>
  <c r="GC15" i="27"/>
  <c r="GD15" i="27"/>
  <c r="GE15" i="27"/>
  <c r="GF15" i="27"/>
  <c r="GG15" i="27"/>
  <c r="GH15" i="27"/>
  <c r="GI15" i="27"/>
  <c r="GJ15" i="27"/>
  <c r="GK15" i="27"/>
  <c r="GL15" i="27"/>
  <c r="GM15" i="27"/>
  <c r="GN15" i="27"/>
  <c r="GO15" i="27"/>
  <c r="GP15" i="27"/>
  <c r="GQ15" i="27"/>
  <c r="GR15" i="27"/>
  <c r="GS15" i="27"/>
  <c r="GT15" i="27"/>
  <c r="GU15" i="27"/>
  <c r="GV15" i="27"/>
  <c r="GW15" i="27"/>
  <c r="GX15" i="27"/>
  <c r="GY15" i="27"/>
  <c r="GZ15" i="27"/>
  <c r="HA15" i="27"/>
  <c r="HB15" i="27"/>
  <c r="HC15" i="27"/>
  <c r="HD15" i="27"/>
  <c r="HE15" i="27"/>
  <c r="HF15" i="27"/>
  <c r="HG15" i="27"/>
  <c r="HH15" i="27"/>
  <c r="HI15" i="27"/>
  <c r="HJ15" i="27"/>
  <c r="HK15" i="27"/>
  <c r="HL15" i="27"/>
  <c r="HM15" i="27"/>
  <c r="HN15" i="27"/>
  <c r="HO15" i="27"/>
  <c r="HP15" i="27"/>
  <c r="HQ15" i="27"/>
  <c r="HR15" i="27"/>
  <c r="HS15" i="27"/>
  <c r="HT15" i="27"/>
  <c r="HU15" i="27"/>
  <c r="HV15" i="27"/>
  <c r="HW15" i="27"/>
  <c r="HX15" i="27"/>
  <c r="HY15" i="27"/>
  <c r="HZ15" i="27"/>
  <c r="IA15" i="27"/>
  <c r="IB15" i="27"/>
  <c r="IC15" i="27"/>
  <c r="ID15" i="27"/>
  <c r="IE15" i="27"/>
  <c r="IF15" i="27"/>
  <c r="IG15" i="27"/>
  <c r="IH15" i="27"/>
  <c r="II15" i="27"/>
  <c r="IJ15" i="27"/>
  <c r="IK15" i="27"/>
  <c r="IL15" i="27"/>
  <c r="IM15" i="27"/>
  <c r="IN15" i="27"/>
  <c r="IO15" i="27"/>
  <c r="IP15" i="27"/>
  <c r="IQ15" i="27"/>
  <c r="IR15" i="27"/>
  <c r="IS15" i="27"/>
  <c r="IT15" i="27"/>
  <c r="IU15" i="27"/>
  <c r="IV15" i="27"/>
  <c r="A14" i="27"/>
  <c r="B14" i="27"/>
  <c r="C14" i="27"/>
  <c r="D14" i="27"/>
  <c r="E14" i="27"/>
  <c r="F14" i="27"/>
  <c r="G14" i="27"/>
  <c r="H14" i="27"/>
  <c r="I14" i="27"/>
  <c r="J14" i="27"/>
  <c r="K14" i="27"/>
  <c r="L14" i="27"/>
  <c r="M14" i="27"/>
  <c r="N14" i="27"/>
  <c r="O14" i="27"/>
  <c r="P14" i="27"/>
  <c r="Q14" i="27"/>
  <c r="R14" i="27"/>
  <c r="S14" i="27"/>
  <c r="T14" i="27"/>
  <c r="U14" i="27"/>
  <c r="V14" i="27"/>
  <c r="W14" i="27"/>
  <c r="X14" i="27"/>
  <c r="Y14" i="27"/>
  <c r="Z14" i="27"/>
  <c r="AA14" i="27"/>
  <c r="AB14" i="27"/>
  <c r="AC14" i="27"/>
  <c r="AD14" i="27"/>
  <c r="AE14" i="27"/>
  <c r="AF14" i="27"/>
  <c r="AG14" i="27"/>
  <c r="AH14" i="27"/>
  <c r="AI14" i="27"/>
  <c r="AJ14" i="27"/>
  <c r="AK14" i="27"/>
  <c r="AL14" i="27"/>
  <c r="AM14" i="27"/>
  <c r="AN14" i="27"/>
  <c r="AO14" i="27"/>
  <c r="AP14" i="27"/>
  <c r="AQ14" i="27"/>
  <c r="AR14" i="27"/>
  <c r="AS14" i="27"/>
  <c r="AT14" i="27"/>
  <c r="AU14" i="27"/>
  <c r="AV14" i="27"/>
  <c r="AW14" i="27"/>
  <c r="AX14" i="27"/>
  <c r="AY14" i="27"/>
  <c r="AZ14" i="27"/>
  <c r="BA14" i="27"/>
  <c r="BB14" i="27"/>
  <c r="BC14" i="27"/>
  <c r="BD14" i="27"/>
  <c r="BE14" i="27"/>
  <c r="BF14" i="27"/>
  <c r="BG14" i="27"/>
  <c r="BH14" i="27"/>
  <c r="BI14" i="27"/>
  <c r="BJ14" i="27"/>
  <c r="BK14" i="27"/>
  <c r="BL14" i="27"/>
  <c r="BM14" i="27"/>
  <c r="BN14" i="27"/>
  <c r="BO14" i="27"/>
  <c r="BP14" i="27"/>
  <c r="BQ14" i="27"/>
  <c r="BR14" i="27"/>
  <c r="BS14" i="27"/>
  <c r="BT14" i="27"/>
  <c r="BU14" i="27"/>
  <c r="BV14" i="27"/>
  <c r="BW14" i="27"/>
  <c r="BX14" i="27"/>
  <c r="BY14" i="27"/>
  <c r="BZ14" i="27"/>
  <c r="CA14" i="27"/>
  <c r="CB14" i="27"/>
  <c r="CC14" i="27"/>
  <c r="CD14" i="27"/>
  <c r="CE14" i="27"/>
  <c r="CF14" i="27"/>
  <c r="CG14" i="27"/>
  <c r="CH14" i="27"/>
  <c r="CI14" i="27"/>
  <c r="CJ14" i="27"/>
  <c r="CK14" i="27"/>
  <c r="CL14" i="27"/>
  <c r="CM14" i="27"/>
  <c r="CN14" i="27"/>
  <c r="CO14" i="27"/>
  <c r="CP14" i="27"/>
  <c r="CQ14" i="27"/>
  <c r="CR14" i="27"/>
  <c r="CS14" i="27"/>
  <c r="CT14" i="27"/>
  <c r="CU14" i="27"/>
  <c r="CV14" i="27"/>
  <c r="CW14" i="27"/>
  <c r="CX14" i="27"/>
  <c r="CY14" i="27"/>
  <c r="CZ14" i="27"/>
  <c r="DA14" i="27"/>
  <c r="DB14" i="27"/>
  <c r="DC14" i="27"/>
  <c r="DD14" i="27"/>
  <c r="DE14" i="27"/>
  <c r="DF14" i="27"/>
  <c r="DG14" i="27"/>
  <c r="DH14" i="27"/>
  <c r="DI14" i="27"/>
  <c r="DJ14" i="27"/>
  <c r="DK14" i="27"/>
  <c r="DL14" i="27"/>
  <c r="DM14" i="27"/>
  <c r="DN14" i="27"/>
  <c r="DO14" i="27"/>
  <c r="DP14" i="27"/>
  <c r="DQ14" i="27"/>
  <c r="DR14" i="27"/>
  <c r="DS14" i="27"/>
  <c r="DT14" i="27"/>
  <c r="DU14" i="27"/>
  <c r="DV14" i="27"/>
  <c r="DW14" i="27"/>
  <c r="DX14" i="27"/>
  <c r="DY14" i="27"/>
  <c r="DZ14" i="27"/>
  <c r="EA14" i="27"/>
  <c r="EB14" i="27"/>
  <c r="EC14" i="27"/>
  <c r="ED14" i="27"/>
  <c r="EE14" i="27"/>
  <c r="EF14" i="27"/>
  <c r="EG14" i="27"/>
  <c r="EH14" i="27"/>
  <c r="EI14" i="27"/>
  <c r="EJ14" i="27"/>
  <c r="EK14" i="27"/>
  <c r="EL14" i="27"/>
  <c r="EM14" i="27"/>
  <c r="EN14" i="27"/>
  <c r="EO14" i="27"/>
  <c r="EP14" i="27"/>
  <c r="EQ14" i="27"/>
  <c r="ER14" i="27"/>
  <c r="ES14" i="27"/>
  <c r="ET14" i="27"/>
  <c r="EU14" i="27"/>
  <c r="EV14" i="27"/>
  <c r="EW14" i="27"/>
  <c r="EX14" i="27"/>
  <c r="EY14" i="27"/>
  <c r="EZ14" i="27"/>
  <c r="FA14" i="27"/>
  <c r="FB14" i="27"/>
  <c r="FC14" i="27"/>
  <c r="FD14" i="27"/>
  <c r="FE14" i="27"/>
  <c r="FF14" i="27"/>
  <c r="FG14" i="27"/>
  <c r="FH14" i="27"/>
  <c r="FI14" i="27"/>
  <c r="FJ14" i="27"/>
  <c r="FK14" i="27"/>
  <c r="FL14" i="27"/>
  <c r="FM14" i="27"/>
  <c r="FN14" i="27"/>
  <c r="FO14" i="27"/>
  <c r="FP14" i="27"/>
  <c r="FQ14" i="27"/>
  <c r="FR14" i="27"/>
  <c r="FS14" i="27"/>
  <c r="FT14" i="27"/>
  <c r="FU14" i="27"/>
  <c r="FV14" i="27"/>
  <c r="FW14" i="27"/>
  <c r="FX14" i="27"/>
  <c r="FY14" i="27"/>
  <c r="FZ14" i="27"/>
  <c r="GA14" i="27"/>
  <c r="GB14" i="27"/>
  <c r="GC14" i="27"/>
  <c r="GD14" i="27"/>
  <c r="GE14" i="27"/>
  <c r="GF14" i="27"/>
  <c r="GG14" i="27"/>
  <c r="GH14" i="27"/>
  <c r="GI14" i="27"/>
  <c r="GJ14" i="27"/>
  <c r="GK14" i="27"/>
  <c r="GL14" i="27"/>
  <c r="GM14" i="27"/>
  <c r="GN14" i="27"/>
  <c r="GO14" i="27"/>
  <c r="GP14" i="27"/>
  <c r="GQ14" i="27"/>
  <c r="GR14" i="27"/>
  <c r="GS14" i="27"/>
  <c r="GT14" i="27"/>
  <c r="GU14" i="27"/>
  <c r="GV14" i="27"/>
  <c r="GW14" i="27"/>
  <c r="GX14" i="27"/>
  <c r="GY14" i="27"/>
  <c r="GZ14" i="27"/>
  <c r="HA14" i="27"/>
  <c r="HB14" i="27"/>
  <c r="HC14" i="27"/>
  <c r="HD14" i="27"/>
  <c r="HE14" i="27"/>
  <c r="HF14" i="27"/>
  <c r="HG14" i="27"/>
  <c r="HH14" i="27"/>
  <c r="HI14" i="27"/>
  <c r="HJ14" i="27"/>
  <c r="HK14" i="27"/>
  <c r="HL14" i="27"/>
  <c r="HM14" i="27"/>
  <c r="HN14" i="27"/>
  <c r="HO14" i="27"/>
  <c r="HP14" i="27"/>
  <c r="HQ14" i="27"/>
  <c r="HR14" i="27"/>
  <c r="HS14" i="27"/>
  <c r="HT14" i="27"/>
  <c r="HU14" i="27"/>
  <c r="HV14" i="27"/>
  <c r="HW14" i="27"/>
  <c r="HX14" i="27"/>
  <c r="HY14" i="27"/>
  <c r="HZ14" i="27"/>
  <c r="IA14" i="27"/>
  <c r="IB14" i="27"/>
  <c r="IC14" i="27"/>
  <c r="ID14" i="27"/>
  <c r="IE14" i="27"/>
  <c r="IF14" i="27"/>
  <c r="IG14" i="27"/>
  <c r="IH14" i="27"/>
  <c r="II14" i="27"/>
  <c r="IJ14" i="27"/>
  <c r="IK14" i="27"/>
  <c r="IL14" i="27"/>
  <c r="IM14" i="27"/>
  <c r="IN14" i="27"/>
  <c r="IO14" i="27"/>
  <c r="IP14" i="27"/>
  <c r="IQ14" i="27"/>
  <c r="IR14" i="27"/>
  <c r="IS14" i="27"/>
  <c r="IT14" i="27"/>
  <c r="IU14" i="27"/>
  <c r="IV14" i="27"/>
  <c r="A13" i="27"/>
  <c r="B13" i="27"/>
  <c r="C13" i="27"/>
  <c r="D13"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AN13" i="27"/>
  <c r="AO13" i="27"/>
  <c r="AP13" i="27"/>
  <c r="AQ13" i="27"/>
  <c r="AR13" i="27"/>
  <c r="AS13" i="27"/>
  <c r="AT13" i="27"/>
  <c r="AU13" i="27"/>
  <c r="AV13" i="27"/>
  <c r="AW13" i="27"/>
  <c r="AX13" i="27"/>
  <c r="AY13" i="27"/>
  <c r="AZ13" i="27"/>
  <c r="BA13" i="27"/>
  <c r="BB13" i="27"/>
  <c r="BC13" i="27"/>
  <c r="BD13" i="27"/>
  <c r="BE13" i="27"/>
  <c r="BF13" i="27"/>
  <c r="BG13" i="27"/>
  <c r="BH13" i="27"/>
  <c r="BI13" i="27"/>
  <c r="BJ13" i="27"/>
  <c r="BK13" i="27"/>
  <c r="BL13" i="27"/>
  <c r="BM13" i="27"/>
  <c r="BN13" i="27"/>
  <c r="BO13" i="27"/>
  <c r="BP13" i="27"/>
  <c r="BQ13" i="27"/>
  <c r="BR13" i="27"/>
  <c r="BS13" i="27"/>
  <c r="BT13" i="27"/>
  <c r="BU13" i="27"/>
  <c r="BV13" i="27"/>
  <c r="BW13" i="27"/>
  <c r="BX13" i="27"/>
  <c r="BY13" i="27"/>
  <c r="BZ13" i="27"/>
  <c r="CA13" i="27"/>
  <c r="CB13" i="27"/>
  <c r="CC13" i="27"/>
  <c r="CD13" i="27"/>
  <c r="CE13" i="27"/>
  <c r="CF13" i="27"/>
  <c r="CG13" i="27"/>
  <c r="CH13" i="27"/>
  <c r="CI13" i="27"/>
  <c r="CJ13" i="27"/>
  <c r="CK13" i="27"/>
  <c r="CL13" i="27"/>
  <c r="CM13" i="27"/>
  <c r="CN13" i="27"/>
  <c r="CO13" i="27"/>
  <c r="CP13" i="27"/>
  <c r="CQ13" i="27"/>
  <c r="CR13" i="27"/>
  <c r="CS13" i="27"/>
  <c r="CT13" i="27"/>
  <c r="CU13" i="27"/>
  <c r="CV13" i="27"/>
  <c r="CW13" i="27"/>
  <c r="CX13" i="27"/>
  <c r="CY13" i="27"/>
  <c r="CZ13" i="27"/>
  <c r="DA13" i="27"/>
  <c r="DB13" i="27"/>
  <c r="DC13" i="27"/>
  <c r="DD13" i="27"/>
  <c r="DE13" i="27"/>
  <c r="DF13" i="27"/>
  <c r="DG13" i="27"/>
  <c r="DH13" i="27"/>
  <c r="DI13" i="27"/>
  <c r="DJ13" i="27"/>
  <c r="DK13" i="27"/>
  <c r="DL13" i="27"/>
  <c r="DM13" i="27"/>
  <c r="DN13" i="27"/>
  <c r="DO13" i="27"/>
  <c r="DP13" i="27"/>
  <c r="DQ13" i="27"/>
  <c r="DR13" i="27"/>
  <c r="DS13" i="27"/>
  <c r="DT13" i="27"/>
  <c r="DU13" i="27"/>
  <c r="DV13" i="27"/>
  <c r="DW13" i="27"/>
  <c r="DX13" i="27"/>
  <c r="DY13" i="27"/>
  <c r="DZ13" i="27"/>
  <c r="EA13" i="27"/>
  <c r="EB13" i="27"/>
  <c r="EC13" i="27"/>
  <c r="ED13" i="27"/>
  <c r="EE13" i="27"/>
  <c r="EF13" i="27"/>
  <c r="EG13" i="27"/>
  <c r="EH13" i="27"/>
  <c r="EI13" i="27"/>
  <c r="EJ13" i="27"/>
  <c r="EK13" i="27"/>
  <c r="EL13" i="27"/>
  <c r="EM13" i="27"/>
  <c r="EN13" i="27"/>
  <c r="EO13" i="27"/>
  <c r="EP13" i="27"/>
  <c r="EQ13" i="27"/>
  <c r="ER13" i="27"/>
  <c r="ES13" i="27"/>
  <c r="ET13" i="27"/>
  <c r="EU13" i="27"/>
  <c r="EV13" i="27"/>
  <c r="EW13" i="27"/>
  <c r="EX13" i="27"/>
  <c r="EY13" i="27"/>
  <c r="EZ13" i="27"/>
  <c r="FA13" i="27"/>
  <c r="FB13" i="27"/>
  <c r="FC13" i="27"/>
  <c r="FD13" i="27"/>
  <c r="FE13" i="27"/>
  <c r="FF13" i="27"/>
  <c r="FG13" i="27"/>
  <c r="FH13" i="27"/>
  <c r="FI13" i="27"/>
  <c r="FJ13" i="27"/>
  <c r="FK13" i="27"/>
  <c r="FL13" i="27"/>
  <c r="FM13" i="27"/>
  <c r="FN13" i="27"/>
  <c r="FO13" i="27"/>
  <c r="FP13" i="27"/>
  <c r="FQ13" i="27"/>
  <c r="FR13" i="27"/>
  <c r="FS13" i="27"/>
  <c r="FT13" i="27"/>
  <c r="FU13" i="27"/>
  <c r="FV13" i="27"/>
  <c r="FW13" i="27"/>
  <c r="FX13" i="27"/>
  <c r="FY13" i="27"/>
  <c r="FZ13" i="27"/>
  <c r="GA13" i="27"/>
  <c r="GB13" i="27"/>
  <c r="GC13" i="27"/>
  <c r="GD13" i="27"/>
  <c r="GE13" i="27"/>
  <c r="GF13" i="27"/>
  <c r="GG13" i="27"/>
  <c r="GH13" i="27"/>
  <c r="GI13" i="27"/>
  <c r="GJ13" i="27"/>
  <c r="GK13" i="27"/>
  <c r="GL13" i="27"/>
  <c r="GM13" i="27"/>
  <c r="GN13" i="27"/>
  <c r="GO13" i="27"/>
  <c r="GP13" i="27"/>
  <c r="GQ13" i="27"/>
  <c r="GR13" i="27"/>
  <c r="GS13" i="27"/>
  <c r="GT13" i="27"/>
  <c r="GU13" i="27"/>
  <c r="GV13" i="27"/>
  <c r="GW13" i="27"/>
  <c r="GX13" i="27"/>
  <c r="GY13" i="27"/>
  <c r="GZ13" i="27"/>
  <c r="HA13" i="27"/>
  <c r="HB13" i="27"/>
  <c r="HC13" i="27"/>
  <c r="HD13" i="27"/>
  <c r="HE13" i="27"/>
  <c r="HF13" i="27"/>
  <c r="HG13" i="27"/>
  <c r="HH13" i="27"/>
  <c r="HI13" i="27"/>
  <c r="HJ13" i="27"/>
  <c r="HK13" i="27"/>
  <c r="HL13" i="27"/>
  <c r="HM13" i="27"/>
  <c r="HN13" i="27"/>
  <c r="HO13" i="27"/>
  <c r="HP13" i="27"/>
  <c r="HQ13" i="27"/>
  <c r="HR13" i="27"/>
  <c r="HS13" i="27"/>
  <c r="HT13" i="27"/>
  <c r="HU13" i="27"/>
  <c r="HV13" i="27"/>
  <c r="HW13" i="27"/>
  <c r="HX13" i="27"/>
  <c r="HY13" i="27"/>
  <c r="HZ13" i="27"/>
  <c r="IA13" i="27"/>
  <c r="IB13" i="27"/>
  <c r="IC13" i="27"/>
  <c r="ID13" i="27"/>
  <c r="IE13" i="27"/>
  <c r="IF13" i="27"/>
  <c r="IG13" i="27"/>
  <c r="IH13" i="27"/>
  <c r="II13" i="27"/>
  <c r="IJ13" i="27"/>
  <c r="IK13" i="27"/>
  <c r="IL13" i="27"/>
  <c r="IM13" i="27"/>
  <c r="IN13" i="27"/>
  <c r="IO13" i="27"/>
  <c r="IP13" i="27"/>
  <c r="IQ13" i="27"/>
  <c r="IR13" i="27"/>
  <c r="IS13" i="27"/>
  <c r="IT13" i="27"/>
  <c r="IU13" i="27"/>
  <c r="IV13" i="27"/>
  <c r="A12" i="27"/>
  <c r="B12" i="27"/>
  <c r="C12" i="27"/>
  <c r="D12" i="27"/>
  <c r="E12" i="27"/>
  <c r="F12" i="27"/>
  <c r="G12" i="27"/>
  <c r="H12" i="27"/>
  <c r="I12" i="27"/>
  <c r="J12" i="27"/>
  <c r="K12" i="27"/>
  <c r="L12" i="27"/>
  <c r="M12" i="27"/>
  <c r="N12" i="27"/>
  <c r="O12" i="27"/>
  <c r="P12" i="27"/>
  <c r="Q12" i="27"/>
  <c r="R12" i="27"/>
  <c r="S12" i="27"/>
  <c r="T12" i="27"/>
  <c r="U12" i="27"/>
  <c r="V12" i="27"/>
  <c r="W12" i="27"/>
  <c r="X12" i="27"/>
  <c r="Y12" i="27"/>
  <c r="Z12" i="27"/>
  <c r="AA12" i="27"/>
  <c r="AB12" i="27"/>
  <c r="AC12" i="2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BA12" i="27"/>
  <c r="BB12" i="27"/>
  <c r="BC12" i="27"/>
  <c r="BD12" i="27"/>
  <c r="BE12" i="27"/>
  <c r="BF12" i="27"/>
  <c r="BG12" i="27"/>
  <c r="BH12" i="27"/>
  <c r="BI12" i="27"/>
  <c r="BJ12" i="27"/>
  <c r="BK12" i="27"/>
  <c r="BL12" i="27"/>
  <c r="BM12" i="27"/>
  <c r="BN12" i="27"/>
  <c r="BO12" i="27"/>
  <c r="BP12" i="27"/>
  <c r="BQ12" i="27"/>
  <c r="BR12" i="27"/>
  <c r="BS12" i="27"/>
  <c r="BT12" i="27"/>
  <c r="BU12" i="27"/>
  <c r="BV12" i="27"/>
  <c r="BW12" i="27"/>
  <c r="BX12" i="27"/>
  <c r="BY12" i="27"/>
  <c r="BZ12" i="27"/>
  <c r="CA12" i="27"/>
  <c r="CB12" i="27"/>
  <c r="CC12" i="27"/>
  <c r="CD12" i="27"/>
  <c r="CE12" i="27"/>
  <c r="CF12" i="27"/>
  <c r="CG12" i="27"/>
  <c r="CH12" i="27"/>
  <c r="CI12" i="27"/>
  <c r="CJ12" i="27"/>
  <c r="CK12" i="27"/>
  <c r="CL12" i="27"/>
  <c r="CM12" i="27"/>
  <c r="CN12" i="27"/>
  <c r="CO12" i="27"/>
  <c r="CP12" i="27"/>
  <c r="CQ12" i="27"/>
  <c r="CR12" i="27"/>
  <c r="CS12" i="27"/>
  <c r="CT12" i="27"/>
  <c r="CU12" i="27"/>
  <c r="CV12" i="27"/>
  <c r="CW12" i="27"/>
  <c r="CX12" i="27"/>
  <c r="CY12" i="27"/>
  <c r="CZ12" i="27"/>
  <c r="DA12" i="27"/>
  <c r="DB12" i="27"/>
  <c r="DC12" i="27"/>
  <c r="DD12" i="27"/>
  <c r="DE12" i="27"/>
  <c r="DF12" i="27"/>
  <c r="DG12" i="27"/>
  <c r="DH12" i="27"/>
  <c r="DI12" i="27"/>
  <c r="DJ12" i="27"/>
  <c r="DK12" i="27"/>
  <c r="DL12" i="27"/>
  <c r="DM12" i="27"/>
  <c r="DN12" i="27"/>
  <c r="DO12" i="27"/>
  <c r="DP12" i="27"/>
  <c r="DQ12" i="27"/>
  <c r="DR12" i="27"/>
  <c r="DS12" i="27"/>
  <c r="DT12" i="27"/>
  <c r="DU12" i="27"/>
  <c r="DV12" i="27"/>
  <c r="DW12" i="27"/>
  <c r="DX12" i="27"/>
  <c r="DY12" i="27"/>
  <c r="DZ12" i="27"/>
  <c r="EA12" i="27"/>
  <c r="EB12" i="27"/>
  <c r="EC12" i="27"/>
  <c r="ED12" i="27"/>
  <c r="EE12" i="27"/>
  <c r="EF12" i="27"/>
  <c r="EG12" i="27"/>
  <c r="EH12" i="27"/>
  <c r="EI12" i="27"/>
  <c r="EJ12" i="27"/>
  <c r="EK12" i="27"/>
  <c r="EL12" i="27"/>
  <c r="EM12" i="27"/>
  <c r="EN12" i="27"/>
  <c r="EO12" i="27"/>
  <c r="EP12" i="27"/>
  <c r="EQ12" i="27"/>
  <c r="ER12" i="27"/>
  <c r="ES12" i="27"/>
  <c r="ET12" i="27"/>
  <c r="EU12" i="27"/>
  <c r="EV12" i="27"/>
  <c r="EW12" i="27"/>
  <c r="EX12" i="27"/>
  <c r="EY12" i="27"/>
  <c r="EZ12" i="27"/>
  <c r="FA12" i="27"/>
  <c r="FB12" i="27"/>
  <c r="FC12" i="27"/>
  <c r="FD12" i="27"/>
  <c r="FE12" i="27"/>
  <c r="FF12" i="27"/>
  <c r="FG12" i="27"/>
  <c r="FH12" i="27"/>
  <c r="FI12" i="27"/>
  <c r="FJ12" i="27"/>
  <c r="FK12" i="27"/>
  <c r="FL12" i="27"/>
  <c r="FM12" i="27"/>
  <c r="FN12" i="27"/>
  <c r="FO12" i="27"/>
  <c r="FP12" i="27"/>
  <c r="FQ12" i="27"/>
  <c r="FR12" i="27"/>
  <c r="FS12" i="27"/>
  <c r="FT12" i="27"/>
  <c r="FU12" i="27"/>
  <c r="FV12" i="27"/>
  <c r="FW12" i="27"/>
  <c r="FX12" i="27"/>
  <c r="FY12" i="27"/>
  <c r="FZ12" i="27"/>
  <c r="GA12" i="27"/>
  <c r="GB12" i="27"/>
  <c r="GC12" i="27"/>
  <c r="GD12" i="27"/>
  <c r="GE12" i="27"/>
  <c r="GF12" i="27"/>
  <c r="GG12" i="27"/>
  <c r="GH12" i="27"/>
  <c r="GI12" i="27"/>
  <c r="GJ12" i="27"/>
  <c r="GK12" i="27"/>
  <c r="GL12" i="27"/>
  <c r="GM12" i="27"/>
  <c r="GN12" i="27"/>
  <c r="GO12" i="27"/>
  <c r="GP12" i="27"/>
  <c r="GQ12" i="27"/>
  <c r="GR12" i="27"/>
  <c r="GS12" i="27"/>
  <c r="GT12" i="27"/>
  <c r="GU12" i="27"/>
  <c r="GV12" i="27"/>
  <c r="GW12" i="27"/>
  <c r="GX12" i="27"/>
  <c r="GY12" i="27"/>
  <c r="GZ12" i="27"/>
  <c r="HA12" i="27"/>
  <c r="HB12" i="27"/>
  <c r="HC12" i="27"/>
  <c r="HD12" i="27"/>
  <c r="HE12" i="27"/>
  <c r="HF12" i="27"/>
  <c r="HG12" i="27"/>
  <c r="HH12" i="27"/>
  <c r="HI12" i="27"/>
  <c r="HJ12" i="27"/>
  <c r="HK12" i="27"/>
  <c r="HL12" i="27"/>
  <c r="HM12" i="27"/>
  <c r="HN12" i="27"/>
  <c r="HO12" i="27"/>
  <c r="HP12" i="27"/>
  <c r="HQ12" i="27"/>
  <c r="HR12" i="27"/>
  <c r="HS12" i="27"/>
  <c r="HT12" i="27"/>
  <c r="HU12" i="27"/>
  <c r="HV12" i="27"/>
  <c r="HW12" i="27"/>
  <c r="HX12" i="27"/>
  <c r="HY12" i="27"/>
  <c r="HZ12" i="27"/>
  <c r="IA12" i="27"/>
  <c r="IB12" i="27"/>
  <c r="IC12" i="27"/>
  <c r="ID12" i="27"/>
  <c r="IE12" i="27"/>
  <c r="IF12" i="27"/>
  <c r="IG12" i="27"/>
  <c r="IH12" i="27"/>
  <c r="II12" i="27"/>
  <c r="IJ12" i="27"/>
  <c r="IK12" i="27"/>
  <c r="IL12" i="27"/>
  <c r="IM12" i="27"/>
  <c r="IN12" i="27"/>
  <c r="IO12" i="27"/>
  <c r="IP12" i="27"/>
  <c r="IQ12" i="27"/>
  <c r="IR12" i="27"/>
  <c r="IS12" i="27"/>
  <c r="IT12" i="27"/>
  <c r="IU12" i="27"/>
  <c r="IV12" i="27"/>
  <c r="A11" i="27"/>
  <c r="B11" i="27"/>
  <c r="C11" i="27"/>
  <c r="D11" i="27"/>
  <c r="E11" i="27"/>
  <c r="F11" i="27"/>
  <c r="G11" i="27"/>
  <c r="H11" i="27"/>
  <c r="I11" i="27"/>
  <c r="J11" i="27"/>
  <c r="K11" i="27"/>
  <c r="L11" i="27"/>
  <c r="M11" i="27"/>
  <c r="N11" i="27"/>
  <c r="O11" i="27"/>
  <c r="P11" i="27"/>
  <c r="Q11" i="27"/>
  <c r="R11" i="27"/>
  <c r="S11" i="27"/>
  <c r="T11" i="27"/>
  <c r="U11" i="27"/>
  <c r="V11" i="27"/>
  <c r="W11" i="27"/>
  <c r="X11" i="27"/>
  <c r="Y11" i="27"/>
  <c r="Z11" i="27"/>
  <c r="AA11" i="27"/>
  <c r="AB11" i="27"/>
  <c r="AC11" i="27"/>
  <c r="AD11" i="27"/>
  <c r="AE11" i="27"/>
  <c r="AF11" i="27"/>
  <c r="AG11" i="27"/>
  <c r="AH11" i="27"/>
  <c r="AI11" i="27"/>
  <c r="AJ11" i="27"/>
  <c r="AK11" i="27"/>
  <c r="AL11" i="27"/>
  <c r="AM11" i="27"/>
  <c r="AN11" i="27"/>
  <c r="AO11" i="27"/>
  <c r="AP11" i="27"/>
  <c r="AQ11" i="27"/>
  <c r="AR11" i="27"/>
  <c r="AS11" i="27"/>
  <c r="AT11" i="27"/>
  <c r="AU11" i="27"/>
  <c r="AV11" i="27"/>
  <c r="AW11" i="27"/>
  <c r="AX11" i="27"/>
  <c r="AY11" i="27"/>
  <c r="AZ11" i="27"/>
  <c r="BA11" i="27"/>
  <c r="BB11" i="27"/>
  <c r="BC11" i="27"/>
  <c r="BD11" i="27"/>
  <c r="BE11" i="27"/>
  <c r="BF11" i="27"/>
  <c r="BG11" i="27"/>
  <c r="BH11" i="27"/>
  <c r="BI11" i="27"/>
  <c r="BJ11" i="27"/>
  <c r="BK11" i="27"/>
  <c r="BL11" i="27"/>
  <c r="BM11" i="27"/>
  <c r="BN11" i="27"/>
  <c r="BO11" i="27"/>
  <c r="BP11" i="27"/>
  <c r="BQ11" i="27"/>
  <c r="BR11" i="27"/>
  <c r="BS11" i="27"/>
  <c r="BT11" i="27"/>
  <c r="BU11" i="27"/>
  <c r="BV11" i="27"/>
  <c r="BW11" i="27"/>
  <c r="BX11" i="27"/>
  <c r="BY11" i="27"/>
  <c r="BZ11" i="27"/>
  <c r="CA11" i="27"/>
  <c r="CB11" i="27"/>
  <c r="CC11" i="27"/>
  <c r="CD11" i="27"/>
  <c r="CE11" i="27"/>
  <c r="CF11" i="27"/>
  <c r="CG11" i="27"/>
  <c r="CH11" i="27"/>
  <c r="CI11" i="27"/>
  <c r="CJ11" i="27"/>
  <c r="CK11" i="27"/>
  <c r="CL11" i="27"/>
  <c r="CM11" i="27"/>
  <c r="CN11" i="27"/>
  <c r="CO11" i="27"/>
  <c r="CP11" i="27"/>
  <c r="CQ11" i="27"/>
  <c r="CR11" i="27"/>
  <c r="CS11" i="27"/>
  <c r="CT11" i="27"/>
  <c r="CU11" i="27"/>
  <c r="CV11" i="27"/>
  <c r="CW11" i="27"/>
  <c r="CX11" i="27"/>
  <c r="CY11" i="27"/>
  <c r="CZ11" i="27"/>
  <c r="DA11" i="27"/>
  <c r="DB11" i="27"/>
  <c r="DC11" i="27"/>
  <c r="DD11" i="27"/>
  <c r="DE11" i="27"/>
  <c r="DF11" i="27"/>
  <c r="DG11" i="27"/>
  <c r="DH11" i="27"/>
  <c r="DI11" i="27"/>
  <c r="DJ11" i="27"/>
  <c r="DK11" i="27"/>
  <c r="DL11" i="27"/>
  <c r="DM11" i="27"/>
  <c r="DN11" i="27"/>
  <c r="DO11" i="27"/>
  <c r="DP11" i="27"/>
  <c r="DQ11" i="27"/>
  <c r="DR11" i="27"/>
  <c r="DS11" i="27"/>
  <c r="DT11" i="27"/>
  <c r="DU11" i="27"/>
  <c r="DV11" i="27"/>
  <c r="DW11" i="27"/>
  <c r="DX11" i="27"/>
  <c r="DY11" i="27"/>
  <c r="DZ11" i="27"/>
  <c r="EA11" i="27"/>
  <c r="EB11" i="27"/>
  <c r="EC11" i="27"/>
  <c r="ED11" i="27"/>
  <c r="EE11" i="27"/>
  <c r="EF11" i="27"/>
  <c r="EG11" i="27"/>
  <c r="EH11" i="27"/>
  <c r="EI11" i="27"/>
  <c r="EJ11" i="27"/>
  <c r="EK11" i="27"/>
  <c r="EL11" i="27"/>
  <c r="EM11" i="27"/>
  <c r="EN11" i="27"/>
  <c r="EO11" i="27"/>
  <c r="EP11" i="27"/>
  <c r="EQ11" i="27"/>
  <c r="ER11" i="27"/>
  <c r="ES11" i="27"/>
  <c r="ET11" i="27"/>
  <c r="EU11" i="27"/>
  <c r="EV11" i="27"/>
  <c r="EW11" i="27"/>
  <c r="EX11" i="27"/>
  <c r="EY11" i="27"/>
  <c r="EZ11" i="27"/>
  <c r="FA11" i="27"/>
  <c r="FB11" i="27"/>
  <c r="FC11" i="27"/>
  <c r="FD11" i="27"/>
  <c r="FE11" i="27"/>
  <c r="FF11" i="27"/>
  <c r="FG11" i="27"/>
  <c r="FH11" i="27"/>
  <c r="FI11" i="27"/>
  <c r="FJ11" i="27"/>
  <c r="FK11" i="27"/>
  <c r="FL11" i="27"/>
  <c r="FM11" i="27"/>
  <c r="FN11" i="27"/>
  <c r="FO11" i="27"/>
  <c r="FP11" i="27"/>
  <c r="FQ11" i="27"/>
  <c r="FR11" i="27"/>
  <c r="FS11" i="27"/>
  <c r="FT11" i="27"/>
  <c r="FU11" i="27"/>
  <c r="FV11" i="27"/>
  <c r="FW11" i="27"/>
  <c r="FX11" i="27"/>
  <c r="FY11" i="27"/>
  <c r="FZ11" i="27"/>
  <c r="GA11" i="27"/>
  <c r="GB11" i="27"/>
  <c r="GC11" i="27"/>
  <c r="GD11" i="27"/>
  <c r="GE11" i="27"/>
  <c r="GF11" i="27"/>
  <c r="GG11" i="27"/>
  <c r="GH11" i="27"/>
  <c r="GI11" i="27"/>
  <c r="GJ11" i="27"/>
  <c r="GK11" i="27"/>
  <c r="GL11" i="27"/>
  <c r="GM11" i="27"/>
  <c r="GN11" i="27"/>
  <c r="GO11" i="27"/>
  <c r="GP11" i="27"/>
  <c r="GQ11" i="27"/>
  <c r="GR11" i="27"/>
  <c r="GS11" i="27"/>
  <c r="GT11" i="27"/>
  <c r="GU11" i="27"/>
  <c r="GV11" i="27"/>
  <c r="GW11" i="27"/>
  <c r="GX11" i="27"/>
  <c r="GY11" i="27"/>
  <c r="GZ11" i="27"/>
  <c r="HA11" i="27"/>
  <c r="HB11" i="27"/>
  <c r="HC11" i="27"/>
  <c r="HD11" i="27"/>
  <c r="HE11" i="27"/>
  <c r="HF11" i="27"/>
  <c r="HG11" i="27"/>
  <c r="HH11" i="27"/>
  <c r="HI11" i="27"/>
  <c r="HJ11" i="27"/>
  <c r="HK11" i="27"/>
  <c r="HL11" i="27"/>
  <c r="HM11" i="27"/>
  <c r="HN11" i="27"/>
  <c r="HO11" i="27"/>
  <c r="HP11" i="27"/>
  <c r="HQ11" i="27"/>
  <c r="HR11" i="27"/>
  <c r="HS11" i="27"/>
  <c r="HT11" i="27"/>
  <c r="HU11" i="27"/>
  <c r="HV11" i="27"/>
  <c r="HW11" i="27"/>
  <c r="HX11" i="27"/>
  <c r="HY11" i="27"/>
  <c r="HZ11" i="27"/>
  <c r="IA11" i="27"/>
  <c r="IB11" i="27"/>
  <c r="IC11" i="27"/>
  <c r="ID11" i="27"/>
  <c r="IE11" i="27"/>
  <c r="IF11" i="27"/>
  <c r="IG11" i="27"/>
  <c r="II11" i="27"/>
  <c r="IJ11" i="27"/>
  <c r="IL11" i="27"/>
  <c r="IM11" i="27"/>
  <c r="IN11" i="27"/>
  <c r="IO11" i="27"/>
  <c r="IP11" i="27"/>
  <c r="IQ11" i="27"/>
  <c r="IR11" i="27"/>
  <c r="IS11" i="27"/>
  <c r="IT11" i="27"/>
  <c r="IU11" i="27"/>
  <c r="IV11" i="27"/>
  <c r="A10" i="27"/>
  <c r="B10" i="27"/>
  <c r="C10" i="27"/>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BT10" i="27"/>
  <c r="BU10" i="27"/>
  <c r="BV10" i="27"/>
  <c r="BW10" i="27"/>
  <c r="BX10" i="27"/>
  <c r="BY10" i="27"/>
  <c r="BZ10" i="27"/>
  <c r="CA10" i="27"/>
  <c r="CB10" i="27"/>
  <c r="CC10" i="27"/>
  <c r="CD10" i="27"/>
  <c r="CE10" i="27"/>
  <c r="CF10" i="27"/>
  <c r="CG10" i="27"/>
  <c r="CH10" i="27"/>
  <c r="CI10" i="27"/>
  <c r="CJ10" i="27"/>
  <c r="CK10" i="27"/>
  <c r="CL10" i="27"/>
  <c r="CM10" i="27"/>
  <c r="CN10" i="27"/>
  <c r="CO10" i="27"/>
  <c r="CP10" i="27"/>
  <c r="CQ10" i="27"/>
  <c r="CR10" i="27"/>
  <c r="CS10" i="27"/>
  <c r="CT10" i="27"/>
  <c r="CU10" i="27"/>
  <c r="CV10" i="27"/>
  <c r="CW10" i="27"/>
  <c r="CX10" i="27"/>
  <c r="CY10" i="27"/>
  <c r="CZ10" i="27"/>
  <c r="DA10" i="27"/>
  <c r="DB10" i="27"/>
  <c r="DC10" i="27"/>
  <c r="DD10" i="27"/>
  <c r="DE10" i="27"/>
  <c r="DF10" i="27"/>
  <c r="DG10" i="27"/>
  <c r="DH10" i="27"/>
  <c r="DI10" i="27"/>
  <c r="DJ10" i="27"/>
  <c r="DK10" i="27"/>
  <c r="DL10" i="27"/>
  <c r="DM10" i="27"/>
  <c r="DN10" i="27"/>
  <c r="DO10" i="27"/>
  <c r="DP10" i="27"/>
  <c r="DQ10" i="27"/>
  <c r="DR10" i="27"/>
  <c r="DS10" i="27"/>
  <c r="DT10" i="27"/>
  <c r="DU10" i="27"/>
  <c r="DV10" i="27"/>
  <c r="DW10" i="27"/>
  <c r="DX10" i="27"/>
  <c r="DY10" i="27"/>
  <c r="DZ10" i="27"/>
  <c r="EA10" i="27"/>
  <c r="EB10" i="27"/>
  <c r="EC10" i="27"/>
  <c r="ED10" i="27"/>
  <c r="EE10" i="27"/>
  <c r="EF10" i="27"/>
  <c r="EG10" i="27"/>
  <c r="EH10" i="27"/>
  <c r="EI10" i="27"/>
  <c r="EJ10" i="27"/>
  <c r="EK10" i="27"/>
  <c r="EL10" i="27"/>
  <c r="EM10" i="27"/>
  <c r="EN10" i="27"/>
  <c r="EO10" i="27"/>
  <c r="EP10" i="27"/>
  <c r="EQ10" i="27"/>
  <c r="ER10" i="27"/>
  <c r="ES10" i="27"/>
  <c r="ET10" i="27"/>
  <c r="EU10" i="27"/>
  <c r="EV10" i="27"/>
  <c r="EW10" i="27"/>
  <c r="EX10" i="27"/>
  <c r="EY10" i="27"/>
  <c r="EZ10" i="27"/>
  <c r="FA10" i="27"/>
  <c r="FB10" i="27"/>
  <c r="FC10" i="27"/>
  <c r="FD10" i="27"/>
  <c r="FE10" i="27"/>
  <c r="FF10" i="27"/>
  <c r="FG10" i="27"/>
  <c r="FH10" i="27"/>
  <c r="FI10" i="27"/>
  <c r="FJ10" i="27"/>
  <c r="FK10" i="27"/>
  <c r="FL10" i="27"/>
  <c r="FM10" i="27"/>
  <c r="FN10" i="27"/>
  <c r="FO10" i="27"/>
  <c r="FP10" i="27"/>
  <c r="FQ10" i="27"/>
  <c r="FR10" i="27"/>
  <c r="FS10" i="27"/>
  <c r="FT10" i="27"/>
  <c r="FU10" i="27"/>
  <c r="FV10" i="27"/>
  <c r="FW10" i="27"/>
  <c r="FX10" i="27"/>
  <c r="FY10" i="27"/>
  <c r="FZ10" i="27"/>
  <c r="GA10" i="27"/>
  <c r="GB10" i="27"/>
  <c r="GC10" i="27"/>
  <c r="GD10" i="27"/>
  <c r="GE10" i="27"/>
  <c r="GF10" i="27"/>
  <c r="GG10" i="27"/>
  <c r="GH10" i="27"/>
  <c r="GI10" i="27"/>
  <c r="GJ10" i="27"/>
  <c r="GK10" i="27"/>
  <c r="GL10" i="27"/>
  <c r="GM10" i="27"/>
  <c r="GN10" i="27"/>
  <c r="GO10" i="27"/>
  <c r="GP10" i="27"/>
  <c r="GQ10" i="27"/>
  <c r="GR10" i="27"/>
  <c r="GS10" i="27"/>
  <c r="GT10" i="27"/>
  <c r="GU10" i="27"/>
  <c r="GV10" i="27"/>
  <c r="GW10" i="27"/>
  <c r="GX10" i="27"/>
  <c r="GY10" i="27"/>
  <c r="GZ10" i="27"/>
  <c r="HA10" i="27"/>
  <c r="HB10" i="27"/>
  <c r="HC10" i="27"/>
  <c r="HD10" i="27"/>
  <c r="HE10" i="27"/>
  <c r="HF10" i="27"/>
  <c r="HG10" i="27"/>
  <c r="HH10" i="27"/>
  <c r="HI10" i="27"/>
  <c r="HJ10" i="27"/>
  <c r="HK10" i="27"/>
  <c r="HL10" i="27"/>
  <c r="HM10" i="27"/>
  <c r="HN10" i="27"/>
  <c r="HO10" i="27"/>
  <c r="HP10" i="27"/>
  <c r="HQ10" i="27"/>
  <c r="HR10" i="27"/>
  <c r="HS10" i="27"/>
  <c r="HT10" i="27"/>
  <c r="HU10" i="27"/>
  <c r="HV10" i="27"/>
  <c r="HW10" i="27"/>
  <c r="HX10" i="27"/>
  <c r="HY10" i="27"/>
  <c r="HZ10" i="27"/>
  <c r="IA10" i="27"/>
  <c r="IB10" i="27"/>
  <c r="IC10" i="27"/>
  <c r="ID10" i="27"/>
  <c r="IE10" i="27"/>
  <c r="IF10" i="27"/>
  <c r="IG10" i="27"/>
  <c r="IH10" i="27"/>
  <c r="II10" i="27"/>
  <c r="IJ10" i="27"/>
  <c r="IK10" i="27"/>
  <c r="IL10" i="27"/>
  <c r="IM10" i="27"/>
  <c r="IN10" i="27"/>
  <c r="IO10" i="27"/>
  <c r="IP10" i="27"/>
  <c r="IQ10" i="27"/>
  <c r="IR10" i="27"/>
  <c r="IS10" i="27"/>
  <c r="IT10" i="27"/>
  <c r="IU10" i="27"/>
  <c r="IV10" i="27"/>
  <c r="A9" i="27"/>
  <c r="B9" i="27"/>
  <c r="E9" i="27"/>
  <c r="F9" i="27"/>
  <c r="G9" i="27"/>
  <c r="J9" i="27"/>
  <c r="K9" i="27"/>
  <c r="L9" i="27"/>
  <c r="M9" i="27"/>
  <c r="N9" i="27"/>
  <c r="O9" i="27"/>
  <c r="P9" i="27"/>
  <c r="Q9" i="27"/>
  <c r="R9" i="27"/>
  <c r="S9" i="27"/>
  <c r="T9" i="27"/>
  <c r="U9" i="27"/>
  <c r="V9" i="27"/>
  <c r="W9" i="27"/>
  <c r="X9" i="27"/>
  <c r="Y9" i="27"/>
  <c r="Z9" i="27"/>
  <c r="AA9" i="27"/>
  <c r="AB9" i="27"/>
  <c r="AC9" i="27"/>
  <c r="AD9" i="27"/>
  <c r="AE9" i="27"/>
  <c r="AF9" i="27"/>
  <c r="AG9" i="27"/>
  <c r="AH9" i="27"/>
  <c r="AI9" i="27"/>
  <c r="AJ9" i="27"/>
  <c r="AK9" i="27"/>
  <c r="AL9" i="27"/>
  <c r="AM9" i="27"/>
  <c r="AN9" i="27"/>
  <c r="AO9" i="27"/>
  <c r="AP9" i="27"/>
  <c r="AQ9" i="27"/>
  <c r="AR9" i="27"/>
  <c r="AS9" i="27"/>
  <c r="AT9" i="27"/>
  <c r="AU9" i="27"/>
  <c r="AV9" i="27"/>
  <c r="AW9" i="27"/>
  <c r="AX9" i="27"/>
  <c r="AY9" i="27"/>
  <c r="AZ9" i="27"/>
  <c r="BA9" i="27"/>
  <c r="BB9" i="27"/>
  <c r="BC9" i="27"/>
  <c r="BD9" i="27"/>
  <c r="BE9" i="27"/>
  <c r="BF9" i="27"/>
  <c r="BG9" i="27"/>
  <c r="BH9" i="27"/>
  <c r="BI9" i="27"/>
  <c r="BJ9" i="27"/>
  <c r="BK9" i="27"/>
  <c r="BL9" i="27"/>
  <c r="BM9" i="27"/>
  <c r="BN9" i="27"/>
  <c r="BO9" i="27"/>
  <c r="BP9" i="27"/>
  <c r="BQ9" i="27"/>
  <c r="BR9" i="27"/>
  <c r="BS9" i="27"/>
  <c r="BT9" i="27"/>
  <c r="BU9" i="27"/>
  <c r="BV9" i="27"/>
  <c r="BW9" i="27"/>
  <c r="BX9" i="27"/>
  <c r="BY9" i="27"/>
  <c r="BZ9" i="27"/>
  <c r="CA9" i="27"/>
  <c r="CB9" i="27"/>
  <c r="CC9" i="27"/>
  <c r="CD9" i="27"/>
  <c r="CE9" i="27"/>
  <c r="CF9" i="27"/>
  <c r="CG9" i="27"/>
  <c r="CH9" i="27"/>
  <c r="CI9" i="27"/>
  <c r="CJ9" i="27"/>
  <c r="CK9" i="27"/>
  <c r="CL9" i="27"/>
  <c r="CM9" i="27"/>
  <c r="CN9" i="27"/>
  <c r="CO9" i="27"/>
  <c r="CP9" i="27"/>
  <c r="CQ9" i="27"/>
  <c r="CR9" i="27"/>
  <c r="CS9" i="27"/>
  <c r="CT9" i="27"/>
  <c r="CU9" i="27"/>
  <c r="CV9" i="27"/>
  <c r="CW9" i="27"/>
  <c r="CX9" i="27"/>
  <c r="CY9" i="27"/>
  <c r="CZ9" i="27"/>
  <c r="DA9" i="27"/>
  <c r="DB9" i="27"/>
  <c r="DC9" i="27"/>
  <c r="DD9" i="27"/>
  <c r="DE9" i="27"/>
  <c r="DF9" i="27"/>
  <c r="DG9" i="27"/>
  <c r="DH9" i="27"/>
  <c r="DI9" i="27"/>
  <c r="DJ9" i="27"/>
  <c r="DK9" i="27"/>
  <c r="DL9" i="27"/>
  <c r="DM9" i="27"/>
  <c r="DN9" i="27"/>
  <c r="DO9" i="27"/>
  <c r="DP9" i="27"/>
  <c r="DQ9" i="27"/>
  <c r="DR9" i="27"/>
  <c r="DS9" i="27"/>
  <c r="DT9" i="27"/>
  <c r="DU9" i="27"/>
  <c r="DV9" i="27"/>
  <c r="DW9" i="27"/>
  <c r="DX9" i="27"/>
  <c r="DY9" i="27"/>
  <c r="DZ9" i="27"/>
  <c r="EA9" i="27"/>
  <c r="EB9" i="27"/>
  <c r="EC9" i="27"/>
  <c r="ED9" i="27"/>
  <c r="EE9" i="27"/>
  <c r="EF9" i="27"/>
  <c r="EG9" i="27"/>
  <c r="EH9" i="27"/>
  <c r="EI9" i="27"/>
  <c r="EJ9" i="27"/>
  <c r="EK9" i="27"/>
  <c r="EL9" i="27"/>
  <c r="EM9" i="27"/>
  <c r="EN9" i="27"/>
  <c r="EO9" i="27"/>
  <c r="EP9" i="27"/>
  <c r="EQ9" i="27"/>
  <c r="ER9" i="27"/>
  <c r="ES9" i="27"/>
  <c r="ET9" i="27"/>
  <c r="EU9" i="27"/>
  <c r="EV9" i="27"/>
  <c r="EW9" i="27"/>
  <c r="EX9" i="27"/>
  <c r="EY9" i="27"/>
  <c r="EZ9" i="27"/>
  <c r="FA9" i="27"/>
  <c r="FB9" i="27"/>
  <c r="FC9" i="27"/>
  <c r="FD9" i="27"/>
  <c r="FE9" i="27"/>
  <c r="FF9" i="27"/>
  <c r="FG9" i="27"/>
  <c r="FH9" i="27"/>
  <c r="FI9" i="27"/>
  <c r="FJ9" i="27"/>
  <c r="FK9" i="27"/>
  <c r="FL9" i="27"/>
  <c r="FM9" i="27"/>
  <c r="FN9" i="27"/>
  <c r="FO9" i="27"/>
  <c r="FP9" i="27"/>
  <c r="FQ9" i="27"/>
  <c r="FR9" i="27"/>
  <c r="FS9" i="27"/>
  <c r="FT9" i="27"/>
  <c r="FU9" i="27"/>
  <c r="FV9" i="27"/>
  <c r="FW9" i="27"/>
  <c r="FX9" i="27"/>
  <c r="FY9" i="27"/>
  <c r="FZ9" i="27"/>
  <c r="GA9" i="27"/>
  <c r="GB9" i="27"/>
  <c r="GC9" i="27"/>
  <c r="GD9" i="27"/>
  <c r="GE9" i="27"/>
  <c r="GF9" i="27"/>
  <c r="GG9" i="27"/>
  <c r="GH9" i="27"/>
  <c r="GI9" i="27"/>
  <c r="GJ9" i="27"/>
  <c r="GK9" i="27"/>
  <c r="GL9" i="27"/>
  <c r="GM9" i="27"/>
  <c r="GN9" i="27"/>
  <c r="GO9" i="27"/>
  <c r="GP9" i="27"/>
  <c r="GQ9" i="27"/>
  <c r="GR9" i="27"/>
  <c r="GS9" i="27"/>
  <c r="GT9" i="27"/>
  <c r="GU9" i="27"/>
  <c r="GV9" i="27"/>
  <c r="GW9" i="27"/>
  <c r="GX9" i="27"/>
  <c r="GY9" i="27"/>
  <c r="GZ9" i="27"/>
  <c r="HA9" i="27"/>
  <c r="HB9" i="27"/>
  <c r="HC9" i="27"/>
  <c r="HD9" i="27"/>
  <c r="HE9" i="27"/>
  <c r="HF9" i="27"/>
  <c r="HG9" i="27"/>
  <c r="HH9" i="27"/>
  <c r="HI9" i="27"/>
  <c r="HJ9" i="27"/>
  <c r="HK9" i="27"/>
  <c r="HL9" i="27"/>
  <c r="HM9" i="27"/>
  <c r="HN9" i="27"/>
  <c r="HO9" i="27"/>
  <c r="HP9" i="27"/>
  <c r="HQ9" i="27"/>
  <c r="HR9" i="27"/>
  <c r="HS9" i="27"/>
  <c r="HT9" i="27"/>
  <c r="HU9" i="27"/>
  <c r="HV9" i="27"/>
  <c r="HW9" i="27"/>
  <c r="HX9" i="27"/>
  <c r="HY9" i="27"/>
  <c r="HZ9" i="27"/>
  <c r="IA9" i="27"/>
  <c r="IB9" i="27"/>
  <c r="IC9" i="27"/>
  <c r="ID9" i="27"/>
  <c r="IE9" i="27"/>
  <c r="IF9" i="27"/>
  <c r="IG9" i="27"/>
  <c r="IH9" i="27"/>
  <c r="II9" i="27"/>
  <c r="IJ9" i="27"/>
  <c r="IK9" i="27"/>
  <c r="IL9" i="27"/>
  <c r="IM9" i="27"/>
  <c r="IN9" i="27"/>
  <c r="IO9" i="27"/>
  <c r="IP9" i="27"/>
  <c r="IQ9" i="27"/>
  <c r="IR9" i="27"/>
  <c r="IS9" i="27"/>
  <c r="IT9" i="27"/>
  <c r="IU9" i="27"/>
  <c r="IV9" i="27"/>
  <c r="A8" i="27"/>
  <c r="B8" i="27"/>
  <c r="C8" i="27"/>
  <c r="D8" i="27"/>
  <c r="E8" i="27"/>
  <c r="F8" i="27"/>
  <c r="G8" i="27"/>
  <c r="H8" i="27"/>
  <c r="I8" i="27"/>
  <c r="J8" i="27"/>
  <c r="K8" i="27"/>
  <c r="L8" i="27"/>
  <c r="M8" i="27"/>
  <c r="N8" i="27"/>
  <c r="O8" i="27"/>
  <c r="P8" i="27"/>
  <c r="Q8" i="27"/>
  <c r="R8" i="27"/>
  <c r="S8" i="27"/>
  <c r="T8" i="27"/>
  <c r="U8" i="27"/>
  <c r="V8" i="27"/>
  <c r="W8" i="27"/>
  <c r="X8" i="27"/>
  <c r="Y8" i="27"/>
  <c r="Z8" i="27"/>
  <c r="AA8" i="27"/>
  <c r="AB8" i="27"/>
  <c r="AC8" i="27"/>
  <c r="AD8" i="27"/>
  <c r="AE8" i="27"/>
  <c r="AF8" i="27"/>
  <c r="AG8" i="27"/>
  <c r="AH8" i="27"/>
  <c r="AI8" i="27"/>
  <c r="AJ8" i="27"/>
  <c r="AK8" i="27"/>
  <c r="AL8" i="27"/>
  <c r="AM8" i="27"/>
  <c r="AN8" i="27"/>
  <c r="AO8" i="27"/>
  <c r="AP8" i="27"/>
  <c r="AQ8" i="27"/>
  <c r="AR8" i="27"/>
  <c r="AS8" i="27"/>
  <c r="AT8" i="27"/>
  <c r="AU8" i="27"/>
  <c r="AV8" i="27"/>
  <c r="AW8" i="27"/>
  <c r="AX8" i="27"/>
  <c r="AY8" i="27"/>
  <c r="AZ8" i="27"/>
  <c r="BA8" i="27"/>
  <c r="BB8" i="27"/>
  <c r="BC8" i="27"/>
  <c r="BD8" i="27"/>
  <c r="BE8" i="27"/>
  <c r="BF8" i="27"/>
  <c r="BG8" i="27"/>
  <c r="BH8" i="27"/>
  <c r="BI8" i="27"/>
  <c r="BJ8" i="27"/>
  <c r="BK8" i="27"/>
  <c r="BL8" i="27"/>
  <c r="BM8" i="27"/>
  <c r="BN8" i="27"/>
  <c r="BO8" i="27"/>
  <c r="BP8" i="27"/>
  <c r="BQ8" i="27"/>
  <c r="BR8" i="27"/>
  <c r="BS8" i="27"/>
  <c r="BT8" i="27"/>
  <c r="BU8" i="27"/>
  <c r="BV8" i="27"/>
  <c r="BW8" i="27"/>
  <c r="BX8" i="27"/>
  <c r="BY8" i="27"/>
  <c r="BZ8" i="27"/>
  <c r="CA8" i="27"/>
  <c r="CB8" i="27"/>
  <c r="CC8" i="27"/>
  <c r="CD8" i="27"/>
  <c r="CE8" i="27"/>
  <c r="CF8" i="27"/>
  <c r="CG8" i="27"/>
  <c r="CH8" i="27"/>
  <c r="CI8" i="27"/>
  <c r="CJ8" i="27"/>
  <c r="CK8" i="27"/>
  <c r="CL8" i="27"/>
  <c r="CM8" i="27"/>
  <c r="CN8" i="27"/>
  <c r="CO8" i="27"/>
  <c r="CP8" i="27"/>
  <c r="CQ8" i="27"/>
  <c r="CR8" i="27"/>
  <c r="CS8" i="27"/>
  <c r="CT8" i="27"/>
  <c r="CU8" i="27"/>
  <c r="CV8" i="27"/>
  <c r="CW8" i="27"/>
  <c r="CX8" i="27"/>
  <c r="CY8" i="27"/>
  <c r="CZ8" i="27"/>
  <c r="DA8" i="27"/>
  <c r="DB8" i="27"/>
  <c r="DC8" i="27"/>
  <c r="DD8" i="27"/>
  <c r="DE8" i="27"/>
  <c r="DF8" i="27"/>
  <c r="DG8" i="27"/>
  <c r="DH8" i="27"/>
  <c r="DI8" i="27"/>
  <c r="DJ8" i="27"/>
  <c r="DK8" i="27"/>
  <c r="DL8" i="27"/>
  <c r="DM8" i="27"/>
  <c r="DN8" i="27"/>
  <c r="DO8" i="27"/>
  <c r="DP8" i="27"/>
  <c r="DQ8" i="27"/>
  <c r="DR8" i="27"/>
  <c r="DS8" i="27"/>
  <c r="DT8" i="27"/>
  <c r="DU8" i="27"/>
  <c r="DV8" i="27"/>
  <c r="DW8" i="27"/>
  <c r="DX8" i="27"/>
  <c r="DY8" i="27"/>
  <c r="DZ8" i="27"/>
  <c r="EA8" i="27"/>
  <c r="EB8" i="27"/>
  <c r="EC8" i="27"/>
  <c r="ED8" i="27"/>
  <c r="EE8" i="27"/>
  <c r="EF8" i="27"/>
  <c r="EG8" i="27"/>
  <c r="EH8" i="27"/>
  <c r="EI8" i="27"/>
  <c r="EJ8" i="27"/>
  <c r="EK8" i="27"/>
  <c r="EL8" i="27"/>
  <c r="EM8" i="27"/>
  <c r="EN8" i="27"/>
  <c r="EO8" i="27"/>
  <c r="EP8" i="27"/>
  <c r="EQ8" i="27"/>
  <c r="ER8" i="27"/>
  <c r="ES8" i="27"/>
  <c r="ET8" i="27"/>
  <c r="EU8" i="27"/>
  <c r="EV8" i="27"/>
  <c r="EW8" i="27"/>
  <c r="EX8" i="27"/>
  <c r="EY8" i="27"/>
  <c r="EZ8" i="27"/>
  <c r="FA8" i="27"/>
  <c r="FB8" i="27"/>
  <c r="FC8" i="27"/>
  <c r="FD8" i="27"/>
  <c r="FE8" i="27"/>
  <c r="FF8" i="27"/>
  <c r="FG8" i="27"/>
  <c r="FH8" i="27"/>
  <c r="FI8" i="27"/>
  <c r="FJ8" i="27"/>
  <c r="FK8" i="27"/>
  <c r="FL8" i="27"/>
  <c r="FM8" i="27"/>
  <c r="FN8" i="27"/>
  <c r="FO8" i="27"/>
  <c r="FP8" i="27"/>
  <c r="FQ8" i="27"/>
  <c r="FR8" i="27"/>
  <c r="FS8" i="27"/>
  <c r="FT8" i="27"/>
  <c r="FU8" i="27"/>
  <c r="FV8" i="27"/>
  <c r="FW8" i="27"/>
  <c r="FX8" i="27"/>
  <c r="FY8" i="27"/>
  <c r="FZ8" i="27"/>
  <c r="GA8" i="27"/>
  <c r="GB8" i="27"/>
  <c r="GC8" i="27"/>
  <c r="GD8" i="27"/>
  <c r="GE8" i="27"/>
  <c r="GF8" i="27"/>
  <c r="GG8" i="27"/>
  <c r="GH8" i="27"/>
  <c r="GI8" i="27"/>
  <c r="GJ8" i="27"/>
  <c r="GK8" i="27"/>
  <c r="GL8" i="27"/>
  <c r="GM8" i="27"/>
  <c r="GN8" i="27"/>
  <c r="GO8" i="27"/>
  <c r="GP8" i="27"/>
  <c r="GQ8" i="27"/>
  <c r="GR8" i="27"/>
  <c r="GS8" i="27"/>
  <c r="GT8" i="27"/>
  <c r="GU8" i="27"/>
  <c r="GV8" i="27"/>
  <c r="GW8" i="27"/>
  <c r="GX8" i="27"/>
  <c r="GY8" i="27"/>
  <c r="GZ8" i="27"/>
  <c r="HA8" i="27"/>
  <c r="HB8" i="27"/>
  <c r="HC8" i="27"/>
  <c r="HD8" i="27"/>
  <c r="HE8" i="27"/>
  <c r="HF8" i="27"/>
  <c r="HG8" i="27"/>
  <c r="HH8" i="27"/>
  <c r="HI8" i="27"/>
  <c r="HJ8" i="27"/>
  <c r="HK8" i="27"/>
  <c r="HL8" i="27"/>
  <c r="HM8" i="27"/>
  <c r="HN8" i="27"/>
  <c r="HO8" i="27"/>
  <c r="HP8" i="27"/>
  <c r="HQ8" i="27"/>
  <c r="HR8" i="27"/>
  <c r="HS8" i="27"/>
  <c r="HT8" i="27"/>
  <c r="HU8" i="27"/>
  <c r="HV8" i="27"/>
  <c r="HW8" i="27"/>
  <c r="HX8" i="27"/>
  <c r="HY8" i="27"/>
  <c r="HZ8" i="27"/>
  <c r="IA8" i="27"/>
  <c r="IB8" i="27"/>
  <c r="IC8" i="27"/>
  <c r="ID8" i="27"/>
  <c r="IE8" i="27"/>
  <c r="IF8" i="27"/>
  <c r="IG8" i="27"/>
  <c r="IH8" i="27"/>
  <c r="II8" i="27"/>
  <c r="IJ8" i="27"/>
  <c r="IK8" i="27"/>
  <c r="IL8" i="27"/>
  <c r="IM8" i="27"/>
  <c r="IN8" i="27"/>
  <c r="IO8" i="27"/>
  <c r="IP8" i="27"/>
  <c r="IQ8" i="27"/>
  <c r="IR8" i="27"/>
  <c r="IS8" i="27"/>
  <c r="IT8" i="27"/>
  <c r="IU8" i="27"/>
  <c r="IV8" i="27"/>
  <c r="A7" i="27"/>
  <c r="B7" i="27"/>
  <c r="C7" i="27"/>
  <c r="D7" i="27"/>
  <c r="E7" i="27"/>
  <c r="F7" i="27"/>
  <c r="G7" i="27"/>
  <c r="H7" i="27"/>
  <c r="I7" i="27"/>
  <c r="J7" i="27"/>
  <c r="K7" i="27"/>
  <c r="L7" i="27"/>
  <c r="M7" i="27"/>
  <c r="N7" i="27"/>
  <c r="O7" i="27"/>
  <c r="P7" i="27"/>
  <c r="Q7" i="27"/>
  <c r="R7" i="27"/>
  <c r="S7" i="27"/>
  <c r="T7" i="27"/>
  <c r="U7" i="27"/>
  <c r="V7" i="27"/>
  <c r="W7" i="27"/>
  <c r="X7" i="27"/>
  <c r="Y7" i="27"/>
  <c r="Z7" i="27"/>
  <c r="AA7" i="27"/>
  <c r="AB7" i="27"/>
  <c r="AC7" i="27"/>
  <c r="AD7" i="27"/>
  <c r="AE7" i="27"/>
  <c r="AF7" i="27"/>
  <c r="AG7" i="27"/>
  <c r="AH7" i="27"/>
  <c r="AI7" i="27"/>
  <c r="AJ7" i="27"/>
  <c r="AK7" i="27"/>
  <c r="AL7" i="27"/>
  <c r="AM7" i="27"/>
  <c r="AN7" i="27"/>
  <c r="AO7" i="27"/>
  <c r="AP7" i="27"/>
  <c r="AQ7" i="27"/>
  <c r="AR7" i="27"/>
  <c r="AS7" i="27"/>
  <c r="AT7" i="27"/>
  <c r="AU7" i="27"/>
  <c r="AV7" i="27"/>
  <c r="AW7" i="27"/>
  <c r="AX7" i="27"/>
  <c r="AY7" i="27"/>
  <c r="AZ7" i="27"/>
  <c r="BA7" i="27"/>
  <c r="BB7" i="27"/>
  <c r="BC7" i="27"/>
  <c r="BD7" i="27"/>
  <c r="BE7" i="27"/>
  <c r="BF7" i="27"/>
  <c r="BG7" i="27"/>
  <c r="BH7" i="27"/>
  <c r="BI7" i="27"/>
  <c r="BJ7" i="27"/>
  <c r="BK7" i="27"/>
  <c r="BL7" i="27"/>
  <c r="BM7" i="27"/>
  <c r="BN7" i="27"/>
  <c r="BO7" i="27"/>
  <c r="BP7" i="27"/>
  <c r="BQ7" i="27"/>
  <c r="BR7" i="27"/>
  <c r="BS7" i="27"/>
  <c r="BT7" i="27"/>
  <c r="BU7" i="27"/>
  <c r="BV7" i="27"/>
  <c r="BW7" i="27"/>
  <c r="BX7" i="27"/>
  <c r="BY7" i="27"/>
  <c r="BZ7" i="27"/>
  <c r="CA7" i="27"/>
  <c r="CB7" i="27"/>
  <c r="CC7" i="27"/>
  <c r="CD7" i="27"/>
  <c r="CE7" i="27"/>
  <c r="CF7" i="27"/>
  <c r="CG7" i="27"/>
  <c r="CH7" i="27"/>
  <c r="CI7" i="27"/>
  <c r="CJ7" i="27"/>
  <c r="CK7" i="27"/>
  <c r="CL7" i="27"/>
  <c r="CM7" i="27"/>
  <c r="CN7" i="27"/>
  <c r="CO7" i="27"/>
  <c r="CP7" i="27"/>
  <c r="CQ7" i="27"/>
  <c r="CR7" i="27"/>
  <c r="CS7" i="27"/>
  <c r="CT7" i="27"/>
  <c r="CU7" i="27"/>
  <c r="CV7" i="27"/>
  <c r="CW7" i="27"/>
  <c r="CX7" i="27"/>
  <c r="CY7" i="27"/>
  <c r="CZ7" i="27"/>
  <c r="DA7" i="27"/>
  <c r="DB7" i="27"/>
  <c r="DC7" i="27"/>
  <c r="DD7" i="27"/>
  <c r="DE7" i="27"/>
  <c r="DF7" i="27"/>
  <c r="DG7" i="27"/>
  <c r="DH7" i="27"/>
  <c r="DI7" i="27"/>
  <c r="DJ7" i="27"/>
  <c r="DK7" i="27"/>
  <c r="DL7" i="27"/>
  <c r="DM7" i="27"/>
  <c r="DN7" i="27"/>
  <c r="DO7" i="27"/>
  <c r="DP7" i="27"/>
  <c r="DQ7" i="27"/>
  <c r="DR7" i="27"/>
  <c r="DS7" i="27"/>
  <c r="DT7" i="27"/>
  <c r="DU7" i="27"/>
  <c r="DV7" i="27"/>
  <c r="DW7" i="27"/>
  <c r="DX7" i="27"/>
  <c r="DY7" i="27"/>
  <c r="DZ7" i="27"/>
  <c r="EA7" i="27"/>
  <c r="EB7" i="27"/>
  <c r="EC7" i="27"/>
  <c r="ED7" i="27"/>
  <c r="EE7" i="27"/>
  <c r="EF7" i="27"/>
  <c r="EG7" i="27"/>
  <c r="EH7" i="27"/>
  <c r="EI7" i="27"/>
  <c r="EJ7" i="27"/>
  <c r="EK7" i="27"/>
  <c r="EL7" i="27"/>
  <c r="EM7" i="27"/>
  <c r="EN7" i="27"/>
  <c r="EO7" i="27"/>
  <c r="EP7" i="27"/>
  <c r="EQ7" i="27"/>
  <c r="ER7" i="27"/>
  <c r="ES7" i="27"/>
  <c r="ET7" i="27"/>
  <c r="EU7" i="27"/>
  <c r="EV7" i="27"/>
  <c r="EW7" i="27"/>
  <c r="EX7" i="27"/>
  <c r="EY7" i="27"/>
  <c r="EZ7" i="27"/>
  <c r="FA7" i="27"/>
  <c r="FB7" i="27"/>
  <c r="FC7" i="27"/>
  <c r="FD7" i="27"/>
  <c r="FE7" i="27"/>
  <c r="FF7" i="27"/>
  <c r="FG7" i="27"/>
  <c r="FH7" i="27"/>
  <c r="FI7" i="27"/>
  <c r="FJ7" i="27"/>
  <c r="FK7" i="27"/>
  <c r="FL7" i="27"/>
  <c r="FM7" i="27"/>
  <c r="FN7" i="27"/>
  <c r="FO7" i="27"/>
  <c r="FP7" i="27"/>
  <c r="FQ7" i="27"/>
  <c r="FR7" i="27"/>
  <c r="FS7" i="27"/>
  <c r="FT7" i="27"/>
  <c r="FU7" i="27"/>
  <c r="FV7" i="27"/>
  <c r="FW7" i="27"/>
  <c r="FX7" i="27"/>
  <c r="FY7" i="27"/>
  <c r="FZ7" i="27"/>
  <c r="GA7" i="27"/>
  <c r="GB7" i="27"/>
  <c r="GC7" i="27"/>
  <c r="GD7" i="27"/>
  <c r="GE7" i="27"/>
  <c r="GF7" i="27"/>
  <c r="GG7" i="27"/>
  <c r="GH7" i="27"/>
  <c r="GI7" i="27"/>
  <c r="GJ7" i="27"/>
  <c r="GK7" i="27"/>
  <c r="GL7" i="27"/>
  <c r="GM7" i="27"/>
  <c r="GN7" i="27"/>
  <c r="GO7" i="27"/>
  <c r="GP7" i="27"/>
  <c r="GQ7" i="27"/>
  <c r="GR7" i="27"/>
  <c r="GS7" i="27"/>
  <c r="GT7" i="27"/>
  <c r="GU7" i="27"/>
  <c r="GV7" i="27"/>
  <c r="GW7" i="27"/>
  <c r="GX7" i="27"/>
  <c r="GY7" i="27"/>
  <c r="GZ7" i="27"/>
  <c r="HA7" i="27"/>
  <c r="HB7" i="27"/>
  <c r="HC7" i="27"/>
  <c r="HD7" i="27"/>
  <c r="HE7" i="27"/>
  <c r="HF7" i="27"/>
  <c r="HG7" i="27"/>
  <c r="HH7" i="27"/>
  <c r="HI7" i="27"/>
  <c r="HJ7" i="27"/>
  <c r="HK7" i="27"/>
  <c r="HL7" i="27"/>
  <c r="HM7" i="27"/>
  <c r="HN7" i="27"/>
  <c r="HO7" i="27"/>
  <c r="HP7" i="27"/>
  <c r="HQ7" i="27"/>
  <c r="HR7" i="27"/>
  <c r="HS7" i="27"/>
  <c r="HT7" i="27"/>
  <c r="HU7" i="27"/>
  <c r="HV7" i="27"/>
  <c r="HW7" i="27"/>
  <c r="HX7" i="27"/>
  <c r="HY7" i="27"/>
  <c r="HZ7" i="27"/>
  <c r="IA7" i="27"/>
  <c r="IB7" i="27"/>
  <c r="IC7" i="27"/>
  <c r="ID7" i="27"/>
  <c r="IE7" i="27"/>
  <c r="IF7" i="27"/>
  <c r="IG7" i="27"/>
  <c r="IH7" i="27"/>
  <c r="II7" i="27"/>
  <c r="IJ7" i="27"/>
  <c r="IK7" i="27"/>
  <c r="IL7" i="27"/>
  <c r="IM7" i="27"/>
  <c r="IN7" i="27"/>
  <c r="IO7" i="27"/>
  <c r="IP7" i="27"/>
  <c r="IQ7" i="27"/>
  <c r="IR7" i="27"/>
  <c r="IS7" i="27"/>
  <c r="IT7" i="27"/>
  <c r="IU7" i="27"/>
  <c r="IV7" i="27"/>
  <c r="A6" i="27"/>
  <c r="B6" i="27"/>
  <c r="C6" i="27"/>
  <c r="D6" i="27"/>
  <c r="E6" i="27"/>
  <c r="F6" i="27"/>
  <c r="G6" i="27"/>
  <c r="H6" i="27"/>
  <c r="I6" i="27"/>
  <c r="J6" i="27"/>
  <c r="K6" i="27"/>
  <c r="L6" i="27"/>
  <c r="M6" i="27"/>
  <c r="N6" i="27"/>
  <c r="O6" i="27"/>
  <c r="P6" i="27"/>
  <c r="Q6" i="27"/>
  <c r="R6" i="27"/>
  <c r="S6" i="27"/>
  <c r="T6" i="27"/>
  <c r="U6" i="27"/>
  <c r="V6" i="27"/>
  <c r="W6" i="27"/>
  <c r="X6" i="27"/>
  <c r="Y6" i="27"/>
  <c r="Z6" i="27"/>
  <c r="AA6" i="27"/>
  <c r="AB6" i="27"/>
  <c r="AC6" i="27"/>
  <c r="AD6" i="27"/>
  <c r="AE6" i="27"/>
  <c r="AF6" i="27"/>
  <c r="AG6" i="27"/>
  <c r="AH6" i="27"/>
  <c r="AI6" i="27"/>
  <c r="AJ6" i="27"/>
  <c r="AK6" i="27"/>
  <c r="AL6" i="27"/>
  <c r="AM6" i="27"/>
  <c r="AN6" i="27"/>
  <c r="AO6" i="27"/>
  <c r="AP6" i="27"/>
  <c r="AQ6" i="27"/>
  <c r="AR6" i="27"/>
  <c r="AS6" i="27"/>
  <c r="AT6" i="27"/>
  <c r="AU6" i="27"/>
  <c r="AV6" i="27"/>
  <c r="AW6" i="27"/>
  <c r="AX6" i="27"/>
  <c r="AY6" i="27"/>
  <c r="AZ6" i="27"/>
  <c r="BA6" i="27"/>
  <c r="BB6" i="27"/>
  <c r="BC6" i="27"/>
  <c r="BD6" i="27"/>
  <c r="BE6" i="27"/>
  <c r="BF6" i="27"/>
  <c r="BG6" i="27"/>
  <c r="BH6" i="27"/>
  <c r="BI6" i="27"/>
  <c r="BJ6" i="27"/>
  <c r="BK6" i="27"/>
  <c r="BL6" i="27"/>
  <c r="BM6" i="27"/>
  <c r="BN6" i="27"/>
  <c r="BO6" i="27"/>
  <c r="BP6" i="27"/>
  <c r="BQ6" i="27"/>
  <c r="BR6" i="27"/>
  <c r="BS6" i="27"/>
  <c r="BT6" i="27"/>
  <c r="BU6" i="27"/>
  <c r="BV6" i="27"/>
  <c r="BW6" i="27"/>
  <c r="BX6" i="27"/>
  <c r="BY6" i="27"/>
  <c r="BZ6" i="27"/>
  <c r="CA6" i="27"/>
  <c r="CB6" i="27"/>
  <c r="CC6" i="27"/>
  <c r="CD6" i="27"/>
  <c r="CE6" i="27"/>
  <c r="CF6" i="27"/>
  <c r="CG6" i="27"/>
  <c r="CH6" i="27"/>
  <c r="CI6" i="27"/>
  <c r="CJ6" i="27"/>
  <c r="CK6" i="27"/>
  <c r="CL6" i="27"/>
  <c r="CM6" i="27"/>
  <c r="CN6" i="27"/>
  <c r="CO6" i="27"/>
  <c r="CP6" i="27"/>
  <c r="CQ6" i="27"/>
  <c r="CR6" i="27"/>
  <c r="CS6" i="27"/>
  <c r="CT6" i="27"/>
  <c r="CU6" i="27"/>
  <c r="CV6" i="27"/>
  <c r="CW6" i="27"/>
  <c r="CX6" i="27"/>
  <c r="CY6" i="27"/>
  <c r="CZ6" i="27"/>
  <c r="DA6" i="27"/>
  <c r="DB6" i="27"/>
  <c r="DC6" i="27"/>
  <c r="DD6" i="27"/>
  <c r="DE6" i="27"/>
  <c r="DF6" i="27"/>
  <c r="DG6" i="27"/>
  <c r="DH6" i="27"/>
  <c r="DI6" i="27"/>
  <c r="DJ6" i="27"/>
  <c r="DK6" i="27"/>
  <c r="DL6" i="27"/>
  <c r="DM6" i="27"/>
  <c r="DN6" i="27"/>
  <c r="DO6" i="27"/>
  <c r="DP6" i="27"/>
  <c r="DQ6" i="27"/>
  <c r="DR6" i="27"/>
  <c r="DS6" i="27"/>
  <c r="DT6" i="27"/>
  <c r="DU6" i="27"/>
  <c r="DV6" i="27"/>
  <c r="DW6" i="27"/>
  <c r="DX6" i="27"/>
  <c r="DY6" i="27"/>
  <c r="DZ6" i="27"/>
  <c r="EA6" i="27"/>
  <c r="EB6" i="27"/>
  <c r="EC6" i="27"/>
  <c r="ED6" i="27"/>
  <c r="EE6" i="27"/>
  <c r="EF6" i="27"/>
  <c r="EG6" i="27"/>
  <c r="EH6" i="27"/>
  <c r="EI6" i="27"/>
  <c r="EJ6" i="27"/>
  <c r="EK6" i="27"/>
  <c r="EL6" i="27"/>
  <c r="EM6" i="27"/>
  <c r="EN6" i="27"/>
  <c r="EO6" i="27"/>
  <c r="EP6" i="27"/>
  <c r="EQ6" i="27"/>
  <c r="ER6" i="27"/>
  <c r="ES6" i="27"/>
  <c r="ET6" i="27"/>
  <c r="EU6" i="27"/>
  <c r="EV6" i="27"/>
  <c r="EW6" i="27"/>
  <c r="EX6" i="27"/>
  <c r="EY6" i="27"/>
  <c r="EZ6" i="27"/>
  <c r="FA6" i="27"/>
  <c r="FB6" i="27"/>
  <c r="FC6" i="27"/>
  <c r="FD6" i="27"/>
  <c r="FE6" i="27"/>
  <c r="FF6" i="27"/>
  <c r="FG6" i="27"/>
  <c r="FH6" i="27"/>
  <c r="FI6" i="27"/>
  <c r="FJ6" i="27"/>
  <c r="FK6" i="27"/>
  <c r="FL6" i="27"/>
  <c r="FM6" i="27"/>
  <c r="FN6" i="27"/>
  <c r="FO6" i="27"/>
  <c r="FP6" i="27"/>
  <c r="FQ6" i="27"/>
  <c r="FR6" i="27"/>
  <c r="FS6" i="27"/>
  <c r="FT6" i="27"/>
  <c r="FU6" i="27"/>
  <c r="FV6" i="27"/>
  <c r="FW6" i="27"/>
  <c r="FX6" i="27"/>
  <c r="FY6" i="27"/>
  <c r="FZ6" i="27"/>
  <c r="GA6" i="27"/>
  <c r="GB6" i="27"/>
  <c r="GC6" i="27"/>
  <c r="GD6" i="27"/>
  <c r="GE6" i="27"/>
  <c r="GF6" i="27"/>
  <c r="GG6" i="27"/>
  <c r="GH6" i="27"/>
  <c r="GI6" i="27"/>
  <c r="GJ6" i="27"/>
  <c r="GK6" i="27"/>
  <c r="GL6" i="27"/>
  <c r="GM6" i="27"/>
  <c r="GN6" i="27"/>
  <c r="GO6" i="27"/>
  <c r="GP6" i="27"/>
  <c r="GQ6" i="27"/>
  <c r="GR6" i="27"/>
  <c r="GS6" i="27"/>
  <c r="GT6" i="27"/>
  <c r="GU6" i="27"/>
  <c r="GV6" i="27"/>
  <c r="GW6" i="27"/>
  <c r="GX6" i="27"/>
  <c r="GY6" i="27"/>
  <c r="GZ6" i="27"/>
  <c r="HA6" i="27"/>
  <c r="HB6" i="27"/>
  <c r="HC6" i="27"/>
  <c r="HD6" i="27"/>
  <c r="HE6" i="27"/>
  <c r="HF6" i="27"/>
  <c r="HG6" i="27"/>
  <c r="HH6" i="27"/>
  <c r="HI6" i="27"/>
  <c r="HJ6" i="27"/>
  <c r="HK6" i="27"/>
  <c r="HL6" i="27"/>
  <c r="HM6" i="27"/>
  <c r="HN6" i="27"/>
  <c r="HO6" i="27"/>
  <c r="HP6" i="27"/>
  <c r="HQ6" i="27"/>
  <c r="HR6" i="27"/>
  <c r="HS6" i="27"/>
  <c r="HT6" i="27"/>
  <c r="HU6" i="27"/>
  <c r="HV6" i="27"/>
  <c r="HW6" i="27"/>
  <c r="HX6" i="27"/>
  <c r="HY6" i="27"/>
  <c r="HZ6" i="27"/>
  <c r="IA6" i="27"/>
  <c r="IB6" i="27"/>
  <c r="IC6" i="27"/>
  <c r="ID6" i="27"/>
  <c r="IE6" i="27"/>
  <c r="IF6" i="27"/>
  <c r="IG6" i="27"/>
  <c r="IH6" i="27"/>
  <c r="II6" i="27"/>
  <c r="IJ6" i="27"/>
  <c r="IK6" i="27"/>
  <c r="IL6" i="27"/>
  <c r="IM6" i="27"/>
  <c r="IN6" i="27"/>
  <c r="IO6" i="27"/>
  <c r="IP6" i="27"/>
  <c r="IQ6" i="27"/>
  <c r="IR6" i="27"/>
  <c r="IS6" i="27"/>
  <c r="IT6" i="27"/>
  <c r="IU6" i="27"/>
  <c r="IV6" i="27"/>
  <c r="A5" i="27"/>
  <c r="B5" i="27"/>
  <c r="C5" i="27"/>
  <c r="D5" i="27"/>
  <c r="E5" i="27"/>
  <c r="F5" i="27"/>
  <c r="G5" i="27"/>
  <c r="H5" i="27"/>
  <c r="I5" i="27"/>
  <c r="J5" i="27"/>
  <c r="K5" i="27"/>
  <c r="L5" i="27"/>
  <c r="M5" i="27"/>
  <c r="N5" i="27"/>
  <c r="O5" i="27"/>
  <c r="P5" i="27"/>
  <c r="Q5" i="27"/>
  <c r="R5" i="27"/>
  <c r="S5" i="27"/>
  <c r="T5" i="27"/>
  <c r="U5" i="27"/>
  <c r="V5" i="27"/>
  <c r="W5" i="27"/>
  <c r="X5" i="27"/>
  <c r="Y5" i="27"/>
  <c r="Z5" i="27"/>
  <c r="AA5" i="27"/>
  <c r="AB5" i="27"/>
  <c r="AC5" i="27"/>
  <c r="AD5" i="27"/>
  <c r="AE5" i="27"/>
  <c r="AF5" i="27"/>
  <c r="AG5" i="27"/>
  <c r="AH5" i="27"/>
  <c r="AI5" i="27"/>
  <c r="AJ5" i="27"/>
  <c r="AK5" i="27"/>
  <c r="AL5" i="27"/>
  <c r="AM5" i="27"/>
  <c r="AN5" i="27"/>
  <c r="AO5" i="27"/>
  <c r="AP5" i="27"/>
  <c r="AQ5" i="27"/>
  <c r="AR5" i="27"/>
  <c r="AS5" i="27"/>
  <c r="AT5" i="27"/>
  <c r="AU5" i="27"/>
  <c r="AV5" i="27"/>
  <c r="AW5" i="27"/>
  <c r="AX5" i="27"/>
  <c r="AY5" i="27"/>
  <c r="AZ5" i="27"/>
  <c r="BA5" i="27"/>
  <c r="BB5" i="27"/>
  <c r="BC5" i="27"/>
  <c r="BD5" i="27"/>
  <c r="BE5" i="27"/>
  <c r="BF5" i="27"/>
  <c r="BG5" i="27"/>
  <c r="BH5" i="27"/>
  <c r="BI5" i="27"/>
  <c r="BJ5" i="27"/>
  <c r="BK5" i="27"/>
  <c r="BL5" i="27"/>
  <c r="BM5" i="27"/>
  <c r="BN5" i="27"/>
  <c r="BO5" i="27"/>
  <c r="BP5" i="27"/>
  <c r="BQ5" i="27"/>
  <c r="BR5" i="27"/>
  <c r="BS5" i="27"/>
  <c r="BT5" i="27"/>
  <c r="BU5" i="27"/>
  <c r="BV5" i="27"/>
  <c r="BW5" i="27"/>
  <c r="BX5" i="27"/>
  <c r="BY5" i="27"/>
  <c r="BZ5" i="27"/>
  <c r="CA5" i="27"/>
  <c r="CB5" i="27"/>
  <c r="CC5" i="27"/>
  <c r="CD5" i="27"/>
  <c r="CE5" i="27"/>
  <c r="CF5" i="27"/>
  <c r="CG5" i="27"/>
  <c r="CH5" i="27"/>
  <c r="CI5" i="27"/>
  <c r="CJ5" i="27"/>
  <c r="CK5" i="27"/>
  <c r="CL5" i="27"/>
  <c r="CM5" i="27"/>
  <c r="CN5" i="27"/>
  <c r="CO5" i="27"/>
  <c r="CP5" i="27"/>
  <c r="CQ5" i="27"/>
  <c r="CR5" i="27"/>
  <c r="CS5" i="27"/>
  <c r="CT5" i="27"/>
  <c r="CU5" i="27"/>
  <c r="CV5" i="27"/>
  <c r="CW5" i="27"/>
  <c r="CX5" i="27"/>
  <c r="CY5" i="27"/>
  <c r="CZ5" i="27"/>
  <c r="DA5" i="27"/>
  <c r="DB5" i="27"/>
  <c r="DC5" i="27"/>
  <c r="DD5" i="27"/>
  <c r="DE5" i="27"/>
  <c r="DF5" i="27"/>
  <c r="DG5" i="27"/>
  <c r="DH5" i="27"/>
  <c r="DI5" i="27"/>
  <c r="DJ5" i="27"/>
  <c r="DK5" i="27"/>
  <c r="DL5" i="27"/>
  <c r="DM5" i="27"/>
  <c r="DN5" i="27"/>
  <c r="DO5" i="27"/>
  <c r="DP5" i="27"/>
  <c r="DQ5" i="27"/>
  <c r="DR5" i="27"/>
  <c r="DS5" i="27"/>
  <c r="DT5" i="27"/>
  <c r="DU5" i="27"/>
  <c r="DV5" i="27"/>
  <c r="DW5" i="27"/>
  <c r="DX5" i="27"/>
  <c r="DY5" i="27"/>
  <c r="DZ5" i="27"/>
  <c r="EA5" i="27"/>
  <c r="EB5" i="27"/>
  <c r="EC5" i="27"/>
  <c r="ED5" i="27"/>
  <c r="EE5" i="27"/>
  <c r="EF5" i="27"/>
  <c r="EG5" i="27"/>
  <c r="EH5" i="27"/>
  <c r="EI5" i="27"/>
  <c r="EJ5" i="27"/>
  <c r="EK5" i="27"/>
  <c r="EL5" i="27"/>
  <c r="EM5" i="27"/>
  <c r="EN5" i="27"/>
  <c r="EO5" i="27"/>
  <c r="EP5" i="27"/>
  <c r="EQ5" i="27"/>
  <c r="ER5" i="27"/>
  <c r="ES5" i="27"/>
  <c r="ET5" i="27"/>
  <c r="EU5" i="27"/>
  <c r="EV5" i="27"/>
  <c r="EW5" i="27"/>
  <c r="EX5" i="27"/>
  <c r="EY5" i="27"/>
  <c r="EZ5" i="27"/>
  <c r="FA5" i="27"/>
  <c r="FB5" i="27"/>
  <c r="FC5" i="27"/>
  <c r="FD5" i="27"/>
  <c r="FE5" i="27"/>
  <c r="FF5" i="27"/>
  <c r="FG5" i="27"/>
  <c r="FH5" i="27"/>
  <c r="FI5" i="27"/>
  <c r="FJ5" i="27"/>
  <c r="FK5" i="27"/>
  <c r="FL5" i="27"/>
  <c r="FM5" i="27"/>
  <c r="FN5" i="27"/>
  <c r="FO5" i="27"/>
  <c r="FP5" i="27"/>
  <c r="FQ5" i="27"/>
  <c r="FR5" i="27"/>
  <c r="FS5" i="27"/>
  <c r="FT5" i="27"/>
  <c r="FU5" i="27"/>
  <c r="FV5" i="27"/>
  <c r="FW5" i="27"/>
  <c r="FX5" i="27"/>
  <c r="FY5" i="27"/>
  <c r="FZ5" i="27"/>
  <c r="GA5" i="27"/>
  <c r="GB5" i="27"/>
  <c r="GC5" i="27"/>
  <c r="GD5" i="27"/>
  <c r="GE5" i="27"/>
  <c r="GF5" i="27"/>
  <c r="GG5" i="27"/>
  <c r="GH5" i="27"/>
  <c r="GI5" i="27"/>
  <c r="GJ5" i="27"/>
  <c r="GK5" i="27"/>
  <c r="GL5" i="27"/>
  <c r="GM5" i="27"/>
  <c r="GN5" i="27"/>
  <c r="GO5" i="27"/>
  <c r="GP5" i="27"/>
  <c r="GQ5" i="27"/>
  <c r="GR5" i="27"/>
  <c r="GS5" i="27"/>
  <c r="GT5" i="27"/>
  <c r="GU5" i="27"/>
  <c r="GV5" i="27"/>
  <c r="GW5" i="27"/>
  <c r="GX5" i="27"/>
  <c r="GY5" i="27"/>
  <c r="GZ5" i="27"/>
  <c r="HA5" i="27"/>
  <c r="HB5" i="27"/>
  <c r="HC5" i="27"/>
  <c r="HD5" i="27"/>
  <c r="HE5" i="27"/>
  <c r="HF5" i="27"/>
  <c r="HG5" i="27"/>
  <c r="HH5" i="27"/>
  <c r="HI5" i="27"/>
  <c r="HJ5" i="27"/>
  <c r="HK5" i="27"/>
  <c r="HL5" i="27"/>
  <c r="HM5" i="27"/>
  <c r="HN5" i="27"/>
  <c r="HO5" i="27"/>
  <c r="HP5" i="27"/>
  <c r="HQ5" i="27"/>
  <c r="HR5" i="27"/>
  <c r="HS5" i="27"/>
  <c r="HT5" i="27"/>
  <c r="HU5" i="27"/>
  <c r="HV5" i="27"/>
  <c r="HW5" i="27"/>
  <c r="HX5" i="27"/>
  <c r="HY5" i="27"/>
  <c r="HZ5" i="27"/>
  <c r="IA5" i="27"/>
  <c r="IB5" i="27"/>
  <c r="IC5" i="27"/>
  <c r="ID5" i="27"/>
  <c r="IE5" i="27"/>
  <c r="IF5" i="27"/>
  <c r="IG5" i="27"/>
  <c r="IH5" i="27"/>
  <c r="II5" i="27"/>
  <c r="IJ5" i="27"/>
  <c r="IK5" i="27"/>
  <c r="IL5" i="27"/>
  <c r="IM5" i="27"/>
  <c r="IN5" i="27"/>
  <c r="IO5" i="27"/>
  <c r="IP5" i="27"/>
  <c r="IQ5" i="27"/>
  <c r="IR5" i="27"/>
  <c r="IS5" i="27"/>
  <c r="IT5" i="27"/>
  <c r="IU5" i="27"/>
  <c r="IV5" i="27"/>
  <c r="A4" i="27"/>
  <c r="B4" i="27"/>
  <c r="C4" i="27"/>
  <c r="D4" i="27"/>
  <c r="E4" i="27"/>
  <c r="F4" i="27"/>
  <c r="G4" i="27"/>
  <c r="H4" i="27"/>
  <c r="I4" i="27"/>
  <c r="J4" i="27"/>
  <c r="K4" i="27"/>
  <c r="L4" i="27"/>
  <c r="M4" i="27"/>
  <c r="N4" i="27"/>
  <c r="O4" i="27"/>
  <c r="P4" i="27"/>
  <c r="Q4" i="27"/>
  <c r="R4" i="27"/>
  <c r="S4" i="27"/>
  <c r="T4" i="27"/>
  <c r="U4" i="27"/>
  <c r="V4" i="27"/>
  <c r="W4" i="27"/>
  <c r="X4" i="27"/>
  <c r="Y4" i="27"/>
  <c r="Z4" i="27"/>
  <c r="AA4" i="27"/>
  <c r="AB4" i="27"/>
  <c r="AC4" i="27"/>
  <c r="AD4" i="27"/>
  <c r="AE4" i="27"/>
  <c r="AF4" i="27"/>
  <c r="AG4" i="27"/>
  <c r="AH4" i="27"/>
  <c r="AI4" i="27"/>
  <c r="AJ4" i="27"/>
  <c r="AK4" i="27"/>
  <c r="AL4" i="27"/>
  <c r="AM4" i="27"/>
  <c r="AN4" i="27"/>
  <c r="AO4" i="27"/>
  <c r="AP4" i="27"/>
  <c r="AQ4" i="27"/>
  <c r="AR4" i="27"/>
  <c r="AS4" i="27"/>
  <c r="AT4" i="27"/>
  <c r="AU4" i="27"/>
  <c r="AV4" i="27"/>
  <c r="AW4" i="27"/>
  <c r="AX4" i="27"/>
  <c r="AY4" i="27"/>
  <c r="AZ4" i="27"/>
  <c r="BA4" i="27"/>
  <c r="BB4" i="27"/>
  <c r="BC4" i="27"/>
  <c r="BD4" i="27"/>
  <c r="BE4" i="27"/>
  <c r="BF4" i="27"/>
  <c r="BG4" i="27"/>
  <c r="BH4" i="27"/>
  <c r="BI4" i="27"/>
  <c r="BJ4" i="27"/>
  <c r="BK4" i="27"/>
  <c r="BL4" i="27"/>
  <c r="BM4" i="27"/>
  <c r="BN4" i="27"/>
  <c r="BO4" i="27"/>
  <c r="BP4" i="27"/>
  <c r="BQ4" i="27"/>
  <c r="BR4" i="27"/>
  <c r="BS4" i="27"/>
  <c r="BT4" i="27"/>
  <c r="BU4" i="27"/>
  <c r="BV4" i="27"/>
  <c r="BW4" i="27"/>
  <c r="BX4" i="27"/>
  <c r="BY4" i="27"/>
  <c r="BZ4" i="27"/>
  <c r="CA4" i="27"/>
  <c r="CB4" i="27"/>
  <c r="CC4" i="27"/>
  <c r="CD4" i="27"/>
  <c r="CE4" i="27"/>
  <c r="CF4" i="27"/>
  <c r="CG4" i="27"/>
  <c r="CH4" i="27"/>
  <c r="CI4" i="27"/>
  <c r="CJ4" i="27"/>
  <c r="CK4" i="27"/>
  <c r="CL4" i="27"/>
  <c r="CM4" i="27"/>
  <c r="CN4" i="27"/>
  <c r="CO4" i="27"/>
  <c r="CP4" i="27"/>
  <c r="CQ4" i="27"/>
  <c r="CR4" i="27"/>
  <c r="CS4" i="27"/>
  <c r="CT4" i="27"/>
  <c r="CU4" i="27"/>
  <c r="CV4" i="27"/>
  <c r="CW4" i="27"/>
  <c r="CX4" i="27"/>
  <c r="CY4" i="27"/>
  <c r="CZ4" i="27"/>
  <c r="DA4" i="27"/>
  <c r="DB4" i="27"/>
  <c r="DC4" i="27"/>
  <c r="DD4" i="27"/>
  <c r="DE4" i="27"/>
  <c r="DF4" i="27"/>
  <c r="DG4" i="27"/>
  <c r="DH4" i="27"/>
  <c r="DI4" i="27"/>
  <c r="DJ4" i="27"/>
  <c r="DK4" i="27"/>
  <c r="DL4" i="27"/>
  <c r="DM4" i="27"/>
  <c r="DN4" i="27"/>
  <c r="DO4" i="27"/>
  <c r="DP4" i="27"/>
  <c r="DQ4" i="27"/>
  <c r="DR4" i="27"/>
  <c r="DS4" i="27"/>
  <c r="DT4" i="27"/>
  <c r="DU4" i="27"/>
  <c r="DV4" i="27"/>
  <c r="DW4" i="27"/>
  <c r="DX4" i="27"/>
  <c r="DY4" i="27"/>
  <c r="DZ4" i="27"/>
  <c r="EA4" i="27"/>
  <c r="EB4" i="27"/>
  <c r="EC4" i="27"/>
  <c r="ED4" i="27"/>
  <c r="EE4" i="27"/>
  <c r="EF4" i="27"/>
  <c r="EG4" i="27"/>
  <c r="EH4" i="27"/>
  <c r="EI4" i="27"/>
  <c r="EJ4" i="27"/>
  <c r="EK4" i="27"/>
  <c r="EL4" i="27"/>
  <c r="EM4" i="27"/>
  <c r="EN4" i="27"/>
  <c r="EO4" i="27"/>
  <c r="EP4" i="27"/>
  <c r="EQ4" i="27"/>
  <c r="ER4" i="27"/>
  <c r="ES4" i="27"/>
  <c r="ET4" i="27"/>
  <c r="EU4" i="27"/>
  <c r="EV4" i="27"/>
  <c r="EW4" i="27"/>
  <c r="EX4" i="27"/>
  <c r="EY4" i="27"/>
  <c r="EZ4" i="27"/>
  <c r="FA4" i="27"/>
  <c r="FB4" i="27"/>
  <c r="FC4" i="27"/>
  <c r="FD4" i="27"/>
  <c r="FE4" i="27"/>
  <c r="FF4" i="27"/>
  <c r="FG4" i="27"/>
  <c r="FH4" i="27"/>
  <c r="FI4" i="27"/>
  <c r="FJ4" i="27"/>
  <c r="FK4" i="27"/>
  <c r="FL4" i="27"/>
  <c r="FM4" i="27"/>
  <c r="FN4" i="27"/>
  <c r="FO4" i="27"/>
  <c r="FP4" i="27"/>
  <c r="FQ4" i="27"/>
  <c r="FR4" i="27"/>
  <c r="FS4" i="27"/>
  <c r="FT4" i="27"/>
  <c r="FU4" i="27"/>
  <c r="FV4" i="27"/>
  <c r="FW4" i="27"/>
  <c r="FX4" i="27"/>
  <c r="FY4" i="27"/>
  <c r="FZ4" i="27"/>
  <c r="GA4" i="27"/>
  <c r="GB4" i="27"/>
  <c r="GC4" i="27"/>
  <c r="GD4" i="27"/>
  <c r="GE4" i="27"/>
  <c r="GF4" i="27"/>
  <c r="GG4" i="27"/>
  <c r="GH4" i="27"/>
  <c r="GI4" i="27"/>
  <c r="GJ4" i="27"/>
  <c r="GK4" i="27"/>
  <c r="GL4" i="27"/>
  <c r="GM4" i="27"/>
  <c r="GN4" i="27"/>
  <c r="GO4" i="27"/>
  <c r="GP4" i="27"/>
  <c r="GQ4" i="27"/>
  <c r="GR4" i="27"/>
  <c r="GS4" i="27"/>
  <c r="GT4" i="27"/>
  <c r="GU4" i="27"/>
  <c r="GV4" i="27"/>
  <c r="GW4" i="27"/>
  <c r="GX4" i="27"/>
  <c r="GY4" i="27"/>
  <c r="GZ4" i="27"/>
  <c r="HA4" i="27"/>
  <c r="HB4" i="27"/>
  <c r="HC4" i="27"/>
  <c r="HD4" i="27"/>
  <c r="HE4" i="27"/>
  <c r="HF4" i="27"/>
  <c r="HG4" i="27"/>
  <c r="HH4" i="27"/>
  <c r="HI4" i="27"/>
  <c r="HJ4" i="27"/>
  <c r="HK4" i="27"/>
  <c r="HL4" i="27"/>
  <c r="HM4" i="27"/>
  <c r="HN4" i="27"/>
  <c r="HO4" i="27"/>
  <c r="HP4" i="27"/>
  <c r="HQ4" i="27"/>
  <c r="HR4" i="27"/>
  <c r="HS4" i="27"/>
  <c r="HT4" i="27"/>
  <c r="HU4" i="27"/>
  <c r="HV4" i="27"/>
  <c r="HW4" i="27"/>
  <c r="HX4" i="27"/>
  <c r="HY4" i="27"/>
  <c r="HZ4" i="27"/>
  <c r="IA4" i="27"/>
  <c r="IB4" i="27"/>
  <c r="IC4" i="27"/>
  <c r="ID4" i="27"/>
  <c r="IE4" i="27"/>
  <c r="IF4" i="27"/>
  <c r="IG4" i="27"/>
  <c r="IH4" i="27"/>
  <c r="II4" i="27"/>
  <c r="IJ4" i="27"/>
  <c r="IK4" i="27"/>
  <c r="IL4" i="27"/>
  <c r="IM4" i="27"/>
  <c r="IN4" i="27"/>
  <c r="IO4" i="27"/>
  <c r="IP4" i="27"/>
  <c r="IQ4" i="27"/>
  <c r="IR4" i="27"/>
  <c r="IS4" i="27"/>
  <c r="IT4" i="27"/>
  <c r="IU4" i="27"/>
  <c r="IV4" i="27"/>
  <c r="A3" i="27"/>
  <c r="B3" i="27"/>
  <c r="C3" i="27"/>
  <c r="D3" i="27"/>
  <c r="E3" i="27"/>
  <c r="F3" i="27"/>
  <c r="G3" i="27"/>
  <c r="H3" i="27"/>
  <c r="I3" i="27"/>
  <c r="J3" i="27"/>
  <c r="K3" i="27"/>
  <c r="L3" i="27"/>
  <c r="M3" i="27"/>
  <c r="N3" i="27"/>
  <c r="O3" i="27"/>
  <c r="P3" i="27"/>
  <c r="Q3" i="27"/>
  <c r="R3" i="27"/>
  <c r="S3" i="27"/>
  <c r="T3" i="27"/>
  <c r="U3" i="27"/>
  <c r="V3" i="27"/>
  <c r="W3" i="27"/>
  <c r="X3" i="27"/>
  <c r="Y3" i="27"/>
  <c r="Z3" i="27"/>
  <c r="AA3" i="27"/>
  <c r="AB3" i="27"/>
  <c r="AC3" i="27"/>
  <c r="AD3" i="27"/>
  <c r="AE3" i="27"/>
  <c r="AF3" i="27"/>
  <c r="AG3" i="27"/>
  <c r="AH3" i="27"/>
  <c r="AI3" i="27"/>
  <c r="AJ3" i="27"/>
  <c r="AK3" i="27"/>
  <c r="AL3" i="27"/>
  <c r="AM3" i="27"/>
  <c r="AN3" i="27"/>
  <c r="AO3" i="27"/>
  <c r="AP3" i="27"/>
  <c r="AQ3" i="27"/>
  <c r="AR3" i="27"/>
  <c r="AS3" i="27"/>
  <c r="AT3" i="27"/>
  <c r="AU3" i="27"/>
  <c r="AV3" i="27"/>
  <c r="AW3" i="27"/>
  <c r="AX3" i="27"/>
  <c r="AY3" i="27"/>
  <c r="AZ3" i="27"/>
  <c r="BA3" i="27"/>
  <c r="BB3" i="27"/>
  <c r="BC3" i="27"/>
  <c r="BD3" i="27"/>
  <c r="BE3" i="27"/>
  <c r="BF3" i="27"/>
  <c r="BG3" i="27"/>
  <c r="BH3" i="27"/>
  <c r="BI3" i="27"/>
  <c r="BJ3" i="27"/>
  <c r="BK3" i="27"/>
  <c r="BL3" i="27"/>
  <c r="BM3" i="27"/>
  <c r="BN3" i="27"/>
  <c r="BO3" i="27"/>
  <c r="BP3" i="27"/>
  <c r="BQ3" i="27"/>
  <c r="BR3" i="27"/>
  <c r="BS3" i="27"/>
  <c r="BT3" i="27"/>
  <c r="BU3" i="27"/>
  <c r="BV3" i="27"/>
  <c r="BW3" i="27"/>
  <c r="BX3" i="27"/>
  <c r="BY3" i="27"/>
  <c r="BZ3" i="27"/>
  <c r="CA3" i="27"/>
  <c r="CB3" i="27"/>
  <c r="CC3" i="27"/>
  <c r="CD3" i="27"/>
  <c r="CE3" i="27"/>
  <c r="CF3" i="27"/>
  <c r="CG3" i="27"/>
  <c r="CH3" i="27"/>
  <c r="CI3" i="27"/>
  <c r="CJ3" i="27"/>
  <c r="CK3" i="27"/>
  <c r="CL3" i="27"/>
  <c r="CM3" i="27"/>
  <c r="CN3" i="27"/>
  <c r="CO3" i="27"/>
  <c r="CP3" i="27"/>
  <c r="CQ3" i="27"/>
  <c r="CR3" i="27"/>
  <c r="CS3" i="27"/>
  <c r="CT3" i="27"/>
  <c r="CU3" i="27"/>
  <c r="CV3" i="27"/>
  <c r="CW3" i="27"/>
  <c r="CX3" i="27"/>
  <c r="CY3" i="27"/>
  <c r="CZ3" i="27"/>
  <c r="DA3" i="27"/>
  <c r="DB3" i="27"/>
  <c r="DC3" i="27"/>
  <c r="DD3" i="27"/>
  <c r="DE3" i="27"/>
  <c r="DF3" i="27"/>
  <c r="DG3" i="27"/>
  <c r="DH3" i="27"/>
  <c r="DI3" i="27"/>
  <c r="DJ3" i="27"/>
  <c r="DK3" i="27"/>
  <c r="DL3" i="27"/>
  <c r="DM3" i="27"/>
  <c r="DN3" i="27"/>
  <c r="DO3" i="27"/>
  <c r="DP3" i="27"/>
  <c r="DQ3" i="27"/>
  <c r="DR3" i="27"/>
  <c r="DS3" i="27"/>
  <c r="DT3" i="27"/>
  <c r="DU3" i="27"/>
  <c r="DV3" i="27"/>
  <c r="DW3" i="27"/>
  <c r="DX3" i="27"/>
  <c r="DY3" i="27"/>
  <c r="DZ3" i="27"/>
  <c r="EA3" i="27"/>
  <c r="EB3" i="27"/>
  <c r="EC3" i="27"/>
  <c r="ED3" i="27"/>
  <c r="EE3" i="27"/>
  <c r="EF3" i="27"/>
  <c r="EG3" i="27"/>
  <c r="EH3" i="27"/>
  <c r="EI3" i="27"/>
  <c r="EJ3" i="27"/>
  <c r="EK3" i="27"/>
  <c r="EL3" i="27"/>
  <c r="EM3" i="27"/>
  <c r="EN3" i="27"/>
  <c r="EO3" i="27"/>
  <c r="EP3" i="27"/>
  <c r="EQ3" i="27"/>
  <c r="ER3" i="27"/>
  <c r="ES3" i="27"/>
  <c r="ET3" i="27"/>
  <c r="EU3" i="27"/>
  <c r="EV3" i="27"/>
  <c r="EW3" i="27"/>
  <c r="EX3" i="27"/>
  <c r="EY3" i="27"/>
  <c r="EZ3" i="27"/>
  <c r="FA3" i="27"/>
  <c r="FB3" i="27"/>
  <c r="FC3" i="27"/>
  <c r="FD3" i="27"/>
  <c r="FE3" i="27"/>
  <c r="FF3" i="27"/>
  <c r="FG3" i="27"/>
  <c r="FH3" i="27"/>
  <c r="FI3" i="27"/>
  <c r="FJ3" i="27"/>
  <c r="FK3" i="27"/>
  <c r="FL3" i="27"/>
  <c r="FM3" i="27"/>
  <c r="FN3" i="27"/>
  <c r="FO3" i="27"/>
  <c r="FP3" i="27"/>
  <c r="FQ3" i="27"/>
  <c r="FR3" i="27"/>
  <c r="FS3" i="27"/>
  <c r="FT3" i="27"/>
  <c r="FU3" i="27"/>
  <c r="FV3" i="27"/>
  <c r="FW3" i="27"/>
  <c r="FX3" i="27"/>
  <c r="FY3" i="27"/>
  <c r="FZ3" i="27"/>
  <c r="GA3" i="27"/>
  <c r="GB3" i="27"/>
  <c r="GC3" i="27"/>
  <c r="GD3" i="27"/>
  <c r="GE3" i="27"/>
  <c r="GF3" i="27"/>
  <c r="GG3" i="27"/>
  <c r="GH3" i="27"/>
  <c r="GI3" i="27"/>
  <c r="GJ3" i="27"/>
  <c r="GK3" i="27"/>
  <c r="GL3" i="27"/>
  <c r="GM3" i="27"/>
  <c r="GN3" i="27"/>
  <c r="GO3" i="27"/>
  <c r="GP3" i="27"/>
  <c r="GQ3" i="27"/>
  <c r="GR3" i="27"/>
  <c r="GS3" i="27"/>
  <c r="GT3" i="27"/>
  <c r="GU3" i="27"/>
  <c r="GV3" i="27"/>
  <c r="GW3" i="27"/>
  <c r="GX3" i="27"/>
  <c r="GY3" i="27"/>
  <c r="GZ3" i="27"/>
  <c r="HA3" i="27"/>
  <c r="HB3" i="27"/>
  <c r="HC3" i="27"/>
  <c r="HD3" i="27"/>
  <c r="HE3" i="27"/>
  <c r="HF3" i="27"/>
  <c r="HG3" i="27"/>
  <c r="HH3" i="27"/>
  <c r="HI3" i="27"/>
  <c r="HJ3" i="27"/>
  <c r="HK3" i="27"/>
  <c r="HL3" i="27"/>
  <c r="HM3" i="27"/>
  <c r="HN3" i="27"/>
  <c r="HO3" i="27"/>
  <c r="HP3" i="27"/>
  <c r="HQ3" i="27"/>
  <c r="HR3" i="27"/>
  <c r="HS3" i="27"/>
  <c r="HT3" i="27"/>
  <c r="HU3" i="27"/>
  <c r="HV3" i="27"/>
  <c r="HW3" i="27"/>
  <c r="HX3" i="27"/>
  <c r="HY3" i="27"/>
  <c r="HZ3" i="27"/>
  <c r="IA3" i="27"/>
  <c r="IB3" i="27"/>
  <c r="IC3" i="27"/>
  <c r="ID3" i="27"/>
  <c r="IE3" i="27"/>
  <c r="IF3" i="27"/>
  <c r="IG3" i="27"/>
  <c r="IH3" i="27"/>
  <c r="II3" i="27"/>
  <c r="IJ3" i="27"/>
  <c r="IK3" i="27"/>
  <c r="IL3" i="27"/>
  <c r="IM3" i="27"/>
  <c r="IN3" i="27"/>
  <c r="IO3" i="27"/>
  <c r="IP3" i="27"/>
  <c r="IQ3" i="27"/>
  <c r="IR3" i="27"/>
  <c r="IS3" i="27"/>
  <c r="IT3" i="27"/>
  <c r="IU3" i="27"/>
  <c r="IV3" i="27"/>
  <c r="A2" i="27"/>
  <c r="B2" i="27"/>
  <c r="C2" i="27"/>
  <c r="D2" i="27"/>
  <c r="E2" i="27"/>
  <c r="F2" i="27"/>
  <c r="G2" i="27"/>
  <c r="H2" i="27"/>
  <c r="I2" i="27"/>
  <c r="J2" i="27"/>
  <c r="K2" i="27"/>
  <c r="L2" i="27"/>
  <c r="M2" i="27"/>
  <c r="N2" i="27"/>
  <c r="O2" i="27"/>
  <c r="P2" i="27"/>
  <c r="Q2" i="27"/>
  <c r="R2" i="27"/>
  <c r="S2" i="27"/>
  <c r="T2" i="27"/>
  <c r="U2" i="27"/>
  <c r="V2" i="27"/>
  <c r="W2" i="27"/>
  <c r="X2" i="27"/>
  <c r="Y2" i="27"/>
  <c r="Z2" i="27"/>
  <c r="AA2" i="27"/>
  <c r="AB2" i="27"/>
  <c r="AC2" i="27"/>
  <c r="AD2" i="27"/>
  <c r="AE2" i="27"/>
  <c r="AF2" i="27"/>
  <c r="AG2" i="27"/>
  <c r="AH2" i="27"/>
  <c r="AI2" i="27"/>
  <c r="AJ2" i="27"/>
  <c r="AK2" i="27"/>
  <c r="AL2" i="27"/>
  <c r="AM2" i="27"/>
  <c r="AN2" i="27"/>
  <c r="AO2" i="27"/>
  <c r="AP2" i="27"/>
  <c r="AQ2" i="27"/>
  <c r="AR2" i="27"/>
  <c r="AS2" i="27"/>
  <c r="AT2" i="27"/>
  <c r="AU2" i="27"/>
  <c r="AV2" i="27"/>
  <c r="AW2" i="27"/>
  <c r="AX2" i="27"/>
  <c r="AY2" i="27"/>
  <c r="AZ2" i="27"/>
  <c r="BA2" i="27"/>
  <c r="BB2" i="27"/>
  <c r="BC2" i="27"/>
  <c r="BD2" i="27"/>
  <c r="BE2" i="27"/>
  <c r="BF2" i="27"/>
  <c r="BG2" i="27"/>
  <c r="BH2" i="27"/>
  <c r="BI2" i="27"/>
  <c r="BJ2" i="27"/>
  <c r="BK2" i="27"/>
  <c r="BL2" i="27"/>
  <c r="BM2" i="27"/>
  <c r="BN2" i="27"/>
  <c r="BO2" i="27"/>
  <c r="BP2" i="27"/>
  <c r="BQ2" i="27"/>
  <c r="BR2" i="27"/>
  <c r="BS2" i="27"/>
  <c r="BT2" i="27"/>
  <c r="BU2" i="27"/>
  <c r="BV2" i="27"/>
  <c r="BW2" i="27"/>
  <c r="BX2" i="27"/>
  <c r="BY2" i="27"/>
  <c r="BZ2" i="27"/>
  <c r="CA2" i="27"/>
  <c r="CB2" i="27"/>
  <c r="CC2" i="27"/>
  <c r="CD2" i="27"/>
  <c r="CE2" i="27"/>
  <c r="CF2" i="27"/>
  <c r="CG2" i="27"/>
  <c r="CH2" i="27"/>
  <c r="CI2" i="27"/>
  <c r="CJ2" i="27"/>
  <c r="CK2" i="27"/>
  <c r="CL2" i="27"/>
  <c r="CM2" i="27"/>
  <c r="CN2" i="27"/>
  <c r="CO2" i="27"/>
  <c r="CP2" i="27"/>
  <c r="CQ2" i="27"/>
  <c r="CR2" i="27"/>
  <c r="CS2" i="27"/>
  <c r="CT2" i="27"/>
  <c r="CU2" i="27"/>
  <c r="CV2" i="27"/>
  <c r="CW2" i="27"/>
  <c r="CX2" i="27"/>
  <c r="CY2" i="27"/>
  <c r="CZ2" i="27"/>
  <c r="DA2" i="27"/>
  <c r="DB2" i="27"/>
  <c r="DC2" i="27"/>
  <c r="DD2" i="27"/>
  <c r="DE2" i="27"/>
  <c r="DF2" i="27"/>
  <c r="DG2" i="27"/>
  <c r="DH2" i="27"/>
  <c r="DI2" i="27"/>
  <c r="DJ2" i="27"/>
  <c r="DK2" i="27"/>
  <c r="DL2" i="27"/>
  <c r="DM2" i="27"/>
  <c r="DN2" i="27"/>
  <c r="DO2" i="27"/>
  <c r="DP2" i="27"/>
  <c r="DQ2" i="27"/>
  <c r="DR2" i="27"/>
  <c r="DS2" i="27"/>
  <c r="DT2" i="27"/>
  <c r="DU2" i="27"/>
  <c r="DV2" i="27"/>
  <c r="DW2" i="27"/>
  <c r="DX2" i="27"/>
  <c r="DY2" i="27"/>
  <c r="DZ2" i="27"/>
  <c r="EA2" i="27"/>
  <c r="EB2" i="27"/>
  <c r="EC2" i="27"/>
  <c r="ED2" i="27"/>
  <c r="EE2" i="27"/>
  <c r="EF2" i="27"/>
  <c r="EG2" i="27"/>
  <c r="EH2" i="27"/>
  <c r="EI2" i="27"/>
  <c r="EJ2" i="27"/>
  <c r="EK2" i="27"/>
  <c r="EL2" i="27"/>
  <c r="EM2" i="27"/>
  <c r="EN2" i="27"/>
  <c r="EO2" i="27"/>
  <c r="EP2" i="27"/>
  <c r="EQ2" i="27"/>
  <c r="ER2" i="27"/>
  <c r="ES2" i="27"/>
  <c r="ET2" i="27"/>
  <c r="EU2" i="27"/>
  <c r="EV2" i="27"/>
  <c r="EW2" i="27"/>
  <c r="EX2" i="27"/>
  <c r="EY2" i="27"/>
  <c r="EZ2" i="27"/>
  <c r="FA2" i="27"/>
  <c r="FB2" i="27"/>
  <c r="FC2" i="27"/>
  <c r="FD2" i="27"/>
  <c r="FE2" i="27"/>
  <c r="FF2" i="27"/>
  <c r="FG2" i="27"/>
  <c r="FH2" i="27"/>
  <c r="FI2" i="27"/>
  <c r="FJ2" i="27"/>
  <c r="FK2" i="27"/>
  <c r="FL2" i="27"/>
  <c r="FM2" i="27"/>
  <c r="FN2" i="27"/>
  <c r="FO2" i="27"/>
  <c r="FP2" i="27"/>
  <c r="FQ2" i="27"/>
  <c r="FR2" i="27"/>
  <c r="FS2" i="27"/>
  <c r="FT2" i="27"/>
  <c r="FU2" i="27"/>
  <c r="FV2" i="27"/>
  <c r="FW2" i="27"/>
  <c r="FX2" i="27"/>
  <c r="FY2" i="27"/>
  <c r="FZ2" i="27"/>
  <c r="GA2" i="27"/>
  <c r="GB2" i="27"/>
  <c r="GC2" i="27"/>
  <c r="GD2" i="27"/>
  <c r="GE2" i="27"/>
  <c r="GF2" i="27"/>
  <c r="GG2" i="27"/>
  <c r="GH2" i="27"/>
  <c r="GI2" i="27"/>
  <c r="GJ2" i="27"/>
  <c r="GK2" i="27"/>
  <c r="GL2" i="27"/>
  <c r="GM2" i="27"/>
  <c r="GN2" i="27"/>
  <c r="GO2" i="27"/>
  <c r="GP2" i="27"/>
  <c r="GQ2" i="27"/>
  <c r="GR2" i="27"/>
  <c r="GS2" i="27"/>
  <c r="GT2" i="27"/>
  <c r="GU2" i="27"/>
  <c r="GV2" i="27"/>
  <c r="GW2" i="27"/>
  <c r="GX2" i="27"/>
  <c r="GY2" i="27"/>
  <c r="GZ2" i="27"/>
  <c r="HA2" i="27"/>
  <c r="HB2" i="27"/>
  <c r="HC2" i="27"/>
  <c r="HD2" i="27"/>
  <c r="HE2" i="27"/>
  <c r="HF2" i="27"/>
  <c r="HG2" i="27"/>
  <c r="HH2" i="27"/>
  <c r="HI2" i="27"/>
  <c r="HJ2" i="27"/>
  <c r="HK2" i="27"/>
  <c r="HL2" i="27"/>
  <c r="HM2" i="27"/>
  <c r="HN2" i="27"/>
  <c r="HO2" i="27"/>
  <c r="HP2" i="27"/>
  <c r="HQ2" i="27"/>
  <c r="HR2" i="27"/>
  <c r="HS2" i="27"/>
  <c r="HT2" i="27"/>
  <c r="HU2" i="27"/>
  <c r="HV2" i="27"/>
  <c r="HW2" i="27"/>
  <c r="HX2" i="27"/>
  <c r="HY2" i="27"/>
  <c r="HZ2" i="27"/>
  <c r="IA2" i="27"/>
  <c r="IB2" i="27"/>
  <c r="IC2" i="27"/>
  <c r="ID2" i="27"/>
  <c r="IE2" i="27"/>
  <c r="IF2" i="27"/>
  <c r="IG2" i="27"/>
  <c r="IH2" i="27"/>
  <c r="II2" i="27"/>
  <c r="IJ2" i="27"/>
  <c r="IK2" i="27"/>
  <c r="IL2" i="27"/>
  <c r="IM2" i="27"/>
  <c r="IN2" i="27"/>
  <c r="IO2" i="27"/>
  <c r="IP2" i="27"/>
  <c r="IQ2" i="27"/>
  <c r="IR2" i="27"/>
  <c r="IS2" i="27"/>
  <c r="IT2" i="27"/>
  <c r="IU2" i="27"/>
  <c r="IV2" i="27"/>
  <c r="A1" i="27"/>
  <c r="B1" i="27"/>
  <c r="C1" i="27"/>
  <c r="D1" i="27"/>
  <c r="E1" i="27"/>
  <c r="F1" i="27"/>
  <c r="G1" i="27"/>
  <c r="H1" i="27"/>
  <c r="I1" i="27"/>
  <c r="J1" i="27"/>
  <c r="K1" i="27"/>
  <c r="L1" i="27"/>
  <c r="M1" i="27"/>
  <c r="N1" i="27"/>
  <c r="O1" i="27"/>
  <c r="P1" i="27"/>
  <c r="Q1" i="27"/>
  <c r="R1" i="27"/>
  <c r="S1" i="27"/>
  <c r="T1" i="27"/>
  <c r="U1" i="27"/>
  <c r="V1" i="27"/>
  <c r="W1" i="27"/>
  <c r="X1" i="27"/>
  <c r="Y1" i="27"/>
  <c r="Z1" i="27"/>
  <c r="AA1" i="27"/>
  <c r="AB1" i="27"/>
  <c r="AC1" i="27"/>
  <c r="AD1" i="27"/>
  <c r="AE1" i="27"/>
  <c r="AF1" i="27"/>
  <c r="AG1" i="27"/>
  <c r="AH1" i="27"/>
  <c r="AI1" i="27"/>
  <c r="AJ1" i="27"/>
  <c r="AK1" i="27"/>
  <c r="AL1" i="27"/>
  <c r="AM1" i="27"/>
  <c r="AN1" i="27"/>
  <c r="AO1" i="27"/>
  <c r="AP1" i="27"/>
  <c r="AQ1" i="27"/>
  <c r="AR1" i="27"/>
  <c r="AS1" i="27"/>
  <c r="AT1" i="27"/>
  <c r="AU1" i="27"/>
  <c r="AV1" i="27"/>
  <c r="AW1" i="27"/>
  <c r="AX1" i="27"/>
  <c r="AY1" i="27"/>
  <c r="AZ1" i="27"/>
  <c r="BA1" i="27"/>
  <c r="BB1" i="27"/>
  <c r="BC1" i="27"/>
  <c r="BD1" i="27"/>
  <c r="BE1" i="27"/>
  <c r="BF1" i="27"/>
  <c r="BG1" i="27"/>
  <c r="BH1" i="27"/>
  <c r="BI1" i="27"/>
  <c r="BJ1" i="27"/>
  <c r="BK1" i="27"/>
  <c r="BL1" i="27"/>
  <c r="BM1" i="27"/>
  <c r="BN1" i="27"/>
  <c r="BO1" i="27"/>
  <c r="BP1" i="27"/>
  <c r="BQ1" i="27"/>
  <c r="BR1" i="27"/>
  <c r="BS1" i="27"/>
  <c r="BT1" i="27"/>
  <c r="BU1" i="27"/>
  <c r="BV1" i="27"/>
  <c r="BW1" i="27"/>
  <c r="BX1" i="27"/>
  <c r="BY1" i="27"/>
  <c r="BZ1" i="27"/>
  <c r="CA1" i="27"/>
  <c r="CB1" i="27"/>
  <c r="CC1" i="27"/>
  <c r="CD1" i="27"/>
  <c r="CE1" i="27"/>
  <c r="CF1" i="27"/>
  <c r="CG1" i="27"/>
  <c r="CH1" i="27"/>
  <c r="CI1" i="27"/>
  <c r="CJ1" i="27"/>
  <c r="CK1" i="27"/>
  <c r="CL1" i="27"/>
  <c r="CM1" i="27"/>
  <c r="CN1" i="27"/>
  <c r="CO1" i="27"/>
  <c r="CP1" i="27"/>
  <c r="CQ1" i="27"/>
  <c r="CR1" i="27"/>
  <c r="CS1" i="27"/>
  <c r="CT1" i="27"/>
  <c r="CU1" i="27"/>
  <c r="CV1" i="27"/>
  <c r="CW1" i="27"/>
  <c r="CX1" i="27"/>
  <c r="CY1" i="27"/>
  <c r="CZ1" i="27"/>
  <c r="DA1" i="27"/>
  <c r="DB1" i="27"/>
  <c r="DC1" i="27"/>
  <c r="DD1" i="27"/>
  <c r="DE1" i="27"/>
  <c r="DF1" i="27"/>
  <c r="DG1" i="27"/>
  <c r="DH1" i="27"/>
  <c r="DI1" i="27"/>
  <c r="DJ1" i="27"/>
  <c r="DK1" i="27"/>
  <c r="DL1" i="27"/>
  <c r="DM1" i="27"/>
  <c r="DN1" i="27"/>
  <c r="DO1" i="27"/>
  <c r="DP1" i="27"/>
  <c r="DQ1" i="27"/>
  <c r="DR1" i="27"/>
  <c r="DS1" i="27"/>
  <c r="DT1" i="27"/>
  <c r="DU1" i="27"/>
  <c r="DV1" i="27"/>
  <c r="DW1" i="27"/>
  <c r="DX1" i="27"/>
  <c r="DY1" i="27"/>
  <c r="DZ1" i="27"/>
  <c r="EA1" i="27"/>
  <c r="EB1" i="27"/>
  <c r="EC1" i="27"/>
  <c r="ED1" i="27"/>
  <c r="EE1" i="27"/>
  <c r="EF1" i="27"/>
  <c r="EG1" i="27"/>
  <c r="EH1" i="27"/>
  <c r="EI1" i="27"/>
  <c r="EJ1" i="27"/>
  <c r="EK1" i="27"/>
  <c r="EL1" i="27"/>
  <c r="EM1" i="27"/>
  <c r="EN1" i="27"/>
  <c r="EO1" i="27"/>
  <c r="EP1" i="27"/>
  <c r="EQ1" i="27"/>
  <c r="ER1" i="27"/>
  <c r="ES1" i="27"/>
  <c r="ET1" i="27"/>
  <c r="EU1" i="27"/>
  <c r="EV1" i="27"/>
  <c r="EW1" i="27"/>
  <c r="EX1" i="27"/>
  <c r="EY1" i="27"/>
  <c r="EZ1" i="27"/>
  <c r="FA1" i="27"/>
  <c r="FB1" i="27"/>
  <c r="FC1" i="27"/>
  <c r="FD1" i="27"/>
  <c r="FE1" i="27"/>
  <c r="FF1" i="27"/>
  <c r="FG1" i="27"/>
  <c r="FH1" i="27"/>
  <c r="FI1" i="27"/>
  <c r="FJ1" i="27"/>
  <c r="FK1" i="27"/>
  <c r="FL1" i="27"/>
  <c r="FM1" i="27"/>
  <c r="FN1" i="27"/>
  <c r="FO1" i="27"/>
  <c r="FP1" i="27"/>
  <c r="FQ1" i="27"/>
  <c r="FR1" i="27"/>
  <c r="FS1" i="27"/>
  <c r="FT1" i="27"/>
  <c r="FU1" i="27"/>
  <c r="FV1" i="27"/>
  <c r="FW1" i="27"/>
  <c r="FX1" i="27"/>
  <c r="FY1" i="27"/>
  <c r="FZ1" i="27"/>
  <c r="GA1" i="27"/>
  <c r="GB1" i="27"/>
  <c r="GC1" i="27"/>
  <c r="GD1" i="27"/>
  <c r="GE1" i="27"/>
  <c r="GF1" i="27"/>
  <c r="GG1" i="27"/>
  <c r="GH1" i="27"/>
  <c r="GI1" i="27"/>
  <c r="GJ1" i="27"/>
  <c r="GK1" i="27"/>
  <c r="GL1" i="27"/>
  <c r="GM1" i="27"/>
  <c r="GN1" i="27"/>
  <c r="GO1" i="27"/>
  <c r="GP1" i="27"/>
  <c r="GQ1" i="27"/>
  <c r="GR1" i="27"/>
  <c r="GS1" i="27"/>
  <c r="GT1" i="27"/>
  <c r="GU1" i="27"/>
  <c r="GV1" i="27"/>
  <c r="GW1" i="27"/>
  <c r="GX1" i="27"/>
  <c r="GY1" i="27"/>
  <c r="GZ1" i="27"/>
  <c r="HA1" i="27"/>
  <c r="HB1" i="27"/>
  <c r="HC1" i="27"/>
  <c r="HD1" i="27"/>
  <c r="HE1" i="27"/>
  <c r="HF1" i="27"/>
  <c r="HG1" i="27"/>
  <c r="HH1" i="27"/>
  <c r="HI1" i="27"/>
  <c r="HJ1" i="27"/>
  <c r="HK1" i="27"/>
  <c r="HL1" i="27"/>
  <c r="HM1" i="27"/>
  <c r="HN1" i="27"/>
  <c r="HO1" i="27"/>
  <c r="HP1" i="27"/>
  <c r="HQ1" i="27"/>
  <c r="HR1" i="27"/>
  <c r="HS1" i="27"/>
  <c r="HT1" i="27"/>
  <c r="HU1" i="27"/>
  <c r="HV1" i="27"/>
  <c r="HW1" i="27"/>
  <c r="HX1" i="27"/>
  <c r="HY1" i="27"/>
  <c r="HZ1" i="27"/>
  <c r="IA1" i="27"/>
  <c r="IB1" i="27"/>
  <c r="IC1" i="27"/>
  <c r="ID1" i="27"/>
  <c r="IE1" i="27"/>
  <c r="IF1" i="27"/>
  <c r="IG1" i="27"/>
  <c r="IH1" i="27"/>
  <c r="II1" i="27"/>
  <c r="IJ1" i="27"/>
  <c r="IK1" i="27"/>
  <c r="IL1" i="27"/>
  <c r="IM1" i="27"/>
  <c r="IN1" i="27"/>
  <c r="IO1" i="27"/>
  <c r="IP1" i="27"/>
  <c r="IQ1" i="27"/>
  <c r="IR1" i="27"/>
  <c r="IS1" i="27"/>
  <c r="IT1" i="27"/>
  <c r="IU1" i="27"/>
  <c r="IV1" i="27"/>
  <c r="K28" i="47"/>
  <c r="IP140" i="27"/>
  <c r="H137" i="27"/>
  <c r="IK140" i="27"/>
  <c r="I136" i="27"/>
  <c r="C9" i="27"/>
  <c r="B153" i="27"/>
  <c r="IK11" i="27"/>
  <c r="IH11" i="27"/>
  <c r="K27" i="47"/>
  <c r="IN140" i="27"/>
  <c r="IR140" i="27"/>
  <c r="AW17" i="27"/>
  <c r="E140" i="27"/>
  <c r="AX17" i="27"/>
  <c r="BA17" i="27"/>
  <c r="AB151" i="27"/>
  <c r="D9" i="27"/>
  <c r="H9" i="27"/>
  <c r="I9" i="27"/>
  <c r="S129" i="42"/>
  <c r="X140" i="42"/>
  <c r="X139" i="42"/>
  <c r="AC140" i="42"/>
  <c r="AC139" i="42"/>
  <c r="AH129" i="42"/>
  <c r="AH140" i="42"/>
  <c r="AH139" i="42"/>
  <c r="AC146" i="56"/>
  <c r="AC147" i="56"/>
  <c r="AC160" i="56"/>
  <c r="AC159" i="56"/>
  <c r="AC145" i="55"/>
  <c r="AC146" i="55"/>
  <c r="AC159" i="55"/>
  <c r="AC158" i="55"/>
  <c r="X147" i="56"/>
  <c r="X146" i="56"/>
  <c r="X159" i="56"/>
  <c r="X160" i="56"/>
  <c r="X145" i="55"/>
  <c r="X146" i="55"/>
  <c r="X158" i="55"/>
  <c r="X159" i="55"/>
  <c r="S146" i="56"/>
  <c r="S147" i="56"/>
  <c r="S160" i="56"/>
  <c r="S159" i="56"/>
  <c r="S145" i="55"/>
  <c r="S146" i="55"/>
  <c r="S158" i="55"/>
  <c r="S159" i="55"/>
  <c r="X162" i="51"/>
  <c r="AC162" i="51"/>
  <c r="X161" i="51"/>
  <c r="S162" i="51"/>
  <c r="X149" i="51"/>
  <c r="X148" i="51"/>
  <c r="S149" i="51"/>
  <c r="S148" i="51"/>
  <c r="AC161" i="51"/>
  <c r="S161" i="51"/>
  <c r="AC148" i="51"/>
  <c r="AC149" i="51"/>
  <c r="AC165" i="53"/>
  <c r="AC164" i="53"/>
  <c r="AC152" i="53"/>
  <c r="AC151" i="53"/>
  <c r="S151" i="53"/>
  <c r="S152" i="53"/>
  <c r="S164" i="53"/>
  <c r="S165" i="53"/>
  <c r="X151" i="53"/>
  <c r="X152" i="53"/>
  <c r="X164" i="53"/>
  <c r="X165" i="53"/>
  <c r="AC146" i="57"/>
  <c r="AC145" i="57"/>
  <c r="AC159" i="57"/>
  <c r="AC158" i="57"/>
  <c r="X159" i="57"/>
  <c r="X158" i="57"/>
  <c r="X146" i="57"/>
  <c r="X145" i="57"/>
  <c r="S146" i="57"/>
  <c r="S145" i="57"/>
  <c r="S159" i="57"/>
  <c r="S158" i="57"/>
  <c r="S131" i="42"/>
  <c r="S158" i="42"/>
  <c r="AC160" i="42"/>
  <c r="AC161" i="42"/>
  <c r="X161" i="42"/>
  <c r="X160" i="42"/>
  <c r="AC148" i="42"/>
  <c r="AC147" i="42"/>
  <c r="X148" i="42"/>
  <c r="X147" i="42"/>
  <c r="AH146" i="55"/>
  <c r="AH145" i="55"/>
  <c r="AH159" i="55"/>
  <c r="AH158" i="55"/>
  <c r="AH152" i="53"/>
  <c r="AH151" i="53"/>
  <c r="AH165" i="53"/>
  <c r="AH164" i="53"/>
  <c r="AH158" i="42"/>
  <c r="AH161" i="42"/>
  <c r="AH148" i="42"/>
  <c r="AH147" i="42"/>
  <c r="AH160" i="42"/>
  <c r="C61" i="47" l="1"/>
  <c r="F55" i="47"/>
  <c r="C25" i="42"/>
  <c r="L4" i="42" s="1"/>
  <c r="I16" i="47"/>
  <c r="E5" i="41"/>
  <c r="I17" i="47"/>
  <c r="E6" i="41"/>
  <c r="I15" i="47"/>
  <c r="S128" i="57"/>
  <c r="S130" i="57" s="1"/>
  <c r="S143" i="57" s="1"/>
  <c r="S155" i="57" s="1"/>
  <c r="D159" i="57"/>
  <c r="L10" i="47"/>
  <c r="AC128" i="57"/>
  <c r="AC135" i="57" s="1"/>
  <c r="F103" i="57"/>
  <c r="G103" i="57" s="1"/>
  <c r="H103" i="57" s="1"/>
  <c r="I103" i="57" s="1"/>
  <c r="X128" i="57"/>
  <c r="X135" i="57" s="1"/>
  <c r="W94" i="47"/>
  <c r="AE94" i="47"/>
  <c r="D155" i="53"/>
  <c r="D157" i="53" s="1"/>
  <c r="D163" i="53" s="1"/>
  <c r="S134" i="53"/>
  <c r="S141" i="53" s="1"/>
  <c r="AH134" i="53"/>
  <c r="AH141" i="53" s="1"/>
  <c r="AA94" i="47"/>
  <c r="S94" i="47"/>
  <c r="X128" i="55"/>
  <c r="X135" i="55" s="1"/>
  <c r="AH128" i="55"/>
  <c r="AH135" i="55" s="1"/>
  <c r="D149" i="55"/>
  <c r="D151" i="55" s="1"/>
  <c r="D157" i="55" s="1"/>
  <c r="AC128" i="55"/>
  <c r="AC135" i="55" s="1"/>
  <c r="L7" i="56"/>
  <c r="F17" i="47" s="1"/>
  <c r="AC129" i="56"/>
  <c r="AC136" i="56" s="1"/>
  <c r="AF94" i="47"/>
  <c r="AB94" i="47"/>
  <c r="P94" i="47"/>
  <c r="L94" i="47"/>
  <c r="D94" i="47"/>
  <c r="Y93" i="47"/>
  <c r="Q93" i="47"/>
  <c r="I93" i="47"/>
  <c r="S129" i="56"/>
  <c r="S136" i="56" s="1"/>
  <c r="X129" i="56"/>
  <c r="X131" i="56" s="1"/>
  <c r="X144" i="56" s="1"/>
  <c r="X156" i="56" s="1"/>
  <c r="L7" i="53"/>
  <c r="D17" i="47" s="1"/>
  <c r="X134" i="53"/>
  <c r="X141" i="53" s="1"/>
  <c r="H58" i="47"/>
  <c r="D152" i="56"/>
  <c r="D158" i="56" s="1"/>
  <c r="F93" i="47"/>
  <c r="L7" i="55"/>
  <c r="C17" i="47" s="1"/>
  <c r="H77" i="47"/>
  <c r="S128" i="55"/>
  <c r="S135" i="55" s="1"/>
  <c r="H76" i="47"/>
  <c r="AB95" i="47"/>
  <c r="D160" i="42"/>
  <c r="B10" i="47"/>
  <c r="S95" i="47"/>
  <c r="U95" i="47"/>
  <c r="AF95" i="47"/>
  <c r="E95" i="47"/>
  <c r="D95" i="47"/>
  <c r="Z95" i="47"/>
  <c r="M95" i="47"/>
  <c r="B27" i="41"/>
  <c r="B33" i="41" s="1"/>
  <c r="H63" i="47"/>
  <c r="C94" i="47"/>
  <c r="Y94" i="47"/>
  <c r="U94" i="47"/>
  <c r="S131" i="51"/>
  <c r="E27" i="47"/>
  <c r="E14" i="47"/>
  <c r="E68" i="47" s="1"/>
  <c r="D164" i="53"/>
  <c r="F10" i="47"/>
  <c r="D165" i="53"/>
  <c r="H93" i="47"/>
  <c r="D54" i="56"/>
  <c r="E100" i="51"/>
  <c r="H175" i="51" s="1"/>
  <c r="G168" i="51"/>
  <c r="I169" i="51" s="1"/>
  <c r="G166" i="56"/>
  <c r="I167" i="56" s="1"/>
  <c r="F61" i="47"/>
  <c r="Q105" i="47"/>
  <c r="E98" i="57"/>
  <c r="D152" i="51"/>
  <c r="D154" i="51" s="1"/>
  <c r="D160" i="51" s="1"/>
  <c r="AC134" i="53"/>
  <c r="D16" i="47"/>
  <c r="C93" i="47"/>
  <c r="AD94" i="47"/>
  <c r="Z94" i="47"/>
  <c r="V94" i="47"/>
  <c r="O94" i="47"/>
  <c r="K94" i="47"/>
  <c r="G94" i="47"/>
  <c r="AB93" i="47"/>
  <c r="X93" i="47"/>
  <c r="T93" i="47"/>
  <c r="P93" i="47"/>
  <c r="L93" i="47"/>
  <c r="X131" i="51"/>
  <c r="X138" i="51" s="1"/>
  <c r="G95" i="47"/>
  <c r="R95" i="47"/>
  <c r="AC95" i="47"/>
  <c r="AD95" i="47"/>
  <c r="C28" i="47"/>
  <c r="D47" i="55"/>
  <c r="J95" i="47"/>
  <c r="D45" i="57"/>
  <c r="D46" i="57" s="1"/>
  <c r="G32" i="47"/>
  <c r="E91" i="57"/>
  <c r="E94" i="57" s="1"/>
  <c r="G14" i="47"/>
  <c r="G68" i="47" s="1"/>
  <c r="E85" i="57"/>
  <c r="AA95" i="47"/>
  <c r="G16" i="47"/>
  <c r="L8" i="57"/>
  <c r="C28" i="57" s="1"/>
  <c r="C29" i="57" s="1"/>
  <c r="D133" i="57" s="1"/>
  <c r="R94" i="47"/>
  <c r="N94" i="47"/>
  <c r="J94" i="47"/>
  <c r="F94" i="47"/>
  <c r="AE93" i="47"/>
  <c r="AA93" i="47"/>
  <c r="W93" i="47"/>
  <c r="S93" i="47"/>
  <c r="O93" i="47"/>
  <c r="K93" i="47"/>
  <c r="D93" i="47"/>
  <c r="AC131" i="51"/>
  <c r="AC133" i="51" s="1"/>
  <c r="AC146" i="51" s="1"/>
  <c r="AC158" i="51" s="1"/>
  <c r="AE95" i="47"/>
  <c r="T94" i="47"/>
  <c r="Q94" i="47"/>
  <c r="I94" i="47"/>
  <c r="E94" i="47"/>
  <c r="AD93" i="47"/>
  <c r="V93" i="47"/>
  <c r="R93" i="47"/>
  <c r="N93" i="47"/>
  <c r="G93" i="47"/>
  <c r="X95" i="47"/>
  <c r="F95" i="47"/>
  <c r="O95" i="47"/>
  <c r="W95" i="47"/>
  <c r="E110" i="42"/>
  <c r="F110" i="42" s="1"/>
  <c r="G110" i="42" s="1"/>
  <c r="E93" i="47"/>
  <c r="N95" i="47"/>
  <c r="V95" i="47"/>
  <c r="X130" i="42"/>
  <c r="V105" i="47"/>
  <c r="C35" i="42"/>
  <c r="G167" i="42"/>
  <c r="I168" i="42" s="1"/>
  <c r="B61" i="47"/>
  <c r="D151" i="42"/>
  <c r="D153" i="42" s="1"/>
  <c r="D159" i="42" s="1"/>
  <c r="P95" i="47"/>
  <c r="M93" i="47"/>
  <c r="U93" i="47"/>
  <c r="H94" i="47"/>
  <c r="X94" i="47"/>
  <c r="L95" i="47"/>
  <c r="T95" i="47"/>
  <c r="S130" i="42"/>
  <c r="S132" i="42" s="1"/>
  <c r="S145" i="42" s="1"/>
  <c r="S157" i="42" s="1"/>
  <c r="Q95" i="47"/>
  <c r="AF93" i="47"/>
  <c r="H74" i="47"/>
  <c r="F131" i="47" s="1"/>
  <c r="H73" i="47"/>
  <c r="B128" i="47" s="1"/>
  <c r="E100" i="42"/>
  <c r="B62" i="47"/>
  <c r="AH130" i="42"/>
  <c r="AA105" i="47"/>
  <c r="AC130" i="42"/>
  <c r="C16" i="47"/>
  <c r="E89" i="57"/>
  <c r="B165" i="57"/>
  <c r="G56" i="47"/>
  <c r="AC93" i="47"/>
  <c r="H73" i="42"/>
  <c r="L5" i="42" s="1"/>
  <c r="D161" i="51"/>
  <c r="H10" i="47"/>
  <c r="D162" i="51"/>
  <c r="D109" i="55"/>
  <c r="L8" i="51"/>
  <c r="AC94" i="47"/>
  <c r="M94" i="47"/>
  <c r="Z93" i="47"/>
  <c r="J93" i="47"/>
  <c r="E62" i="47"/>
  <c r="D159" i="55"/>
  <c r="D158" i="55"/>
  <c r="D10" i="47"/>
  <c r="G171" i="53"/>
  <c r="E103" i="53"/>
  <c r="D58" i="53"/>
  <c r="D28" i="47"/>
  <c r="H95" i="47"/>
  <c r="F15" i="47"/>
  <c r="D160" i="56"/>
  <c r="J10" i="47"/>
  <c r="D53" i="55"/>
  <c r="Y95" i="47"/>
  <c r="I95" i="47"/>
  <c r="K95" i="47"/>
  <c r="E97" i="55"/>
  <c r="I166" i="55"/>
  <c r="C95" i="47"/>
  <c r="E98" i="56"/>
  <c r="D50" i="57"/>
  <c r="H75" i="47"/>
  <c r="H53" i="42"/>
  <c r="X130" i="55" l="1"/>
  <c r="X143" i="55" s="1"/>
  <c r="X155" i="55" s="1"/>
  <c r="S135" i="57"/>
  <c r="E8" i="41"/>
  <c r="I18" i="47"/>
  <c r="B37" i="41"/>
  <c r="AC130" i="57"/>
  <c r="AC143" i="57" s="1"/>
  <c r="AC155" i="57" s="1"/>
  <c r="L9" i="57"/>
  <c r="G19" i="47" s="1"/>
  <c r="X130" i="57"/>
  <c r="X143" i="57" s="1"/>
  <c r="X155" i="57" s="1"/>
  <c r="L8" i="56"/>
  <c r="C26" i="56" s="1"/>
  <c r="F28" i="47"/>
  <c r="C26" i="51"/>
  <c r="C27" i="51" s="1"/>
  <c r="D136" i="51" s="1"/>
  <c r="L9" i="51"/>
  <c r="H517" i="51"/>
  <c r="H451" i="51"/>
  <c r="H365" i="51"/>
  <c r="H473" i="51"/>
  <c r="H326" i="51"/>
  <c r="H215" i="51"/>
  <c r="H410" i="51"/>
  <c r="H400" i="51"/>
  <c r="H246" i="51"/>
  <c r="H439" i="51"/>
  <c r="H422" i="51"/>
  <c r="H485" i="51"/>
  <c r="H527" i="51"/>
  <c r="P155" i="51"/>
  <c r="P160" i="51" s="1"/>
  <c r="H412" i="51"/>
  <c r="H226" i="51"/>
  <c r="H429" i="51"/>
  <c r="H343" i="51"/>
  <c r="H173" i="51"/>
  <c r="H450" i="51"/>
  <c r="H487" i="51"/>
  <c r="H308" i="51"/>
  <c r="H386" i="51"/>
  <c r="H396" i="51"/>
  <c r="H214" i="51"/>
  <c r="H419" i="51"/>
  <c r="H323" i="51"/>
  <c r="H461" i="51"/>
  <c r="H340" i="51"/>
  <c r="H407" i="51"/>
  <c r="H463" i="51"/>
  <c r="H279" i="51"/>
  <c r="H479" i="51"/>
  <c r="H519" i="51"/>
  <c r="H314" i="51"/>
  <c r="H355" i="51"/>
  <c r="H322" i="51"/>
  <c r="H501" i="51"/>
  <c r="W155" i="51"/>
  <c r="W160" i="51" s="1"/>
  <c r="H292" i="51"/>
  <c r="H278" i="51"/>
  <c r="H194" i="51"/>
  <c r="H397" i="51"/>
  <c r="H469" i="51"/>
  <c r="H503" i="51"/>
  <c r="T155" i="51"/>
  <c r="T160" i="51" s="1"/>
  <c r="H344" i="51"/>
  <c r="H268" i="51"/>
  <c r="H182" i="51"/>
  <c r="H387" i="51"/>
  <c r="H259" i="51"/>
  <c r="H358" i="51"/>
  <c r="E64" i="47"/>
  <c r="H236" i="51"/>
  <c r="H195" i="51"/>
  <c r="H495" i="51"/>
  <c r="H316" i="51"/>
  <c r="H204" i="51"/>
  <c r="H301" i="51"/>
  <c r="H471" i="51"/>
  <c r="H511" i="51"/>
  <c r="S155" i="51"/>
  <c r="H426" i="51"/>
  <c r="H258" i="51"/>
  <c r="H172" i="51"/>
  <c r="H375" i="51"/>
  <c r="H237" i="51"/>
  <c r="X133" i="51"/>
  <c r="X146" i="51" s="1"/>
  <c r="X158" i="51" s="1"/>
  <c r="E50" i="51"/>
  <c r="E51" i="51" s="1"/>
  <c r="F48" i="51"/>
  <c r="S136" i="53"/>
  <c r="S149" i="53" s="1"/>
  <c r="S161" i="53" s="1"/>
  <c r="L8" i="55"/>
  <c r="C26" i="55" s="1"/>
  <c r="C27" i="55" s="1"/>
  <c r="AC130" i="55"/>
  <c r="AC143" i="55" s="1"/>
  <c r="AC155" i="55" s="1"/>
  <c r="S130" i="55"/>
  <c r="S143" i="55" s="1"/>
  <c r="S155" i="55" s="1"/>
  <c r="AC138" i="51"/>
  <c r="X136" i="53"/>
  <c r="X149" i="53" s="1"/>
  <c r="X161" i="53" s="1"/>
  <c r="D48" i="56"/>
  <c r="E107" i="56" s="1"/>
  <c r="AC131" i="56"/>
  <c r="AC144" i="56" s="1"/>
  <c r="AC156" i="56" s="1"/>
  <c r="S131" i="56"/>
  <c r="S144" i="56" s="1"/>
  <c r="S156" i="56" s="1"/>
  <c r="X136" i="56"/>
  <c r="V106" i="47"/>
  <c r="V113" i="47" s="1"/>
  <c r="C45" i="51"/>
  <c r="C46" i="51" s="1"/>
  <c r="H333" i="51"/>
  <c r="H311" i="51"/>
  <c r="H291" i="51"/>
  <c r="H269" i="51"/>
  <c r="H247" i="51"/>
  <c r="H227" i="51"/>
  <c r="H205" i="51"/>
  <c r="H183" i="51"/>
  <c r="H294" i="51"/>
  <c r="H436" i="51"/>
  <c r="H465" i="51"/>
  <c r="H477" i="51"/>
  <c r="H493" i="51"/>
  <c r="H509" i="51"/>
  <c r="H525" i="51"/>
  <c r="H448" i="51"/>
  <c r="H368" i="51"/>
  <c r="H402" i="51"/>
  <c r="H360" i="51"/>
  <c r="H346" i="51"/>
  <c r="H332" i="51"/>
  <c r="H270" i="51"/>
  <c r="H250" i="51"/>
  <c r="H228" i="51"/>
  <c r="H206" i="51"/>
  <c r="H186" i="51"/>
  <c r="H453" i="51"/>
  <c r="H431" i="51"/>
  <c r="H411" i="51"/>
  <c r="H389" i="51"/>
  <c r="H367" i="51"/>
  <c r="H347" i="51"/>
  <c r="H325" i="51"/>
  <c r="H303" i="51"/>
  <c r="H283" i="51"/>
  <c r="H261" i="51"/>
  <c r="H239" i="51"/>
  <c r="H219" i="51"/>
  <c r="H197" i="51"/>
  <c r="H169" i="51"/>
  <c r="J169" i="51" s="1"/>
  <c r="H179" i="51"/>
  <c r="H189" i="51"/>
  <c r="H199" i="51"/>
  <c r="H211" i="51"/>
  <c r="H221" i="51"/>
  <c r="H231" i="51"/>
  <c r="H243" i="51"/>
  <c r="H253" i="51"/>
  <c r="H263" i="51"/>
  <c r="H275" i="51"/>
  <c r="H285" i="51"/>
  <c r="H295" i="51"/>
  <c r="H307" i="51"/>
  <c r="H317" i="51"/>
  <c r="H327" i="51"/>
  <c r="H339" i="51"/>
  <c r="H349" i="51"/>
  <c r="H359" i="51"/>
  <c r="H371" i="51"/>
  <c r="H381" i="51"/>
  <c r="H391" i="51"/>
  <c r="H403" i="51"/>
  <c r="H413" i="51"/>
  <c r="H423" i="51"/>
  <c r="H435" i="51"/>
  <c r="H445" i="51"/>
  <c r="H455" i="51"/>
  <c r="H178" i="51"/>
  <c r="H188" i="51"/>
  <c r="H198" i="51"/>
  <c r="H210" i="51"/>
  <c r="H220" i="51"/>
  <c r="H230" i="51"/>
  <c r="H242" i="51"/>
  <c r="H252" i="51"/>
  <c r="H262" i="51"/>
  <c r="H274" i="51"/>
  <c r="H284" i="51"/>
  <c r="H348" i="51"/>
  <c r="H288" i="51"/>
  <c r="H362" i="51"/>
  <c r="H296" i="51"/>
  <c r="H392" i="51"/>
  <c r="H338" i="51"/>
  <c r="H418" i="51"/>
  <c r="H440" i="51"/>
  <c r="H336" i="51"/>
  <c r="AD155" i="51"/>
  <c r="AD160" i="51" s="1"/>
  <c r="H404" i="51"/>
  <c r="AG155" i="51"/>
  <c r="AG160" i="51" s="1"/>
  <c r="H523" i="51"/>
  <c r="H515" i="51"/>
  <c r="H507" i="51"/>
  <c r="H499" i="51"/>
  <c r="H491" i="51"/>
  <c r="H483" i="51"/>
  <c r="H475" i="51"/>
  <c r="H467" i="51"/>
  <c r="H459" i="51"/>
  <c r="H390" i="51"/>
  <c r="H405" i="51"/>
  <c r="H170" i="51"/>
  <c r="H190" i="51"/>
  <c r="H202" i="51"/>
  <c r="H222" i="51"/>
  <c r="H234" i="51"/>
  <c r="H254" i="51"/>
  <c r="H266" i="51"/>
  <c r="H276" i="51"/>
  <c r="H380" i="51"/>
  <c r="H298" i="51"/>
  <c r="H378" i="51"/>
  <c r="H408" i="51"/>
  <c r="H354" i="51"/>
  <c r="X155" i="51"/>
  <c r="H430" i="51"/>
  <c r="Q155" i="51"/>
  <c r="Q160" i="51" s="1"/>
  <c r="H372" i="51"/>
  <c r="Y155" i="51"/>
  <c r="Y160" i="51" s="1"/>
  <c r="H513" i="51"/>
  <c r="H505" i="51"/>
  <c r="H497" i="51"/>
  <c r="H481" i="51"/>
  <c r="H171" i="51"/>
  <c r="H181" i="51"/>
  <c r="H191" i="51"/>
  <c r="H203" i="51"/>
  <c r="H213" i="51"/>
  <c r="H223" i="51"/>
  <c r="H235" i="51"/>
  <c r="H245" i="51"/>
  <c r="H255" i="51"/>
  <c r="H267" i="51"/>
  <c r="H277" i="51"/>
  <c r="H287" i="51"/>
  <c r="H299" i="51"/>
  <c r="H309" i="51"/>
  <c r="H319" i="51"/>
  <c r="H331" i="51"/>
  <c r="H341" i="51"/>
  <c r="H351" i="51"/>
  <c r="H363" i="51"/>
  <c r="H373" i="51"/>
  <c r="H383" i="51"/>
  <c r="H395" i="51"/>
  <c r="H415" i="51"/>
  <c r="H427" i="51"/>
  <c r="H437" i="51"/>
  <c r="H447" i="51"/>
  <c r="H180" i="51"/>
  <c r="H212" i="51"/>
  <c r="H244" i="51"/>
  <c r="H286" i="51"/>
  <c r="H328" i="51"/>
  <c r="H304" i="51"/>
  <c r="H521" i="51"/>
  <c r="H489" i="51"/>
  <c r="H282" i="51"/>
  <c r="H260" i="51"/>
  <c r="H238" i="51"/>
  <c r="H218" i="51"/>
  <c r="H196" i="51"/>
  <c r="H174" i="51"/>
  <c r="H443" i="51"/>
  <c r="H421" i="51"/>
  <c r="H399" i="51"/>
  <c r="H379" i="51"/>
  <c r="H357" i="51"/>
  <c r="H335" i="51"/>
  <c r="H315" i="51"/>
  <c r="H293" i="51"/>
  <c r="H271" i="51"/>
  <c r="H251" i="51"/>
  <c r="H229" i="51"/>
  <c r="H207" i="51"/>
  <c r="H187" i="51"/>
  <c r="L8" i="53"/>
  <c r="H16" i="47"/>
  <c r="C49" i="51"/>
  <c r="E28" i="47" s="1"/>
  <c r="C35" i="51"/>
  <c r="G165" i="57"/>
  <c r="I166" i="57" s="1"/>
  <c r="G61" i="47"/>
  <c r="H61" i="47" s="1"/>
  <c r="B127" i="47" s="1"/>
  <c r="B129" i="47" s="1"/>
  <c r="B135" i="47" s="1"/>
  <c r="D149" i="57"/>
  <c r="D151" i="57" s="1"/>
  <c r="D157" i="57" s="1"/>
  <c r="E95" i="57"/>
  <c r="E99" i="57" s="1"/>
  <c r="D48" i="55"/>
  <c r="D49" i="55" s="1"/>
  <c r="E106" i="55"/>
  <c r="C32" i="47"/>
  <c r="AC136" i="53"/>
  <c r="AC149" i="53" s="1"/>
  <c r="AC161" i="53" s="1"/>
  <c r="AC141" i="53"/>
  <c r="F14" i="47"/>
  <c r="F68" i="47" s="1"/>
  <c r="C79" i="56"/>
  <c r="H434" i="51"/>
  <c r="H370" i="51"/>
  <c r="H306" i="51"/>
  <c r="H376" i="51"/>
  <c r="H312" i="51"/>
  <c r="H394" i="51"/>
  <c r="H330" i="51"/>
  <c r="H428" i="51"/>
  <c r="H364" i="51"/>
  <c r="H300" i="51"/>
  <c r="H280" i="51"/>
  <c r="H272" i="51"/>
  <c r="H264" i="51"/>
  <c r="H256" i="51"/>
  <c r="H248" i="51"/>
  <c r="H240" i="51"/>
  <c r="H232" i="51"/>
  <c r="H224" i="51"/>
  <c r="H216" i="51"/>
  <c r="H208" i="51"/>
  <c r="H200" i="51"/>
  <c r="H192" i="51"/>
  <c r="H184" i="51"/>
  <c r="H176" i="51"/>
  <c r="H457" i="51"/>
  <c r="H449" i="51"/>
  <c r="H441" i="51"/>
  <c r="H433" i="51"/>
  <c r="H425" i="51"/>
  <c r="H417" i="51"/>
  <c r="H409" i="51"/>
  <c r="H401" i="51"/>
  <c r="H393" i="51"/>
  <c r="H385" i="51"/>
  <c r="H377" i="51"/>
  <c r="H369" i="51"/>
  <c r="H361" i="51"/>
  <c r="H353" i="51"/>
  <c r="H345" i="51"/>
  <c r="H337" i="51"/>
  <c r="H329" i="51"/>
  <c r="H321" i="51"/>
  <c r="H313" i="51"/>
  <c r="H305" i="51"/>
  <c r="H297" i="51"/>
  <c r="H289" i="51"/>
  <c r="H281" i="51"/>
  <c r="H273" i="51"/>
  <c r="H265" i="51"/>
  <c r="H257" i="51"/>
  <c r="H249" i="51"/>
  <c r="H241" i="51"/>
  <c r="H233" i="51"/>
  <c r="H225" i="51"/>
  <c r="H217" i="51"/>
  <c r="H209" i="51"/>
  <c r="H201" i="51"/>
  <c r="H193" i="51"/>
  <c r="H185" i="51"/>
  <c r="H177" i="51"/>
  <c r="G18" i="47"/>
  <c r="G69" i="47" s="1"/>
  <c r="G70" i="47" s="1"/>
  <c r="E104" i="57"/>
  <c r="G33" i="47"/>
  <c r="J103" i="57"/>
  <c r="S138" i="51"/>
  <c r="S133" i="51"/>
  <c r="S146" i="51" s="1"/>
  <c r="S158" i="51" s="1"/>
  <c r="H318" i="51"/>
  <c r="H342" i="51"/>
  <c r="H366" i="51"/>
  <c r="H388" i="51"/>
  <c r="H416" i="51"/>
  <c r="H438" i="51"/>
  <c r="H452" i="51"/>
  <c r="H460" i="51"/>
  <c r="H468" i="51"/>
  <c r="H476" i="51"/>
  <c r="H484" i="51"/>
  <c r="H492" i="51"/>
  <c r="H500" i="51"/>
  <c r="H508" i="51"/>
  <c r="H516" i="51"/>
  <c r="H524" i="51"/>
  <c r="H290" i="51"/>
  <c r="H320" i="51"/>
  <c r="H350" i="51"/>
  <c r="H374" i="51"/>
  <c r="H398" i="51"/>
  <c r="H420" i="51"/>
  <c r="H442" i="51"/>
  <c r="H454" i="51"/>
  <c r="H462" i="51"/>
  <c r="H470" i="51"/>
  <c r="H478" i="51"/>
  <c r="H486" i="51"/>
  <c r="H494" i="51"/>
  <c r="H502" i="51"/>
  <c r="H510" i="51"/>
  <c r="H518" i="51"/>
  <c r="H526" i="51"/>
  <c r="H324" i="51"/>
  <c r="H382" i="51"/>
  <c r="H424" i="51"/>
  <c r="H456" i="51"/>
  <c r="H472" i="51"/>
  <c r="H488" i="51"/>
  <c r="H504" i="51"/>
  <c r="H520" i="51"/>
  <c r="F155" i="51"/>
  <c r="F160" i="51" s="1"/>
  <c r="E155" i="51"/>
  <c r="E160" i="51" s="1"/>
  <c r="L155" i="51"/>
  <c r="L160" i="51" s="1"/>
  <c r="AA155" i="51"/>
  <c r="AA160" i="51" s="1"/>
  <c r="AB155" i="51"/>
  <c r="AB160" i="51" s="1"/>
  <c r="H302" i="51"/>
  <c r="H356" i="51"/>
  <c r="H432" i="51"/>
  <c r="H464" i="51"/>
  <c r="H482" i="51"/>
  <c r="H506" i="51"/>
  <c r="H528" i="51"/>
  <c r="O155" i="51"/>
  <c r="O160" i="51" s="1"/>
  <c r="AF155" i="51"/>
  <c r="AF160" i="51" s="1"/>
  <c r="J155" i="51"/>
  <c r="J160" i="51" s="1"/>
  <c r="H334" i="51"/>
  <c r="H406" i="51"/>
  <c r="H446" i="51"/>
  <c r="H474" i="51"/>
  <c r="H496" i="51"/>
  <c r="H514" i="51"/>
  <c r="Z155" i="51"/>
  <c r="Z160" i="51" s="1"/>
  <c r="AH155" i="51"/>
  <c r="K155" i="51"/>
  <c r="K160" i="51" s="1"/>
  <c r="I155" i="51"/>
  <c r="I160" i="51" s="1"/>
  <c r="H310" i="51"/>
  <c r="H384" i="51"/>
  <c r="H444" i="51"/>
  <c r="H466" i="51"/>
  <c r="H490" i="51"/>
  <c r="H512" i="51"/>
  <c r="G155" i="51"/>
  <c r="G160" i="51" s="1"/>
  <c r="N155" i="51"/>
  <c r="AC155" i="51"/>
  <c r="AC160" i="51" s="1"/>
  <c r="R155" i="51"/>
  <c r="R160" i="51" s="1"/>
  <c r="V155" i="51"/>
  <c r="V160" i="51" s="1"/>
  <c r="H352" i="51"/>
  <c r="H414" i="51"/>
  <c r="H458" i="51"/>
  <c r="H480" i="51"/>
  <c r="H498" i="51"/>
  <c r="H522" i="51"/>
  <c r="AE155" i="51"/>
  <c r="AE160" i="51" s="1"/>
  <c r="H155" i="51"/>
  <c r="H160" i="51" s="1"/>
  <c r="M155" i="51"/>
  <c r="M160" i="51" s="1"/>
  <c r="U155" i="51"/>
  <c r="U160" i="51" s="1"/>
  <c r="X137" i="42"/>
  <c r="X132" i="42"/>
  <c r="X145" i="42" s="1"/>
  <c r="X157" i="42" s="1"/>
  <c r="L7" i="42"/>
  <c r="B17" i="47" s="1"/>
  <c r="H17" i="47" s="1"/>
  <c r="C49" i="42"/>
  <c r="B28" i="47" s="1"/>
  <c r="S137" i="42"/>
  <c r="Q106" i="47"/>
  <c r="Q107" i="47" s="1"/>
  <c r="B27" i="47"/>
  <c r="E56" i="42"/>
  <c r="E49" i="42"/>
  <c r="W131" i="47"/>
  <c r="AE131" i="47"/>
  <c r="K131" i="47"/>
  <c r="G131" i="47"/>
  <c r="AC131" i="47"/>
  <c r="P131" i="47"/>
  <c r="H131" i="47"/>
  <c r="I131" i="47"/>
  <c r="Q131" i="47"/>
  <c r="C131" i="47"/>
  <c r="Z131" i="47"/>
  <c r="E131" i="47"/>
  <c r="D131" i="47"/>
  <c r="O131" i="47"/>
  <c r="M131" i="47"/>
  <c r="L131" i="47"/>
  <c r="J131" i="47"/>
  <c r="AA131" i="47"/>
  <c r="AB131" i="47"/>
  <c r="AD131" i="47"/>
  <c r="S131" i="47"/>
  <c r="T131" i="47"/>
  <c r="U131" i="47"/>
  <c r="X131" i="47"/>
  <c r="R131" i="47"/>
  <c r="AF131" i="47"/>
  <c r="N131" i="47"/>
  <c r="Y131" i="47"/>
  <c r="V131" i="47"/>
  <c r="H173" i="53"/>
  <c r="H175" i="53"/>
  <c r="H177" i="53"/>
  <c r="H179" i="53"/>
  <c r="H181" i="53"/>
  <c r="H183" i="53"/>
  <c r="H185" i="53"/>
  <c r="H187" i="53"/>
  <c r="H189" i="53"/>
  <c r="H191" i="53"/>
  <c r="H193" i="53"/>
  <c r="H195" i="53"/>
  <c r="H197" i="53"/>
  <c r="H199" i="53"/>
  <c r="H201" i="53"/>
  <c r="H203" i="53"/>
  <c r="H205" i="53"/>
  <c r="H207" i="53"/>
  <c r="H209" i="53"/>
  <c r="H211" i="53"/>
  <c r="H213" i="53"/>
  <c r="H215" i="53"/>
  <c r="H217" i="53"/>
  <c r="H219" i="53"/>
  <c r="H221" i="53"/>
  <c r="H223" i="53"/>
  <c r="H225" i="53"/>
  <c r="H227" i="53"/>
  <c r="H229" i="53"/>
  <c r="H231" i="53"/>
  <c r="H233" i="53"/>
  <c r="H235" i="53"/>
  <c r="H237" i="53"/>
  <c r="H239" i="53"/>
  <c r="H241" i="53"/>
  <c r="H243" i="53"/>
  <c r="H245" i="53"/>
  <c r="H247" i="53"/>
  <c r="H249" i="53"/>
  <c r="H251" i="53"/>
  <c r="H253" i="53"/>
  <c r="H255" i="53"/>
  <c r="H257" i="53"/>
  <c r="H188" i="53"/>
  <c r="H204" i="53"/>
  <c r="H220" i="53"/>
  <c r="H236" i="53"/>
  <c r="H252" i="53"/>
  <c r="H198" i="53"/>
  <c r="H214" i="53"/>
  <c r="H230" i="53"/>
  <c r="H246" i="53"/>
  <c r="H258" i="53"/>
  <c r="H260" i="53"/>
  <c r="H262" i="53"/>
  <c r="H264" i="53"/>
  <c r="H266" i="53"/>
  <c r="H268" i="53"/>
  <c r="H270" i="53"/>
  <c r="H272" i="53"/>
  <c r="H274" i="53"/>
  <c r="H276" i="53"/>
  <c r="H278" i="53"/>
  <c r="H280" i="53"/>
  <c r="H282" i="53"/>
  <c r="H284" i="53"/>
  <c r="H286" i="53"/>
  <c r="H288" i="53"/>
  <c r="H290" i="53"/>
  <c r="H292" i="53"/>
  <c r="H294" i="53"/>
  <c r="H296" i="53"/>
  <c r="H298" i="53"/>
  <c r="H300" i="53"/>
  <c r="H302" i="53"/>
  <c r="H304" i="53"/>
  <c r="H306" i="53"/>
  <c r="H308" i="53"/>
  <c r="H310" i="53"/>
  <c r="H312" i="53"/>
  <c r="H314" i="53"/>
  <c r="H316" i="53"/>
  <c r="H318" i="53"/>
  <c r="H320" i="53"/>
  <c r="H322" i="53"/>
  <c r="H324" i="53"/>
  <c r="H326" i="53"/>
  <c r="H328" i="53"/>
  <c r="H330" i="53"/>
  <c r="H332" i="53"/>
  <c r="H334" i="53"/>
  <c r="H336" i="53"/>
  <c r="H338" i="53"/>
  <c r="H340" i="53"/>
  <c r="H342" i="53"/>
  <c r="H344" i="53"/>
  <c r="H346" i="53"/>
  <c r="H348" i="53"/>
  <c r="H350" i="53"/>
  <c r="H352" i="53"/>
  <c r="H354" i="53"/>
  <c r="H356" i="53"/>
  <c r="H358" i="53"/>
  <c r="H360" i="53"/>
  <c r="H362" i="53"/>
  <c r="H364" i="53"/>
  <c r="H366" i="53"/>
  <c r="H368" i="53"/>
  <c r="H370" i="53"/>
  <c r="H372" i="53"/>
  <c r="H374" i="53"/>
  <c r="H376" i="53"/>
  <c r="H378" i="53"/>
  <c r="H380" i="53"/>
  <c r="H382" i="53"/>
  <c r="H384" i="53"/>
  <c r="H386" i="53"/>
  <c r="H388" i="53"/>
  <c r="H390" i="53"/>
  <c r="H392" i="53"/>
  <c r="H394" i="53"/>
  <c r="H396" i="53"/>
  <c r="H398" i="53"/>
  <c r="H400" i="53"/>
  <c r="H402" i="53"/>
  <c r="H404" i="53"/>
  <c r="H406" i="53"/>
  <c r="H408" i="53"/>
  <c r="H410" i="53"/>
  <c r="H412" i="53"/>
  <c r="H414" i="53"/>
  <c r="H416" i="53"/>
  <c r="H418" i="53"/>
  <c r="H420" i="53"/>
  <c r="H422" i="53"/>
  <c r="H424" i="53"/>
  <c r="H426" i="53"/>
  <c r="H428" i="53"/>
  <c r="H430" i="53"/>
  <c r="H432" i="53"/>
  <c r="H434" i="53"/>
  <c r="H436" i="53"/>
  <c r="H438" i="53"/>
  <c r="H440" i="53"/>
  <c r="H442" i="53"/>
  <c r="H444" i="53"/>
  <c r="H446" i="53"/>
  <c r="H448" i="53"/>
  <c r="H450" i="53"/>
  <c r="H452" i="53"/>
  <c r="H454" i="53"/>
  <c r="H456" i="53"/>
  <c r="H458" i="53"/>
  <c r="H460" i="53"/>
  <c r="H462" i="53"/>
  <c r="H464" i="53"/>
  <c r="H466" i="53"/>
  <c r="H468" i="53"/>
  <c r="H470" i="53"/>
  <c r="H472" i="53"/>
  <c r="H474" i="53"/>
  <c r="H476" i="53"/>
  <c r="H478" i="53"/>
  <c r="H480" i="53"/>
  <c r="H482" i="53"/>
  <c r="H484" i="53"/>
  <c r="H486" i="53"/>
  <c r="H488" i="53"/>
  <c r="H490" i="53"/>
  <c r="H492" i="53"/>
  <c r="H494" i="53"/>
  <c r="H496" i="53"/>
  <c r="H498" i="53"/>
  <c r="H500" i="53"/>
  <c r="H502" i="53"/>
  <c r="H504" i="53"/>
  <c r="H506" i="53"/>
  <c r="H508" i="53"/>
  <c r="H510" i="53"/>
  <c r="H512" i="53"/>
  <c r="H514" i="53"/>
  <c r="H516" i="53"/>
  <c r="H518" i="53"/>
  <c r="H520" i="53"/>
  <c r="H522" i="53"/>
  <c r="H524" i="53"/>
  <c r="H526" i="53"/>
  <c r="H528" i="53"/>
  <c r="H530" i="53"/>
  <c r="H174" i="53"/>
  <c r="H178" i="53"/>
  <c r="H182" i="53"/>
  <c r="H186" i="53"/>
  <c r="H202" i="53"/>
  <c r="H218" i="53"/>
  <c r="H234" i="53"/>
  <c r="H250" i="53"/>
  <c r="H196" i="53"/>
  <c r="H212" i="53"/>
  <c r="H228" i="53"/>
  <c r="H244" i="53"/>
  <c r="H176" i="53"/>
  <c r="H184" i="53"/>
  <c r="H210" i="53"/>
  <c r="H242" i="53"/>
  <c r="H192" i="53"/>
  <c r="H224" i="53"/>
  <c r="H256" i="53"/>
  <c r="H200" i="53"/>
  <c r="H232" i="53"/>
  <c r="H172" i="53"/>
  <c r="H180" i="53"/>
  <c r="H194" i="53"/>
  <c r="H226" i="53"/>
  <c r="H238" i="53"/>
  <c r="H261" i="53"/>
  <c r="H269" i="53"/>
  <c r="H277" i="53"/>
  <c r="H285" i="53"/>
  <c r="H293" i="53"/>
  <c r="H301" i="53"/>
  <c r="H309" i="53"/>
  <c r="H317" i="53"/>
  <c r="H325" i="53"/>
  <c r="H333" i="53"/>
  <c r="H341" i="53"/>
  <c r="H349" i="53"/>
  <c r="H357" i="53"/>
  <c r="H365" i="53"/>
  <c r="H373" i="53"/>
  <c r="H381" i="53"/>
  <c r="H389" i="53"/>
  <c r="H397" i="53"/>
  <c r="H405" i="53"/>
  <c r="H413" i="53"/>
  <c r="H421" i="53"/>
  <c r="H429" i="53"/>
  <c r="H437" i="53"/>
  <c r="H445" i="53"/>
  <c r="H453" i="53"/>
  <c r="H461" i="53"/>
  <c r="H469" i="53"/>
  <c r="H477" i="53"/>
  <c r="H485" i="53"/>
  <c r="H493" i="53"/>
  <c r="H501" i="53"/>
  <c r="H509" i="53"/>
  <c r="H517" i="53"/>
  <c r="H525" i="53"/>
  <c r="H240" i="53"/>
  <c r="H190" i="53"/>
  <c r="H254" i="53"/>
  <c r="H263" i="53"/>
  <c r="H271" i="53"/>
  <c r="H279" i="53"/>
  <c r="H287" i="53"/>
  <c r="H295" i="53"/>
  <c r="H303" i="53"/>
  <c r="H311" i="53"/>
  <c r="H319" i="53"/>
  <c r="H327" i="53"/>
  <c r="H335" i="53"/>
  <c r="H343" i="53"/>
  <c r="H351" i="53"/>
  <c r="H359" i="53"/>
  <c r="H367" i="53"/>
  <c r="H375" i="53"/>
  <c r="H383" i="53"/>
  <c r="H391" i="53"/>
  <c r="H399" i="53"/>
  <c r="H407" i="53"/>
  <c r="H415" i="53"/>
  <c r="H423" i="53"/>
  <c r="H431" i="53"/>
  <c r="H439" i="53"/>
  <c r="H447" i="53"/>
  <c r="H455" i="53"/>
  <c r="H463" i="53"/>
  <c r="H471" i="53"/>
  <c r="H479" i="53"/>
  <c r="H487" i="53"/>
  <c r="H495" i="53"/>
  <c r="H503" i="53"/>
  <c r="H511" i="53"/>
  <c r="H519" i="53"/>
  <c r="H527" i="53"/>
  <c r="H208" i="53"/>
  <c r="H259" i="53"/>
  <c r="H275" i="53"/>
  <c r="H291" i="53"/>
  <c r="H307" i="53"/>
  <c r="H323" i="53"/>
  <c r="H339" i="53"/>
  <c r="H355" i="53"/>
  <c r="H371" i="53"/>
  <c r="H387" i="53"/>
  <c r="H403" i="53"/>
  <c r="H419" i="53"/>
  <c r="H435" i="53"/>
  <c r="H451" i="53"/>
  <c r="H467" i="53"/>
  <c r="H483" i="53"/>
  <c r="H499" i="53"/>
  <c r="H515" i="53"/>
  <c r="H531" i="53"/>
  <c r="H216" i="53"/>
  <c r="H248" i="53"/>
  <c r="H273" i="53"/>
  <c r="H305" i="53"/>
  <c r="H337" i="53"/>
  <c r="H369" i="53"/>
  <c r="H401" i="53"/>
  <c r="H433" i="53"/>
  <c r="H465" i="53"/>
  <c r="H497" i="53"/>
  <c r="H529" i="53"/>
  <c r="AE158" i="53"/>
  <c r="AE163" i="53" s="1"/>
  <c r="AD158" i="53"/>
  <c r="AD163" i="53" s="1"/>
  <c r="AB158" i="53"/>
  <c r="AB163" i="53" s="1"/>
  <c r="H281" i="53"/>
  <c r="H313" i="53"/>
  <c r="H345" i="53"/>
  <c r="H377" i="53"/>
  <c r="H409" i="53"/>
  <c r="H441" i="53"/>
  <c r="H473" i="53"/>
  <c r="H505" i="53"/>
  <c r="AG158" i="53"/>
  <c r="AG163" i="53" s="1"/>
  <c r="AF158" i="53"/>
  <c r="AF163" i="53" s="1"/>
  <c r="Z158" i="53"/>
  <c r="Z163" i="53" s="1"/>
  <c r="AH158" i="53"/>
  <c r="H283" i="53"/>
  <c r="H315" i="53"/>
  <c r="H347" i="53"/>
  <c r="H379" i="53"/>
  <c r="H411" i="53"/>
  <c r="H443" i="53"/>
  <c r="H475" i="53"/>
  <c r="H507" i="53"/>
  <c r="D64" i="47"/>
  <c r="W158" i="53"/>
  <c r="W163" i="53" s="1"/>
  <c r="S158" i="53"/>
  <c r="N158" i="53"/>
  <c r="AA158" i="53"/>
  <c r="AA163" i="53" s="1"/>
  <c r="H265" i="53"/>
  <c r="H297" i="53"/>
  <c r="H329" i="53"/>
  <c r="H361" i="53"/>
  <c r="H393" i="53"/>
  <c r="H425" i="53"/>
  <c r="H457" i="53"/>
  <c r="H489" i="53"/>
  <c r="H521" i="53"/>
  <c r="H222" i="53"/>
  <c r="H299" i="53"/>
  <c r="H363" i="53"/>
  <c r="H427" i="53"/>
  <c r="H491" i="53"/>
  <c r="H206" i="53"/>
  <c r="H289" i="53"/>
  <c r="H353" i="53"/>
  <c r="H417" i="53"/>
  <c r="H481" i="53"/>
  <c r="H449" i="53"/>
  <c r="I158" i="53"/>
  <c r="I163" i="53" s="1"/>
  <c r="U158" i="53"/>
  <c r="U163" i="53" s="1"/>
  <c r="H459" i="53"/>
  <c r="X158" i="53"/>
  <c r="G158" i="53"/>
  <c r="G163" i="53" s="1"/>
  <c r="L158" i="53"/>
  <c r="L163" i="53" s="1"/>
  <c r="H331" i="53"/>
  <c r="O158" i="53"/>
  <c r="O163" i="53" s="1"/>
  <c r="M158" i="53"/>
  <c r="M163" i="53" s="1"/>
  <c r="H395" i="53"/>
  <c r="H158" i="53"/>
  <c r="H163" i="53" s="1"/>
  <c r="K158" i="53"/>
  <c r="K163" i="53" s="1"/>
  <c r="V158" i="53"/>
  <c r="V163" i="53" s="1"/>
  <c r="H267" i="53"/>
  <c r="J158" i="53"/>
  <c r="J163" i="53" s="1"/>
  <c r="H385" i="53"/>
  <c r="H523" i="53"/>
  <c r="R158" i="53"/>
  <c r="R163" i="53" s="1"/>
  <c r="H321" i="53"/>
  <c r="E158" i="53"/>
  <c r="E163" i="53" s="1"/>
  <c r="AC158" i="53"/>
  <c r="Y158" i="53"/>
  <c r="Y163" i="53" s="1"/>
  <c r="Q158" i="53"/>
  <c r="Q163" i="53" s="1"/>
  <c r="P158" i="53"/>
  <c r="P163" i="53" s="1"/>
  <c r="T158" i="53"/>
  <c r="T163" i="53" s="1"/>
  <c r="H513" i="53"/>
  <c r="F158" i="53"/>
  <c r="F163" i="53" s="1"/>
  <c r="H110" i="42"/>
  <c r="D166" i="57"/>
  <c r="E109" i="57"/>
  <c r="G38" i="47"/>
  <c r="H166" i="55"/>
  <c r="H168" i="55"/>
  <c r="H170" i="55"/>
  <c r="H172" i="55"/>
  <c r="H174" i="55"/>
  <c r="H176" i="55"/>
  <c r="H178" i="55"/>
  <c r="H180" i="55"/>
  <c r="H182" i="55"/>
  <c r="H184" i="55"/>
  <c r="H186" i="55"/>
  <c r="H188" i="55"/>
  <c r="H190" i="55"/>
  <c r="H192" i="55"/>
  <c r="H194" i="55"/>
  <c r="H196" i="55"/>
  <c r="H198" i="55"/>
  <c r="H200" i="55"/>
  <c r="H202" i="55"/>
  <c r="H204" i="55"/>
  <c r="H206" i="55"/>
  <c r="H208" i="55"/>
  <c r="H210" i="55"/>
  <c r="H212" i="55"/>
  <c r="H214" i="55"/>
  <c r="H216" i="55"/>
  <c r="H218" i="55"/>
  <c r="H220" i="55"/>
  <c r="H222" i="55"/>
  <c r="H224" i="55"/>
  <c r="H226" i="55"/>
  <c r="H228" i="55"/>
  <c r="H230" i="55"/>
  <c r="H169" i="55"/>
  <c r="H173" i="55"/>
  <c r="H177" i="55"/>
  <c r="H181" i="55"/>
  <c r="H185" i="55"/>
  <c r="H189" i="55"/>
  <c r="H193" i="55"/>
  <c r="H197" i="55"/>
  <c r="H201" i="55"/>
  <c r="H205" i="55"/>
  <c r="H209" i="55"/>
  <c r="H213" i="55"/>
  <c r="H217" i="55"/>
  <c r="H221" i="55"/>
  <c r="H225" i="55"/>
  <c r="H229" i="55"/>
  <c r="H239" i="55"/>
  <c r="H242" i="55"/>
  <c r="H255" i="55"/>
  <c r="H258" i="55"/>
  <c r="H271" i="55"/>
  <c r="H274" i="55"/>
  <c r="H287" i="55"/>
  <c r="H233" i="55"/>
  <c r="H236" i="55"/>
  <c r="H249" i="55"/>
  <c r="H252" i="55"/>
  <c r="H265" i="55"/>
  <c r="H268" i="55"/>
  <c r="H281" i="55"/>
  <c r="H284" i="55"/>
  <c r="H290" i="55"/>
  <c r="H292" i="55"/>
  <c r="H294" i="55"/>
  <c r="H296" i="55"/>
  <c r="H298" i="55"/>
  <c r="H300" i="55"/>
  <c r="H302" i="55"/>
  <c r="H304" i="55"/>
  <c r="H306" i="55"/>
  <c r="H308" i="55"/>
  <c r="H310" i="55"/>
  <c r="H312" i="55"/>
  <c r="H314" i="55"/>
  <c r="H316" i="55"/>
  <c r="H318" i="55"/>
  <c r="H320" i="55"/>
  <c r="H322" i="55"/>
  <c r="H324" i="55"/>
  <c r="H326" i="55"/>
  <c r="H328" i="55"/>
  <c r="H330" i="55"/>
  <c r="H332" i="55"/>
  <c r="H334" i="55"/>
  <c r="H336" i="55"/>
  <c r="H338" i="55"/>
  <c r="H340" i="55"/>
  <c r="H342" i="55"/>
  <c r="H344" i="55"/>
  <c r="H346" i="55"/>
  <c r="H348" i="55"/>
  <c r="H350" i="55"/>
  <c r="H352" i="55"/>
  <c r="H354" i="55"/>
  <c r="H356" i="55"/>
  <c r="H358" i="55"/>
  <c r="H360" i="55"/>
  <c r="H362" i="55"/>
  <c r="H364" i="55"/>
  <c r="H366" i="55"/>
  <c r="H368" i="55"/>
  <c r="H370" i="55"/>
  <c r="H372" i="55"/>
  <c r="H374" i="55"/>
  <c r="H376" i="55"/>
  <c r="H378" i="55"/>
  <c r="H380" i="55"/>
  <c r="H382" i="55"/>
  <c r="H384" i="55"/>
  <c r="H386" i="55"/>
  <c r="H388" i="55"/>
  <c r="H390" i="55"/>
  <c r="H392" i="55"/>
  <c r="H394" i="55"/>
  <c r="H396" i="55"/>
  <c r="H398" i="55"/>
  <c r="H400" i="55"/>
  <c r="H402" i="55"/>
  <c r="H404" i="55"/>
  <c r="H406" i="55"/>
  <c r="H408" i="55"/>
  <c r="H410" i="55"/>
  <c r="H412" i="55"/>
  <c r="H414" i="55"/>
  <c r="H416" i="55"/>
  <c r="H418" i="55"/>
  <c r="H420" i="55"/>
  <c r="H422" i="55"/>
  <c r="H424" i="55"/>
  <c r="H426" i="55"/>
  <c r="H428" i="55"/>
  <c r="H430" i="55"/>
  <c r="H432" i="55"/>
  <c r="H434" i="55"/>
  <c r="H436" i="55"/>
  <c r="H438" i="55"/>
  <c r="H440" i="55"/>
  <c r="H442" i="55"/>
  <c r="H444" i="55"/>
  <c r="H446" i="55"/>
  <c r="H448" i="55"/>
  <c r="H450" i="55"/>
  <c r="H452" i="55"/>
  <c r="H454" i="55"/>
  <c r="H456" i="55"/>
  <c r="H458" i="55"/>
  <c r="H460" i="55"/>
  <c r="H462" i="55"/>
  <c r="H464" i="55"/>
  <c r="H466" i="55"/>
  <c r="H468" i="55"/>
  <c r="H470" i="55"/>
  <c r="H472" i="55"/>
  <c r="H474" i="55"/>
  <c r="H476" i="55"/>
  <c r="H478" i="55"/>
  <c r="H480" i="55"/>
  <c r="H482" i="55"/>
  <c r="H484" i="55"/>
  <c r="H486" i="55"/>
  <c r="H488" i="55"/>
  <c r="H490" i="55"/>
  <c r="H492" i="55"/>
  <c r="H494" i="55"/>
  <c r="H496" i="55"/>
  <c r="H498" i="55"/>
  <c r="H500" i="55"/>
  <c r="H502" i="55"/>
  <c r="H504" i="55"/>
  <c r="H506" i="55"/>
  <c r="H508" i="55"/>
  <c r="H510" i="55"/>
  <c r="H512" i="55"/>
  <c r="H514" i="55"/>
  <c r="H516" i="55"/>
  <c r="H518" i="55"/>
  <c r="H520" i="55"/>
  <c r="H522" i="55"/>
  <c r="H243" i="55"/>
  <c r="H246" i="55"/>
  <c r="H259" i="55"/>
  <c r="H262" i="55"/>
  <c r="H275" i="55"/>
  <c r="H278" i="55"/>
  <c r="H237" i="55"/>
  <c r="H240" i="55"/>
  <c r="H253" i="55"/>
  <c r="H256" i="55"/>
  <c r="H269" i="55"/>
  <c r="H272" i="55"/>
  <c r="H285" i="55"/>
  <c r="H288" i="55"/>
  <c r="H235" i="55"/>
  <c r="H254" i="55"/>
  <c r="H267" i="55"/>
  <c r="H286" i="55"/>
  <c r="H248" i="55"/>
  <c r="H261" i="55"/>
  <c r="H280" i="55"/>
  <c r="H167" i="55"/>
  <c r="H175" i="55"/>
  <c r="H183" i="55"/>
  <c r="H191" i="55"/>
  <c r="H199" i="55"/>
  <c r="H207" i="55"/>
  <c r="H215" i="55"/>
  <c r="H223" i="55"/>
  <c r="H231" i="55"/>
  <c r="H250" i="55"/>
  <c r="H263" i="55"/>
  <c r="H282" i="55"/>
  <c r="H524" i="55"/>
  <c r="H244" i="55"/>
  <c r="H257" i="55"/>
  <c r="H276" i="55"/>
  <c r="H289" i="55"/>
  <c r="H293" i="55"/>
  <c r="H297" i="55"/>
  <c r="H301" i="55"/>
  <c r="H305" i="55"/>
  <c r="H309" i="55"/>
  <c r="H313" i="55"/>
  <c r="H317" i="55"/>
  <c r="H321" i="55"/>
  <c r="H325" i="55"/>
  <c r="H329" i="55"/>
  <c r="H333" i="55"/>
  <c r="H337" i="55"/>
  <c r="H341" i="55"/>
  <c r="H345" i="55"/>
  <c r="H349" i="55"/>
  <c r="H353" i="55"/>
  <c r="H357" i="55"/>
  <c r="H361" i="55"/>
  <c r="H365" i="55"/>
  <c r="H369" i="55"/>
  <c r="H373" i="55"/>
  <c r="H377" i="55"/>
  <c r="H381" i="55"/>
  <c r="H385" i="55"/>
  <c r="H389" i="55"/>
  <c r="H393" i="55"/>
  <c r="H397" i="55"/>
  <c r="H401" i="55"/>
  <c r="H405" i="55"/>
  <c r="H409" i="55"/>
  <c r="H413" i="55"/>
  <c r="H417" i="55"/>
  <c r="H421" i="55"/>
  <c r="H425" i="55"/>
  <c r="H429" i="55"/>
  <c r="H433" i="55"/>
  <c r="H437" i="55"/>
  <c r="H441" i="55"/>
  <c r="H445" i="55"/>
  <c r="H449" i="55"/>
  <c r="H453" i="55"/>
  <c r="H457" i="55"/>
  <c r="H461" i="55"/>
  <c r="H465" i="55"/>
  <c r="H469" i="55"/>
  <c r="H473" i="55"/>
  <c r="H477" i="55"/>
  <c r="H481" i="55"/>
  <c r="H485" i="55"/>
  <c r="H489" i="55"/>
  <c r="H493" i="55"/>
  <c r="H497" i="55"/>
  <c r="H501" i="55"/>
  <c r="H505" i="55"/>
  <c r="H509" i="55"/>
  <c r="H513" i="55"/>
  <c r="H517" i="55"/>
  <c r="H521" i="55"/>
  <c r="H260" i="55"/>
  <c r="H273" i="55"/>
  <c r="H295" i="55"/>
  <c r="H303" i="55"/>
  <c r="H311" i="55"/>
  <c r="H319" i="55"/>
  <c r="H327" i="55"/>
  <c r="H335" i="55"/>
  <c r="H343" i="55"/>
  <c r="H351" i="55"/>
  <c r="H359" i="55"/>
  <c r="H367" i="55"/>
  <c r="H375" i="55"/>
  <c r="H383" i="55"/>
  <c r="H391" i="55"/>
  <c r="H399" i="55"/>
  <c r="H407" i="55"/>
  <c r="H415" i="55"/>
  <c r="H423" i="55"/>
  <c r="H431" i="55"/>
  <c r="H439" i="55"/>
  <c r="H447" i="55"/>
  <c r="H455" i="55"/>
  <c r="H463" i="55"/>
  <c r="H471" i="55"/>
  <c r="H479" i="55"/>
  <c r="H487" i="55"/>
  <c r="H495" i="55"/>
  <c r="H503" i="55"/>
  <c r="H511" i="55"/>
  <c r="H519" i="55"/>
  <c r="H238" i="55"/>
  <c r="H251" i="55"/>
  <c r="H179" i="55"/>
  <c r="H195" i="55"/>
  <c r="H211" i="55"/>
  <c r="H227" i="55"/>
  <c r="H266" i="55"/>
  <c r="H279" i="55"/>
  <c r="H241" i="55"/>
  <c r="H291" i="55"/>
  <c r="H299" i="55"/>
  <c r="H307" i="55"/>
  <c r="H315" i="55"/>
  <c r="H323" i="55"/>
  <c r="H331" i="55"/>
  <c r="H339" i="55"/>
  <c r="H347" i="55"/>
  <c r="H355" i="55"/>
  <c r="H363" i="55"/>
  <c r="H371" i="55"/>
  <c r="H379" i="55"/>
  <c r="H387" i="55"/>
  <c r="H395" i="55"/>
  <c r="H403" i="55"/>
  <c r="H411" i="55"/>
  <c r="H419" i="55"/>
  <c r="H427" i="55"/>
  <c r="H435" i="55"/>
  <c r="H443" i="55"/>
  <c r="H451" i="55"/>
  <c r="H459" i="55"/>
  <c r="H467" i="55"/>
  <c r="H475" i="55"/>
  <c r="H483" i="55"/>
  <c r="H491" i="55"/>
  <c r="H499" i="55"/>
  <c r="H507" i="55"/>
  <c r="H515" i="55"/>
  <c r="H523" i="55"/>
  <c r="H264" i="55"/>
  <c r="H270" i="55"/>
  <c r="H187" i="55"/>
  <c r="H219" i="55"/>
  <c r="H247" i="55"/>
  <c r="H277" i="55"/>
  <c r="H203" i="55"/>
  <c r="H283" i="55"/>
  <c r="H245" i="55"/>
  <c r="H171" i="55"/>
  <c r="H232" i="55"/>
  <c r="E152" i="55"/>
  <c r="E157" i="55" s="1"/>
  <c r="Y152" i="55"/>
  <c r="Y157" i="55" s="1"/>
  <c r="M152" i="55"/>
  <c r="M157" i="55" s="1"/>
  <c r="N152" i="55"/>
  <c r="AE152" i="55"/>
  <c r="AE157" i="55" s="1"/>
  <c r="L152" i="55"/>
  <c r="L157" i="55" s="1"/>
  <c r="V152" i="55"/>
  <c r="V157" i="55" s="1"/>
  <c r="AH152" i="55"/>
  <c r="R152" i="55"/>
  <c r="R157" i="55" s="1"/>
  <c r="H234" i="55"/>
  <c r="S152" i="55"/>
  <c r="U152" i="55"/>
  <c r="U157" i="55" s="1"/>
  <c r="K152" i="55"/>
  <c r="K157" i="55" s="1"/>
  <c r="F152" i="55"/>
  <c r="F157" i="55" s="1"/>
  <c r="H525" i="55"/>
  <c r="AC152" i="55"/>
  <c r="AC157" i="55" s="1"/>
  <c r="W152" i="55"/>
  <c r="W157" i="55" s="1"/>
  <c r="C64" i="47"/>
  <c r="G152" i="55"/>
  <c r="G157" i="55" s="1"/>
  <c r="J152" i="55"/>
  <c r="J157" i="55" s="1"/>
  <c r="T152" i="55"/>
  <c r="T157" i="55" s="1"/>
  <c r="Z152" i="55"/>
  <c r="Z157" i="55" s="1"/>
  <c r="AG152" i="55"/>
  <c r="AG157" i="55" s="1"/>
  <c r="AF152" i="55"/>
  <c r="AF157" i="55" s="1"/>
  <c r="Q152" i="55"/>
  <c r="Q157" i="55" s="1"/>
  <c r="AB152" i="55"/>
  <c r="AB157" i="55" s="1"/>
  <c r="P152" i="55"/>
  <c r="P157" i="55" s="1"/>
  <c r="O152" i="55"/>
  <c r="O157" i="55" s="1"/>
  <c r="AA152" i="55"/>
  <c r="AA157" i="55" s="1"/>
  <c r="I152" i="55"/>
  <c r="I157" i="55" s="1"/>
  <c r="H152" i="55"/>
  <c r="H157" i="55" s="1"/>
  <c r="X152" i="55"/>
  <c r="X157" i="55" s="1"/>
  <c r="AD152" i="55"/>
  <c r="AD157" i="55" s="1"/>
  <c r="E113" i="56"/>
  <c r="F113" i="56" s="1"/>
  <c r="G113" i="56" s="1"/>
  <c r="H113" i="56" s="1"/>
  <c r="I113" i="56" s="1"/>
  <c r="J113" i="56" s="1"/>
  <c r="K113" i="56" s="1"/>
  <c r="L113" i="56" s="1"/>
  <c r="M113" i="56" s="1"/>
  <c r="N113" i="56" s="1"/>
  <c r="O113" i="56" s="1"/>
  <c r="P113" i="56" s="1"/>
  <c r="Q113" i="56" s="1"/>
  <c r="R113" i="56" s="1"/>
  <c r="S113" i="56" s="1"/>
  <c r="T113" i="56" s="1"/>
  <c r="U113" i="56" s="1"/>
  <c r="V113" i="56" s="1"/>
  <c r="W113" i="56" s="1"/>
  <c r="X113" i="56" s="1"/>
  <c r="Y113" i="56" s="1"/>
  <c r="Z113" i="56" s="1"/>
  <c r="AA113" i="56" s="1"/>
  <c r="AB113" i="56" s="1"/>
  <c r="AC113" i="56" s="1"/>
  <c r="AD113" i="56" s="1"/>
  <c r="AE113" i="56" s="1"/>
  <c r="AF113" i="56" s="1"/>
  <c r="AG113" i="56" s="1"/>
  <c r="AH113" i="56" s="1"/>
  <c r="F38" i="47"/>
  <c r="B15" i="47"/>
  <c r="H15" i="47" s="1"/>
  <c r="C504" i="57"/>
  <c r="C500" i="57"/>
  <c r="C507" i="57"/>
  <c r="C480" i="57"/>
  <c r="C456" i="57"/>
  <c r="C458" i="57"/>
  <c r="C513" i="57"/>
  <c r="C408" i="57"/>
  <c r="C443" i="57"/>
  <c r="C449" i="57"/>
  <c r="C420" i="57"/>
  <c r="C452" i="57"/>
  <c r="C466" i="57"/>
  <c r="C389" i="57"/>
  <c r="C429" i="57"/>
  <c r="C323" i="57"/>
  <c r="C340" i="57"/>
  <c r="C350" i="57"/>
  <c r="C375" i="57"/>
  <c r="C463" i="57"/>
  <c r="C327" i="57"/>
  <c r="C338" i="57"/>
  <c r="C360" i="57"/>
  <c r="C368" i="57"/>
  <c r="C306" i="57"/>
  <c r="C321" i="57"/>
  <c r="C365" i="57"/>
  <c r="C263" i="57"/>
  <c r="C249" i="57"/>
  <c r="C266" i="57"/>
  <c r="C292" i="57"/>
  <c r="C239" i="57"/>
  <c r="C301" i="57"/>
  <c r="C251" i="57"/>
  <c r="C298" i="57"/>
  <c r="C197" i="57"/>
  <c r="C329" i="57"/>
  <c r="C194" i="57"/>
  <c r="C205" i="57"/>
  <c r="C174" i="57"/>
  <c r="C276" i="57"/>
  <c r="C330" i="57"/>
  <c r="C203" i="57"/>
  <c r="C233" i="57"/>
  <c r="C204" i="57"/>
  <c r="C496" i="57"/>
  <c r="C523" i="57"/>
  <c r="C506" i="57"/>
  <c r="C469" i="57"/>
  <c r="C487" i="57"/>
  <c r="C453" i="57"/>
  <c r="C464" i="57"/>
  <c r="C400" i="57"/>
  <c r="C435" i="57"/>
  <c r="C422" i="57"/>
  <c r="C399" i="57"/>
  <c r="C445" i="57"/>
  <c r="C396" i="57"/>
  <c r="C381" i="57"/>
  <c r="C425" i="57"/>
  <c r="C517" i="57"/>
  <c r="C332" i="57"/>
  <c r="C342" i="57"/>
  <c r="C357" i="57"/>
  <c r="C423" i="57"/>
  <c r="C322" i="57"/>
  <c r="C315" i="57"/>
  <c r="C337" i="57"/>
  <c r="C344" i="57"/>
  <c r="C290" i="57"/>
  <c r="C305" i="57"/>
  <c r="C336" i="57"/>
  <c r="C255" i="57"/>
  <c r="C244" i="57"/>
  <c r="C256" i="57"/>
  <c r="C285" i="57"/>
  <c r="C231" i="57"/>
  <c r="C286" i="57"/>
  <c r="C243" i="57"/>
  <c r="C274" i="57"/>
  <c r="C190" i="57"/>
  <c r="C246" i="57"/>
  <c r="C179" i="57"/>
  <c r="C187" i="57"/>
  <c r="C170" i="57"/>
  <c r="C257" i="57"/>
  <c r="C242" i="57"/>
  <c r="C192" i="57"/>
  <c r="C216" i="57"/>
  <c r="C188" i="57"/>
  <c r="C488" i="57"/>
  <c r="C509" i="57"/>
  <c r="C524" i="57"/>
  <c r="C461" i="57"/>
  <c r="C477" i="57"/>
  <c r="C446" i="57"/>
  <c r="C455" i="57"/>
  <c r="C490" i="57"/>
  <c r="C427" i="57"/>
  <c r="C417" i="57"/>
  <c r="C486" i="57"/>
  <c r="C485" i="57"/>
  <c r="C388" i="57"/>
  <c r="C437" i="57"/>
  <c r="C377" i="57"/>
  <c r="C438" i="57"/>
  <c r="C324" i="57"/>
  <c r="C334" i="57"/>
  <c r="C351" i="57"/>
  <c r="C385" i="57"/>
  <c r="C317" i="57"/>
  <c r="C310" i="57"/>
  <c r="C325" i="57"/>
  <c r="C309" i="57"/>
  <c r="C275" i="57"/>
  <c r="C291" i="57"/>
  <c r="C312" i="57"/>
  <c r="C247" i="57"/>
  <c r="C236" i="57"/>
  <c r="C245" i="57"/>
  <c r="C284" i="57"/>
  <c r="C223" i="57"/>
  <c r="C250" i="57"/>
  <c r="C225" i="57"/>
  <c r="C261" i="57"/>
  <c r="C189" i="57"/>
  <c r="C234" i="57"/>
  <c r="C171" i="57"/>
  <c r="C173" i="57"/>
  <c r="C168" i="57"/>
  <c r="C232" i="57"/>
  <c r="C230" i="57"/>
  <c r="E96" i="57"/>
  <c r="C198" i="57"/>
  <c r="C186" i="57"/>
  <c r="C508" i="57"/>
  <c r="C475" i="57"/>
  <c r="C518" i="57"/>
  <c r="C465" i="57"/>
  <c r="C432" i="57"/>
  <c r="C419" i="57"/>
  <c r="C444" i="57"/>
  <c r="C418" i="57"/>
  <c r="C413" i="57"/>
  <c r="C347" i="57"/>
  <c r="C442" i="57"/>
  <c r="C404" i="57"/>
  <c r="C372" i="57"/>
  <c r="C343" i="57"/>
  <c r="C303" i="57"/>
  <c r="C398" i="57"/>
  <c r="C254" i="57"/>
  <c r="C316" i="57"/>
  <c r="C277" i="57"/>
  <c r="C268" i="57"/>
  <c r="C226" i="57"/>
  <c r="C457" i="57"/>
  <c r="C177" i="57"/>
  <c r="C195" i="57"/>
  <c r="C380" i="57"/>
  <c r="C227" i="57"/>
  <c r="C235" i="57"/>
  <c r="C178" i="57"/>
  <c r="G59" i="47"/>
  <c r="C497" i="57"/>
  <c r="C510" i="57"/>
  <c r="C493" i="57"/>
  <c r="C499" i="57"/>
  <c r="C424" i="57"/>
  <c r="C411" i="57"/>
  <c r="C434" i="57"/>
  <c r="C410" i="57"/>
  <c r="C407" i="57"/>
  <c r="C339" i="57"/>
  <c r="C394" i="57"/>
  <c r="C376" i="57"/>
  <c r="C370" i="57"/>
  <c r="C302" i="57"/>
  <c r="C295" i="57"/>
  <c r="C391" i="57"/>
  <c r="C397" i="57"/>
  <c r="C296" i="57"/>
  <c r="C512" i="57"/>
  <c r="C484" i="57"/>
  <c r="C521" i="57"/>
  <c r="C515" i="57"/>
  <c r="C440" i="57"/>
  <c r="C451" i="57"/>
  <c r="C478" i="57"/>
  <c r="C431" i="57"/>
  <c r="C495" i="57"/>
  <c r="C471" i="57"/>
  <c r="C416" i="57"/>
  <c r="C412" i="57"/>
  <c r="C392" i="57"/>
  <c r="C502" i="57"/>
  <c r="C348" i="57"/>
  <c r="C328" i="57"/>
  <c r="C409" i="57"/>
  <c r="C311" i="57"/>
  <c r="C367" i="57"/>
  <c r="C279" i="57"/>
  <c r="C289" i="57"/>
  <c r="C258" i="57"/>
  <c r="C353" i="57"/>
  <c r="C252" i="57"/>
  <c r="C222" i="57"/>
  <c r="C210" i="57"/>
  <c r="C182" i="57"/>
  <c r="C240" i="57"/>
  <c r="C167" i="57"/>
  <c r="C525" i="57"/>
  <c r="C505" i="57"/>
  <c r="C468" i="57"/>
  <c r="C481" i="57"/>
  <c r="C522" i="57"/>
  <c r="C378" i="57"/>
  <c r="C363" i="57"/>
  <c r="C393" i="57"/>
  <c r="C314" i="57"/>
  <c r="C361" i="57"/>
  <c r="C287" i="57"/>
  <c r="C362" i="57"/>
  <c r="C271" i="57"/>
  <c r="C237" i="57"/>
  <c r="C248" i="57"/>
  <c r="C273" i="57"/>
  <c r="C241" i="57"/>
  <c r="C214" i="57"/>
  <c r="C166" i="57"/>
  <c r="C313" i="57"/>
  <c r="C212" i="57"/>
  <c r="C280" i="57"/>
  <c r="C519" i="57"/>
  <c r="C503" i="57"/>
  <c r="C459" i="57"/>
  <c r="C479" i="57"/>
  <c r="C483" i="57"/>
  <c r="C516" i="57"/>
  <c r="C355" i="57"/>
  <c r="C366" i="57"/>
  <c r="C491" i="57"/>
  <c r="C349" i="57"/>
  <c r="C299" i="57"/>
  <c r="C278" i="57"/>
  <c r="C335" i="57"/>
  <c r="C229" i="57"/>
  <c r="C215" i="57"/>
  <c r="C267" i="57"/>
  <c r="C218" i="57"/>
  <c r="C209" i="57"/>
  <c r="C402" i="57"/>
  <c r="C211" i="57"/>
  <c r="C180" i="57"/>
  <c r="C498" i="57"/>
  <c r="C467" i="57"/>
  <c r="C448" i="57"/>
  <c r="C472" i="57"/>
  <c r="C405" i="57"/>
  <c r="C374" i="57"/>
  <c r="C356" i="57"/>
  <c r="C346" i="57"/>
  <c r="C436" i="57"/>
  <c r="C320" i="57"/>
  <c r="C371" i="57"/>
  <c r="C283" i="57"/>
  <c r="C352" i="57"/>
  <c r="C281" i="57"/>
  <c r="C196" i="57"/>
  <c r="C253" i="57"/>
  <c r="C390" i="57"/>
  <c r="C219" i="57"/>
  <c r="C201" i="57"/>
  <c r="C319" i="57"/>
  <c r="C184" i="57"/>
  <c r="C520" i="57"/>
  <c r="C474" i="57"/>
  <c r="C433" i="57"/>
  <c r="C331" i="57"/>
  <c r="C476" i="57"/>
  <c r="C450" i="57"/>
  <c r="C269" i="57"/>
  <c r="C207" i="57"/>
  <c r="C200" i="57"/>
  <c r="C217" i="57"/>
  <c r="C387" i="57"/>
  <c r="C494" i="57"/>
  <c r="C473" i="57"/>
  <c r="C428" i="57"/>
  <c r="C414" i="57"/>
  <c r="C373" i="57"/>
  <c r="C383" i="57"/>
  <c r="C259" i="57"/>
  <c r="C199" i="57"/>
  <c r="C185" i="57"/>
  <c r="C193" i="57"/>
  <c r="C297" i="57"/>
  <c r="C514" i="57"/>
  <c r="C460" i="57"/>
  <c r="C406" i="57"/>
  <c r="C369" i="57"/>
  <c r="C345" i="57"/>
  <c r="C359" i="57"/>
  <c r="C228" i="57"/>
  <c r="C191" i="57"/>
  <c r="C169" i="57"/>
  <c r="C288" i="57"/>
  <c r="C293" i="57"/>
  <c r="C501" i="57"/>
  <c r="C462" i="57"/>
  <c r="C430" i="57"/>
  <c r="C358" i="57"/>
  <c r="C439" i="57"/>
  <c r="C270" i="57"/>
  <c r="C221" i="57"/>
  <c r="C202" i="57"/>
  <c r="C206" i="57"/>
  <c r="C181" i="57"/>
  <c r="C272" i="57"/>
  <c r="C470" i="57"/>
  <c r="C489" i="57"/>
  <c r="C382" i="57"/>
  <c r="C441" i="57"/>
  <c r="C379" i="57"/>
  <c r="C294" i="57"/>
  <c r="C282" i="57"/>
  <c r="C307" i="57"/>
  <c r="C224" i="57"/>
  <c r="C208" i="57"/>
  <c r="C454" i="57"/>
  <c r="C333" i="57"/>
  <c r="C304" i="57"/>
  <c r="C172" i="57"/>
  <c r="C403" i="57"/>
  <c r="C415" i="57"/>
  <c r="C308" i="57"/>
  <c r="C341" i="57"/>
  <c r="C401" i="57"/>
  <c r="C386" i="57"/>
  <c r="C183" i="57"/>
  <c r="C265" i="57"/>
  <c r="C426" i="57"/>
  <c r="C354" i="57"/>
  <c r="C175" i="57"/>
  <c r="C238" i="57"/>
  <c r="C511" i="57"/>
  <c r="C395" i="57"/>
  <c r="C262" i="57"/>
  <c r="C421" i="57"/>
  <c r="C176" i="57"/>
  <c r="C492" i="57"/>
  <c r="C364" i="57"/>
  <c r="C300" i="57"/>
  <c r="C384" i="57"/>
  <c r="C482" i="57"/>
  <c r="C326" i="57"/>
  <c r="C220" i="57"/>
  <c r="C260" i="57"/>
  <c r="C264" i="57"/>
  <c r="C213" i="57"/>
  <c r="C447" i="57"/>
  <c r="C318" i="57"/>
  <c r="O154" i="42"/>
  <c r="O159" i="42" s="1"/>
  <c r="P154" i="42"/>
  <c r="P159" i="42" s="1"/>
  <c r="Y154" i="42"/>
  <c r="Y159" i="42" s="1"/>
  <c r="AH154" i="42"/>
  <c r="H400" i="42"/>
  <c r="H510" i="42"/>
  <c r="H324" i="42"/>
  <c r="H355" i="42"/>
  <c r="H360" i="42"/>
  <c r="H518" i="42"/>
  <c r="H262" i="42"/>
  <c r="H499" i="42"/>
  <c r="H233" i="42"/>
  <c r="H464" i="42"/>
  <c r="H483" i="42"/>
  <c r="H247" i="42"/>
  <c r="H279" i="42"/>
  <c r="H509" i="42"/>
  <c r="H429" i="42"/>
  <c r="H228" i="42"/>
  <c r="H492" i="42"/>
  <c r="H428" i="42"/>
  <c r="H422" i="42"/>
  <c r="H350" i="42"/>
  <c r="H302" i="42"/>
  <c r="H248" i="42"/>
  <c r="H239" i="42"/>
  <c r="H290" i="42"/>
  <c r="H343" i="42"/>
  <c r="H385" i="42"/>
  <c r="H478" i="42"/>
  <c r="H432" i="42"/>
  <c r="H493" i="42"/>
  <c r="H223" i="42"/>
  <c r="H300" i="42"/>
  <c r="H254" i="42"/>
  <c r="H519" i="42"/>
  <c r="H193" i="42"/>
  <c r="H381" i="42"/>
  <c r="H310" i="42"/>
  <c r="H408" i="42"/>
  <c r="H349" i="42"/>
  <c r="H273" i="42"/>
  <c r="H206" i="42"/>
  <c r="H375" i="42"/>
  <c r="H470" i="42"/>
  <c r="H496" i="42"/>
  <c r="H435" i="42"/>
  <c r="H220" i="42"/>
  <c r="H399" i="42"/>
  <c r="W154" i="42"/>
  <c r="W159" i="42" s="1"/>
  <c r="H504" i="42"/>
  <c r="H214" i="42"/>
  <c r="H191" i="42"/>
  <c r="H316" i="42"/>
  <c r="H387" i="42"/>
  <c r="H479" i="42"/>
  <c r="H431" i="42"/>
  <c r="H377" i="42"/>
  <c r="H498" i="42"/>
  <c r="H291" i="42"/>
  <c r="H412" i="42"/>
  <c r="H210" i="42"/>
  <c r="H232" i="42"/>
  <c r="H256" i="42"/>
  <c r="H244" i="42"/>
  <c r="H386" i="42"/>
  <c r="H270" i="42"/>
  <c r="H217" i="42"/>
  <c r="H466" i="42"/>
  <c r="H482" i="42"/>
  <c r="H414" i="42"/>
  <c r="H331" i="42"/>
  <c r="H224" i="42"/>
  <c r="H154" i="42"/>
  <c r="H159" i="42" s="1"/>
  <c r="H174" i="42"/>
  <c r="H476" i="42"/>
  <c r="H185" i="42"/>
  <c r="H218" i="42"/>
  <c r="H295" i="42"/>
  <c r="H301" i="42"/>
  <c r="H213" i="42"/>
  <c r="H359" i="42"/>
  <c r="H484" i="42"/>
  <c r="H491" i="42"/>
  <c r="H526" i="42"/>
  <c r="H403" i="42"/>
  <c r="H444" i="42"/>
  <c r="H354" i="42"/>
  <c r="H442" i="42"/>
  <c r="F154" i="42"/>
  <c r="F159" i="42" s="1"/>
  <c r="H311" i="42"/>
  <c r="H261" i="42"/>
  <c r="H341" i="42"/>
  <c r="H318" i="42"/>
  <c r="H198" i="42"/>
  <c r="H205" i="42"/>
  <c r="H173" i="42"/>
  <c r="V154" i="42"/>
  <c r="V159" i="42" s="1"/>
  <c r="H207" i="42"/>
  <c r="H258" i="42"/>
  <c r="H171" i="42"/>
  <c r="H197" i="42"/>
  <c r="H418" i="42"/>
  <c r="H357" i="42"/>
  <c r="H314" i="42"/>
  <c r="H312" i="42"/>
  <c r="H317" i="42"/>
  <c r="I154" i="42"/>
  <c r="I159" i="42" s="1"/>
  <c r="H169" i="42"/>
  <c r="H299" i="42"/>
  <c r="H307" i="42"/>
  <c r="H448" i="42"/>
  <c r="H512" i="42"/>
  <c r="H172" i="42"/>
  <c r="H409" i="42"/>
  <c r="H423" i="42"/>
  <c r="H241" i="42"/>
  <c r="H265" i="42"/>
  <c r="H495" i="42"/>
  <c r="H522" i="42"/>
  <c r="H411" i="42"/>
  <c r="H336" i="42"/>
  <c r="H524" i="42"/>
  <c r="H507" i="42"/>
  <c r="H211" i="42"/>
  <c r="K154" i="42"/>
  <c r="K159" i="42" s="1"/>
  <c r="H260" i="42"/>
  <c r="H380" i="42"/>
  <c r="H420" i="42"/>
  <c r="H473" i="42"/>
  <c r="H434" i="42"/>
  <c r="H345" i="42"/>
  <c r="H460" i="42"/>
  <c r="AC154" i="42"/>
  <c r="AG154" i="42"/>
  <c r="AG159" i="42" s="1"/>
  <c r="H238" i="42"/>
  <c r="H231" i="42"/>
  <c r="H366" i="42"/>
  <c r="H505" i="42"/>
  <c r="H242" i="42"/>
  <c r="H427" i="42"/>
  <c r="H459" i="42"/>
  <c r="H449" i="42"/>
  <c r="H321" i="42"/>
  <c r="H397" i="42"/>
  <c r="H215" i="42"/>
  <c r="H257" i="42"/>
  <c r="H325" i="42"/>
  <c r="H237" i="42"/>
  <c r="H229" i="42"/>
  <c r="L154" i="42"/>
  <c r="L159" i="42" s="1"/>
  <c r="H178" i="42"/>
  <c r="H285" i="42"/>
  <c r="H394" i="42"/>
  <c r="H267" i="42"/>
  <c r="H308" i="42"/>
  <c r="H517" i="42"/>
  <c r="H243" i="42"/>
  <c r="H222" i="42"/>
  <c r="G154" i="42"/>
  <c r="G159" i="42" s="1"/>
  <c r="H199" i="42"/>
  <c r="H184" i="42"/>
  <c r="H303" i="42"/>
  <c r="H527" i="42"/>
  <c r="H451" i="42"/>
  <c r="H234" i="42"/>
  <c r="H322" i="42"/>
  <c r="H348" i="42"/>
  <c r="H344" i="42"/>
  <c r="T154" i="42"/>
  <c r="T159" i="42" s="1"/>
  <c r="Q154" i="42"/>
  <c r="Q159" i="42" s="1"/>
  <c r="H271" i="42"/>
  <c r="H263" i="42"/>
  <c r="H457" i="42"/>
  <c r="H506" i="42"/>
  <c r="H168" i="42"/>
  <c r="H494" i="42"/>
  <c r="H419" i="42"/>
  <c r="H469" i="42"/>
  <c r="H338" i="42"/>
  <c r="H175" i="42"/>
  <c r="H306" i="42"/>
  <c r="M154" i="42"/>
  <c r="M159" i="42" s="1"/>
  <c r="H405" i="42"/>
  <c r="H425" i="42"/>
  <c r="H501" i="42"/>
  <c r="H363" i="42"/>
  <c r="H335" i="42"/>
  <c r="H373" i="42"/>
  <c r="H293" i="42"/>
  <c r="H372" i="42"/>
  <c r="H170" i="42"/>
  <c r="H379" i="42"/>
  <c r="H313" i="42"/>
  <c r="H253" i="42"/>
  <c r="H467" i="42"/>
  <c r="AA154" i="42"/>
  <c r="AA159" i="42" s="1"/>
  <c r="AE154" i="42"/>
  <c r="AE159" i="42" s="1"/>
  <c r="H490" i="42"/>
  <c r="H251" i="42"/>
  <c r="H502" i="42"/>
  <c r="H259" i="42"/>
  <c r="H364" i="42"/>
  <c r="H327" i="42"/>
  <c r="H245" i="42"/>
  <c r="H227" i="42"/>
  <c r="H268" i="42"/>
  <c r="H294" i="42"/>
  <c r="H488" i="42"/>
  <c r="H288" i="42"/>
  <c r="H280" i="42"/>
  <c r="H328" i="42"/>
  <c r="H445" i="42"/>
  <c r="H221" i="42"/>
  <c r="H255" i="42"/>
  <c r="H236" i="42"/>
  <c r="H438" i="42"/>
  <c r="H212" i="42"/>
  <c r="H309" i="42"/>
  <c r="H471" i="42"/>
  <c r="H315" i="42"/>
  <c r="H458" i="42"/>
  <c r="H515" i="42"/>
  <c r="H426" i="42"/>
  <c r="J154" i="42"/>
  <c r="J159" i="42" s="1"/>
  <c r="H181" i="42"/>
  <c r="H194" i="42"/>
  <c r="H342" i="42"/>
  <c r="H332" i="42"/>
  <c r="H447" i="42"/>
  <c r="H421" i="42"/>
  <c r="H289" i="42"/>
  <c r="H446" i="42"/>
  <c r="H329" i="42"/>
  <c r="H304" i="42"/>
  <c r="H216" i="42"/>
  <c r="H514" i="42"/>
  <c r="H416" i="42"/>
  <c r="H326" i="42"/>
  <c r="H433" i="42"/>
  <c r="H374" i="42"/>
  <c r="H503" i="42"/>
  <c r="H351" i="42"/>
  <c r="AB154" i="42"/>
  <c r="AB159" i="42" s="1"/>
  <c r="H472" i="42"/>
  <c r="H401" i="42"/>
  <c r="H368" i="42"/>
  <c r="H508" i="42"/>
  <c r="H513" i="42"/>
  <c r="H417" i="42"/>
  <c r="H407" i="42"/>
  <c r="H202" i="42"/>
  <c r="H436" i="42"/>
  <c r="H393" i="42"/>
  <c r="H511" i="42"/>
  <c r="H286" i="42"/>
  <c r="H339" i="42"/>
  <c r="H430" i="42"/>
  <c r="H252" i="42"/>
  <c r="H187" i="42"/>
  <c r="H281" i="42"/>
  <c r="H347" i="42"/>
  <c r="H182" i="42"/>
  <c r="H195" i="42"/>
  <c r="H249" i="42"/>
  <c r="H389" i="42"/>
  <c r="AD154" i="42"/>
  <c r="AD159" i="42" s="1"/>
  <c r="H340" i="42"/>
  <c r="B64" i="47"/>
  <c r="H176" i="42"/>
  <c r="H439" i="42"/>
  <c r="H266" i="42"/>
  <c r="H296" i="42"/>
  <c r="H190" i="42"/>
  <c r="H424" i="42"/>
  <c r="H264" i="42"/>
  <c r="H188" i="42"/>
  <c r="H410" i="42"/>
  <c r="H292" i="42"/>
  <c r="H376" i="42"/>
  <c r="H203" i="42"/>
  <c r="X154" i="42"/>
  <c r="H453" i="42"/>
  <c r="H269" i="42"/>
  <c r="H454" i="42"/>
  <c r="H179" i="42"/>
  <c r="H305" i="42"/>
  <c r="H500" i="42"/>
  <c r="H352" i="42"/>
  <c r="H277" i="42"/>
  <c r="H283" i="42"/>
  <c r="H356" i="42"/>
  <c r="H452" i="42"/>
  <c r="H272" i="42"/>
  <c r="H371" i="42"/>
  <c r="H395" i="42"/>
  <c r="AF154" i="42"/>
  <c r="AF159" i="42" s="1"/>
  <c r="H370" i="42"/>
  <c r="H383" i="42"/>
  <c r="H183" i="42"/>
  <c r="H209" i="42"/>
  <c r="H369" i="42"/>
  <c r="H196" i="42"/>
  <c r="H192" i="42"/>
  <c r="H475" i="42"/>
  <c r="H450" i="42"/>
  <c r="H230" i="42"/>
  <c r="H362" i="42"/>
  <c r="H456" i="42"/>
  <c r="H461" i="42"/>
  <c r="H225" i="42"/>
  <c r="H298" i="42"/>
  <c r="H398" i="42"/>
  <c r="H455" i="42"/>
  <c r="H186" i="42"/>
  <c r="H333" i="42"/>
  <c r="H275" i="42"/>
  <c r="E154" i="42"/>
  <c r="E159" i="42" s="1"/>
  <c r="H358" i="42"/>
  <c r="H480" i="42"/>
  <c r="H276" i="42"/>
  <c r="R154" i="42"/>
  <c r="R159" i="42" s="1"/>
  <c r="H274" i="42"/>
  <c r="H378" i="42"/>
  <c r="H440" i="42"/>
  <c r="H278" i="42"/>
  <c r="H226" i="42"/>
  <c r="H177" i="42"/>
  <c r="H250" i="42"/>
  <c r="H320" i="42"/>
  <c r="Z154" i="42"/>
  <c r="Z159" i="42" s="1"/>
  <c r="H282" i="42"/>
  <c r="H392" i="42"/>
  <c r="H415" i="42"/>
  <c r="H319" i="42"/>
  <c r="H497" i="42"/>
  <c r="H201" i="42"/>
  <c r="H287" i="42"/>
  <c r="H246" i="42"/>
  <c r="H437" i="42"/>
  <c r="H520" i="42"/>
  <c r="N154" i="42"/>
  <c r="H235" i="42"/>
  <c r="H391" i="42"/>
  <c r="H521" i="42"/>
  <c r="H481" i="42"/>
  <c r="H477" i="42"/>
  <c r="H365" i="42"/>
  <c r="H462" i="42"/>
  <c r="H441" i="42"/>
  <c r="H330" i="42"/>
  <c r="H189" i="42"/>
  <c r="H413" i="42"/>
  <c r="H487" i="42"/>
  <c r="H323" i="42"/>
  <c r="H396" i="42"/>
  <c r="H523" i="42"/>
  <c r="H402" i="42"/>
  <c r="H346" i="42"/>
  <c r="H219" i="42"/>
  <c r="S154" i="42"/>
  <c r="S159" i="42" s="1"/>
  <c r="H361" i="42"/>
  <c r="H404" i="42"/>
  <c r="H489" i="42"/>
  <c r="H468" i="42"/>
  <c r="H486" i="42"/>
  <c r="H463" i="42"/>
  <c r="H297" i="42"/>
  <c r="H525" i="42"/>
  <c r="H474" i="42"/>
  <c r="H367" i="42"/>
  <c r="H284" i="42"/>
  <c r="H337" i="42"/>
  <c r="H516" i="42"/>
  <c r="H390" i="42"/>
  <c r="H465" i="42"/>
  <c r="H384" i="42"/>
  <c r="H204" i="42"/>
  <c r="U154" i="42"/>
  <c r="U159" i="42" s="1"/>
  <c r="H240" i="42"/>
  <c r="H382" i="42"/>
  <c r="H200" i="42"/>
  <c r="H406" i="42"/>
  <c r="H208" i="42"/>
  <c r="H485" i="42"/>
  <c r="H180" i="42"/>
  <c r="H334" i="42"/>
  <c r="H443" i="42"/>
  <c r="H388" i="42"/>
  <c r="H353" i="42"/>
  <c r="I172" i="53"/>
  <c r="E18" i="47"/>
  <c r="E69" i="47" s="1"/>
  <c r="E70" i="47" s="1"/>
  <c r="F18" i="47"/>
  <c r="F69" i="47" s="1"/>
  <c r="D47" i="57"/>
  <c r="G35" i="47" s="1"/>
  <c r="D48" i="57"/>
  <c r="G36" i="47" s="1"/>
  <c r="G34" i="47"/>
  <c r="C14" i="47"/>
  <c r="C68" i="47" s="1"/>
  <c r="E112" i="55"/>
  <c r="C38" i="47"/>
  <c r="I19" i="47"/>
  <c r="K23" i="47" s="1"/>
  <c r="H167" i="57"/>
  <c r="H176" i="57"/>
  <c r="H183" i="57"/>
  <c r="H192" i="57"/>
  <c r="H199" i="57"/>
  <c r="H208" i="57"/>
  <c r="H215" i="57"/>
  <c r="H224" i="57"/>
  <c r="H231" i="57"/>
  <c r="H240" i="57"/>
  <c r="H247" i="57"/>
  <c r="H249" i="57"/>
  <c r="H251" i="57"/>
  <c r="H253" i="57"/>
  <c r="H255" i="57"/>
  <c r="H257" i="57"/>
  <c r="H259" i="57"/>
  <c r="H261" i="57"/>
  <c r="H263" i="57"/>
  <c r="H265" i="57"/>
  <c r="H267" i="57"/>
  <c r="H269" i="57"/>
  <c r="H271" i="57"/>
  <c r="H273" i="57"/>
  <c r="H275" i="57"/>
  <c r="H277" i="57"/>
  <c r="H279" i="57"/>
  <c r="H281" i="57"/>
  <c r="H283" i="57"/>
  <c r="H285" i="57"/>
  <c r="H287" i="57"/>
  <c r="H289" i="57"/>
  <c r="H291" i="57"/>
  <c r="H293" i="57"/>
  <c r="H295" i="57"/>
  <c r="H297" i="57"/>
  <c r="H299" i="57"/>
  <c r="H301" i="57"/>
  <c r="H303" i="57"/>
  <c r="H305" i="57"/>
  <c r="H307" i="57"/>
  <c r="H309" i="57"/>
  <c r="H311" i="57"/>
  <c r="H313" i="57"/>
  <c r="H315" i="57"/>
  <c r="H317" i="57"/>
  <c r="H319" i="57"/>
  <c r="H321" i="57"/>
  <c r="H323" i="57"/>
  <c r="H325" i="57"/>
  <c r="H327" i="57"/>
  <c r="H329" i="57"/>
  <c r="H331" i="57"/>
  <c r="H333" i="57"/>
  <c r="H335" i="57"/>
  <c r="H337" i="57"/>
  <c r="H339" i="57"/>
  <c r="H341" i="57"/>
  <c r="H343" i="57"/>
  <c r="H345" i="57"/>
  <c r="H347" i="57"/>
  <c r="H349" i="57"/>
  <c r="H351" i="57"/>
  <c r="H353" i="57"/>
  <c r="H355" i="57"/>
  <c r="H357" i="57"/>
  <c r="H359" i="57"/>
  <c r="H361" i="57"/>
  <c r="H363" i="57"/>
  <c r="H365" i="57"/>
  <c r="H367" i="57"/>
  <c r="H369" i="57"/>
  <c r="H371" i="57"/>
  <c r="H373" i="57"/>
  <c r="H375" i="57"/>
  <c r="H377" i="57"/>
  <c r="H379" i="57"/>
  <c r="H381" i="57"/>
  <c r="H383" i="57"/>
  <c r="H385" i="57"/>
  <c r="H387" i="57"/>
  <c r="H389" i="57"/>
  <c r="H391" i="57"/>
  <c r="H393" i="57"/>
  <c r="H395" i="57"/>
  <c r="H397" i="57"/>
  <c r="H399" i="57"/>
  <c r="H401" i="57"/>
  <c r="H403" i="57"/>
  <c r="H405" i="57"/>
  <c r="H407" i="57"/>
  <c r="H174" i="57"/>
  <c r="H181" i="57"/>
  <c r="H190" i="57"/>
  <c r="H197" i="57"/>
  <c r="H206" i="57"/>
  <c r="H213" i="57"/>
  <c r="H222" i="57"/>
  <c r="H229" i="57"/>
  <c r="H170" i="57"/>
  <c r="H177" i="57"/>
  <c r="H186" i="57"/>
  <c r="H193" i="57"/>
  <c r="H202" i="57"/>
  <c r="H209" i="57"/>
  <c r="H218" i="57"/>
  <c r="H225" i="57"/>
  <c r="H234" i="57"/>
  <c r="H241" i="57"/>
  <c r="H168" i="57"/>
  <c r="H175" i="57"/>
  <c r="H184" i="57"/>
  <c r="H191" i="57"/>
  <c r="H200" i="57"/>
  <c r="H207" i="57"/>
  <c r="H216" i="57"/>
  <c r="H223" i="57"/>
  <c r="H232" i="57"/>
  <c r="H239" i="57"/>
  <c r="H248" i="57"/>
  <c r="H250" i="57"/>
  <c r="H252" i="57"/>
  <c r="H254" i="57"/>
  <c r="H256" i="57"/>
  <c r="H258" i="57"/>
  <c r="H260" i="57"/>
  <c r="H262" i="57"/>
  <c r="H264" i="57"/>
  <c r="H266" i="57"/>
  <c r="H268" i="57"/>
  <c r="H270" i="57"/>
  <c r="H272" i="57"/>
  <c r="H173" i="57"/>
  <c r="H182" i="57"/>
  <c r="H205" i="57"/>
  <c r="H214" i="57"/>
  <c r="H237" i="57"/>
  <c r="H244" i="57"/>
  <c r="H280" i="57"/>
  <c r="H296" i="57"/>
  <c r="H312" i="57"/>
  <c r="H328" i="57"/>
  <c r="H344" i="57"/>
  <c r="H360" i="57"/>
  <c r="H376" i="57"/>
  <c r="H392" i="57"/>
  <c r="H408" i="57"/>
  <c r="H410" i="57"/>
  <c r="H412" i="57"/>
  <c r="H414" i="57"/>
  <c r="H416" i="57"/>
  <c r="H418" i="57"/>
  <c r="H420" i="57"/>
  <c r="H422" i="57"/>
  <c r="H424" i="57"/>
  <c r="H426" i="57"/>
  <c r="H428" i="57"/>
  <c r="H430" i="57"/>
  <c r="H432" i="57"/>
  <c r="H434" i="57"/>
  <c r="H436" i="57"/>
  <c r="H438" i="57"/>
  <c r="H440" i="57"/>
  <c r="H442" i="57"/>
  <c r="H444" i="57"/>
  <c r="H446" i="57"/>
  <c r="H448" i="57"/>
  <c r="H450" i="57"/>
  <c r="H452" i="57"/>
  <c r="H454" i="57"/>
  <c r="H456" i="57"/>
  <c r="H458" i="57"/>
  <c r="H460" i="57"/>
  <c r="H462" i="57"/>
  <c r="H464" i="57"/>
  <c r="H466" i="57"/>
  <c r="H468" i="57"/>
  <c r="H470" i="57"/>
  <c r="H472" i="57"/>
  <c r="H474" i="57"/>
  <c r="H476" i="57"/>
  <c r="H478" i="57"/>
  <c r="H480" i="57"/>
  <c r="H482" i="57"/>
  <c r="H484" i="57"/>
  <c r="H486" i="57"/>
  <c r="H488" i="57"/>
  <c r="H490" i="57"/>
  <c r="H492" i="57"/>
  <c r="H494" i="57"/>
  <c r="H496" i="57"/>
  <c r="H498" i="57"/>
  <c r="H500" i="57"/>
  <c r="H502" i="57"/>
  <c r="H504" i="57"/>
  <c r="H506" i="57"/>
  <c r="H508" i="57"/>
  <c r="H510" i="57"/>
  <c r="H512" i="57"/>
  <c r="H514" i="57"/>
  <c r="H516" i="57"/>
  <c r="H518" i="57"/>
  <c r="H520" i="57"/>
  <c r="H522" i="57"/>
  <c r="H524" i="57"/>
  <c r="H187" i="57"/>
  <c r="H196" i="57"/>
  <c r="H219" i="57"/>
  <c r="H228" i="57"/>
  <c r="H278" i="57"/>
  <c r="H294" i="57"/>
  <c r="H310" i="57"/>
  <c r="H326" i="57"/>
  <c r="H342" i="57"/>
  <c r="H358" i="57"/>
  <c r="H374" i="57"/>
  <c r="H390" i="57"/>
  <c r="H406" i="57"/>
  <c r="H179" i="57"/>
  <c r="H188" i="57"/>
  <c r="H211" i="57"/>
  <c r="H220" i="57"/>
  <c r="H238" i="57"/>
  <c r="H274" i="57"/>
  <c r="H290" i="57"/>
  <c r="H306" i="57"/>
  <c r="H322" i="57"/>
  <c r="H338" i="57"/>
  <c r="H354" i="57"/>
  <c r="H370" i="57"/>
  <c r="H386" i="57"/>
  <c r="H402" i="57"/>
  <c r="H172" i="57"/>
  <c r="H195" i="57"/>
  <c r="H204" i="57"/>
  <c r="H227" i="57"/>
  <c r="H236" i="57"/>
  <c r="H282" i="57"/>
  <c r="H298" i="57"/>
  <c r="H171" i="57"/>
  <c r="H180" i="57"/>
  <c r="H235" i="57"/>
  <c r="H302" i="57"/>
  <c r="H362" i="57"/>
  <c r="H366" i="57"/>
  <c r="H388" i="57"/>
  <c r="H413" i="57"/>
  <c r="H429" i="57"/>
  <c r="H445" i="57"/>
  <c r="H461" i="57"/>
  <c r="H477" i="57"/>
  <c r="H493" i="57"/>
  <c r="H509" i="57"/>
  <c r="H217" i="57"/>
  <c r="H226" i="57"/>
  <c r="H243" i="57"/>
  <c r="H284" i="57"/>
  <c r="H348" i="57"/>
  <c r="H352" i="57"/>
  <c r="H423" i="57"/>
  <c r="H439" i="57"/>
  <c r="H455" i="57"/>
  <c r="H471" i="57"/>
  <c r="H487" i="57"/>
  <c r="H503" i="57"/>
  <c r="H515" i="57"/>
  <c r="H523" i="57"/>
  <c r="H166" i="57"/>
  <c r="H221" i="57"/>
  <c r="H230" i="57"/>
  <c r="H246" i="57"/>
  <c r="H304" i="57"/>
  <c r="H316" i="57"/>
  <c r="H320" i="57"/>
  <c r="H378" i="57"/>
  <c r="H382" i="57"/>
  <c r="H404" i="57"/>
  <c r="H411" i="57"/>
  <c r="H427" i="57"/>
  <c r="H443" i="57"/>
  <c r="H459" i="57"/>
  <c r="H475" i="57"/>
  <c r="H491" i="57"/>
  <c r="H507" i="57"/>
  <c r="H513" i="57"/>
  <c r="H521" i="57"/>
  <c r="H203" i="57"/>
  <c r="H212" i="57"/>
  <c r="H286" i="57"/>
  <c r="H324" i="57"/>
  <c r="H364" i="57"/>
  <c r="H368" i="57"/>
  <c r="H421" i="57"/>
  <c r="H437" i="57"/>
  <c r="H453" i="57"/>
  <c r="H469" i="57"/>
  <c r="H485" i="57"/>
  <c r="H501" i="57"/>
  <c r="H185" i="57"/>
  <c r="H350" i="57"/>
  <c r="H372" i="57"/>
  <c r="H415" i="57"/>
  <c r="H447" i="57"/>
  <c r="H479" i="57"/>
  <c r="H511" i="57"/>
  <c r="H169" i="57"/>
  <c r="H336" i="57"/>
  <c r="H394" i="57"/>
  <c r="H409" i="57"/>
  <c r="H441" i="57"/>
  <c r="H473" i="57"/>
  <c r="H505" i="57"/>
  <c r="H210" i="57"/>
  <c r="H245" i="57"/>
  <c r="H308" i="57"/>
  <c r="H330" i="57"/>
  <c r="H396" i="57"/>
  <c r="H417" i="57"/>
  <c r="H449" i="57"/>
  <c r="H481" i="57"/>
  <c r="H194" i="57"/>
  <c r="H300" i="57"/>
  <c r="H346" i="57"/>
  <c r="H431" i="57"/>
  <c r="H463" i="57"/>
  <c r="H495" i="57"/>
  <c r="H519" i="57"/>
  <c r="H276" i="57"/>
  <c r="H356" i="57"/>
  <c r="H400" i="57"/>
  <c r="H465" i="57"/>
  <c r="H189" i="57"/>
  <c r="H314" i="57"/>
  <c r="H467" i="57"/>
  <c r="H517" i="57"/>
  <c r="H233" i="57"/>
  <c r="H332" i="57"/>
  <c r="H457" i="57"/>
  <c r="H201" i="57"/>
  <c r="H334" i="57"/>
  <c r="H433" i="57"/>
  <c r="H497" i="57"/>
  <c r="H198" i="57"/>
  <c r="H419" i="57"/>
  <c r="H499" i="57"/>
  <c r="H398" i="57"/>
  <c r="H425" i="57"/>
  <c r="H318" i="57"/>
  <c r="H483" i="57"/>
  <c r="H288" i="57"/>
  <c r="H178" i="57"/>
  <c r="H292" i="57"/>
  <c r="H242" i="57"/>
  <c r="H380" i="57"/>
  <c r="H435" i="57"/>
  <c r="H384" i="57"/>
  <c r="H525" i="57"/>
  <c r="H340" i="57"/>
  <c r="H451" i="57"/>
  <c r="G64" i="47"/>
  <c r="H489" i="57"/>
  <c r="F152" i="57"/>
  <c r="F157" i="57" s="1"/>
  <c r="AA152" i="57"/>
  <c r="AA157" i="57" s="1"/>
  <c r="S152" i="57"/>
  <c r="S157" i="57" s="1"/>
  <c r="E152" i="57"/>
  <c r="E157" i="57" s="1"/>
  <c r="W152" i="57"/>
  <c r="W157" i="57" s="1"/>
  <c r="I152" i="57"/>
  <c r="I157" i="57" s="1"/>
  <c r="H152" i="57"/>
  <c r="H157" i="57" s="1"/>
  <c r="AB152" i="57"/>
  <c r="AB157" i="57" s="1"/>
  <c r="AE152" i="57"/>
  <c r="AE157" i="57" s="1"/>
  <c r="AH152" i="57"/>
  <c r="R152" i="57"/>
  <c r="R157" i="57" s="1"/>
  <c r="O152" i="57"/>
  <c r="O157" i="57" s="1"/>
  <c r="P152" i="57"/>
  <c r="P157" i="57" s="1"/>
  <c r="AC152" i="57"/>
  <c r="AC157" i="57" s="1"/>
  <c r="X152" i="57"/>
  <c r="U152" i="57"/>
  <c r="U157" i="57" s="1"/>
  <c r="Z152" i="57"/>
  <c r="Z157" i="57" s="1"/>
  <c r="AG152" i="57"/>
  <c r="AG157" i="57" s="1"/>
  <c r="M152" i="57"/>
  <c r="M157" i="57" s="1"/>
  <c r="Y152" i="57"/>
  <c r="Y157" i="57" s="1"/>
  <c r="V152" i="57"/>
  <c r="V157" i="57" s="1"/>
  <c r="J152" i="57"/>
  <c r="J157" i="57" s="1"/>
  <c r="AD152" i="57"/>
  <c r="AD157" i="57" s="1"/>
  <c r="G152" i="57"/>
  <c r="G157" i="57" s="1"/>
  <c r="N152" i="57"/>
  <c r="K152" i="57"/>
  <c r="K157" i="57" s="1"/>
  <c r="AF152" i="57"/>
  <c r="AF157" i="57" s="1"/>
  <c r="T152" i="57"/>
  <c r="T157" i="57" s="1"/>
  <c r="L152" i="57"/>
  <c r="L157" i="57" s="1"/>
  <c r="Q152" i="57"/>
  <c r="Q157" i="57" s="1"/>
  <c r="H168" i="56"/>
  <c r="H170" i="56"/>
  <c r="H172" i="56"/>
  <c r="H174" i="56"/>
  <c r="H176" i="56"/>
  <c r="H178" i="56"/>
  <c r="H180" i="56"/>
  <c r="H182" i="56"/>
  <c r="H184" i="56"/>
  <c r="H186" i="56"/>
  <c r="H188" i="56"/>
  <c r="H190" i="56"/>
  <c r="H192" i="56"/>
  <c r="H194" i="56"/>
  <c r="H196" i="56"/>
  <c r="H198" i="56"/>
  <c r="H200" i="56"/>
  <c r="H202" i="56"/>
  <c r="H204" i="56"/>
  <c r="H206" i="56"/>
  <c r="H208" i="56"/>
  <c r="H210" i="56"/>
  <c r="H212" i="56"/>
  <c r="H214" i="56"/>
  <c r="H216" i="56"/>
  <c r="H218" i="56"/>
  <c r="H220" i="56"/>
  <c r="H222" i="56"/>
  <c r="H224" i="56"/>
  <c r="H226" i="56"/>
  <c r="H228" i="56"/>
  <c r="H230" i="56"/>
  <c r="H232" i="56"/>
  <c r="H234" i="56"/>
  <c r="H236" i="56"/>
  <c r="H238" i="56"/>
  <c r="H240" i="56"/>
  <c r="H242" i="56"/>
  <c r="H244" i="56"/>
  <c r="H246" i="56"/>
  <c r="H248" i="56"/>
  <c r="H250" i="56"/>
  <c r="H252" i="56"/>
  <c r="H254" i="56"/>
  <c r="H256" i="56"/>
  <c r="H258" i="56"/>
  <c r="H260" i="56"/>
  <c r="H262" i="56"/>
  <c r="H264" i="56"/>
  <c r="H266" i="56"/>
  <c r="H268" i="56"/>
  <c r="H270" i="56"/>
  <c r="H272" i="56"/>
  <c r="H274" i="56"/>
  <c r="H276" i="56"/>
  <c r="H278" i="56"/>
  <c r="H280" i="56"/>
  <c r="H282" i="56"/>
  <c r="H284" i="56"/>
  <c r="H286" i="56"/>
  <c r="H288" i="56"/>
  <c r="H290" i="56"/>
  <c r="H292" i="56"/>
  <c r="H169" i="56"/>
  <c r="H185" i="56"/>
  <c r="H201" i="56"/>
  <c r="H217" i="56"/>
  <c r="H233" i="56"/>
  <c r="H249" i="56"/>
  <c r="H265" i="56"/>
  <c r="H281" i="56"/>
  <c r="H187" i="56"/>
  <c r="H195" i="56"/>
  <c r="H221" i="56"/>
  <c r="H229" i="56"/>
  <c r="H255" i="56"/>
  <c r="H263" i="56"/>
  <c r="H289" i="56"/>
  <c r="H294" i="56"/>
  <c r="H301" i="56"/>
  <c r="H310" i="56"/>
  <c r="H317" i="56"/>
  <c r="H326" i="56"/>
  <c r="H333" i="56"/>
  <c r="H342" i="56"/>
  <c r="H349" i="56"/>
  <c r="H358" i="56"/>
  <c r="H365" i="56"/>
  <c r="H374" i="56"/>
  <c r="H381" i="56"/>
  <c r="H390" i="56"/>
  <c r="H397" i="56"/>
  <c r="H406" i="56"/>
  <c r="H413" i="56"/>
  <c r="H422" i="56"/>
  <c r="H177" i="56"/>
  <c r="H203" i="56"/>
  <c r="H211" i="56"/>
  <c r="H237" i="56"/>
  <c r="H245" i="56"/>
  <c r="H271" i="56"/>
  <c r="H279" i="56"/>
  <c r="H299" i="56"/>
  <c r="H167" i="56"/>
  <c r="H193" i="56"/>
  <c r="H219" i="56"/>
  <c r="H227" i="56"/>
  <c r="H253" i="56"/>
  <c r="H261" i="56"/>
  <c r="H287" i="56"/>
  <c r="H297" i="56"/>
  <c r="H306" i="56"/>
  <c r="H313" i="56"/>
  <c r="H322" i="56"/>
  <c r="H329" i="56"/>
  <c r="H338" i="56"/>
  <c r="H345" i="56"/>
  <c r="H354" i="56"/>
  <c r="H361" i="56"/>
  <c r="H370" i="56"/>
  <c r="H377" i="56"/>
  <c r="H386" i="56"/>
  <c r="H393" i="56"/>
  <c r="H402" i="56"/>
  <c r="H409" i="56"/>
  <c r="H418" i="56"/>
  <c r="H191" i="56"/>
  <c r="H199" i="56"/>
  <c r="H225" i="56"/>
  <c r="H251" i="56"/>
  <c r="H259" i="56"/>
  <c r="H285" i="56"/>
  <c r="H293" i="56"/>
  <c r="H302" i="56"/>
  <c r="H309" i="56"/>
  <c r="H318" i="56"/>
  <c r="H325" i="56"/>
  <c r="H334" i="56"/>
  <c r="H341" i="56"/>
  <c r="H350" i="56"/>
  <c r="H357" i="56"/>
  <c r="H366" i="56"/>
  <c r="H373" i="56"/>
  <c r="H382" i="56"/>
  <c r="H389" i="56"/>
  <c r="H398" i="56"/>
  <c r="H405" i="56"/>
  <c r="H414" i="56"/>
  <c r="H421" i="56"/>
  <c r="H175" i="56"/>
  <c r="H243" i="56"/>
  <c r="H269" i="56"/>
  <c r="H295" i="56"/>
  <c r="H304" i="56"/>
  <c r="H308" i="56"/>
  <c r="H319" i="56"/>
  <c r="H323" i="56"/>
  <c r="H330" i="56"/>
  <c r="H352" i="56"/>
  <c r="H363" i="56"/>
  <c r="H385" i="56"/>
  <c r="H392" i="56"/>
  <c r="H396" i="56"/>
  <c r="H407" i="56"/>
  <c r="H425" i="56"/>
  <c r="H428" i="56"/>
  <c r="H441" i="56"/>
  <c r="H444" i="56"/>
  <c r="H461" i="56"/>
  <c r="H470" i="56"/>
  <c r="H477" i="56"/>
  <c r="H486" i="56"/>
  <c r="H493" i="56"/>
  <c r="H502" i="56"/>
  <c r="H509" i="56"/>
  <c r="H518" i="56"/>
  <c r="H525" i="56"/>
  <c r="H181" i="56"/>
  <c r="H207" i="56"/>
  <c r="H275" i="56"/>
  <c r="H300" i="56"/>
  <c r="H312" i="56"/>
  <c r="H316" i="56"/>
  <c r="H327" i="56"/>
  <c r="H356" i="56"/>
  <c r="H367" i="56"/>
  <c r="H371" i="56"/>
  <c r="H378" i="56"/>
  <c r="H400" i="56"/>
  <c r="H411" i="56"/>
  <c r="H435" i="56"/>
  <c r="H438" i="56"/>
  <c r="H451" i="56"/>
  <c r="H454" i="56"/>
  <c r="H459" i="56"/>
  <c r="H468" i="56"/>
  <c r="H475" i="56"/>
  <c r="H484" i="56"/>
  <c r="H491" i="56"/>
  <c r="H500" i="56"/>
  <c r="H507" i="56"/>
  <c r="H516" i="56"/>
  <c r="H523" i="56"/>
  <c r="H197" i="56"/>
  <c r="H223" i="56"/>
  <c r="H291" i="56"/>
  <c r="H305" i="56"/>
  <c r="H320" i="56"/>
  <c r="H331" i="56"/>
  <c r="H353" i="56"/>
  <c r="H360" i="56"/>
  <c r="H364" i="56"/>
  <c r="H375" i="56"/>
  <c r="H404" i="56"/>
  <c r="H415" i="56"/>
  <c r="H419" i="56"/>
  <c r="H429" i="56"/>
  <c r="H432" i="56"/>
  <c r="H445" i="56"/>
  <c r="H448" i="56"/>
  <c r="H457" i="56"/>
  <c r="H466" i="56"/>
  <c r="H473" i="56"/>
  <c r="H482" i="56"/>
  <c r="H489" i="56"/>
  <c r="H498" i="56"/>
  <c r="H505" i="56"/>
  <c r="H514" i="56"/>
  <c r="H521" i="56"/>
  <c r="H183" i="56"/>
  <c r="H209" i="56"/>
  <c r="H235" i="56"/>
  <c r="H277" i="56"/>
  <c r="H321" i="56"/>
  <c r="H328" i="56"/>
  <c r="H332" i="56"/>
  <c r="H343" i="56"/>
  <c r="H372" i="56"/>
  <c r="H383" i="56"/>
  <c r="H387" i="56"/>
  <c r="H394" i="56"/>
  <c r="H416" i="56"/>
  <c r="H433" i="56"/>
  <c r="H436" i="56"/>
  <c r="H449" i="56"/>
  <c r="H452" i="56"/>
  <c r="H462" i="56"/>
  <c r="H469" i="56"/>
  <c r="H478" i="56"/>
  <c r="H485" i="56"/>
  <c r="H494" i="56"/>
  <c r="H501" i="56"/>
  <c r="H510" i="56"/>
  <c r="H517" i="56"/>
  <c r="H526" i="56"/>
  <c r="H173" i="56"/>
  <c r="H215" i="56"/>
  <c r="H267" i="56"/>
  <c r="H307" i="56"/>
  <c r="H314" i="56"/>
  <c r="H336" i="56"/>
  <c r="H380" i="56"/>
  <c r="H430" i="56"/>
  <c r="H443" i="56"/>
  <c r="H460" i="56"/>
  <c r="H483" i="56"/>
  <c r="H492" i="56"/>
  <c r="H515" i="56"/>
  <c r="H524" i="56"/>
  <c r="H257" i="56"/>
  <c r="H298" i="56"/>
  <c r="H351" i="56"/>
  <c r="H395" i="56"/>
  <c r="H417" i="56"/>
  <c r="H424" i="56"/>
  <c r="H437" i="56"/>
  <c r="H465" i="56"/>
  <c r="H474" i="56"/>
  <c r="H497" i="56"/>
  <c r="H506" i="56"/>
  <c r="H205" i="56"/>
  <c r="H247" i="56"/>
  <c r="H315" i="56"/>
  <c r="H337" i="56"/>
  <c r="H344" i="56"/>
  <c r="H359" i="56"/>
  <c r="H388" i="56"/>
  <c r="H403" i="56"/>
  <c r="H410" i="56"/>
  <c r="H431" i="56"/>
  <c r="H450" i="56"/>
  <c r="H456" i="56"/>
  <c r="H479" i="56"/>
  <c r="H488" i="56"/>
  <c r="H511" i="56"/>
  <c r="H520" i="56"/>
  <c r="H239" i="56"/>
  <c r="H324" i="56"/>
  <c r="H339" i="56"/>
  <c r="H346" i="56"/>
  <c r="H368" i="56"/>
  <c r="H412" i="56"/>
  <c r="H426" i="56"/>
  <c r="H439" i="56"/>
  <c r="H471" i="56"/>
  <c r="H480" i="56"/>
  <c r="H503" i="56"/>
  <c r="H512" i="56"/>
  <c r="H335" i="56"/>
  <c r="H379" i="56"/>
  <c r="H408" i="56"/>
  <c r="H423" i="56"/>
  <c r="H487" i="56"/>
  <c r="H496" i="56"/>
  <c r="H369" i="56"/>
  <c r="H427" i="56"/>
  <c r="H499" i="56"/>
  <c r="H508" i="56"/>
  <c r="H189" i="56"/>
  <c r="H231" i="56"/>
  <c r="H311" i="56"/>
  <c r="H340" i="56"/>
  <c r="H355" i="56"/>
  <c r="H384" i="56"/>
  <c r="H440" i="56"/>
  <c r="H453" i="56"/>
  <c r="H481" i="56"/>
  <c r="H490" i="56"/>
  <c r="H273" i="56"/>
  <c r="H399" i="56"/>
  <c r="H463" i="56"/>
  <c r="H472" i="56"/>
  <c r="H362" i="56"/>
  <c r="H522" i="56"/>
  <c r="H179" i="56"/>
  <c r="H303" i="56"/>
  <c r="H447" i="56"/>
  <c r="H504" i="56"/>
  <c r="H241" i="56"/>
  <c r="H347" i="56"/>
  <c r="H376" i="56"/>
  <c r="H476" i="56"/>
  <c r="H283" i="56"/>
  <c r="H458" i="56"/>
  <c r="H513" i="56"/>
  <c r="H213" i="56"/>
  <c r="H296" i="56"/>
  <c r="H464" i="56"/>
  <c r="H420" i="56"/>
  <c r="H467" i="56"/>
  <c r="H434" i="56"/>
  <c r="H171" i="56"/>
  <c r="H442" i="56"/>
  <c r="H519" i="56"/>
  <c r="H446" i="56"/>
  <c r="H455" i="56"/>
  <c r="H391" i="56"/>
  <c r="H495" i="56"/>
  <c r="H401" i="56"/>
  <c r="U153" i="56"/>
  <c r="U158" i="56" s="1"/>
  <c r="F153" i="56"/>
  <c r="F158" i="56" s="1"/>
  <c r="N153" i="56"/>
  <c r="AD153" i="56"/>
  <c r="AD158" i="56" s="1"/>
  <c r="T153" i="56"/>
  <c r="T158" i="56" s="1"/>
  <c r="X153" i="56"/>
  <c r="X158" i="56" s="1"/>
  <c r="AB153" i="56"/>
  <c r="AB158" i="56" s="1"/>
  <c r="O153" i="56"/>
  <c r="O158" i="56" s="1"/>
  <c r="Z153" i="56"/>
  <c r="Z158" i="56" s="1"/>
  <c r="H153" i="56"/>
  <c r="H158" i="56" s="1"/>
  <c r="AF153" i="56"/>
  <c r="AF158" i="56" s="1"/>
  <c r="W153" i="56"/>
  <c r="W158" i="56" s="1"/>
  <c r="F64" i="47"/>
  <c r="R153" i="56"/>
  <c r="R158" i="56" s="1"/>
  <c r="Q153" i="56"/>
  <c r="Q158" i="56" s="1"/>
  <c r="P153" i="56"/>
  <c r="P158" i="56" s="1"/>
  <c r="AA153" i="56"/>
  <c r="AA158" i="56" s="1"/>
  <c r="M153" i="56"/>
  <c r="M158" i="56" s="1"/>
  <c r="AC153" i="56"/>
  <c r="E153" i="56"/>
  <c r="E158" i="56" s="1"/>
  <c r="V153" i="56"/>
  <c r="V158" i="56" s="1"/>
  <c r="AG153" i="56"/>
  <c r="AG158" i="56" s="1"/>
  <c r="L153" i="56"/>
  <c r="L158" i="56" s="1"/>
  <c r="K153" i="56"/>
  <c r="K158" i="56" s="1"/>
  <c r="AE153" i="56"/>
  <c r="AE158" i="56" s="1"/>
  <c r="S153" i="56"/>
  <c r="J153" i="56"/>
  <c r="J158" i="56" s="1"/>
  <c r="G153" i="56"/>
  <c r="G158" i="56" s="1"/>
  <c r="AH153" i="56"/>
  <c r="H348" i="56"/>
  <c r="I153" i="56"/>
  <c r="I158" i="56" s="1"/>
  <c r="Y153" i="56"/>
  <c r="Y158" i="56" s="1"/>
  <c r="D38" i="47"/>
  <c r="E118" i="53"/>
  <c r="F118" i="53" s="1"/>
  <c r="G118" i="53" s="1"/>
  <c r="H118" i="53" s="1"/>
  <c r="I118" i="53" s="1"/>
  <c r="J118" i="53" s="1"/>
  <c r="K118" i="53" s="1"/>
  <c r="L118" i="53" s="1"/>
  <c r="M118" i="53" s="1"/>
  <c r="N118" i="53" s="1"/>
  <c r="O118" i="53" s="1"/>
  <c r="P118" i="53" s="1"/>
  <c r="Q118" i="53" s="1"/>
  <c r="R118" i="53" s="1"/>
  <c r="S118" i="53" s="1"/>
  <c r="T118" i="53" s="1"/>
  <c r="U118" i="53" s="1"/>
  <c r="V118" i="53" s="1"/>
  <c r="W118" i="53" s="1"/>
  <c r="X118" i="53" s="1"/>
  <c r="Y118" i="53" s="1"/>
  <c r="Z118" i="53" s="1"/>
  <c r="AA118" i="53" s="1"/>
  <c r="AB118" i="53" s="1"/>
  <c r="AC118" i="53" s="1"/>
  <c r="AD118" i="53" s="1"/>
  <c r="AE118" i="53" s="1"/>
  <c r="AF118" i="53" s="1"/>
  <c r="AG118" i="53" s="1"/>
  <c r="AH118" i="53" s="1"/>
  <c r="AH137" i="42"/>
  <c r="X132" i="47"/>
  <c r="S132" i="47"/>
  <c r="G132" i="47"/>
  <c r="W132" i="47"/>
  <c r="Q132" i="47"/>
  <c r="AB132" i="47"/>
  <c r="H132" i="47"/>
  <c r="M132" i="47"/>
  <c r="D132" i="47"/>
  <c r="O132" i="47"/>
  <c r="V132" i="47"/>
  <c r="L132" i="47"/>
  <c r="AE132" i="47"/>
  <c r="U132" i="47"/>
  <c r="F132" i="47"/>
  <c r="Y132" i="47"/>
  <c r="R132" i="47"/>
  <c r="E132" i="47"/>
  <c r="T132" i="47"/>
  <c r="I132" i="47"/>
  <c r="N132" i="47"/>
  <c r="J132" i="47"/>
  <c r="AF132" i="47"/>
  <c r="C132" i="47"/>
  <c r="Z132" i="47"/>
  <c r="AA132" i="47"/>
  <c r="AC132" i="47"/>
  <c r="K132" i="47"/>
  <c r="AD132" i="47"/>
  <c r="P132" i="47"/>
  <c r="L120" i="53"/>
  <c r="AA120" i="53"/>
  <c r="Y120" i="53"/>
  <c r="AB120" i="53"/>
  <c r="S120" i="53"/>
  <c r="K120" i="53"/>
  <c r="AH120" i="53"/>
  <c r="AG120" i="53"/>
  <c r="AC120" i="53"/>
  <c r="AF120" i="53"/>
  <c r="T120" i="53"/>
  <c r="F120" i="53"/>
  <c r="G120" i="53"/>
  <c r="J120" i="53"/>
  <c r="N120" i="53"/>
  <c r="O120" i="53"/>
  <c r="R120" i="53"/>
  <c r="Q120" i="53"/>
  <c r="M120" i="53"/>
  <c r="U120" i="53"/>
  <c r="E120" i="53"/>
  <c r="Z120" i="53"/>
  <c r="D30" i="47"/>
  <c r="H30" i="47" s="1"/>
  <c r="V120" i="53"/>
  <c r="AD120" i="53"/>
  <c r="W120" i="53"/>
  <c r="X120" i="53"/>
  <c r="P120" i="53"/>
  <c r="AE120" i="53"/>
  <c r="H120" i="53"/>
  <c r="I120" i="53"/>
  <c r="C18" i="47"/>
  <c r="C69" i="47" s="1"/>
  <c r="AA106" i="47"/>
  <c r="AC132" i="42"/>
  <c r="AC145" i="42" s="1"/>
  <c r="AC157" i="42" s="1"/>
  <c r="AC137" i="42"/>
  <c r="L9" i="55" l="1"/>
  <c r="B15" i="41"/>
  <c r="B16" i="41" s="1"/>
  <c r="E9" i="41"/>
  <c r="F70" i="47"/>
  <c r="C70" i="47"/>
  <c r="G54" i="47"/>
  <c r="G23" i="47"/>
  <c r="X157" i="57"/>
  <c r="G65" i="47"/>
  <c r="G71" i="47" s="1"/>
  <c r="AH120" i="57"/>
  <c r="Z120" i="57"/>
  <c r="R120" i="57"/>
  <c r="J120" i="57"/>
  <c r="AG120" i="57"/>
  <c r="Y120" i="57"/>
  <c r="Q120" i="57"/>
  <c r="I120" i="57"/>
  <c r="O120" i="57"/>
  <c r="U120" i="57"/>
  <c r="AB120" i="57"/>
  <c r="S120" i="57"/>
  <c r="AF120" i="57"/>
  <c r="X120" i="57"/>
  <c r="P120" i="57"/>
  <c r="H120" i="57"/>
  <c r="AE120" i="57"/>
  <c r="W120" i="57"/>
  <c r="G120" i="57"/>
  <c r="M120" i="57"/>
  <c r="T120" i="57"/>
  <c r="AA120" i="57"/>
  <c r="AD120" i="57"/>
  <c r="V120" i="57"/>
  <c r="N120" i="57"/>
  <c r="F120" i="57"/>
  <c r="AC120" i="57"/>
  <c r="E120" i="57"/>
  <c r="L120" i="57"/>
  <c r="K120" i="57"/>
  <c r="N166" i="57"/>
  <c r="L9" i="56"/>
  <c r="C27" i="56" s="1"/>
  <c r="F32" i="47"/>
  <c r="D49" i="56"/>
  <c r="D50" i="56" s="1"/>
  <c r="F19" i="47"/>
  <c r="AC158" i="56"/>
  <c r="C43" i="56"/>
  <c r="C44" i="56" s="1"/>
  <c r="F24" i="47" s="1"/>
  <c r="E102" i="56"/>
  <c r="E56" i="51"/>
  <c r="E38" i="47" s="1"/>
  <c r="E109" i="51"/>
  <c r="S160" i="51"/>
  <c r="E32" i="47"/>
  <c r="E104" i="51"/>
  <c r="C81" i="51"/>
  <c r="E92" i="51" s="1"/>
  <c r="W194" i="51"/>
  <c r="W175" i="51"/>
  <c r="W191" i="51"/>
  <c r="X160" i="51"/>
  <c r="C26" i="53"/>
  <c r="C27" i="53" s="1"/>
  <c r="C45" i="53" s="1"/>
  <c r="C46" i="53" s="1"/>
  <c r="D24" i="47" s="1"/>
  <c r="L9" i="53"/>
  <c r="S163" i="53"/>
  <c r="D14" i="47"/>
  <c r="D68" i="47" s="1"/>
  <c r="D70" i="47" s="1"/>
  <c r="E101" i="55"/>
  <c r="C43" i="55"/>
  <c r="C44" i="55" s="1"/>
  <c r="C24" i="47" s="1"/>
  <c r="C78" i="55"/>
  <c r="E89" i="55" s="1"/>
  <c r="C56" i="47" s="1"/>
  <c r="S157" i="55"/>
  <c r="L8" i="42"/>
  <c r="C26" i="42" s="1"/>
  <c r="C27" i="42" s="1"/>
  <c r="C81" i="42" s="1"/>
  <c r="E92" i="42" s="1"/>
  <c r="X163" i="53"/>
  <c r="E19" i="47"/>
  <c r="E24" i="47"/>
  <c r="S158" i="56"/>
  <c r="V107" i="47"/>
  <c r="V108" i="47" s="1"/>
  <c r="V134" i="47" s="1"/>
  <c r="W168" i="51"/>
  <c r="W189" i="51"/>
  <c r="W195" i="51"/>
  <c r="W183" i="51"/>
  <c r="W187" i="51"/>
  <c r="W190" i="51"/>
  <c r="W182" i="51"/>
  <c r="W172" i="51"/>
  <c r="W185" i="51"/>
  <c r="W188" i="51"/>
  <c r="W169" i="51"/>
  <c r="W177" i="51"/>
  <c r="W181" i="51"/>
  <c r="W179" i="51"/>
  <c r="W170" i="51"/>
  <c r="W193" i="51"/>
  <c r="W180" i="51"/>
  <c r="W174" i="51"/>
  <c r="W173" i="51"/>
  <c r="W178" i="51"/>
  <c r="W186" i="51"/>
  <c r="W192" i="51"/>
  <c r="W196" i="51"/>
  <c r="W197" i="51"/>
  <c r="W184" i="51"/>
  <c r="W171" i="51"/>
  <c r="W176" i="51"/>
  <c r="D18" i="47"/>
  <c r="D69" i="47" s="1"/>
  <c r="G144" i="47"/>
  <c r="X159" i="42"/>
  <c r="C34" i="47"/>
  <c r="D50" i="55"/>
  <c r="C35" i="47" s="1"/>
  <c r="D51" i="55"/>
  <c r="C36" i="47" s="1"/>
  <c r="AC163" i="53"/>
  <c r="K103" i="57"/>
  <c r="F104" i="57"/>
  <c r="E105" i="57"/>
  <c r="F106" i="55"/>
  <c r="E107" i="55"/>
  <c r="F107" i="55" s="1"/>
  <c r="G107" i="55" s="1"/>
  <c r="H107" i="55" s="1"/>
  <c r="I107" i="55" s="1"/>
  <c r="J107" i="55" s="1"/>
  <c r="K107" i="55" s="1"/>
  <c r="L107" i="55" s="1"/>
  <c r="M107" i="55" s="1"/>
  <c r="N107" i="55" s="1"/>
  <c r="O107" i="55" s="1"/>
  <c r="P107" i="55" s="1"/>
  <c r="Q107" i="55" s="1"/>
  <c r="R107" i="55" s="1"/>
  <c r="S107" i="55" s="1"/>
  <c r="T107" i="55" s="1"/>
  <c r="U107" i="55" s="1"/>
  <c r="V107" i="55" s="1"/>
  <c r="W107" i="55" s="1"/>
  <c r="X107" i="55" s="1"/>
  <c r="Y107" i="55" s="1"/>
  <c r="Z107" i="55" s="1"/>
  <c r="AA107" i="55" s="1"/>
  <c r="AB107" i="55" s="1"/>
  <c r="AC107" i="55" s="1"/>
  <c r="AD107" i="55" s="1"/>
  <c r="AE107" i="55" s="1"/>
  <c r="AF107" i="55" s="1"/>
  <c r="AG107" i="55" s="1"/>
  <c r="AH107" i="55" s="1"/>
  <c r="C33" i="47"/>
  <c r="L165" i="57"/>
  <c r="H28" i="47"/>
  <c r="B14" i="47"/>
  <c r="B68" i="47" s="1"/>
  <c r="Q113" i="47"/>
  <c r="Q108" i="47"/>
  <c r="E50" i="42"/>
  <c r="B29" i="47"/>
  <c r="F49" i="42"/>
  <c r="B38" i="47"/>
  <c r="E115" i="42"/>
  <c r="F115" i="42" s="1"/>
  <c r="G115" i="42" s="1"/>
  <c r="H115" i="42" s="1"/>
  <c r="I115" i="42" s="1"/>
  <c r="W185" i="56"/>
  <c r="W169" i="56"/>
  <c r="M435" i="57"/>
  <c r="M346" i="57"/>
  <c r="W180" i="57"/>
  <c r="M364" i="57"/>
  <c r="M352" i="57"/>
  <c r="W178" i="57"/>
  <c r="M322" i="57"/>
  <c r="M504" i="57"/>
  <c r="M440" i="57"/>
  <c r="M270" i="57"/>
  <c r="M229" i="57"/>
  <c r="M375" i="57"/>
  <c r="M327" i="57"/>
  <c r="M263" i="57"/>
  <c r="M457" i="57"/>
  <c r="M169" i="57"/>
  <c r="M320" i="57"/>
  <c r="M235" i="57"/>
  <c r="M278" i="57"/>
  <c r="M470" i="57"/>
  <c r="M392" i="57"/>
  <c r="M252" i="57"/>
  <c r="M405" i="57"/>
  <c r="M341" i="57"/>
  <c r="M293" i="57"/>
  <c r="M240" i="57"/>
  <c r="W172" i="42"/>
  <c r="W194" i="55"/>
  <c r="W167" i="56"/>
  <c r="W177" i="56"/>
  <c r="M242" i="57"/>
  <c r="M356" i="57"/>
  <c r="M511" i="57"/>
  <c r="M459" i="57"/>
  <c r="M284" i="57"/>
  <c r="M172" i="57"/>
  <c r="M228" i="57"/>
  <c r="M484" i="57"/>
  <c r="M436" i="57"/>
  <c r="M266" i="57"/>
  <c r="M209" i="57"/>
  <c r="M387" i="57"/>
  <c r="M339" i="57"/>
  <c r="M291" i="57"/>
  <c r="M231" i="57"/>
  <c r="C19" i="47"/>
  <c r="W168" i="42"/>
  <c r="W177" i="42"/>
  <c r="W181" i="42"/>
  <c r="W179" i="42"/>
  <c r="R185" i="57"/>
  <c r="R193" i="57"/>
  <c r="W200" i="53"/>
  <c r="W192" i="53"/>
  <c r="W188" i="53"/>
  <c r="W180" i="53"/>
  <c r="E112" i="53"/>
  <c r="D53" i="53"/>
  <c r="D54" i="53" s="1"/>
  <c r="D32" i="47"/>
  <c r="W191" i="56"/>
  <c r="W182" i="56"/>
  <c r="M419" i="57"/>
  <c r="M481" i="57"/>
  <c r="M469" i="57"/>
  <c r="M443" i="57"/>
  <c r="M243" i="57"/>
  <c r="M402" i="57"/>
  <c r="M219" i="57"/>
  <c r="M482" i="57"/>
  <c r="M434" i="57"/>
  <c r="M360" i="57"/>
  <c r="M248" i="57"/>
  <c r="M206" i="57"/>
  <c r="M385" i="57"/>
  <c r="M337" i="57"/>
  <c r="M305" i="57"/>
  <c r="M257" i="57"/>
  <c r="R172" i="57"/>
  <c r="W175" i="55"/>
  <c r="W191" i="55"/>
  <c r="W174" i="55"/>
  <c r="F109" i="57"/>
  <c r="W174" i="53"/>
  <c r="W180" i="56"/>
  <c r="W192" i="56"/>
  <c r="W179" i="56"/>
  <c r="W174" i="56"/>
  <c r="M451" i="57"/>
  <c r="M178" i="57"/>
  <c r="W166" i="57"/>
  <c r="M198" i="57"/>
  <c r="M517" i="57"/>
  <c r="M519" i="57"/>
  <c r="M449" i="57"/>
  <c r="M473" i="57"/>
  <c r="M447" i="57"/>
  <c r="M453" i="57"/>
  <c r="M203" i="57"/>
  <c r="M427" i="57"/>
  <c r="M246" i="57"/>
  <c r="M471" i="57"/>
  <c r="M226" i="57"/>
  <c r="W170" i="57"/>
  <c r="M413" i="57"/>
  <c r="M298" i="57"/>
  <c r="W176" i="57"/>
  <c r="M386" i="57"/>
  <c r="W171" i="57"/>
  <c r="M238" i="57"/>
  <c r="W181" i="57"/>
  <c r="M358" i="57"/>
  <c r="M196" i="57"/>
  <c r="M512" i="57"/>
  <c r="M496" i="57"/>
  <c r="M480" i="57"/>
  <c r="M464" i="57"/>
  <c r="M448" i="57"/>
  <c r="M432" i="57"/>
  <c r="M416" i="57"/>
  <c r="M344" i="57"/>
  <c r="M205" i="57"/>
  <c r="M262" i="57"/>
  <c r="W173" i="57"/>
  <c r="M239" i="57"/>
  <c r="M175" i="57"/>
  <c r="M193" i="57"/>
  <c r="M197" i="57"/>
  <c r="M399" i="57"/>
  <c r="M383" i="57"/>
  <c r="M367" i="57"/>
  <c r="M351" i="57"/>
  <c r="M335" i="57"/>
  <c r="M319" i="57"/>
  <c r="M303" i="57"/>
  <c r="M287" i="57"/>
  <c r="M271" i="57"/>
  <c r="M255" i="57"/>
  <c r="M215" i="57"/>
  <c r="E110" i="51"/>
  <c r="F110" i="51" s="1"/>
  <c r="G110" i="51" s="1"/>
  <c r="H110" i="51" s="1"/>
  <c r="I110" i="51" s="1"/>
  <c r="J110" i="51" s="1"/>
  <c r="K110" i="51" s="1"/>
  <c r="L110" i="51" s="1"/>
  <c r="M110" i="51" s="1"/>
  <c r="N110" i="51" s="1"/>
  <c r="O110" i="51" s="1"/>
  <c r="P110" i="51" s="1"/>
  <c r="Q110" i="51" s="1"/>
  <c r="R110" i="51" s="1"/>
  <c r="S110" i="51" s="1"/>
  <c r="T110" i="51" s="1"/>
  <c r="U110" i="51" s="1"/>
  <c r="V110" i="51" s="1"/>
  <c r="W110" i="51" s="1"/>
  <c r="X110" i="51" s="1"/>
  <c r="Y110" i="51" s="1"/>
  <c r="Z110" i="51" s="1"/>
  <c r="AA110" i="51" s="1"/>
  <c r="AB110" i="51" s="1"/>
  <c r="AC110" i="51" s="1"/>
  <c r="AD110" i="51" s="1"/>
  <c r="AE110" i="51" s="1"/>
  <c r="AF110" i="51" s="1"/>
  <c r="AG110" i="51" s="1"/>
  <c r="AH110" i="51" s="1"/>
  <c r="E33" i="47"/>
  <c r="W193" i="42"/>
  <c r="W169" i="42"/>
  <c r="J168" i="42"/>
  <c r="W167" i="42"/>
  <c r="W182" i="42"/>
  <c r="W187" i="42"/>
  <c r="W183" i="42"/>
  <c r="R189" i="57"/>
  <c r="R183" i="57"/>
  <c r="R194" i="57"/>
  <c r="R188" i="57"/>
  <c r="R192" i="57"/>
  <c r="R178" i="57"/>
  <c r="W173" i="53"/>
  <c r="W197" i="53"/>
  <c r="W193" i="53"/>
  <c r="W189" i="53"/>
  <c r="W185" i="53"/>
  <c r="W181" i="53"/>
  <c r="W175" i="53"/>
  <c r="W178" i="56"/>
  <c r="W170" i="56"/>
  <c r="M465" i="57"/>
  <c r="M185" i="57"/>
  <c r="M523" i="57"/>
  <c r="M204" i="57"/>
  <c r="M520" i="57"/>
  <c r="M456" i="57"/>
  <c r="M280" i="57"/>
  <c r="M207" i="57"/>
  <c r="M407" i="57"/>
  <c r="M343" i="57"/>
  <c r="M295" i="57"/>
  <c r="M183" i="57"/>
  <c r="X6" i="47"/>
  <c r="W173" i="42"/>
  <c r="R180" i="57"/>
  <c r="R165" i="57"/>
  <c r="E166" i="57"/>
  <c r="R175" i="57"/>
  <c r="W176" i="53"/>
  <c r="W199" i="53"/>
  <c r="W195" i="53"/>
  <c r="M398" i="57"/>
  <c r="M245" i="57"/>
  <c r="M475" i="57"/>
  <c r="M461" i="57"/>
  <c r="M406" i="57"/>
  <c r="W185" i="57"/>
  <c r="M486" i="57"/>
  <c r="M422" i="57"/>
  <c r="M200" i="57"/>
  <c r="M389" i="57"/>
  <c r="M309" i="57"/>
  <c r="M176" i="57"/>
  <c r="R169" i="57"/>
  <c r="G66" i="47"/>
  <c r="C55" i="57"/>
  <c r="G43" i="47" s="1"/>
  <c r="R190" i="57"/>
  <c r="W182" i="55"/>
  <c r="W178" i="55"/>
  <c r="W177" i="53"/>
  <c r="M489" i="57"/>
  <c r="M332" i="57"/>
  <c r="M485" i="57"/>
  <c r="M316" i="57"/>
  <c r="M445" i="57"/>
  <c r="M290" i="57"/>
  <c r="M500" i="57"/>
  <c r="M452" i="57"/>
  <c r="M237" i="57"/>
  <c r="M191" i="57"/>
  <c r="M403" i="57"/>
  <c r="M355" i="57"/>
  <c r="M307" i="57"/>
  <c r="M259" i="57"/>
  <c r="M233" i="57"/>
  <c r="M479" i="57"/>
  <c r="M304" i="57"/>
  <c r="M429" i="57"/>
  <c r="W174" i="57"/>
  <c r="M274" i="57"/>
  <c r="W194" i="57"/>
  <c r="M514" i="57"/>
  <c r="M450" i="57"/>
  <c r="M214" i="57"/>
  <c r="W169" i="57"/>
  <c r="W168" i="57"/>
  <c r="M202" i="57"/>
  <c r="M369" i="57"/>
  <c r="M289" i="57"/>
  <c r="E92" i="55"/>
  <c r="W185" i="42"/>
  <c r="I110" i="42"/>
  <c r="AA113" i="47"/>
  <c r="W190" i="56"/>
  <c r="W181" i="56"/>
  <c r="W195" i="56"/>
  <c r="W175" i="56"/>
  <c r="W186" i="56"/>
  <c r="M340" i="57"/>
  <c r="M288" i="57"/>
  <c r="M497" i="57"/>
  <c r="M467" i="57"/>
  <c r="M495" i="57"/>
  <c r="M417" i="57"/>
  <c r="M441" i="57"/>
  <c r="M415" i="57"/>
  <c r="M437" i="57"/>
  <c r="M521" i="57"/>
  <c r="M411" i="57"/>
  <c r="M230" i="57"/>
  <c r="M455" i="57"/>
  <c r="M217" i="57"/>
  <c r="M388" i="57"/>
  <c r="M282" i="57"/>
  <c r="M370" i="57"/>
  <c r="W182" i="57"/>
  <c r="M220" i="57"/>
  <c r="M342" i="57"/>
  <c r="M187" i="57"/>
  <c r="M510" i="57"/>
  <c r="M494" i="57"/>
  <c r="M478" i="57"/>
  <c r="W191" i="57"/>
  <c r="M462" i="57"/>
  <c r="M446" i="57"/>
  <c r="W187" i="57"/>
  <c r="M430" i="57"/>
  <c r="M414" i="57"/>
  <c r="M328" i="57"/>
  <c r="M182" i="57"/>
  <c r="M260" i="57"/>
  <c r="M232" i="57"/>
  <c r="M168" i="57"/>
  <c r="M186" i="57"/>
  <c r="W167" i="57"/>
  <c r="M190" i="57"/>
  <c r="M397" i="57"/>
  <c r="M381" i="57"/>
  <c r="M365" i="57"/>
  <c r="M349" i="57"/>
  <c r="M333" i="57"/>
  <c r="M317" i="57"/>
  <c r="M301" i="57"/>
  <c r="M285" i="57"/>
  <c r="M269" i="57"/>
  <c r="M253" i="57"/>
  <c r="M208" i="57"/>
  <c r="AA107" i="47"/>
  <c r="AA108" i="47" s="1"/>
  <c r="E52" i="51"/>
  <c r="W184" i="42"/>
  <c r="W190" i="42"/>
  <c r="W189" i="42"/>
  <c r="R171" i="57"/>
  <c r="R182" i="57"/>
  <c r="R167" i="57"/>
  <c r="W171" i="55"/>
  <c r="W192" i="55"/>
  <c r="W188" i="55"/>
  <c r="W184" i="55"/>
  <c r="W180" i="55"/>
  <c r="W176" i="55"/>
  <c r="W167" i="55"/>
  <c r="M425" i="57"/>
  <c r="M308" i="57"/>
  <c r="M491" i="57"/>
  <c r="M477" i="57"/>
  <c r="M179" i="57"/>
  <c r="M488" i="57"/>
  <c r="M424" i="57"/>
  <c r="M254" i="57"/>
  <c r="M391" i="57"/>
  <c r="M311" i="57"/>
  <c r="M247" i="57"/>
  <c r="W175" i="42"/>
  <c r="W194" i="42"/>
  <c r="W191" i="53"/>
  <c r="W187" i="53"/>
  <c r="W183" i="53"/>
  <c r="W187" i="56"/>
  <c r="J167" i="56"/>
  <c r="W166" i="56"/>
  <c r="M400" i="57"/>
  <c r="M501" i="57"/>
  <c r="M515" i="57"/>
  <c r="M195" i="57"/>
  <c r="M518" i="57"/>
  <c r="M454" i="57"/>
  <c r="W189" i="57"/>
  <c r="M244" i="57"/>
  <c r="M218" i="57"/>
  <c r="M357" i="57"/>
  <c r="M277" i="57"/>
  <c r="W174" i="42"/>
  <c r="R191" i="57"/>
  <c r="W168" i="56"/>
  <c r="M194" i="57"/>
  <c r="M420" i="57"/>
  <c r="W194" i="56"/>
  <c r="W183" i="56"/>
  <c r="W171" i="56"/>
  <c r="M525" i="57"/>
  <c r="M483" i="57"/>
  <c r="M433" i="57"/>
  <c r="M314" i="57"/>
  <c r="M463" i="57"/>
  <c r="M396" i="57"/>
  <c r="M409" i="57"/>
  <c r="M372" i="57"/>
  <c r="M421" i="57"/>
  <c r="M513" i="57"/>
  <c r="M404" i="57"/>
  <c r="M221" i="57"/>
  <c r="M439" i="57"/>
  <c r="M509" i="57"/>
  <c r="M366" i="57"/>
  <c r="M236" i="57"/>
  <c r="M354" i="57"/>
  <c r="M211" i="57"/>
  <c r="M326" i="57"/>
  <c r="M524" i="57"/>
  <c r="M508" i="57"/>
  <c r="M492" i="57"/>
  <c r="M476" i="57"/>
  <c r="M460" i="57"/>
  <c r="M444" i="57"/>
  <c r="M428" i="57"/>
  <c r="M412" i="57"/>
  <c r="M312" i="57"/>
  <c r="M173" i="57"/>
  <c r="M258" i="57"/>
  <c r="M223" i="57"/>
  <c r="M241" i="57"/>
  <c r="M177" i="57"/>
  <c r="M181" i="57"/>
  <c r="M395" i="57"/>
  <c r="M379" i="57"/>
  <c r="M363" i="57"/>
  <c r="M347" i="57"/>
  <c r="M331" i="57"/>
  <c r="M315" i="57"/>
  <c r="M299" i="57"/>
  <c r="M283" i="57"/>
  <c r="M267" i="57"/>
  <c r="M251" i="57"/>
  <c r="M199" i="57"/>
  <c r="F107" i="56"/>
  <c r="D49" i="57"/>
  <c r="W196" i="42"/>
  <c r="AC159" i="42"/>
  <c r="W180" i="42"/>
  <c r="R181" i="57"/>
  <c r="R177" i="57"/>
  <c r="R174" i="57"/>
  <c r="G169" i="51"/>
  <c r="W172" i="55"/>
  <c r="W198" i="53"/>
  <c r="W194" i="53"/>
  <c r="W190" i="53"/>
  <c r="W186" i="53"/>
  <c r="W182" i="53"/>
  <c r="W172" i="56"/>
  <c r="M201" i="57"/>
  <c r="M336" i="57"/>
  <c r="M378" i="57"/>
  <c r="M302" i="57"/>
  <c r="M294" i="57"/>
  <c r="M472" i="57"/>
  <c r="M408" i="57"/>
  <c r="M225" i="57"/>
  <c r="M359" i="57"/>
  <c r="M279" i="57"/>
  <c r="W186" i="42"/>
  <c r="W171" i="42"/>
  <c r="B18" i="47"/>
  <c r="B69" i="47" s="1"/>
  <c r="W179" i="53"/>
  <c r="W189" i="56"/>
  <c r="M380" i="57"/>
  <c r="M300" i="57"/>
  <c r="M324" i="57"/>
  <c r="M348" i="57"/>
  <c r="M306" i="57"/>
  <c r="W193" i="57"/>
  <c r="M502" i="57"/>
  <c r="M438" i="57"/>
  <c r="M268" i="57"/>
  <c r="M222" i="57"/>
  <c r="M373" i="57"/>
  <c r="M325" i="57"/>
  <c r="M261" i="57"/>
  <c r="F112" i="55"/>
  <c r="W195" i="42"/>
  <c r="W173" i="55"/>
  <c r="W190" i="55"/>
  <c r="W186" i="55"/>
  <c r="W169" i="55"/>
  <c r="J166" i="55"/>
  <c r="W165" i="55"/>
  <c r="W184" i="56"/>
  <c r="W193" i="56"/>
  <c r="M499" i="57"/>
  <c r="M210" i="57"/>
  <c r="W175" i="57"/>
  <c r="M286" i="57"/>
  <c r="M503" i="57"/>
  <c r="M180" i="57"/>
  <c r="M390" i="57"/>
  <c r="M516" i="57"/>
  <c r="M468" i="57"/>
  <c r="M376" i="57"/>
  <c r="W172" i="57"/>
  <c r="M250" i="57"/>
  <c r="M213" i="57"/>
  <c r="M371" i="57"/>
  <c r="M323" i="57"/>
  <c r="M275" i="57"/>
  <c r="M167" i="57"/>
  <c r="W170" i="42"/>
  <c r="W178" i="42"/>
  <c r="R173" i="57"/>
  <c r="AB173" i="57" s="1"/>
  <c r="R168" i="57"/>
  <c r="R170" i="57"/>
  <c r="R179" i="57"/>
  <c r="W178" i="53"/>
  <c r="W196" i="53"/>
  <c r="W184" i="53"/>
  <c r="W176" i="56"/>
  <c r="M292" i="57"/>
  <c r="M276" i="57"/>
  <c r="M505" i="57"/>
  <c r="M212" i="57"/>
  <c r="M487" i="57"/>
  <c r="M171" i="57"/>
  <c r="M374" i="57"/>
  <c r="M498" i="57"/>
  <c r="M466" i="57"/>
  <c r="W190" i="57"/>
  <c r="W186" i="57"/>
  <c r="M418" i="57"/>
  <c r="M264" i="57"/>
  <c r="M184" i="57"/>
  <c r="M401" i="57"/>
  <c r="M353" i="57"/>
  <c r="M321" i="57"/>
  <c r="M273" i="57"/>
  <c r="M224" i="57"/>
  <c r="W176" i="42"/>
  <c r="W188" i="42"/>
  <c r="R166" i="57"/>
  <c r="R176" i="57"/>
  <c r="W187" i="55"/>
  <c r="W183" i="55"/>
  <c r="W179" i="55"/>
  <c r="W170" i="55"/>
  <c r="W166" i="55"/>
  <c r="W188" i="56"/>
  <c r="W173" i="56"/>
  <c r="M384" i="57"/>
  <c r="M318" i="57"/>
  <c r="W179" i="57"/>
  <c r="M334" i="57"/>
  <c r="M189" i="57"/>
  <c r="M431" i="57"/>
  <c r="M330" i="57"/>
  <c r="M394" i="57"/>
  <c r="W184" i="57"/>
  <c r="M350" i="57"/>
  <c r="M368" i="57"/>
  <c r="M507" i="57"/>
  <c r="M382" i="57"/>
  <c r="W183" i="57"/>
  <c r="J166" i="57"/>
  <c r="M166" i="57"/>
  <c r="W165" i="57"/>
  <c r="M423" i="57"/>
  <c r="M493" i="57"/>
  <c r="M362" i="57"/>
  <c r="M227" i="57"/>
  <c r="M338" i="57"/>
  <c r="M188" i="57"/>
  <c r="M310" i="57"/>
  <c r="W177" i="57"/>
  <c r="M522" i="57"/>
  <c r="M506" i="57"/>
  <c r="M490" i="57"/>
  <c r="W192" i="57"/>
  <c r="M474" i="57"/>
  <c r="M458" i="57"/>
  <c r="W188" i="57"/>
  <c r="M442" i="57"/>
  <c r="M426" i="57"/>
  <c r="M410" i="57"/>
  <c r="M296" i="57"/>
  <c r="M272" i="57"/>
  <c r="M256" i="57"/>
  <c r="M216" i="57"/>
  <c r="M234" i="57"/>
  <c r="M170" i="57"/>
  <c r="M174" i="57"/>
  <c r="M393" i="57"/>
  <c r="M377" i="57"/>
  <c r="M361" i="57"/>
  <c r="M345" i="57"/>
  <c r="M329" i="57"/>
  <c r="M313" i="57"/>
  <c r="M297" i="57"/>
  <c r="M281" i="57"/>
  <c r="M265" i="57"/>
  <c r="M249" i="57"/>
  <c r="M192" i="57"/>
  <c r="F109" i="51"/>
  <c r="W192" i="42"/>
  <c r="W191" i="42"/>
  <c r="H64" i="47"/>
  <c r="R187" i="57"/>
  <c r="R184" i="57"/>
  <c r="AB184" i="57" s="1"/>
  <c r="R186" i="57"/>
  <c r="W193" i="55"/>
  <c r="W189" i="55"/>
  <c r="W185" i="55"/>
  <c r="W181" i="55"/>
  <c r="W177" i="55"/>
  <c r="W168" i="55"/>
  <c r="J172" i="53"/>
  <c r="W171" i="53"/>
  <c r="W172" i="53"/>
  <c r="AB171" i="57" l="1"/>
  <c r="E98" i="55"/>
  <c r="C65" i="47" s="1"/>
  <c r="B165" i="55"/>
  <c r="E115" i="51"/>
  <c r="F115" i="51" s="1"/>
  <c r="G115" i="51" s="1"/>
  <c r="H115" i="51" s="1"/>
  <c r="I115" i="51" s="1"/>
  <c r="J115" i="51" s="1"/>
  <c r="K115" i="51" s="1"/>
  <c r="L115" i="51" s="1"/>
  <c r="M115" i="51" s="1"/>
  <c r="N115" i="51" s="1"/>
  <c r="O115" i="51" s="1"/>
  <c r="P115" i="51" s="1"/>
  <c r="Q115" i="51" s="1"/>
  <c r="R115" i="51" s="1"/>
  <c r="S115" i="51" s="1"/>
  <c r="T115" i="51" s="1"/>
  <c r="U115" i="51" s="1"/>
  <c r="V115" i="51" s="1"/>
  <c r="W115" i="51" s="1"/>
  <c r="X115" i="51" s="1"/>
  <c r="Y115" i="51" s="1"/>
  <c r="Z115" i="51" s="1"/>
  <c r="AA115" i="51" s="1"/>
  <c r="AB115" i="51" s="1"/>
  <c r="AC115" i="51" s="1"/>
  <c r="AD115" i="51" s="1"/>
  <c r="AE115" i="51" s="1"/>
  <c r="AF115" i="51" s="1"/>
  <c r="AG115" i="51" s="1"/>
  <c r="AH115" i="51" s="1"/>
  <c r="B18" i="41"/>
  <c r="B19" i="41" s="1"/>
  <c r="B36" i="41" s="1"/>
  <c r="B31" i="41"/>
  <c r="E108" i="56"/>
  <c r="F108" i="56" s="1"/>
  <c r="G108" i="56" s="1"/>
  <c r="H108" i="56" s="1"/>
  <c r="I108" i="56" s="1"/>
  <c r="J108" i="56" s="1"/>
  <c r="K108" i="56" s="1"/>
  <c r="L108" i="56" s="1"/>
  <c r="M108" i="56" s="1"/>
  <c r="N108" i="56" s="1"/>
  <c r="O108" i="56" s="1"/>
  <c r="P108" i="56" s="1"/>
  <c r="Q108" i="56" s="1"/>
  <c r="R108" i="56" s="1"/>
  <c r="S108" i="56" s="1"/>
  <c r="T108" i="56" s="1"/>
  <c r="U108" i="56" s="1"/>
  <c r="V108" i="56" s="1"/>
  <c r="W108" i="56" s="1"/>
  <c r="X108" i="56" s="1"/>
  <c r="Y108" i="56" s="1"/>
  <c r="Z108" i="56" s="1"/>
  <c r="AA108" i="56" s="1"/>
  <c r="AB108" i="56" s="1"/>
  <c r="AC108" i="56" s="1"/>
  <c r="AD108" i="56" s="1"/>
  <c r="AE108" i="56" s="1"/>
  <c r="AF108" i="56" s="1"/>
  <c r="AG108" i="56" s="1"/>
  <c r="AH108" i="56" s="1"/>
  <c r="D134" i="56"/>
  <c r="E89" i="56"/>
  <c r="E90" i="56" s="1"/>
  <c r="X7" i="47"/>
  <c r="B70" i="47"/>
  <c r="C71" i="47"/>
  <c r="C54" i="47"/>
  <c r="C23" i="47"/>
  <c r="E54" i="47"/>
  <c r="E23" i="47"/>
  <c r="F54" i="47"/>
  <c r="F23" i="47"/>
  <c r="F33" i="47"/>
  <c r="E95" i="51"/>
  <c r="E101" i="51"/>
  <c r="B168" i="51"/>
  <c r="E56" i="47"/>
  <c r="E111" i="51"/>
  <c r="E113" i="51" s="1"/>
  <c r="C83" i="53"/>
  <c r="E95" i="53" s="1"/>
  <c r="B171" i="53" s="1"/>
  <c r="D172" i="53" s="1"/>
  <c r="N172" i="53" s="1"/>
  <c r="D139" i="53"/>
  <c r="E107" i="53"/>
  <c r="D19" i="47"/>
  <c r="H18" i="47"/>
  <c r="H14" i="47"/>
  <c r="H68" i="47" s="1"/>
  <c r="D133" i="55"/>
  <c r="E102" i="55"/>
  <c r="L9" i="42"/>
  <c r="B19" i="47" s="1"/>
  <c r="E95" i="42"/>
  <c r="C495" i="42" s="1"/>
  <c r="M495" i="42" s="1"/>
  <c r="E101" i="42"/>
  <c r="B65" i="47" s="1"/>
  <c r="B56" i="47"/>
  <c r="C45" i="42"/>
  <c r="C46" i="42" s="1"/>
  <c r="B24" i="47" s="1"/>
  <c r="B167" i="42"/>
  <c r="D168" i="42" s="1"/>
  <c r="AB186" i="57"/>
  <c r="AB181" i="57"/>
  <c r="AB191" i="57"/>
  <c r="AB176" i="57"/>
  <c r="AB168" i="57"/>
  <c r="AB187" i="57"/>
  <c r="AB174" i="57"/>
  <c r="AB167" i="57"/>
  <c r="AB178" i="57"/>
  <c r="AB170" i="57"/>
  <c r="V121" i="47"/>
  <c r="V133" i="47" s="1"/>
  <c r="Q6" i="47"/>
  <c r="V116" i="47"/>
  <c r="AB180" i="57"/>
  <c r="V124" i="47"/>
  <c r="V137" i="47"/>
  <c r="V115" i="47"/>
  <c r="Q7" i="47" s="1"/>
  <c r="AB179" i="57"/>
  <c r="V136" i="47"/>
  <c r="Q10" i="47" s="1"/>
  <c r="V123" i="47"/>
  <c r="Q8" i="47" s="1"/>
  <c r="C184" i="42"/>
  <c r="M184" i="42" s="1"/>
  <c r="D136" i="57"/>
  <c r="E106" i="57"/>
  <c r="E107" i="57"/>
  <c r="E111" i="57"/>
  <c r="AB172" i="57"/>
  <c r="E108" i="55"/>
  <c r="D52" i="55"/>
  <c r="AB165" i="57"/>
  <c r="AB194" i="57"/>
  <c r="G106" i="55"/>
  <c r="F108" i="55"/>
  <c r="L103" i="57"/>
  <c r="G104" i="57"/>
  <c r="F105" i="57"/>
  <c r="C305" i="42"/>
  <c r="M305" i="42" s="1"/>
  <c r="C229" i="42"/>
  <c r="M229" i="42" s="1"/>
  <c r="C342" i="42"/>
  <c r="M342" i="42" s="1"/>
  <c r="C216" i="42"/>
  <c r="M216" i="42" s="1"/>
  <c r="C288" i="42"/>
  <c r="M288" i="42" s="1"/>
  <c r="C258" i="42"/>
  <c r="M258" i="42" s="1"/>
  <c r="C174" i="42"/>
  <c r="M174" i="42" s="1"/>
  <c r="C226" i="42"/>
  <c r="M226" i="42" s="1"/>
  <c r="C526" i="42"/>
  <c r="M526" i="42" s="1"/>
  <c r="C228" i="42"/>
  <c r="M228" i="42" s="1"/>
  <c r="C250" i="42"/>
  <c r="M250" i="42" s="1"/>
  <c r="C368" i="42"/>
  <c r="M368" i="42" s="1"/>
  <c r="C337" i="42"/>
  <c r="M337" i="42" s="1"/>
  <c r="C340" i="42"/>
  <c r="M340" i="42" s="1"/>
  <c r="C271" i="42"/>
  <c r="M271" i="42" s="1"/>
  <c r="C442" i="42"/>
  <c r="M442" i="42" s="1"/>
  <c r="C512" i="42"/>
  <c r="M512" i="42" s="1"/>
  <c r="C236" i="42"/>
  <c r="M236" i="42" s="1"/>
  <c r="C371" i="42"/>
  <c r="M371" i="42" s="1"/>
  <c r="C315" i="42"/>
  <c r="M315" i="42" s="1"/>
  <c r="C180" i="42"/>
  <c r="M180" i="42" s="1"/>
  <c r="C317" i="42"/>
  <c r="M317" i="42" s="1"/>
  <c r="C353" i="42"/>
  <c r="M353" i="42" s="1"/>
  <c r="C484" i="42"/>
  <c r="M484" i="42" s="1"/>
  <c r="C403" i="42"/>
  <c r="M403" i="42" s="1"/>
  <c r="C171" i="42"/>
  <c r="M171" i="42" s="1"/>
  <c r="C245" i="42"/>
  <c r="M245" i="42" s="1"/>
  <c r="C487" i="42"/>
  <c r="M487" i="42" s="1"/>
  <c r="C361" i="42"/>
  <c r="M361" i="42" s="1"/>
  <c r="C233" i="42"/>
  <c r="M233" i="42" s="1"/>
  <c r="C283" i="42"/>
  <c r="M283" i="42" s="1"/>
  <c r="C382" i="42"/>
  <c r="M382" i="42" s="1"/>
  <c r="C301" i="42"/>
  <c r="M301" i="42" s="1"/>
  <c r="C218" i="42"/>
  <c r="M218" i="42" s="1"/>
  <c r="C322" i="42"/>
  <c r="M322" i="42" s="1"/>
  <c r="C257" i="42"/>
  <c r="M257" i="42" s="1"/>
  <c r="C369" i="42"/>
  <c r="M369" i="42" s="1"/>
  <c r="C372" i="42"/>
  <c r="M372" i="42" s="1"/>
  <c r="C412" i="42"/>
  <c r="M412" i="42" s="1"/>
  <c r="C331" i="42"/>
  <c r="M331" i="42" s="1"/>
  <c r="C284" i="42"/>
  <c r="M284" i="42" s="1"/>
  <c r="C446" i="42"/>
  <c r="M446" i="42" s="1"/>
  <c r="C319" i="42"/>
  <c r="M319" i="42" s="1"/>
  <c r="C325" i="42"/>
  <c r="M325" i="42" s="1"/>
  <c r="C221" i="42"/>
  <c r="M221" i="42" s="1"/>
  <c r="C327" i="42"/>
  <c r="M327" i="42" s="1"/>
  <c r="C273" i="42"/>
  <c r="M273" i="42" s="1"/>
  <c r="C385" i="42"/>
  <c r="M385" i="42" s="1"/>
  <c r="C513" i="42"/>
  <c r="M513" i="42" s="1"/>
  <c r="C388" i="42"/>
  <c r="M388" i="42" s="1"/>
  <c r="C347" i="42"/>
  <c r="M347" i="42" s="1"/>
  <c r="C475" i="42"/>
  <c r="M475" i="42" s="1"/>
  <c r="C256" i="42"/>
  <c r="M256" i="42" s="1"/>
  <c r="C462" i="42"/>
  <c r="M462" i="42" s="1"/>
  <c r="C357" i="42"/>
  <c r="M357" i="42" s="1"/>
  <c r="C202" i="42"/>
  <c r="M202" i="42" s="1"/>
  <c r="C440" i="42"/>
  <c r="M440" i="42" s="1"/>
  <c r="C179" i="42"/>
  <c r="M179" i="42" s="1"/>
  <c r="C401" i="42"/>
  <c r="M401" i="42" s="1"/>
  <c r="C199" i="42"/>
  <c r="M199" i="42" s="1"/>
  <c r="C200" i="42"/>
  <c r="M200" i="42" s="1"/>
  <c r="C194" i="42"/>
  <c r="M194" i="42" s="1"/>
  <c r="C491" i="42"/>
  <c r="M491" i="42" s="1"/>
  <c r="C198" i="42"/>
  <c r="M198" i="42" s="1"/>
  <c r="C350" i="42"/>
  <c r="M350" i="42" s="1"/>
  <c r="C285" i="42"/>
  <c r="M285" i="42" s="1"/>
  <c r="C470" i="42"/>
  <c r="M470" i="42" s="1"/>
  <c r="C335" i="42"/>
  <c r="M335" i="42" s="1"/>
  <c r="C472" i="42"/>
  <c r="M472" i="42" s="1"/>
  <c r="C391" i="42"/>
  <c r="M391" i="42" s="1"/>
  <c r="C498" i="42"/>
  <c r="M498" i="42" s="1"/>
  <c r="C289" i="42"/>
  <c r="M289" i="42" s="1"/>
  <c r="C224" i="42"/>
  <c r="M224" i="42" s="1"/>
  <c r="C292" i="42"/>
  <c r="M292" i="42" s="1"/>
  <c r="C460" i="42"/>
  <c r="M460" i="42" s="1"/>
  <c r="C267" i="42"/>
  <c r="M267" i="42" s="1"/>
  <c r="C379" i="42"/>
  <c r="M379" i="42" s="1"/>
  <c r="C182" i="42"/>
  <c r="M182" i="42" s="1"/>
  <c r="C169" i="42"/>
  <c r="M169" i="42" s="1"/>
  <c r="C415" i="42"/>
  <c r="M415" i="42" s="1"/>
  <c r="C181" i="42"/>
  <c r="M181" i="42" s="1"/>
  <c r="C502" i="42"/>
  <c r="M502" i="42" s="1"/>
  <c r="C183" i="42"/>
  <c r="M183" i="42" s="1"/>
  <c r="C480" i="42"/>
  <c r="M480" i="42" s="1"/>
  <c r="C177" i="42"/>
  <c r="M177" i="42" s="1"/>
  <c r="C294" i="42"/>
  <c r="M294" i="42" s="1"/>
  <c r="C286" i="42"/>
  <c r="M286" i="42" s="1"/>
  <c r="C296" i="42"/>
  <c r="M296" i="42" s="1"/>
  <c r="C390" i="42"/>
  <c r="M390" i="42" s="1"/>
  <c r="C201" i="42"/>
  <c r="M201" i="42" s="1"/>
  <c r="C392" i="42"/>
  <c r="M392" i="42" s="1"/>
  <c r="C204" i="42"/>
  <c r="M204" i="42" s="1"/>
  <c r="C311" i="42"/>
  <c r="M311" i="42" s="1"/>
  <c r="C405" i="42"/>
  <c r="M405" i="42" s="1"/>
  <c r="C313" i="42"/>
  <c r="M313" i="42" s="1"/>
  <c r="C407" i="42"/>
  <c r="M407" i="42" s="1"/>
  <c r="C246" i="42"/>
  <c r="M246" i="42" s="1"/>
  <c r="C328" i="42"/>
  <c r="M328" i="42" s="1"/>
  <c r="C330" i="42"/>
  <c r="M330" i="42" s="1"/>
  <c r="C424" i="42"/>
  <c r="M424" i="42" s="1"/>
  <c r="C518" i="42"/>
  <c r="M518" i="42" s="1"/>
  <c r="C343" i="42"/>
  <c r="M343" i="42" s="1"/>
  <c r="C426" i="42"/>
  <c r="M426" i="42" s="1"/>
  <c r="C192" i="42"/>
  <c r="M192" i="42" s="1"/>
  <c r="C345" i="42"/>
  <c r="M345" i="42" s="1"/>
  <c r="C439" i="42"/>
  <c r="M439" i="42" s="1"/>
  <c r="C205" i="42"/>
  <c r="M205" i="42" s="1"/>
  <c r="C373" i="42"/>
  <c r="M373" i="42" s="1"/>
  <c r="C270" i="42"/>
  <c r="M270" i="42" s="1"/>
  <c r="C409" i="42"/>
  <c r="M409" i="42" s="1"/>
  <c r="C431" i="42"/>
  <c r="M431" i="42" s="1"/>
  <c r="Q134" i="47"/>
  <c r="Q121" i="47"/>
  <c r="Q133" i="47" s="1"/>
  <c r="P6" i="47"/>
  <c r="H38" i="47"/>
  <c r="B32" i="47"/>
  <c r="H32" i="47" s="1"/>
  <c r="E109" i="42"/>
  <c r="C81" i="47" s="1"/>
  <c r="E52" i="42"/>
  <c r="D55" i="53"/>
  <c r="D35" i="47" s="1"/>
  <c r="D56" i="53"/>
  <c r="D36" i="47" s="1"/>
  <c r="D34" i="47"/>
  <c r="B166" i="57"/>
  <c r="G168" i="42"/>
  <c r="I170" i="51"/>
  <c r="C453" i="55"/>
  <c r="C441" i="55"/>
  <c r="C371" i="55"/>
  <c r="C307" i="55"/>
  <c r="C335" i="55"/>
  <c r="C345" i="55"/>
  <c r="C252" i="55"/>
  <c r="C194" i="55"/>
  <c r="C250" i="55"/>
  <c r="C483" i="55"/>
  <c r="C497" i="55"/>
  <c r="C392" i="55"/>
  <c r="C355" i="55"/>
  <c r="C225" i="55"/>
  <c r="C182" i="55"/>
  <c r="C462" i="55"/>
  <c r="C411" i="55"/>
  <c r="C410" i="55"/>
  <c r="C317" i="55"/>
  <c r="C213" i="55"/>
  <c r="C263" i="55"/>
  <c r="C297" i="55"/>
  <c r="C512" i="55"/>
  <c r="C459" i="55"/>
  <c r="C367" i="55"/>
  <c r="C201" i="55"/>
  <c r="C198" i="55"/>
  <c r="C224" i="55"/>
  <c r="C481" i="55"/>
  <c r="C418" i="55"/>
  <c r="C414" i="55"/>
  <c r="C298" i="55"/>
  <c r="C247" i="55"/>
  <c r="C274" i="55"/>
  <c r="C221" i="55"/>
  <c r="C188" i="55"/>
  <c r="C363" i="55"/>
  <c r="C442" i="55"/>
  <c r="C268" i="55"/>
  <c r="C460" i="55"/>
  <c r="C291" i="55"/>
  <c r="C402" i="55"/>
  <c r="C439" i="55"/>
  <c r="C501" i="55"/>
  <c r="C395" i="55"/>
  <c r="C482" i="55"/>
  <c r="C421" i="55"/>
  <c r="C400" i="55"/>
  <c r="C336" i="55"/>
  <c r="C433" i="55"/>
  <c r="C508" i="55"/>
  <c r="C299" i="55"/>
  <c r="C240" i="55"/>
  <c r="C195" i="55"/>
  <c r="C269" i="55"/>
  <c r="C477" i="55"/>
  <c r="C322" i="55"/>
  <c r="C271" i="55"/>
  <c r="C236" i="55"/>
  <c r="C294" i="55"/>
  <c r="C454" i="55"/>
  <c r="C443" i="55"/>
  <c r="C401" i="55"/>
  <c r="C314" i="55"/>
  <c r="C176" i="55"/>
  <c r="C429" i="55"/>
  <c r="C328" i="55"/>
  <c r="C347" i="55"/>
  <c r="C280" i="55"/>
  <c r="C242" i="55"/>
  <c r="C199" i="55"/>
  <c r="C420" i="55"/>
  <c r="C189" i="55"/>
  <c r="C293" i="55"/>
  <c r="C412" i="55"/>
  <c r="C452" i="55"/>
  <c r="C318" i="55"/>
  <c r="C282" i="55"/>
  <c r="C329" i="55"/>
  <c r="C491" i="55"/>
  <c r="C264" i="55"/>
  <c r="C463" i="55"/>
  <c r="C489" i="55"/>
  <c r="C488" i="55"/>
  <c r="C59" i="47"/>
  <c r="C296" i="55"/>
  <c r="C396" i="55"/>
  <c r="C337" i="55"/>
  <c r="C233" i="55"/>
  <c r="C190" i="55"/>
  <c r="C270" i="55"/>
  <c r="C218" i="55"/>
  <c r="C469" i="55"/>
  <c r="C422" i="55"/>
  <c r="C259" i="55"/>
  <c r="C187" i="55"/>
  <c r="C254" i="55"/>
  <c r="C490" i="55"/>
  <c r="C374" i="55"/>
  <c r="C300" i="55"/>
  <c r="C181" i="55"/>
  <c r="C473" i="55"/>
  <c r="C358" i="55"/>
  <c r="C288" i="55"/>
  <c r="C209" i="55"/>
  <c r="C196" i="55"/>
  <c r="C470" i="55"/>
  <c r="C440" i="55"/>
  <c r="C426" i="55"/>
  <c r="C210" i="55"/>
  <c r="C200" i="55"/>
  <c r="C521" i="55"/>
  <c r="C456" i="55"/>
  <c r="C359" i="55"/>
  <c r="C346" i="55"/>
  <c r="C331" i="55"/>
  <c r="C272" i="55"/>
  <c r="C202" i="55"/>
  <c r="C285" i="55"/>
  <c r="C295" i="55"/>
  <c r="C516" i="55"/>
  <c r="C475" i="55"/>
  <c r="C239" i="55"/>
  <c r="C518" i="55"/>
  <c r="C327" i="55"/>
  <c r="C486" i="55"/>
  <c r="C351" i="55"/>
  <c r="C167" i="55"/>
  <c r="C324" i="55"/>
  <c r="C499" i="55"/>
  <c r="C315" i="55"/>
  <c r="C386" i="55"/>
  <c r="C287" i="55"/>
  <c r="C234" i="55"/>
  <c r="C502" i="55"/>
  <c r="C391" i="55"/>
  <c r="C313" i="55"/>
  <c r="C279" i="55"/>
  <c r="C238" i="55"/>
  <c r="C169" i="55"/>
  <c r="C383" i="55"/>
  <c r="C232" i="55"/>
  <c r="C241" i="55"/>
  <c r="C180" i="55"/>
  <c r="C457" i="55"/>
  <c r="C436" i="55"/>
  <c r="C266" i="55"/>
  <c r="C495" i="55"/>
  <c r="C368" i="55"/>
  <c r="C306" i="55"/>
  <c r="C237" i="55"/>
  <c r="C360" i="55"/>
  <c r="C349" i="55"/>
  <c r="C276" i="55"/>
  <c r="C183" i="55"/>
  <c r="C185" i="55"/>
  <c r="C476" i="55"/>
  <c r="C398" i="55"/>
  <c r="C246" i="55"/>
  <c r="C397" i="55"/>
  <c r="C431" i="55"/>
  <c r="C430" i="55"/>
  <c r="C503" i="55"/>
  <c r="C235" i="55"/>
  <c r="C513" i="55"/>
  <c r="C399" i="55"/>
  <c r="C248" i="55"/>
  <c r="C267" i="55"/>
  <c r="C310" i="55"/>
  <c r="C251" i="55"/>
  <c r="C520" i="55"/>
  <c r="C494" i="55"/>
  <c r="C305" i="55"/>
  <c r="C174" i="55"/>
  <c r="C375" i="55"/>
  <c r="C434" i="55"/>
  <c r="C393" i="55"/>
  <c r="C284" i="55"/>
  <c r="C326" i="55"/>
  <c r="C231" i="55"/>
  <c r="C447" i="55"/>
  <c r="C385" i="55"/>
  <c r="C203" i="55"/>
  <c r="C216" i="55"/>
  <c r="C408" i="55"/>
  <c r="C205" i="55"/>
  <c r="C373" i="55"/>
  <c r="C256" i="55"/>
  <c r="C186" i="55"/>
  <c r="C515" i="55"/>
  <c r="C302" i="55"/>
  <c r="C493" i="55"/>
  <c r="C444" i="55"/>
  <c r="C348" i="55"/>
  <c r="C343" i="55"/>
  <c r="C261" i="55"/>
  <c r="C278" i="55"/>
  <c r="C517" i="55"/>
  <c r="C505" i="55"/>
  <c r="C212" i="55"/>
  <c r="C485" i="55"/>
  <c r="C425" i="55"/>
  <c r="C404" i="55"/>
  <c r="C227" i="55"/>
  <c r="C243" i="55"/>
  <c r="C417" i="55"/>
  <c r="C388" i="55"/>
  <c r="C262" i="55"/>
  <c r="C445" i="55"/>
  <c r="C257" i="55"/>
  <c r="C222" i="55"/>
  <c r="C286" i="55"/>
  <c r="C382" i="55"/>
  <c r="C173" i="55"/>
  <c r="C496" i="55"/>
  <c r="C394" i="55"/>
  <c r="C465" i="55"/>
  <c r="C245" i="55"/>
  <c r="C377" i="55"/>
  <c r="C446" i="55"/>
  <c r="C455" i="55"/>
  <c r="C334" i="55"/>
  <c r="C177" i="55"/>
  <c r="C416" i="55"/>
  <c r="C390" i="55"/>
  <c r="C171" i="55"/>
  <c r="C384" i="55"/>
  <c r="C184" i="55"/>
  <c r="C428" i="55"/>
  <c r="C419" i="55"/>
  <c r="C168" i="55"/>
  <c r="C320" i="55"/>
  <c r="C249" i="55"/>
  <c r="C406" i="55"/>
  <c r="C380" i="55"/>
  <c r="C369" i="55"/>
  <c r="C283" i="55"/>
  <c r="C510" i="55"/>
  <c r="C339" i="55"/>
  <c r="C275" i="55"/>
  <c r="C474" i="55"/>
  <c r="C364" i="55"/>
  <c r="C519" i="55"/>
  <c r="C273" i="55"/>
  <c r="C435" i="55"/>
  <c r="C301" i="55"/>
  <c r="C166" i="55"/>
  <c r="C432" i="55"/>
  <c r="C191" i="55"/>
  <c r="C487" i="55"/>
  <c r="C356" i="55"/>
  <c r="C214" i="55"/>
  <c r="C319" i="55"/>
  <c r="C253" i="55"/>
  <c r="C509" i="55"/>
  <c r="C507" i="55"/>
  <c r="C361" i="55"/>
  <c r="C340" i="55"/>
  <c r="C228" i="55"/>
  <c r="C333" i="55"/>
  <c r="C207" i="55"/>
  <c r="C370" i="55"/>
  <c r="C311" i="55"/>
  <c r="C178" i="55"/>
  <c r="C376" i="55"/>
  <c r="C292" i="55"/>
  <c r="C255" i="55"/>
  <c r="C193" i="55"/>
  <c r="C523" i="55"/>
  <c r="C277" i="55"/>
  <c r="C323" i="55"/>
  <c r="C357" i="55"/>
  <c r="C461" i="55"/>
  <c r="C458" i="55"/>
  <c r="C471" i="55"/>
  <c r="C506" i="55"/>
  <c r="C525" i="55"/>
  <c r="C492" i="55"/>
  <c r="C215" i="55"/>
  <c r="C498" i="55"/>
  <c r="C450" i="55"/>
  <c r="C325" i="55"/>
  <c r="C309" i="55"/>
  <c r="E99" i="55"/>
  <c r="C524" i="55"/>
  <c r="C350" i="55"/>
  <c r="C514" i="55"/>
  <c r="C172" i="55"/>
  <c r="C332" i="55"/>
  <c r="C308" i="55"/>
  <c r="C472" i="55"/>
  <c r="C338" i="55"/>
  <c r="C208" i="55"/>
  <c r="C219" i="55"/>
  <c r="C372" i="55"/>
  <c r="C366" i="55"/>
  <c r="C387" i="55"/>
  <c r="C304" i="55"/>
  <c r="C405" i="55"/>
  <c r="C223" i="55"/>
  <c r="C378" i="55"/>
  <c r="C424" i="55"/>
  <c r="C484" i="55"/>
  <c r="C427" i="55"/>
  <c r="C407" i="55"/>
  <c r="C352" i="55"/>
  <c r="C170" i="55"/>
  <c r="C415" i="55"/>
  <c r="C330" i="55"/>
  <c r="C265" i="55"/>
  <c r="C448" i="55"/>
  <c r="C230" i="55"/>
  <c r="C381" i="55"/>
  <c r="C504" i="55"/>
  <c r="C365" i="55"/>
  <c r="C342" i="55"/>
  <c r="C500" i="55"/>
  <c r="C362" i="55"/>
  <c r="C464" i="55"/>
  <c r="C403" i="55"/>
  <c r="C175" i="55"/>
  <c r="C303" i="55"/>
  <c r="C344" i="55"/>
  <c r="C260" i="55"/>
  <c r="C321" i="55"/>
  <c r="C192" i="55"/>
  <c r="C353" i="55"/>
  <c r="C229" i="55"/>
  <c r="C478" i="55"/>
  <c r="C354" i="55"/>
  <c r="C197" i="55"/>
  <c r="C389" i="55"/>
  <c r="C312" i="55"/>
  <c r="C479" i="55"/>
  <c r="C449" i="55"/>
  <c r="C438" i="55"/>
  <c r="C379" i="55"/>
  <c r="C289" i="55"/>
  <c r="C466" i="55"/>
  <c r="C480" i="55"/>
  <c r="C413" i="55"/>
  <c r="C220" i="55"/>
  <c r="C204" i="55"/>
  <c r="C451" i="55"/>
  <c r="C217" i="55"/>
  <c r="C409" i="55"/>
  <c r="C467" i="55"/>
  <c r="C226" i="55"/>
  <c r="C290" i="55"/>
  <c r="C206" i="55"/>
  <c r="C423" i="55"/>
  <c r="C281" i="55"/>
  <c r="C179" i="55"/>
  <c r="C468" i="55"/>
  <c r="C258" i="55"/>
  <c r="C316" i="55"/>
  <c r="C437" i="55"/>
  <c r="C211" i="55"/>
  <c r="C522" i="55"/>
  <c r="C341" i="55"/>
  <c r="C244" i="55"/>
  <c r="C511" i="55"/>
  <c r="R6" i="47"/>
  <c r="AA123" i="47"/>
  <c r="R8" i="47" s="1"/>
  <c r="AA124" i="47"/>
  <c r="AA134" i="47"/>
  <c r="AA115" i="47"/>
  <c r="R7" i="47" s="1"/>
  <c r="AA116" i="47"/>
  <c r="AA136" i="47"/>
  <c r="R10" i="47" s="1"/>
  <c r="AA121" i="47"/>
  <c r="AA133" i="47" s="1"/>
  <c r="AA137" i="47"/>
  <c r="AB177" i="57"/>
  <c r="D166" i="55"/>
  <c r="L165" i="55"/>
  <c r="AB175" i="57"/>
  <c r="G167" i="56"/>
  <c r="J115" i="42"/>
  <c r="D51" i="57"/>
  <c r="G37" i="47"/>
  <c r="E34" i="47"/>
  <c r="E53" i="51"/>
  <c r="E35" i="47" s="1"/>
  <c r="E54" i="51"/>
  <c r="E36" i="47" s="1"/>
  <c r="J110" i="42"/>
  <c r="N130" i="47"/>
  <c r="N135" i="47" s="1"/>
  <c r="Y130" i="47"/>
  <c r="Y135" i="47" s="1"/>
  <c r="H352" i="47"/>
  <c r="H409" i="47"/>
  <c r="H484" i="47"/>
  <c r="H302" i="47"/>
  <c r="H299" i="47"/>
  <c r="H301" i="47"/>
  <c r="H478" i="47"/>
  <c r="H198" i="47"/>
  <c r="H223" i="47"/>
  <c r="H353" i="47"/>
  <c r="H424" i="47"/>
  <c r="H167" i="47"/>
  <c r="H336" i="47"/>
  <c r="H482" i="47"/>
  <c r="H179" i="47"/>
  <c r="H172" i="47"/>
  <c r="H354" i="47"/>
  <c r="H489" i="47"/>
  <c r="H291" i="47"/>
  <c r="H386" i="47"/>
  <c r="H451" i="47"/>
  <c r="H457" i="47"/>
  <c r="H275" i="47"/>
  <c r="H325" i="47"/>
  <c r="H322" i="47"/>
  <c r="H480" i="47"/>
  <c r="H214" i="47"/>
  <c r="H253" i="47"/>
  <c r="H309" i="47"/>
  <c r="H151" i="47"/>
  <c r="H282" i="47"/>
  <c r="H222" i="47"/>
  <c r="H454" i="47"/>
  <c r="H241" i="47"/>
  <c r="H423" i="47"/>
  <c r="H385" i="47"/>
  <c r="H176" i="47"/>
  <c r="H277" i="47"/>
  <c r="H372" i="47"/>
  <c r="H323" i="47"/>
  <c r="H147" i="47"/>
  <c r="H449" i="47"/>
  <c r="H263" i="47"/>
  <c r="H339" i="47"/>
  <c r="H324" i="47"/>
  <c r="H433" i="47"/>
  <c r="Z130" i="47"/>
  <c r="Z135" i="47" s="1"/>
  <c r="S130" i="47"/>
  <c r="S135" i="47" s="1"/>
  <c r="P130" i="47"/>
  <c r="P135" i="47" s="1"/>
  <c r="AF130" i="47"/>
  <c r="H335" i="47"/>
  <c r="H412" i="47"/>
  <c r="H439" i="47"/>
  <c r="H188" i="47"/>
  <c r="H196" i="47"/>
  <c r="H165" i="47"/>
  <c r="H164" i="47"/>
  <c r="H171" i="47"/>
  <c r="H379" i="47"/>
  <c r="H270" i="47"/>
  <c r="H257" i="47"/>
  <c r="H459" i="47"/>
  <c r="H185" i="47"/>
  <c r="H145" i="47"/>
  <c r="H357" i="47"/>
  <c r="H408" i="47"/>
  <c r="H329" i="47"/>
  <c r="H304" i="47"/>
  <c r="H338" i="47"/>
  <c r="H496" i="47"/>
  <c r="H414" i="47"/>
  <c r="H495" i="47"/>
  <c r="H187" i="47"/>
  <c r="H227" i="47"/>
  <c r="H293" i="47"/>
  <c r="H130" i="47"/>
  <c r="H135" i="47" s="1"/>
  <c r="H469" i="47"/>
  <c r="H234" i="47"/>
  <c r="H238" i="47"/>
  <c r="H297" i="47"/>
  <c r="H232" i="47"/>
  <c r="H306" i="47"/>
  <c r="H466" i="47"/>
  <c r="H390" i="47"/>
  <c r="H467" i="47"/>
  <c r="H162" i="47"/>
  <c r="H416" i="47"/>
  <c r="H502" i="47"/>
  <c r="H418" i="47"/>
  <c r="H503" i="47"/>
  <c r="H254" i="47"/>
  <c r="H320" i="47"/>
  <c r="H308" i="47"/>
  <c r="H160" i="47"/>
  <c r="H190" i="47"/>
  <c r="H417" i="47"/>
  <c r="T130" i="47"/>
  <c r="T135" i="47" s="1"/>
  <c r="AB130" i="47"/>
  <c r="AB135" i="47" s="1"/>
  <c r="H442" i="47"/>
  <c r="H278" i="47"/>
  <c r="H450" i="47"/>
  <c r="H252" i="47"/>
  <c r="H453" i="47"/>
  <c r="H209" i="47"/>
  <c r="H415" i="47"/>
  <c r="H348" i="47"/>
  <c r="H401" i="47"/>
  <c r="H181" i="47"/>
  <c r="H192" i="47"/>
  <c r="H468" i="47"/>
  <c r="H284" i="47"/>
  <c r="H368" i="47"/>
  <c r="H477" i="47"/>
  <c r="H200" i="47"/>
  <c r="H427" i="47"/>
  <c r="H183" i="47"/>
  <c r="H178" i="47"/>
  <c r="H180" i="47"/>
  <c r="H202" i="47"/>
  <c r="H273" i="47"/>
  <c r="H355" i="47"/>
  <c r="H298" i="47"/>
  <c r="H462" i="47"/>
  <c r="H266" i="47"/>
  <c r="H290" i="47"/>
  <c r="H328" i="47"/>
  <c r="H316" i="47"/>
  <c r="G130" i="47"/>
  <c r="G135" i="47" s="1"/>
  <c r="H319" i="47"/>
  <c r="H461" i="47"/>
  <c r="AC130" i="47"/>
  <c r="AC135" i="47" s="1"/>
  <c r="H399" i="47"/>
  <c r="H428" i="47"/>
  <c r="H361" i="47"/>
  <c r="H441" i="47"/>
  <c r="D130" i="47"/>
  <c r="D135" i="47" s="1"/>
  <c r="H383" i="47"/>
  <c r="H307" i="47"/>
  <c r="H436" i="47"/>
  <c r="H378" i="47"/>
  <c r="H455" i="47"/>
  <c r="H479" i="47"/>
  <c r="H421" i="47"/>
  <c r="H286" i="47"/>
  <c r="H315" i="47"/>
  <c r="H488" i="47"/>
  <c r="H258" i="47"/>
  <c r="H342" i="47"/>
  <c r="H494" i="47"/>
  <c r="H207" i="47"/>
  <c r="H410" i="47"/>
  <c r="H218" i="47"/>
  <c r="H384" i="47"/>
  <c r="H347" i="47"/>
  <c r="H288" i="47"/>
  <c r="H435" i="47"/>
  <c r="I130" i="47"/>
  <c r="I135" i="47" s="1"/>
  <c r="H268" i="47"/>
  <c r="H205" i="47"/>
  <c r="H295" i="47"/>
  <c r="H366" i="47"/>
  <c r="H377" i="47"/>
  <c r="H215" i="47"/>
  <c r="H460" i="47"/>
  <c r="H481" i="47"/>
  <c r="H283" i="47"/>
  <c r="L130" i="47"/>
  <c r="V130" i="47"/>
  <c r="H210" i="47"/>
  <c r="H220" i="47"/>
  <c r="H193" i="47"/>
  <c r="H476" i="47"/>
  <c r="H212" i="47"/>
  <c r="E130" i="47"/>
  <c r="E135" i="47" s="1"/>
  <c r="H276" i="47"/>
  <c r="H332" i="47"/>
  <c r="H458" i="47"/>
  <c r="H152" i="47"/>
  <c r="H262" i="47"/>
  <c r="H236" i="47"/>
  <c r="H208" i="47"/>
  <c r="H221" i="47"/>
  <c r="H374" i="47"/>
  <c r="H419" i="47"/>
  <c r="H497" i="47"/>
  <c r="H402" i="47"/>
  <c r="H261" i="47"/>
  <c r="H224" i="47"/>
  <c r="H405" i="47"/>
  <c r="H289" i="47"/>
  <c r="H161" i="47"/>
  <c r="H341" i="47"/>
  <c r="H197" i="47"/>
  <c r="H158" i="47"/>
  <c r="H228" i="47"/>
  <c r="X130" i="47"/>
  <c r="X135" i="47" s="1"/>
  <c r="U130" i="47"/>
  <c r="U135" i="47" s="1"/>
  <c r="H317" i="47"/>
  <c r="H230" i="47"/>
  <c r="H327" i="47"/>
  <c r="H388" i="47"/>
  <c r="H369" i="47"/>
  <c r="H465" i="47"/>
  <c r="H287" i="47"/>
  <c r="H430" i="47"/>
  <c r="H246" i="47"/>
  <c r="H150" i="47"/>
  <c r="H226" i="47"/>
  <c r="H157" i="47"/>
  <c r="H404" i="47"/>
  <c r="H153" i="47"/>
  <c r="H189" i="47"/>
  <c r="H393" i="47"/>
  <c r="H365" i="47"/>
  <c r="H201" i="47"/>
  <c r="H395" i="47"/>
  <c r="H245" i="47"/>
  <c r="H267" i="47"/>
  <c r="H407" i="47"/>
  <c r="H229" i="47"/>
  <c r="H483" i="47"/>
  <c r="H343" i="47"/>
  <c r="H470" i="47"/>
  <c r="H203" i="47"/>
  <c r="H362" i="47"/>
  <c r="H498" i="47"/>
  <c r="H448" i="47"/>
  <c r="H340" i="47"/>
  <c r="H431" i="47"/>
  <c r="H156" i="47"/>
  <c r="H195" i="47"/>
  <c r="H472" i="47"/>
  <c r="H400" i="47"/>
  <c r="H501" i="47"/>
  <c r="H186" i="47"/>
  <c r="H350" i="47"/>
  <c r="H356" i="47"/>
  <c r="H367" i="47"/>
  <c r="H447" i="47"/>
  <c r="H225" i="47"/>
  <c r="H337" i="47"/>
  <c r="H371" i="47"/>
  <c r="W130" i="47"/>
  <c r="W135" i="47" s="1"/>
  <c r="H403" i="47"/>
  <c r="H370" i="47"/>
  <c r="H391" i="47"/>
  <c r="H194" i="47"/>
  <c r="H438" i="47"/>
  <c r="H471" i="47"/>
  <c r="H217" i="47"/>
  <c r="H199" i="47"/>
  <c r="H397" i="47"/>
  <c r="H256" i="47"/>
  <c r="H331" i="47"/>
  <c r="H380" i="47"/>
  <c r="H271" i="47"/>
  <c r="H444" i="47"/>
  <c r="H296" i="47"/>
  <c r="H373" i="47"/>
  <c r="H349" i="47"/>
  <c r="H216" i="47"/>
  <c r="H360" i="47"/>
  <c r="H358" i="47"/>
  <c r="H159" i="47"/>
  <c r="H493" i="47"/>
  <c r="Q130" i="47"/>
  <c r="H168" i="47"/>
  <c r="H334" i="47"/>
  <c r="H280" i="47"/>
  <c r="H500" i="47"/>
  <c r="H235" i="47"/>
  <c r="H250" i="47"/>
  <c r="H206" i="47"/>
  <c r="H318" i="47"/>
  <c r="H265" i="47"/>
  <c r="H333" i="47"/>
  <c r="H149" i="47"/>
  <c r="H406" i="47"/>
  <c r="H248" i="47"/>
  <c r="H243" i="47"/>
  <c r="H413" i="47"/>
  <c r="M130" i="47"/>
  <c r="M135" i="47" s="1"/>
  <c r="H310" i="47"/>
  <c r="H426" i="47"/>
  <c r="H303" i="47"/>
  <c r="H247" i="47"/>
  <c r="H237" i="47"/>
  <c r="H392" i="47"/>
  <c r="H177" i="47"/>
  <c r="H364" i="47"/>
  <c r="H437" i="47"/>
  <c r="J130" i="47"/>
  <c r="J135" i="47" s="1"/>
  <c r="H387" i="47"/>
  <c r="H490" i="47"/>
  <c r="H344" i="47"/>
  <c r="H363" i="47"/>
  <c r="H312" i="47"/>
  <c r="AD130" i="47"/>
  <c r="AD135" i="47" s="1"/>
  <c r="H411" i="47"/>
  <c r="H474" i="47"/>
  <c r="H475" i="47"/>
  <c r="H425" i="47"/>
  <c r="H244" i="47"/>
  <c r="H182" i="47"/>
  <c r="H155" i="47"/>
  <c r="H274" i="47"/>
  <c r="F130" i="47"/>
  <c r="F135" i="47" s="1"/>
  <c r="H163" i="47"/>
  <c r="H445" i="47"/>
  <c r="H326" i="47"/>
  <c r="H330" i="47"/>
  <c r="H313" i="47"/>
  <c r="R130" i="47"/>
  <c r="R135" i="47" s="1"/>
  <c r="H305" i="47"/>
  <c r="H281" i="47"/>
  <c r="H359" i="47"/>
  <c r="H422" i="47"/>
  <c r="H491" i="47"/>
  <c r="H269" i="47"/>
  <c r="H346" i="47"/>
  <c r="H389" i="47"/>
  <c r="H242" i="47"/>
  <c r="H255" i="47"/>
  <c r="O130" i="47"/>
  <c r="O135" i="47" s="1"/>
  <c r="H264" i="47"/>
  <c r="H398" i="47"/>
  <c r="H154" i="47"/>
  <c r="H300" i="47"/>
  <c r="H173" i="47"/>
  <c r="H314" i="47"/>
  <c r="H492" i="47"/>
  <c r="H375" i="47"/>
  <c r="C130" i="47"/>
  <c r="C135" i="47" s="1"/>
  <c r="H292" i="47"/>
  <c r="H443" i="47"/>
  <c r="H382" i="47"/>
  <c r="H240" i="47"/>
  <c r="H321" i="47"/>
  <c r="H259" i="47"/>
  <c r="H191" i="47"/>
  <c r="H239" i="47"/>
  <c r="H311" i="47"/>
  <c r="H376" i="47"/>
  <c r="H146" i="47"/>
  <c r="H446" i="47"/>
  <c r="H170" i="47"/>
  <c r="H486" i="47"/>
  <c r="H499" i="47"/>
  <c r="H394" i="47"/>
  <c r="H249" i="47"/>
  <c r="H420" i="47"/>
  <c r="H456" i="47"/>
  <c r="H463" i="47"/>
  <c r="H251" i="47"/>
  <c r="H184" i="47"/>
  <c r="H396" i="47"/>
  <c r="H345" i="47"/>
  <c r="H432" i="47"/>
  <c r="H294" i="47"/>
  <c r="H272" i="47"/>
  <c r="H169" i="47"/>
  <c r="H219" i="47"/>
  <c r="K130" i="47"/>
  <c r="K135" i="47" s="1"/>
  <c r="H233" i="47"/>
  <c r="H211" i="47"/>
  <c r="H166" i="47"/>
  <c r="H485" i="47"/>
  <c r="H504" i="47"/>
  <c r="H175" i="47"/>
  <c r="H440" i="47"/>
  <c r="AA130" i="47"/>
  <c r="H464" i="47"/>
  <c r="H148" i="47"/>
  <c r="AE130" i="47"/>
  <c r="AE135" i="47" s="1"/>
  <c r="H213" i="47"/>
  <c r="H487" i="47"/>
  <c r="H434" i="47"/>
  <c r="H285" i="47"/>
  <c r="H260" i="47"/>
  <c r="H381" i="47"/>
  <c r="H473" i="47"/>
  <c r="H204" i="47"/>
  <c r="H174" i="47"/>
  <c r="H351" i="47"/>
  <c r="H279" i="47"/>
  <c r="H231" i="47"/>
  <c r="H452" i="47"/>
  <c r="H429" i="47"/>
  <c r="G166" i="55"/>
  <c r="G107" i="56"/>
  <c r="F109" i="56"/>
  <c r="AB188" i="57"/>
  <c r="AB183" i="57"/>
  <c r="G109" i="57"/>
  <c r="AB185" i="57"/>
  <c r="G166" i="57"/>
  <c r="O166" i="57"/>
  <c r="G112" i="55"/>
  <c r="D87" i="47"/>
  <c r="G172" i="53"/>
  <c r="D51" i="56"/>
  <c r="F35" i="47" s="1"/>
  <c r="D52" i="56"/>
  <c r="F36" i="47" s="1"/>
  <c r="F34" i="47"/>
  <c r="AB169" i="57"/>
  <c r="AB192" i="57"/>
  <c r="AB193" i="57"/>
  <c r="D141" i="57"/>
  <c r="D144" i="57" s="1"/>
  <c r="E113" i="53"/>
  <c r="D33" i="47"/>
  <c r="F112" i="53"/>
  <c r="AB166" i="57"/>
  <c r="G109" i="51"/>
  <c r="F111" i="51"/>
  <c r="AB182" i="57"/>
  <c r="AB190" i="57"/>
  <c r="AB189" i="57"/>
  <c r="C87" i="47" l="1"/>
  <c r="E108" i="57"/>
  <c r="B32" i="41"/>
  <c r="B34" i="41"/>
  <c r="W6" i="47" s="1"/>
  <c r="E109" i="56"/>
  <c r="H33" i="47"/>
  <c r="C268" i="42"/>
  <c r="M268" i="42" s="1"/>
  <c r="C522" i="42"/>
  <c r="M522" i="42" s="1"/>
  <c r="C358" i="42"/>
  <c r="M358" i="42" s="1"/>
  <c r="C503" i="42"/>
  <c r="M503" i="42" s="1"/>
  <c r="C261" i="42"/>
  <c r="M261" i="42" s="1"/>
  <c r="C298" i="42"/>
  <c r="M298" i="42" s="1"/>
  <c r="C375" i="42"/>
  <c r="M375" i="42" s="1"/>
  <c r="C281" i="42"/>
  <c r="M281" i="42" s="1"/>
  <c r="C266" i="42"/>
  <c r="M266" i="42" s="1"/>
  <c r="C242" i="42"/>
  <c r="M242" i="42" s="1"/>
  <c r="C370" i="42"/>
  <c r="M370" i="42" s="1"/>
  <c r="C287" i="42"/>
  <c r="M287" i="42" s="1"/>
  <c r="C251" i="42"/>
  <c r="M251" i="42" s="1"/>
  <c r="C482" i="42"/>
  <c r="M482" i="42" s="1"/>
  <c r="C211" i="42"/>
  <c r="M211" i="42" s="1"/>
  <c r="C428" i="42"/>
  <c r="M428" i="42" s="1"/>
  <c r="C367" i="42"/>
  <c r="M367" i="42" s="1"/>
  <c r="C400" i="42"/>
  <c r="M400" i="42" s="1"/>
  <c r="C230" i="42"/>
  <c r="M230" i="42" s="1"/>
  <c r="C255" i="42"/>
  <c r="M255" i="42" s="1"/>
  <c r="C348" i="42"/>
  <c r="M348" i="42" s="1"/>
  <c r="C479" i="42"/>
  <c r="M479" i="42" s="1"/>
  <c r="C434" i="42"/>
  <c r="M434" i="42" s="1"/>
  <c r="C449" i="42"/>
  <c r="M449" i="42" s="1"/>
  <c r="C178" i="42"/>
  <c r="M178" i="42" s="1"/>
  <c r="C259" i="42"/>
  <c r="M259" i="42" s="1"/>
  <c r="C189" i="42"/>
  <c r="M189" i="42" s="1"/>
  <c r="C176" i="42"/>
  <c r="M176" i="42" s="1"/>
  <c r="C282" i="42"/>
  <c r="M282" i="42" s="1"/>
  <c r="C411" i="42"/>
  <c r="M411" i="42" s="1"/>
  <c r="C329" i="42"/>
  <c r="M329" i="42" s="1"/>
  <c r="C360" i="42"/>
  <c r="M360" i="42" s="1"/>
  <c r="C235" i="42"/>
  <c r="M235" i="42" s="1"/>
  <c r="C341" i="42"/>
  <c r="M341" i="42" s="1"/>
  <c r="C394" i="42"/>
  <c r="M394" i="42" s="1"/>
  <c r="C195" i="42"/>
  <c r="M195" i="42" s="1"/>
  <c r="C208" i="42"/>
  <c r="M208" i="42" s="1"/>
  <c r="C423" i="42"/>
  <c r="M423" i="42" s="1"/>
  <c r="C413" i="42"/>
  <c r="M413" i="42" s="1"/>
  <c r="C467" i="42"/>
  <c r="M467" i="42" s="1"/>
  <c r="C416" i="42"/>
  <c r="M416" i="42" s="1"/>
  <c r="C383" i="42"/>
  <c r="M383" i="42" s="1"/>
  <c r="C444" i="42"/>
  <c r="M444" i="42" s="1"/>
  <c r="C354" i="42"/>
  <c r="M354" i="42" s="1"/>
  <c r="C351" i="42"/>
  <c r="M351" i="42" s="1"/>
  <c r="C186" i="42"/>
  <c r="M186" i="42" s="1"/>
  <c r="C352" i="42"/>
  <c r="M352" i="42" s="1"/>
  <c r="C280" i="42"/>
  <c r="M280" i="42" s="1"/>
  <c r="C244" i="42"/>
  <c r="M244" i="42" s="1"/>
  <c r="C393" i="42"/>
  <c r="M393" i="42" s="1"/>
  <c r="C483" i="42"/>
  <c r="M483" i="42" s="1"/>
  <c r="C304" i="42"/>
  <c r="M304" i="42" s="1"/>
  <c r="C247" i="42"/>
  <c r="M247" i="42" s="1"/>
  <c r="C252" i="42"/>
  <c r="M252" i="42" s="1"/>
  <c r="C190" i="42"/>
  <c r="M190" i="42" s="1"/>
  <c r="C320" i="42"/>
  <c r="M320" i="42" s="1"/>
  <c r="C321" i="42"/>
  <c r="M321" i="42" s="1"/>
  <c r="C510" i="42"/>
  <c r="M510" i="42" s="1"/>
  <c r="C396" i="42"/>
  <c r="M396" i="42" s="1"/>
  <c r="C297" i="42"/>
  <c r="M297" i="42" s="1"/>
  <c r="C410" i="42"/>
  <c r="M410" i="42" s="1"/>
  <c r="C240" i="42"/>
  <c r="M240" i="42" s="1"/>
  <c r="C505" i="42"/>
  <c r="M505" i="42" s="1"/>
  <c r="C263" i="42"/>
  <c r="M263" i="42" s="1"/>
  <c r="C326" i="42"/>
  <c r="M326" i="42" s="1"/>
  <c r="C377" i="42"/>
  <c r="M377" i="42" s="1"/>
  <c r="C188" i="42"/>
  <c r="M188" i="42" s="1"/>
  <c r="C504" i="42"/>
  <c r="M504" i="42" s="1"/>
  <c r="C494" i="42"/>
  <c r="M494" i="42" s="1"/>
  <c r="C339" i="42"/>
  <c r="M339" i="42" s="1"/>
  <c r="C521" i="42"/>
  <c r="M521" i="42" s="1"/>
  <c r="C525" i="42"/>
  <c r="M525" i="42" s="1"/>
  <c r="C316" i="42"/>
  <c r="M316" i="42" s="1"/>
  <c r="C399" i="42"/>
  <c r="M399" i="42" s="1"/>
  <c r="C381" i="42"/>
  <c r="M381" i="42" s="1"/>
  <c r="C307" i="42"/>
  <c r="M307" i="42" s="1"/>
  <c r="C506" i="42"/>
  <c r="M506" i="42" s="1"/>
  <c r="C365" i="42"/>
  <c r="M365" i="42" s="1"/>
  <c r="C291" i="42"/>
  <c r="M291" i="42" s="1"/>
  <c r="C344" i="42"/>
  <c r="M344" i="42" s="1"/>
  <c r="C308" i="42"/>
  <c r="M308" i="42" s="1"/>
  <c r="C302" i="42"/>
  <c r="M302" i="42" s="1"/>
  <c r="C293" i="42"/>
  <c r="M293" i="42" s="1"/>
  <c r="C445" i="42"/>
  <c r="M445" i="42" s="1"/>
  <c r="C299" i="42"/>
  <c r="M299" i="42" s="1"/>
  <c r="C378" i="42"/>
  <c r="M378" i="42" s="1"/>
  <c r="C306" i="42"/>
  <c r="M306" i="42" s="1"/>
  <c r="C209" i="42"/>
  <c r="M209" i="42" s="1"/>
  <c r="C395" i="42"/>
  <c r="M395" i="42" s="1"/>
  <c r="C274" i="42"/>
  <c r="M274" i="42" s="1"/>
  <c r="C264" i="42"/>
  <c r="M264" i="42" s="1"/>
  <c r="C437" i="42"/>
  <c r="M437" i="42" s="1"/>
  <c r="C422" i="42"/>
  <c r="M422" i="42" s="1"/>
  <c r="C241" i="42"/>
  <c r="M241" i="42" s="1"/>
  <c r="C309" i="42"/>
  <c r="M309" i="42" s="1"/>
  <c r="C362" i="42"/>
  <c r="M362" i="42" s="1"/>
  <c r="C175" i="42"/>
  <c r="M175" i="42" s="1"/>
  <c r="C366" i="42"/>
  <c r="M366" i="42" s="1"/>
  <c r="C420" i="42"/>
  <c r="M420" i="42" s="1"/>
  <c r="C249" i="42"/>
  <c r="M249" i="42" s="1"/>
  <c r="C397" i="42"/>
  <c r="M397" i="42" s="1"/>
  <c r="C451" i="42"/>
  <c r="M451" i="42" s="1"/>
  <c r="E102" i="42"/>
  <c r="R122" i="42" s="1"/>
  <c r="C269" i="42"/>
  <c r="M269" i="42" s="1"/>
  <c r="C516" i="42"/>
  <c r="M516" i="42" s="1"/>
  <c r="C193" i="42"/>
  <c r="M193" i="42" s="1"/>
  <c r="C253" i="42"/>
  <c r="M253" i="42" s="1"/>
  <c r="C500" i="42"/>
  <c r="M500" i="42" s="1"/>
  <c r="C277" i="42"/>
  <c r="M277" i="42" s="1"/>
  <c r="C514" i="42"/>
  <c r="M514" i="42" s="1"/>
  <c r="C443" i="42"/>
  <c r="M443" i="42" s="1"/>
  <c r="C239" i="42"/>
  <c r="M239" i="42" s="1"/>
  <c r="C492" i="42"/>
  <c r="M492" i="42" s="1"/>
  <c r="C187" i="42"/>
  <c r="M187" i="42" s="1"/>
  <c r="C376" i="42"/>
  <c r="M376" i="42" s="1"/>
  <c r="C203" i="42"/>
  <c r="M203" i="42" s="1"/>
  <c r="C275" i="42"/>
  <c r="M275" i="42" s="1"/>
  <c r="C515" i="42"/>
  <c r="M515" i="42" s="1"/>
  <c r="F56" i="47"/>
  <c r="E99" i="56"/>
  <c r="B166" i="56"/>
  <c r="E93" i="56"/>
  <c r="B38" i="41"/>
  <c r="W7" i="47" s="1"/>
  <c r="B39" i="41"/>
  <c r="B71" i="47"/>
  <c r="B23" i="47"/>
  <c r="B54" i="47"/>
  <c r="J18" i="47"/>
  <c r="H69" i="47"/>
  <c r="H70" i="47" s="1"/>
  <c r="D54" i="47"/>
  <c r="D23" i="47"/>
  <c r="C279" i="42"/>
  <c r="M279" i="42" s="1"/>
  <c r="C436" i="42"/>
  <c r="M436" i="42" s="1"/>
  <c r="E112" i="51"/>
  <c r="E114" i="51" s="1"/>
  <c r="E117" i="51"/>
  <c r="D169" i="51"/>
  <c r="N169" i="51" s="1"/>
  <c r="L168" i="51"/>
  <c r="E105" i="51"/>
  <c r="E65" i="47"/>
  <c r="E71" i="47" s="1"/>
  <c r="C364" i="51"/>
  <c r="M364" i="51" s="1"/>
  <c r="C355" i="51"/>
  <c r="M355" i="51" s="1"/>
  <c r="C173" i="51"/>
  <c r="M173" i="51" s="1"/>
  <c r="C320" i="51"/>
  <c r="M320" i="51" s="1"/>
  <c r="C487" i="51"/>
  <c r="M487" i="51" s="1"/>
  <c r="C341" i="51"/>
  <c r="M341" i="51" s="1"/>
  <c r="C371" i="51"/>
  <c r="M371" i="51" s="1"/>
  <c r="C310" i="51"/>
  <c r="M310" i="51" s="1"/>
  <c r="C480" i="51"/>
  <c r="M480" i="51" s="1"/>
  <c r="C386" i="51"/>
  <c r="M386" i="51" s="1"/>
  <c r="C399" i="51"/>
  <c r="M399" i="51" s="1"/>
  <c r="C325" i="51"/>
  <c r="C266" i="51"/>
  <c r="M266" i="51" s="1"/>
  <c r="C333" i="51"/>
  <c r="M333" i="51" s="1"/>
  <c r="C242" i="51"/>
  <c r="M242" i="51" s="1"/>
  <c r="C468" i="51"/>
  <c r="M468" i="51" s="1"/>
  <c r="C392" i="51"/>
  <c r="M392" i="51" s="1"/>
  <c r="C348" i="51"/>
  <c r="M348" i="51" s="1"/>
  <c r="C315" i="51"/>
  <c r="M315" i="51" s="1"/>
  <c r="C177" i="51"/>
  <c r="M177" i="51" s="1"/>
  <c r="C372" i="51"/>
  <c r="M372" i="51" s="1"/>
  <c r="C491" i="51"/>
  <c r="M491" i="51" s="1"/>
  <c r="C505" i="51"/>
  <c r="C312" i="51"/>
  <c r="M312" i="51" s="1"/>
  <c r="C271" i="51"/>
  <c r="M271" i="51" s="1"/>
  <c r="C527" i="51"/>
  <c r="M527" i="51" s="1"/>
  <c r="C395" i="51"/>
  <c r="M395" i="51" s="1"/>
  <c r="C235" i="51"/>
  <c r="M235" i="51" s="1"/>
  <c r="C226" i="51"/>
  <c r="M226" i="51" s="1"/>
  <c r="C204" i="51"/>
  <c r="M204" i="51" s="1"/>
  <c r="C426" i="51"/>
  <c r="M426" i="51" s="1"/>
  <c r="C361" i="51"/>
  <c r="C181" i="51"/>
  <c r="C415" i="51"/>
  <c r="M415" i="51" s="1"/>
  <c r="C408" i="51"/>
  <c r="M408" i="51" s="1"/>
  <c r="C213" i="51"/>
  <c r="M213" i="51" s="1"/>
  <c r="C212" i="51"/>
  <c r="M212" i="51" s="1"/>
  <c r="C412" i="51"/>
  <c r="M412" i="51" s="1"/>
  <c r="C368" i="51"/>
  <c r="M368" i="51" s="1"/>
  <c r="C298" i="51"/>
  <c r="M298" i="51" s="1"/>
  <c r="C187" i="51"/>
  <c r="M187" i="51" s="1"/>
  <c r="C525" i="51"/>
  <c r="M525" i="51" s="1"/>
  <c r="C332" i="51"/>
  <c r="M332" i="51" s="1"/>
  <c r="C284" i="51"/>
  <c r="M284" i="51" s="1"/>
  <c r="C256" i="51"/>
  <c r="M256" i="51" s="1"/>
  <c r="C363" i="51"/>
  <c r="M363" i="51" s="1"/>
  <c r="C506" i="51"/>
  <c r="M506" i="51" s="1"/>
  <c r="C432" i="51"/>
  <c r="M432" i="51" s="1"/>
  <c r="C421" i="51"/>
  <c r="C521" i="51"/>
  <c r="M521" i="51" s="1"/>
  <c r="C376" i="51"/>
  <c r="M376" i="51" s="1"/>
  <c r="C423" i="51"/>
  <c r="M423" i="51" s="1"/>
  <c r="C195" i="51"/>
  <c r="M195" i="51" s="1"/>
  <c r="C339" i="51"/>
  <c r="M339" i="51" s="1"/>
  <c r="C424" i="51"/>
  <c r="M424" i="51" s="1"/>
  <c r="C245" i="51"/>
  <c r="M245" i="51" s="1"/>
  <c r="C254" i="51"/>
  <c r="M254" i="51" s="1"/>
  <c r="C447" i="51"/>
  <c r="M447" i="51" s="1"/>
  <c r="C411" i="51"/>
  <c r="M411" i="51" s="1"/>
  <c r="C216" i="51"/>
  <c r="M216" i="51" s="1"/>
  <c r="C345" i="51"/>
  <c r="M345" i="51" s="1"/>
  <c r="C388" i="51"/>
  <c r="M388" i="51" s="1"/>
  <c r="C499" i="51"/>
  <c r="M499" i="51" s="1"/>
  <c r="C425" i="51"/>
  <c r="M425" i="51" s="1"/>
  <c r="C481" i="51"/>
  <c r="C275" i="51"/>
  <c r="M275" i="51" s="1"/>
  <c r="C461" i="51"/>
  <c r="M461" i="51" s="1"/>
  <c r="C268" i="51"/>
  <c r="M268" i="51" s="1"/>
  <c r="C356" i="51"/>
  <c r="M356" i="51" s="1"/>
  <c r="C401" i="51"/>
  <c r="M401" i="51" s="1"/>
  <c r="C369" i="51"/>
  <c r="M369" i="51" s="1"/>
  <c r="C484" i="51"/>
  <c r="M484" i="51" s="1"/>
  <c r="C419" i="51"/>
  <c r="M419" i="51" s="1"/>
  <c r="C398" i="51"/>
  <c r="M398" i="51" s="1"/>
  <c r="C353" i="51"/>
  <c r="M353" i="51" s="1"/>
  <c r="C462" i="51"/>
  <c r="M462" i="51" s="1"/>
  <c r="C522" i="51"/>
  <c r="M522" i="51" s="1"/>
  <c r="C277" i="51"/>
  <c r="C489" i="51"/>
  <c r="M489" i="51" s="1"/>
  <c r="C359" i="51"/>
  <c r="M359" i="51" s="1"/>
  <c r="C287" i="51"/>
  <c r="M287" i="51" s="1"/>
  <c r="C305" i="51"/>
  <c r="M305" i="51" s="1"/>
  <c r="C472" i="51"/>
  <c r="M472" i="51" s="1"/>
  <c r="C296" i="51"/>
  <c r="M296" i="51" s="1"/>
  <c r="C495" i="51"/>
  <c r="M495" i="51" s="1"/>
  <c r="C403" i="51"/>
  <c r="M403" i="51" s="1"/>
  <c r="C290" i="51"/>
  <c r="M290" i="51" s="1"/>
  <c r="C474" i="51"/>
  <c r="M474" i="51" s="1"/>
  <c r="C383" i="51"/>
  <c r="M383" i="51" s="1"/>
  <c r="C288" i="51"/>
  <c r="M288" i="51" s="1"/>
  <c r="C209" i="51"/>
  <c r="M209" i="51" s="1"/>
  <c r="C500" i="51"/>
  <c r="M500" i="51" s="1"/>
  <c r="C224" i="51"/>
  <c r="M224" i="51" s="1"/>
  <c r="C382" i="51"/>
  <c r="M382" i="51" s="1"/>
  <c r="C406" i="51"/>
  <c r="M406" i="51" s="1"/>
  <c r="C352" i="51"/>
  <c r="M352" i="51" s="1"/>
  <c r="C494" i="51"/>
  <c r="M494" i="51" s="1"/>
  <c r="C517" i="51"/>
  <c r="C488" i="51"/>
  <c r="M488" i="51" s="1"/>
  <c r="C365" i="51"/>
  <c r="M365" i="51" s="1"/>
  <c r="C342" i="51"/>
  <c r="M342" i="51" s="1"/>
  <c r="C496" i="51"/>
  <c r="M496" i="51" s="1"/>
  <c r="C261" i="51"/>
  <c r="M261" i="51" s="1"/>
  <c r="C279" i="51"/>
  <c r="M279" i="51" s="1"/>
  <c r="C303" i="51"/>
  <c r="M303" i="51" s="1"/>
  <c r="C327" i="51"/>
  <c r="M327" i="51" s="1"/>
  <c r="C362" i="51"/>
  <c r="M362" i="51" s="1"/>
  <c r="C460" i="51"/>
  <c r="M460" i="51" s="1"/>
  <c r="C248" i="51"/>
  <c r="M248" i="51" s="1"/>
  <c r="C318" i="51"/>
  <c r="M318" i="51" s="1"/>
  <c r="C479" i="51"/>
  <c r="M479" i="51" s="1"/>
  <c r="C457" i="51"/>
  <c r="C198" i="51"/>
  <c r="M198" i="51" s="1"/>
  <c r="C380" i="51"/>
  <c r="M380" i="51" s="1"/>
  <c r="C394" i="51"/>
  <c r="M394" i="51" s="1"/>
  <c r="C420" i="51"/>
  <c r="M420" i="51" s="1"/>
  <c r="C428" i="51"/>
  <c r="M428" i="51" s="1"/>
  <c r="C175" i="51"/>
  <c r="M175" i="51" s="1"/>
  <c r="C326" i="51"/>
  <c r="M326" i="51" s="1"/>
  <c r="C308" i="51"/>
  <c r="M308" i="51" s="1"/>
  <c r="C441" i="51"/>
  <c r="M441" i="51" s="1"/>
  <c r="C189" i="51"/>
  <c r="M189" i="51" s="1"/>
  <c r="C307" i="51"/>
  <c r="M307" i="51" s="1"/>
  <c r="C272" i="51"/>
  <c r="M272" i="51" s="1"/>
  <c r="C431" i="51"/>
  <c r="M431" i="51" s="1"/>
  <c r="C416" i="51"/>
  <c r="M416" i="51" s="1"/>
  <c r="C367" i="51"/>
  <c r="M367" i="51" s="1"/>
  <c r="C299" i="51"/>
  <c r="M299" i="51" s="1"/>
  <c r="C378" i="51"/>
  <c r="M378" i="51" s="1"/>
  <c r="C194" i="51"/>
  <c r="M194" i="51" s="1"/>
  <c r="C456" i="51"/>
  <c r="M456" i="51" s="1"/>
  <c r="C471" i="51"/>
  <c r="M471" i="51" s="1"/>
  <c r="C215" i="51"/>
  <c r="M215" i="51" s="1"/>
  <c r="C316" i="51"/>
  <c r="M316" i="51" s="1"/>
  <c r="C169" i="51"/>
  <c r="C274" i="51"/>
  <c r="M274" i="51" s="1"/>
  <c r="C444" i="51"/>
  <c r="M444" i="51" s="1"/>
  <c r="C294" i="51"/>
  <c r="M294" i="51" s="1"/>
  <c r="C258" i="51"/>
  <c r="M258" i="51" s="1"/>
  <c r="C174" i="51"/>
  <c r="M174" i="51" s="1"/>
  <c r="C400" i="51"/>
  <c r="M400" i="51" s="1"/>
  <c r="C360" i="51"/>
  <c r="M360" i="51" s="1"/>
  <c r="C283" i="51"/>
  <c r="M283" i="51" s="1"/>
  <c r="C265" i="51"/>
  <c r="C323" i="51"/>
  <c r="M323" i="51" s="1"/>
  <c r="C264" i="51"/>
  <c r="M264" i="51" s="1"/>
  <c r="C314" i="51"/>
  <c r="M314" i="51" s="1"/>
  <c r="C413" i="51"/>
  <c r="M413" i="51" s="1"/>
  <c r="C390" i="51"/>
  <c r="M390" i="51" s="1"/>
  <c r="C482" i="51"/>
  <c r="M482" i="51" s="1"/>
  <c r="C330" i="51"/>
  <c r="M330" i="51" s="1"/>
  <c r="C229" i="51"/>
  <c r="C255" i="51"/>
  <c r="M255" i="51" s="1"/>
  <c r="C286" i="51"/>
  <c r="M286" i="51" s="1"/>
  <c r="C295" i="51"/>
  <c r="M295" i="51" s="1"/>
  <c r="C249" i="51"/>
  <c r="M249" i="51" s="1"/>
  <c r="C244" i="51"/>
  <c r="M244" i="51" s="1"/>
  <c r="C321" i="51"/>
  <c r="M321" i="51" s="1"/>
  <c r="C393" i="51"/>
  <c r="M393" i="51" s="1"/>
  <c r="C306" i="51"/>
  <c r="M306" i="51" s="1"/>
  <c r="C433" i="51"/>
  <c r="C526" i="51"/>
  <c r="M526" i="51" s="1"/>
  <c r="C375" i="51"/>
  <c r="M375" i="51" s="1"/>
  <c r="C454" i="51"/>
  <c r="M454" i="51" s="1"/>
  <c r="C336" i="51"/>
  <c r="M336" i="51" s="1"/>
  <c r="C304" i="51"/>
  <c r="M304" i="51" s="1"/>
  <c r="C180" i="51"/>
  <c r="M180" i="51" s="1"/>
  <c r="C302" i="51"/>
  <c r="M302" i="51" s="1"/>
  <c r="C231" i="51"/>
  <c r="M231" i="51" s="1"/>
  <c r="C172" i="51"/>
  <c r="M172" i="51" s="1"/>
  <c r="C285" i="51"/>
  <c r="M285" i="51" s="1"/>
  <c r="C199" i="51"/>
  <c r="M199" i="51" s="1"/>
  <c r="C291" i="51"/>
  <c r="M291" i="51" s="1"/>
  <c r="C429" i="51"/>
  <c r="M429" i="51" s="1"/>
  <c r="C183" i="51"/>
  <c r="M183" i="51" s="1"/>
  <c r="C458" i="51"/>
  <c r="M458" i="51" s="1"/>
  <c r="C337" i="51"/>
  <c r="C317" i="51"/>
  <c r="M317" i="51" s="1"/>
  <c r="C452" i="51"/>
  <c r="M452" i="51" s="1"/>
  <c r="C509" i="51"/>
  <c r="M509" i="51" s="1"/>
  <c r="C197" i="51"/>
  <c r="M197" i="51" s="1"/>
  <c r="C217" i="51"/>
  <c r="C313" i="51"/>
  <c r="C470" i="51"/>
  <c r="M470" i="51" s="1"/>
  <c r="C281" i="51"/>
  <c r="M281" i="51" s="1"/>
  <c r="C246" i="51"/>
  <c r="M246" i="51" s="1"/>
  <c r="C437" i="51"/>
  <c r="M437" i="51" s="1"/>
  <c r="C524" i="51"/>
  <c r="M524" i="51" s="1"/>
  <c r="C190" i="51"/>
  <c r="M190" i="51" s="1"/>
  <c r="C528" i="51"/>
  <c r="M528" i="51" s="1"/>
  <c r="C227" i="51"/>
  <c r="M227" i="51" s="1"/>
  <c r="C350" i="51"/>
  <c r="M350" i="51" s="1"/>
  <c r="C343" i="51"/>
  <c r="M343" i="51" s="1"/>
  <c r="C455" i="51"/>
  <c r="M455" i="51" s="1"/>
  <c r="C214" i="51"/>
  <c r="M214" i="51" s="1"/>
  <c r="C178" i="51"/>
  <c r="M178" i="51" s="1"/>
  <c r="C221" i="51"/>
  <c r="M221" i="51" s="1"/>
  <c r="C389" i="51"/>
  <c r="M389" i="51" s="1"/>
  <c r="C417" i="51"/>
  <c r="M417" i="51" s="1"/>
  <c r="C196" i="51"/>
  <c r="M196" i="51" s="1"/>
  <c r="C459" i="51"/>
  <c r="M459" i="51" s="1"/>
  <c r="C476" i="51"/>
  <c r="M476" i="51" s="1"/>
  <c r="C185" i="51"/>
  <c r="M185" i="51" s="1"/>
  <c r="C179" i="51"/>
  <c r="M179" i="51" s="1"/>
  <c r="C322" i="51"/>
  <c r="M322" i="51" s="1"/>
  <c r="C497" i="51"/>
  <c r="M497" i="51" s="1"/>
  <c r="C379" i="51"/>
  <c r="M379" i="51" s="1"/>
  <c r="C405" i="51"/>
  <c r="M405" i="51" s="1"/>
  <c r="C211" i="51"/>
  <c r="M211" i="51" s="1"/>
  <c r="C435" i="51"/>
  <c r="M435" i="51" s="1"/>
  <c r="C282" i="51"/>
  <c r="M282" i="51" s="1"/>
  <c r="C430" i="51"/>
  <c r="M430" i="51" s="1"/>
  <c r="C262" i="51"/>
  <c r="M262" i="51" s="1"/>
  <c r="C170" i="51"/>
  <c r="M170" i="51" s="1"/>
  <c r="C473" i="51"/>
  <c r="M473" i="51" s="1"/>
  <c r="C263" i="51"/>
  <c r="M263" i="51" s="1"/>
  <c r="C188" i="51"/>
  <c r="M188" i="51" s="1"/>
  <c r="C442" i="51"/>
  <c r="M442" i="51" s="1"/>
  <c r="C259" i="51"/>
  <c r="M259" i="51" s="1"/>
  <c r="C453" i="51"/>
  <c r="M453" i="51" s="1"/>
  <c r="C309" i="51"/>
  <c r="M309" i="51" s="1"/>
  <c r="C233" i="51"/>
  <c r="M233" i="51" s="1"/>
  <c r="C463" i="51"/>
  <c r="M463" i="51" s="1"/>
  <c r="E102" i="51"/>
  <c r="C486" i="51"/>
  <c r="M486" i="51" s="1"/>
  <c r="C475" i="51"/>
  <c r="M475" i="51" s="1"/>
  <c r="C347" i="51"/>
  <c r="M347" i="51" s="1"/>
  <c r="C301" i="51"/>
  <c r="C225" i="51"/>
  <c r="M225" i="51" s="1"/>
  <c r="C418" i="51"/>
  <c r="M418" i="51" s="1"/>
  <c r="C410" i="51"/>
  <c r="M410" i="51" s="1"/>
  <c r="C439" i="51"/>
  <c r="M439" i="51" s="1"/>
  <c r="C483" i="51"/>
  <c r="M483" i="51" s="1"/>
  <c r="C270" i="51"/>
  <c r="M270" i="51" s="1"/>
  <c r="C186" i="51"/>
  <c r="M186" i="51" s="1"/>
  <c r="C387" i="51"/>
  <c r="M387" i="51" s="1"/>
  <c r="C478" i="51"/>
  <c r="M478" i="51" s="1"/>
  <c r="C329" i="51"/>
  <c r="M329" i="51" s="1"/>
  <c r="C469" i="51"/>
  <c r="C218" i="51"/>
  <c r="M218" i="51" s="1"/>
  <c r="C210" i="51"/>
  <c r="M210" i="51" s="1"/>
  <c r="C507" i="51"/>
  <c r="M507" i="51" s="1"/>
  <c r="C448" i="51"/>
  <c r="M448" i="51" s="1"/>
  <c r="C485" i="51"/>
  <c r="M485" i="51" s="1"/>
  <c r="C449" i="51"/>
  <c r="M449" i="51" s="1"/>
  <c r="C440" i="51"/>
  <c r="M440" i="51" s="1"/>
  <c r="C340" i="51"/>
  <c r="M340" i="51" s="1"/>
  <c r="C357" i="51"/>
  <c r="M357" i="51" s="1"/>
  <c r="C230" i="51"/>
  <c r="M230" i="51" s="1"/>
  <c r="C450" i="51"/>
  <c r="M450" i="51" s="1"/>
  <c r="C234" i="51"/>
  <c r="M234" i="51" s="1"/>
  <c r="C354" i="51"/>
  <c r="M354" i="51" s="1"/>
  <c r="C464" i="51"/>
  <c r="M464" i="51" s="1"/>
  <c r="C202" i="51"/>
  <c r="M202" i="51" s="1"/>
  <c r="C278" i="51"/>
  <c r="M278" i="51" s="1"/>
  <c r="C311" i="51"/>
  <c r="M311" i="51" s="1"/>
  <c r="C273" i="51"/>
  <c r="M273" i="51" s="1"/>
  <c r="C407" i="51"/>
  <c r="M407" i="51" s="1"/>
  <c r="C220" i="51"/>
  <c r="M220" i="51" s="1"/>
  <c r="C467" i="51"/>
  <c r="M467" i="51" s="1"/>
  <c r="C381" i="51"/>
  <c r="M381" i="51" s="1"/>
  <c r="C446" i="51"/>
  <c r="M446" i="51" s="1"/>
  <c r="C404" i="51"/>
  <c r="M404" i="51" s="1"/>
  <c r="C445" i="51"/>
  <c r="C208" i="51"/>
  <c r="M208" i="51" s="1"/>
  <c r="C427" i="51"/>
  <c r="M427" i="51" s="1"/>
  <c r="C260" i="51"/>
  <c r="M260" i="51" s="1"/>
  <c r="C402" i="51"/>
  <c r="M402" i="51" s="1"/>
  <c r="C289" i="51"/>
  <c r="C300" i="51"/>
  <c r="M300" i="51" s="1"/>
  <c r="C511" i="51"/>
  <c r="M511" i="51" s="1"/>
  <c r="C477" i="51"/>
  <c r="M477" i="51" s="1"/>
  <c r="C219" i="51"/>
  <c r="M219" i="51" s="1"/>
  <c r="C328" i="51"/>
  <c r="M328" i="51" s="1"/>
  <c r="C501" i="51"/>
  <c r="M501" i="51" s="1"/>
  <c r="C293" i="51"/>
  <c r="M293" i="51" s="1"/>
  <c r="C191" i="51"/>
  <c r="M191" i="51" s="1"/>
  <c r="C438" i="51"/>
  <c r="M438" i="51" s="1"/>
  <c r="C201" i="51"/>
  <c r="M201" i="51" s="1"/>
  <c r="C466" i="51"/>
  <c r="M466" i="51" s="1"/>
  <c r="C385" i="51"/>
  <c r="C251" i="51"/>
  <c r="M251" i="51" s="1"/>
  <c r="C451" i="51"/>
  <c r="M451" i="51" s="1"/>
  <c r="C349" i="51"/>
  <c r="C465" i="51"/>
  <c r="M465" i="51" s="1"/>
  <c r="C346" i="51"/>
  <c r="M346" i="51" s="1"/>
  <c r="C370" i="51"/>
  <c r="M370" i="51" s="1"/>
  <c r="C171" i="51"/>
  <c r="M171" i="51" s="1"/>
  <c r="C515" i="51"/>
  <c r="M515" i="51" s="1"/>
  <c r="C519" i="51"/>
  <c r="M519" i="51" s="1"/>
  <c r="C396" i="51"/>
  <c r="M396" i="51" s="1"/>
  <c r="C366" i="51"/>
  <c r="M366" i="51" s="1"/>
  <c r="C240" i="51"/>
  <c r="M240" i="51" s="1"/>
  <c r="C205" i="51"/>
  <c r="C344" i="51"/>
  <c r="M344" i="51" s="1"/>
  <c r="C206" i="51"/>
  <c r="M206" i="51" s="1"/>
  <c r="C228" i="51"/>
  <c r="M228" i="51" s="1"/>
  <c r="C319" i="51"/>
  <c r="M319" i="51" s="1"/>
  <c r="C276" i="51"/>
  <c r="M276" i="51" s="1"/>
  <c r="C514" i="51"/>
  <c r="M514" i="51" s="1"/>
  <c r="C247" i="51"/>
  <c r="M247" i="51" s="1"/>
  <c r="C503" i="51"/>
  <c r="M503" i="51" s="1"/>
  <c r="C176" i="51"/>
  <c r="M176" i="51" s="1"/>
  <c r="C492" i="51"/>
  <c r="M492" i="51" s="1"/>
  <c r="C257" i="51"/>
  <c r="M257" i="51" s="1"/>
  <c r="C523" i="51"/>
  <c r="M523" i="51" s="1"/>
  <c r="C409" i="51"/>
  <c r="C510" i="51"/>
  <c r="M510" i="51" s="1"/>
  <c r="C434" i="51"/>
  <c r="M434" i="51" s="1"/>
  <c r="C512" i="51"/>
  <c r="M512" i="51" s="1"/>
  <c r="C414" i="51"/>
  <c r="M414" i="51" s="1"/>
  <c r="C351" i="51"/>
  <c r="M351" i="51" s="1"/>
  <c r="C182" i="51"/>
  <c r="M182" i="51" s="1"/>
  <c r="C252" i="51"/>
  <c r="M252" i="51" s="1"/>
  <c r="C331" i="51"/>
  <c r="M331" i="51" s="1"/>
  <c r="C436" i="51"/>
  <c r="M436" i="51" s="1"/>
  <c r="C373" i="51"/>
  <c r="C498" i="51"/>
  <c r="M498" i="51" s="1"/>
  <c r="C241" i="51"/>
  <c r="C238" i="51"/>
  <c r="M238" i="51" s="1"/>
  <c r="C358" i="51"/>
  <c r="M358" i="51" s="1"/>
  <c r="C269" i="51"/>
  <c r="M269" i="51" s="1"/>
  <c r="C508" i="51"/>
  <c r="M508" i="51" s="1"/>
  <c r="C192" i="51"/>
  <c r="M192" i="51" s="1"/>
  <c r="C292" i="51"/>
  <c r="M292" i="51" s="1"/>
  <c r="C443" i="51"/>
  <c r="M443" i="51" s="1"/>
  <c r="C203" i="51"/>
  <c r="M203" i="51" s="1"/>
  <c r="C222" i="51"/>
  <c r="M222" i="51" s="1"/>
  <c r="C518" i="51"/>
  <c r="M518" i="51" s="1"/>
  <c r="C237" i="51"/>
  <c r="M237" i="51" s="1"/>
  <c r="C267" i="51"/>
  <c r="M267" i="51" s="1"/>
  <c r="C377" i="51"/>
  <c r="M377" i="51" s="1"/>
  <c r="C193" i="51"/>
  <c r="C324" i="51"/>
  <c r="M324" i="51" s="1"/>
  <c r="C200" i="51"/>
  <c r="M200" i="51" s="1"/>
  <c r="C513" i="51"/>
  <c r="M513" i="51" s="1"/>
  <c r="C250" i="51"/>
  <c r="M250" i="51" s="1"/>
  <c r="C334" i="51"/>
  <c r="M334" i="51" s="1"/>
  <c r="C502" i="51"/>
  <c r="M502" i="51" s="1"/>
  <c r="C374" i="51"/>
  <c r="M374" i="51" s="1"/>
  <c r="C520" i="51"/>
  <c r="M520" i="51" s="1"/>
  <c r="C397" i="51"/>
  <c r="C239" i="51"/>
  <c r="M239" i="51" s="1"/>
  <c r="C391" i="51"/>
  <c r="M391" i="51" s="1"/>
  <c r="C184" i="51"/>
  <c r="M184" i="51" s="1"/>
  <c r="C253" i="51"/>
  <c r="C335" i="51"/>
  <c r="M335" i="51" s="1"/>
  <c r="C504" i="51"/>
  <c r="M504" i="51" s="1"/>
  <c r="C516" i="51"/>
  <c r="M516" i="51" s="1"/>
  <c r="C490" i="51"/>
  <c r="M490" i="51" s="1"/>
  <c r="C422" i="51"/>
  <c r="M422" i="51" s="1"/>
  <c r="E59" i="47"/>
  <c r="C232" i="51"/>
  <c r="M232" i="51" s="1"/>
  <c r="C223" i="51"/>
  <c r="M223" i="51" s="1"/>
  <c r="C243" i="51"/>
  <c r="M243" i="51" s="1"/>
  <c r="C280" i="51"/>
  <c r="M280" i="51" s="1"/>
  <c r="C236" i="51"/>
  <c r="M236" i="51" s="1"/>
  <c r="C338" i="51"/>
  <c r="M338" i="51" s="1"/>
  <c r="C297" i="51"/>
  <c r="M297" i="51" s="1"/>
  <c r="C207" i="51"/>
  <c r="M207" i="51" s="1"/>
  <c r="C384" i="51"/>
  <c r="M384" i="51" s="1"/>
  <c r="C493" i="51"/>
  <c r="L171" i="53"/>
  <c r="E98" i="53"/>
  <c r="E104" i="53"/>
  <c r="D65" i="47" s="1"/>
  <c r="D71" i="47" s="1"/>
  <c r="D56" i="47"/>
  <c r="H19" i="47"/>
  <c r="C465" i="42"/>
  <c r="M465" i="42" s="1"/>
  <c r="C418" i="42"/>
  <c r="M418" i="42" s="1"/>
  <c r="C238" i="42"/>
  <c r="M238" i="42" s="1"/>
  <c r="C323" i="42"/>
  <c r="M323" i="42" s="1"/>
  <c r="C489" i="42"/>
  <c r="M489" i="42" s="1"/>
  <c r="C432" i="42"/>
  <c r="M432" i="42" s="1"/>
  <c r="C300" i="42"/>
  <c r="M300" i="42" s="1"/>
  <c r="C338" i="42"/>
  <c r="M338" i="42" s="1"/>
  <c r="C406" i="42"/>
  <c r="M406" i="42" s="1"/>
  <c r="C459" i="42"/>
  <c r="M459" i="42" s="1"/>
  <c r="C497" i="42"/>
  <c r="M497" i="42" s="1"/>
  <c r="C511" i="42"/>
  <c r="M511" i="42" s="1"/>
  <c r="C433" i="42"/>
  <c r="M433" i="42" s="1"/>
  <c r="C220" i="42"/>
  <c r="M220" i="42" s="1"/>
  <c r="C303" i="42"/>
  <c r="M303" i="42" s="1"/>
  <c r="C356" i="42"/>
  <c r="M356" i="42" s="1"/>
  <c r="C207" i="42"/>
  <c r="M207" i="42" s="1"/>
  <c r="C386" i="42"/>
  <c r="M386" i="42" s="1"/>
  <c r="C278" i="42"/>
  <c r="M278" i="42" s="1"/>
  <c r="C430" i="42"/>
  <c r="M430" i="42" s="1"/>
  <c r="C508" i="42"/>
  <c r="M508" i="42" s="1"/>
  <c r="C429" i="42"/>
  <c r="M429" i="42" s="1"/>
  <c r="C333" i="42"/>
  <c r="M333" i="42" s="1"/>
  <c r="C455" i="42"/>
  <c r="M455" i="42" s="1"/>
  <c r="C196" i="42"/>
  <c r="M196" i="42" s="1"/>
  <c r="C468" i="42"/>
  <c r="M468" i="42" s="1"/>
  <c r="C295" i="42"/>
  <c r="M295" i="42" s="1"/>
  <c r="C276" i="42"/>
  <c r="M276" i="42" s="1"/>
  <c r="C454" i="42"/>
  <c r="M454" i="42" s="1"/>
  <c r="C520" i="42"/>
  <c r="M520" i="42" s="1"/>
  <c r="C265" i="42"/>
  <c r="M265" i="42" s="1"/>
  <c r="C490" i="42"/>
  <c r="M490" i="42" s="1"/>
  <c r="C488" i="42"/>
  <c r="M488" i="42" s="1"/>
  <c r="C486" i="42"/>
  <c r="M486" i="42" s="1"/>
  <c r="C458" i="42"/>
  <c r="M458" i="42" s="1"/>
  <c r="C456" i="42"/>
  <c r="M456" i="42" s="1"/>
  <c r="C314" i="42"/>
  <c r="M314" i="42" s="1"/>
  <c r="C496" i="42"/>
  <c r="M496" i="42" s="1"/>
  <c r="C507" i="42"/>
  <c r="M507" i="42" s="1"/>
  <c r="C185" i="42"/>
  <c r="M185" i="42" s="1"/>
  <c r="C463" i="42"/>
  <c r="M463" i="42" s="1"/>
  <c r="C389" i="42"/>
  <c r="M389" i="42" s="1"/>
  <c r="C478" i="42"/>
  <c r="M478" i="42" s="1"/>
  <c r="C212" i="42"/>
  <c r="M212" i="42" s="1"/>
  <c r="B59" i="47"/>
  <c r="C359" i="42"/>
  <c r="M359" i="42" s="1"/>
  <c r="C509" i="42"/>
  <c r="M509" i="42" s="1"/>
  <c r="C217" i="42"/>
  <c r="M217" i="42" s="1"/>
  <c r="C219" i="42"/>
  <c r="M219" i="42" s="1"/>
  <c r="C457" i="42"/>
  <c r="M457" i="42" s="1"/>
  <c r="C214" i="42"/>
  <c r="M214" i="42" s="1"/>
  <c r="C318" i="42"/>
  <c r="M318" i="42" s="1"/>
  <c r="C419" i="42"/>
  <c r="M419" i="42" s="1"/>
  <c r="C450" i="42"/>
  <c r="M450" i="42" s="1"/>
  <c r="C336" i="42"/>
  <c r="M336" i="42" s="1"/>
  <c r="C243" i="42"/>
  <c r="M243" i="42" s="1"/>
  <c r="C312" i="42"/>
  <c r="M312" i="42" s="1"/>
  <c r="C524" i="42"/>
  <c r="M524" i="42" s="1"/>
  <c r="C474" i="42"/>
  <c r="M474" i="42" s="1"/>
  <c r="C364" i="42"/>
  <c r="M364" i="42" s="1"/>
  <c r="C231" i="42"/>
  <c r="M231" i="42" s="1"/>
  <c r="C210" i="42"/>
  <c r="M210" i="42" s="1"/>
  <c r="C260" i="42"/>
  <c r="M260" i="42" s="1"/>
  <c r="C374" i="42"/>
  <c r="M374" i="42" s="1"/>
  <c r="C324" i="42"/>
  <c r="M324" i="42" s="1"/>
  <c r="C346" i="42"/>
  <c r="M346" i="42" s="1"/>
  <c r="C248" i="42"/>
  <c r="M248" i="42" s="1"/>
  <c r="C387" i="42"/>
  <c r="M387" i="42" s="1"/>
  <c r="C349" i="42"/>
  <c r="M349" i="42" s="1"/>
  <c r="C447" i="42"/>
  <c r="M447" i="42" s="1"/>
  <c r="C499" i="42"/>
  <c r="M499" i="42" s="1"/>
  <c r="C448" i="42"/>
  <c r="M448" i="42" s="1"/>
  <c r="C441" i="42"/>
  <c r="M441" i="42" s="1"/>
  <c r="C254" i="42"/>
  <c r="M254" i="42" s="1"/>
  <c r="C215" i="42"/>
  <c r="M215" i="42" s="1"/>
  <c r="C227" i="42"/>
  <c r="M227" i="42" s="1"/>
  <c r="C501" i="42"/>
  <c r="M501" i="42" s="1"/>
  <c r="C473" i="42"/>
  <c r="M473" i="42" s="1"/>
  <c r="C471" i="42"/>
  <c r="M471" i="42" s="1"/>
  <c r="C469" i="42"/>
  <c r="M469" i="42" s="1"/>
  <c r="C421" i="42"/>
  <c r="M421" i="42" s="1"/>
  <c r="C234" i="42"/>
  <c r="M234" i="42" s="1"/>
  <c r="C332" i="42"/>
  <c r="M332" i="42" s="1"/>
  <c r="C417" i="42"/>
  <c r="M417" i="42" s="1"/>
  <c r="C222" i="42"/>
  <c r="M222" i="42" s="1"/>
  <c r="C464" i="42"/>
  <c r="M464" i="42" s="1"/>
  <c r="C363" i="42"/>
  <c r="M363" i="42" s="1"/>
  <c r="C404" i="42"/>
  <c r="M404" i="42" s="1"/>
  <c r="C384" i="42"/>
  <c r="M384" i="42" s="1"/>
  <c r="C438" i="42"/>
  <c r="M438" i="42" s="1"/>
  <c r="C334" i="42"/>
  <c r="M334" i="42" s="1"/>
  <c r="C435" i="42"/>
  <c r="M435" i="42" s="1"/>
  <c r="C466" i="42"/>
  <c r="M466" i="42" s="1"/>
  <c r="C408" i="42"/>
  <c r="M408" i="42" s="1"/>
  <c r="C493" i="42"/>
  <c r="M493" i="42" s="1"/>
  <c r="C172" i="42"/>
  <c r="M172" i="42" s="1"/>
  <c r="C173" i="42"/>
  <c r="M173" i="42" s="1"/>
  <c r="C519" i="42"/>
  <c r="M519" i="42" s="1"/>
  <c r="C523" i="42"/>
  <c r="M523" i="42" s="1"/>
  <c r="C206" i="42"/>
  <c r="M206" i="42" s="1"/>
  <c r="C477" i="42"/>
  <c r="M477" i="42" s="1"/>
  <c r="C223" i="42"/>
  <c r="M223" i="42" s="1"/>
  <c r="C237" i="42"/>
  <c r="M237" i="42" s="1"/>
  <c r="C402" i="42"/>
  <c r="M402" i="42" s="1"/>
  <c r="C225" i="42"/>
  <c r="M225" i="42" s="1"/>
  <c r="C355" i="42"/>
  <c r="M355" i="42" s="1"/>
  <c r="C197" i="42"/>
  <c r="M197" i="42" s="1"/>
  <c r="C262" i="42"/>
  <c r="M262" i="42" s="1"/>
  <c r="C310" i="42"/>
  <c r="M310" i="42" s="1"/>
  <c r="C461" i="42"/>
  <c r="M461" i="42" s="1"/>
  <c r="C290" i="42"/>
  <c r="M290" i="42" s="1"/>
  <c r="C398" i="42"/>
  <c r="M398" i="42" s="1"/>
  <c r="C425" i="42"/>
  <c r="M425" i="42" s="1"/>
  <c r="C170" i="42"/>
  <c r="M170" i="42" s="1"/>
  <c r="C414" i="42"/>
  <c r="M414" i="42" s="1"/>
  <c r="C191" i="42"/>
  <c r="M191" i="42" s="1"/>
  <c r="C380" i="42"/>
  <c r="M380" i="42" s="1"/>
  <c r="C476" i="42"/>
  <c r="M476" i="42" s="1"/>
  <c r="C527" i="42"/>
  <c r="M527" i="42" s="1"/>
  <c r="C452" i="42"/>
  <c r="M452" i="42" s="1"/>
  <c r="C213" i="42"/>
  <c r="M213" i="42" s="1"/>
  <c r="C232" i="42"/>
  <c r="M232" i="42" s="1"/>
  <c r="C481" i="42"/>
  <c r="M481" i="42" s="1"/>
  <c r="C272" i="42"/>
  <c r="M272" i="42" s="1"/>
  <c r="C168" i="42"/>
  <c r="M168" i="42" s="1"/>
  <c r="C485" i="42"/>
  <c r="M485" i="42" s="1"/>
  <c r="C427" i="42"/>
  <c r="M427" i="42" s="1"/>
  <c r="C517" i="42"/>
  <c r="M517" i="42" s="1"/>
  <c r="C453" i="42"/>
  <c r="M453" i="42" s="1"/>
  <c r="E104" i="42"/>
  <c r="L167" i="42"/>
  <c r="AG120" i="55"/>
  <c r="AC120" i="55"/>
  <c r="Y120" i="55"/>
  <c r="U120" i="55"/>
  <c r="Q120" i="55"/>
  <c r="M120" i="55"/>
  <c r="I120" i="55"/>
  <c r="E120" i="55"/>
  <c r="AE120" i="55"/>
  <c r="S120" i="55"/>
  <c r="G120" i="55"/>
  <c r="AD120" i="55"/>
  <c r="V120" i="55"/>
  <c r="N120" i="55"/>
  <c r="AF120" i="55"/>
  <c r="AB120" i="55"/>
  <c r="X120" i="55"/>
  <c r="T120" i="55"/>
  <c r="P120" i="55"/>
  <c r="L120" i="55"/>
  <c r="H120" i="55"/>
  <c r="AA120" i="55"/>
  <c r="W120" i="55"/>
  <c r="O120" i="55"/>
  <c r="K120" i="55"/>
  <c r="AH120" i="55"/>
  <c r="Z120" i="55"/>
  <c r="R120" i="55"/>
  <c r="J120" i="55"/>
  <c r="F120" i="55"/>
  <c r="V135" i="47"/>
  <c r="D57" i="53"/>
  <c r="D59" i="53" s="1"/>
  <c r="Z122" i="42"/>
  <c r="V122" i="42"/>
  <c r="Y122" i="42"/>
  <c r="U122" i="42"/>
  <c r="X122" i="42"/>
  <c r="T122" i="42"/>
  <c r="S122" i="42"/>
  <c r="O122" i="42"/>
  <c r="E114" i="55"/>
  <c r="E110" i="55"/>
  <c r="E109" i="55"/>
  <c r="D53" i="56"/>
  <c r="F37" i="47" s="1"/>
  <c r="M103" i="57"/>
  <c r="D54" i="55"/>
  <c r="C37" i="47"/>
  <c r="F106" i="57"/>
  <c r="F111" i="57"/>
  <c r="F107" i="57"/>
  <c r="F114" i="55"/>
  <c r="F110" i="55"/>
  <c r="F109" i="55"/>
  <c r="H104" i="57"/>
  <c r="G105" i="57"/>
  <c r="H106" i="55"/>
  <c r="G108" i="55"/>
  <c r="N168" i="42"/>
  <c r="Q135" i="47"/>
  <c r="E53" i="42"/>
  <c r="B35" i="47" s="1"/>
  <c r="H35" i="47" s="1"/>
  <c r="B34" i="47"/>
  <c r="H34" i="47" s="1"/>
  <c r="E54" i="42"/>
  <c r="B36" i="47" s="1"/>
  <c r="H36" i="47" s="1"/>
  <c r="F109" i="42"/>
  <c r="D81" i="47" s="1"/>
  <c r="E111" i="42"/>
  <c r="AA135" i="47"/>
  <c r="M289" i="55"/>
  <c r="M352" i="55"/>
  <c r="M458" i="55"/>
  <c r="M364" i="55"/>
  <c r="M245" i="55"/>
  <c r="M205" i="55"/>
  <c r="M276" i="55"/>
  <c r="M475" i="55"/>
  <c r="R167" i="55"/>
  <c r="AB167" i="55" s="1"/>
  <c r="M190" i="55"/>
  <c r="M433" i="55"/>
  <c r="M441" i="55"/>
  <c r="W170" i="47"/>
  <c r="K110" i="42"/>
  <c r="M244" i="55"/>
  <c r="M379" i="55"/>
  <c r="M407" i="55"/>
  <c r="M450" i="55"/>
  <c r="M191" i="55"/>
  <c r="M465" i="55"/>
  <c r="M408" i="55"/>
  <c r="M349" i="55"/>
  <c r="M456" i="55"/>
  <c r="M264" i="55"/>
  <c r="M336" i="55"/>
  <c r="M411" i="55"/>
  <c r="W147" i="47"/>
  <c r="W169" i="47"/>
  <c r="W148" i="47"/>
  <c r="W172" i="47"/>
  <c r="W171" i="47"/>
  <c r="M341" i="55"/>
  <c r="M281" i="55"/>
  <c r="M451" i="55"/>
  <c r="M438" i="55"/>
  <c r="M229" i="55"/>
  <c r="M403" i="55"/>
  <c r="M230" i="55"/>
  <c r="M427" i="55"/>
  <c r="M366" i="55"/>
  <c r="M172" i="55"/>
  <c r="M498" i="55"/>
  <c r="M357" i="55"/>
  <c r="R166" i="55"/>
  <c r="AB166" i="55" s="1"/>
  <c r="M178" i="55"/>
  <c r="M507" i="55"/>
  <c r="M432" i="55"/>
  <c r="M275" i="55"/>
  <c r="M320" i="55"/>
  <c r="M416" i="55"/>
  <c r="R184" i="55"/>
  <c r="AB184" i="55" s="1"/>
  <c r="M394" i="55"/>
  <c r="R173" i="55"/>
  <c r="AB173" i="55" s="1"/>
  <c r="M262" i="55"/>
  <c r="M212" i="55"/>
  <c r="M493" i="55"/>
  <c r="M216" i="55"/>
  <c r="M434" i="55"/>
  <c r="M267" i="55"/>
  <c r="M397" i="55"/>
  <c r="M360" i="55"/>
  <c r="M180" i="55"/>
  <c r="M391" i="55"/>
  <c r="M167" i="55"/>
  <c r="M295" i="55"/>
  <c r="M521" i="55"/>
  <c r="M288" i="55"/>
  <c r="M187" i="55"/>
  <c r="M337" i="55"/>
  <c r="M491" i="55"/>
  <c r="M420" i="55"/>
  <c r="M314" i="55"/>
  <c r="M477" i="55"/>
  <c r="M400" i="55"/>
  <c r="M460" i="55"/>
  <c r="R176" i="55"/>
  <c r="AB176" i="55" s="1"/>
  <c r="M298" i="55"/>
  <c r="M459" i="55"/>
  <c r="M462" i="55"/>
  <c r="M194" i="55"/>
  <c r="L166" i="57"/>
  <c r="I167" i="57"/>
  <c r="W161" i="47"/>
  <c r="W165" i="47"/>
  <c r="W164" i="47"/>
  <c r="E55" i="51"/>
  <c r="M522" i="55"/>
  <c r="M423" i="55"/>
  <c r="M204" i="55"/>
  <c r="M449" i="55"/>
  <c r="M353" i="55"/>
  <c r="M464" i="55"/>
  <c r="M448" i="55"/>
  <c r="M484" i="55"/>
  <c r="M372" i="55"/>
  <c r="R194" i="55"/>
  <c r="AB194" i="55" s="1"/>
  <c r="M514" i="55"/>
  <c r="M215" i="55"/>
  <c r="M323" i="55"/>
  <c r="M311" i="55"/>
  <c r="M509" i="55"/>
  <c r="E166" i="55"/>
  <c r="R165" i="55"/>
  <c r="AB165" i="55" s="1"/>
  <c r="M166" i="55"/>
  <c r="M339" i="55"/>
  <c r="M168" i="55"/>
  <c r="M177" i="55"/>
  <c r="M496" i="55"/>
  <c r="M388" i="55"/>
  <c r="M505" i="55"/>
  <c r="M302" i="55"/>
  <c r="M203" i="55"/>
  <c r="M375" i="55"/>
  <c r="M248" i="55"/>
  <c r="M246" i="55"/>
  <c r="M237" i="55"/>
  <c r="M241" i="55"/>
  <c r="R193" i="55"/>
  <c r="AB193" i="55" s="1"/>
  <c r="M502" i="55"/>
  <c r="M351" i="55"/>
  <c r="M285" i="55"/>
  <c r="M200" i="55"/>
  <c r="R181" i="55"/>
  <c r="AB181" i="55" s="1"/>
  <c r="M358" i="55"/>
  <c r="M259" i="55"/>
  <c r="M396" i="55"/>
  <c r="M329" i="55"/>
  <c r="M199" i="55"/>
  <c r="M401" i="55"/>
  <c r="M269" i="55"/>
  <c r="M421" i="55"/>
  <c r="M268" i="55"/>
  <c r="M414" i="55"/>
  <c r="M512" i="55"/>
  <c r="M182" i="55"/>
  <c r="M252" i="55"/>
  <c r="W149" i="47"/>
  <c r="M511" i="55"/>
  <c r="M354" i="55"/>
  <c r="M304" i="55"/>
  <c r="M292" i="55"/>
  <c r="R185" i="55"/>
  <c r="AB185" i="55" s="1"/>
  <c r="M406" i="55"/>
  <c r="M425" i="55"/>
  <c r="M251" i="55"/>
  <c r="M279" i="55"/>
  <c r="M196" i="55"/>
  <c r="M293" i="55"/>
  <c r="M402" i="55"/>
  <c r="M410" i="55"/>
  <c r="W150" i="47"/>
  <c r="R191" i="55"/>
  <c r="AB191" i="55" s="1"/>
  <c r="M478" i="55"/>
  <c r="M387" i="55"/>
  <c r="M376" i="55"/>
  <c r="M474" i="55"/>
  <c r="M445" i="55"/>
  <c r="M393" i="55"/>
  <c r="M457" i="55"/>
  <c r="M516" i="55"/>
  <c r="M233" i="55"/>
  <c r="R178" i="55"/>
  <c r="AB178" i="55" s="1"/>
  <c r="M322" i="55"/>
  <c r="M367" i="55"/>
  <c r="W163" i="47"/>
  <c r="W152" i="47"/>
  <c r="M206" i="55"/>
  <c r="M192" i="55"/>
  <c r="M424" i="55"/>
  <c r="M492" i="55"/>
  <c r="M253" i="55"/>
  <c r="M419" i="55"/>
  <c r="M417" i="55"/>
  <c r="M385" i="55"/>
  <c r="M398" i="55"/>
  <c r="M232" i="55"/>
  <c r="M486" i="55"/>
  <c r="M473" i="55"/>
  <c r="M282" i="55"/>
  <c r="M195" i="55"/>
  <c r="R188" i="55"/>
  <c r="AB188" i="55" s="1"/>
  <c r="M442" i="55"/>
  <c r="M297" i="55"/>
  <c r="M345" i="55"/>
  <c r="G112" i="53"/>
  <c r="H109" i="57"/>
  <c r="W151" i="47"/>
  <c r="W166" i="47"/>
  <c r="I168" i="56"/>
  <c r="N166" i="55"/>
  <c r="M437" i="55"/>
  <c r="M290" i="55"/>
  <c r="M413" i="55"/>
  <c r="M312" i="55"/>
  <c r="M321" i="55"/>
  <c r="M500" i="55"/>
  <c r="M330" i="55"/>
  <c r="M378" i="55"/>
  <c r="M208" i="55"/>
  <c r="M524" i="55"/>
  <c r="M525" i="55"/>
  <c r="M523" i="55"/>
  <c r="M207" i="55"/>
  <c r="M319" i="55"/>
  <c r="M435" i="55"/>
  <c r="M283" i="55"/>
  <c r="M428" i="55"/>
  <c r="M455" i="55"/>
  <c r="R183" i="55"/>
  <c r="AB183" i="55" s="1"/>
  <c r="M382" i="55"/>
  <c r="M243" i="55"/>
  <c r="M278" i="55"/>
  <c r="M186" i="55"/>
  <c r="M447" i="55"/>
  <c r="M305" i="55"/>
  <c r="M513" i="55"/>
  <c r="M476" i="55"/>
  <c r="M368" i="55"/>
  <c r="M383" i="55"/>
  <c r="M287" i="55"/>
  <c r="M327" i="55"/>
  <c r="M272" i="55"/>
  <c r="M426" i="55"/>
  <c r="M181" i="55"/>
  <c r="M469" i="55"/>
  <c r="M318" i="55"/>
  <c r="M280" i="55"/>
  <c r="R189" i="55"/>
  <c r="AB189" i="55" s="1"/>
  <c r="M454" i="55"/>
  <c r="M240" i="55"/>
  <c r="M395" i="55"/>
  <c r="M363" i="55"/>
  <c r="M481" i="55"/>
  <c r="M263" i="55"/>
  <c r="M355" i="55"/>
  <c r="M335" i="55"/>
  <c r="I169" i="42"/>
  <c r="M468" i="55"/>
  <c r="M303" i="55"/>
  <c r="M308" i="55"/>
  <c r="M340" i="55"/>
  <c r="M171" i="55"/>
  <c r="M348" i="55"/>
  <c r="R187" i="55"/>
  <c r="AB187" i="55" s="1"/>
  <c r="M430" i="55"/>
  <c r="M499" i="55"/>
  <c r="R192" i="55"/>
  <c r="AB192" i="55" s="1"/>
  <c r="M490" i="55"/>
  <c r="M429" i="55"/>
  <c r="R174" i="55"/>
  <c r="AB174" i="55" s="1"/>
  <c r="M274" i="55"/>
  <c r="J170" i="51"/>
  <c r="W155" i="47"/>
  <c r="W157" i="47"/>
  <c r="M179" i="55"/>
  <c r="M175" i="55"/>
  <c r="M332" i="55"/>
  <c r="M361" i="55"/>
  <c r="M390" i="55"/>
  <c r="M444" i="55"/>
  <c r="M431" i="55"/>
  <c r="M324" i="55"/>
  <c r="M254" i="55"/>
  <c r="M176" i="55"/>
  <c r="M247" i="55"/>
  <c r="R172" i="55"/>
  <c r="AB172" i="55" s="1"/>
  <c r="M250" i="55"/>
  <c r="F113" i="53"/>
  <c r="C82" i="47"/>
  <c r="W154" i="47"/>
  <c r="M220" i="55"/>
  <c r="M362" i="55"/>
  <c r="M219" i="55"/>
  <c r="M277" i="55"/>
  <c r="M301" i="55"/>
  <c r="R179" i="55"/>
  <c r="AB179" i="55" s="1"/>
  <c r="M334" i="55"/>
  <c r="M517" i="55"/>
  <c r="M174" i="55"/>
  <c r="M306" i="55"/>
  <c r="R168" i="55"/>
  <c r="AB168" i="55" s="1"/>
  <c r="M202" i="55"/>
  <c r="M422" i="55"/>
  <c r="M242" i="55"/>
  <c r="M482" i="55"/>
  <c r="M225" i="55"/>
  <c r="F117" i="51"/>
  <c r="F113" i="51"/>
  <c r="F112" i="51"/>
  <c r="I173" i="53"/>
  <c r="H112" i="55"/>
  <c r="E87" i="47"/>
  <c r="F115" i="56"/>
  <c r="F110" i="56"/>
  <c r="F111" i="56"/>
  <c r="W173" i="47"/>
  <c r="W160" i="47"/>
  <c r="W146" i="47"/>
  <c r="K115" i="42"/>
  <c r="M316" i="55"/>
  <c r="R170" i="55"/>
  <c r="AB170" i="55" s="1"/>
  <c r="M226" i="55"/>
  <c r="M480" i="55"/>
  <c r="M389" i="55"/>
  <c r="M260" i="55"/>
  <c r="M342" i="55"/>
  <c r="M415" i="55"/>
  <c r="M223" i="55"/>
  <c r="M338" i="55"/>
  <c r="C66" i="47"/>
  <c r="C58" i="55"/>
  <c r="M506" i="55"/>
  <c r="M193" i="55"/>
  <c r="M333" i="55"/>
  <c r="R169" i="55"/>
  <c r="AB169" i="55" s="1"/>
  <c r="M214" i="55"/>
  <c r="M273" i="55"/>
  <c r="M369" i="55"/>
  <c r="M184" i="55"/>
  <c r="M446" i="55"/>
  <c r="R175" i="55"/>
  <c r="AB175" i="55" s="1"/>
  <c r="M286" i="55"/>
  <c r="M227" i="55"/>
  <c r="M261" i="55"/>
  <c r="M256" i="55"/>
  <c r="M231" i="55"/>
  <c r="M494" i="55"/>
  <c r="M235" i="55"/>
  <c r="M185" i="55"/>
  <c r="M495" i="55"/>
  <c r="M169" i="55"/>
  <c r="M386" i="55"/>
  <c r="M518" i="55"/>
  <c r="M331" i="55"/>
  <c r="M440" i="55"/>
  <c r="M300" i="55"/>
  <c r="M218" i="55"/>
  <c r="M488" i="55"/>
  <c r="M452" i="55"/>
  <c r="M347" i="55"/>
  <c r="M294" i="55"/>
  <c r="M299" i="55"/>
  <c r="M501" i="55"/>
  <c r="M188" i="55"/>
  <c r="M224" i="55"/>
  <c r="M213" i="55"/>
  <c r="M392" i="55"/>
  <c r="M307" i="55"/>
  <c r="W153" i="47"/>
  <c r="W167" i="47"/>
  <c r="M409" i="55"/>
  <c r="M504" i="55"/>
  <c r="M325" i="55"/>
  <c r="M487" i="55"/>
  <c r="M257" i="55"/>
  <c r="M284" i="55"/>
  <c r="M436" i="55"/>
  <c r="M359" i="55"/>
  <c r="M463" i="55"/>
  <c r="M271" i="55"/>
  <c r="M201" i="55"/>
  <c r="M483" i="55"/>
  <c r="D167" i="57"/>
  <c r="W156" i="47"/>
  <c r="W162" i="47"/>
  <c r="W168" i="47"/>
  <c r="E115" i="56"/>
  <c r="E110" i="56"/>
  <c r="E111" i="56"/>
  <c r="M217" i="55"/>
  <c r="M381" i="55"/>
  <c r="M461" i="55"/>
  <c r="M249" i="55"/>
  <c r="M485" i="55"/>
  <c r="R177" i="55"/>
  <c r="AB177" i="55" s="1"/>
  <c r="M310" i="55"/>
  <c r="M313" i="55"/>
  <c r="M209" i="55"/>
  <c r="M189" i="55"/>
  <c r="M291" i="55"/>
  <c r="M453" i="55"/>
  <c r="E114" i="53"/>
  <c r="I167" i="55"/>
  <c r="M211" i="55"/>
  <c r="M479" i="55"/>
  <c r="M265" i="55"/>
  <c r="M350" i="55"/>
  <c r="R182" i="55"/>
  <c r="AB182" i="55" s="1"/>
  <c r="M370" i="55"/>
  <c r="M510" i="55"/>
  <c r="M173" i="55"/>
  <c r="M515" i="55"/>
  <c r="M399" i="55"/>
  <c r="M234" i="55"/>
  <c r="M210" i="55"/>
  <c r="M296" i="55"/>
  <c r="M443" i="55"/>
  <c r="R186" i="55"/>
  <c r="AB186" i="55" s="1"/>
  <c r="M418" i="55"/>
  <c r="D139" i="51"/>
  <c r="H109" i="51"/>
  <c r="G111" i="51"/>
  <c r="H107" i="56"/>
  <c r="G109" i="56"/>
  <c r="W145" i="47"/>
  <c r="W158" i="47"/>
  <c r="W144" i="47"/>
  <c r="H62" i="47"/>
  <c r="W159" i="47"/>
  <c r="C59" i="57"/>
  <c r="C56" i="57"/>
  <c r="G39" i="47"/>
  <c r="C54" i="57"/>
  <c r="G42" i="47" s="1"/>
  <c r="M258" i="55"/>
  <c r="M467" i="55"/>
  <c r="R190" i="55"/>
  <c r="AB190" i="55" s="1"/>
  <c r="M466" i="55"/>
  <c r="M197" i="55"/>
  <c r="M344" i="55"/>
  <c r="M365" i="55"/>
  <c r="M170" i="55"/>
  <c r="M405" i="55"/>
  <c r="M472" i="55"/>
  <c r="M309" i="55"/>
  <c r="M471" i="55"/>
  <c r="M255" i="55"/>
  <c r="M228" i="55"/>
  <c r="M356" i="55"/>
  <c r="M519" i="55"/>
  <c r="M380" i="55"/>
  <c r="M384" i="55"/>
  <c r="M377" i="55"/>
  <c r="M222" i="55"/>
  <c r="M404" i="55"/>
  <c r="M343" i="55"/>
  <c r="M373" i="55"/>
  <c r="M326" i="55"/>
  <c r="M520" i="55"/>
  <c r="M503" i="55"/>
  <c r="M183" i="55"/>
  <c r="M266" i="55"/>
  <c r="R171" i="55"/>
  <c r="AB171" i="55" s="1"/>
  <c r="M238" i="55"/>
  <c r="M315" i="55"/>
  <c r="M239" i="55"/>
  <c r="R180" i="55"/>
  <c r="AB180" i="55" s="1"/>
  <c r="M346" i="55"/>
  <c r="M470" i="55"/>
  <c r="M374" i="55"/>
  <c r="M270" i="55"/>
  <c r="M489" i="55"/>
  <c r="M412" i="55"/>
  <c r="M328" i="55"/>
  <c r="M236" i="55"/>
  <c r="M508" i="55"/>
  <c r="M439" i="55"/>
  <c r="M221" i="55"/>
  <c r="M198" i="55"/>
  <c r="M317" i="55"/>
  <c r="M497" i="55"/>
  <c r="M371" i="55"/>
  <c r="W122" i="42" l="1"/>
  <c r="AC122" i="42"/>
  <c r="AA122" i="42"/>
  <c r="AF122" i="42"/>
  <c r="AG122" i="42"/>
  <c r="AH122" i="42"/>
  <c r="AB122" i="42"/>
  <c r="AD122" i="42"/>
  <c r="B66" i="47"/>
  <c r="AE122" i="42"/>
  <c r="E122" i="42"/>
  <c r="F122" i="42"/>
  <c r="F65" i="47"/>
  <c r="F71" i="47" s="1"/>
  <c r="E103" i="56"/>
  <c r="I122" i="42"/>
  <c r="H23" i="47"/>
  <c r="B111" i="47" s="1"/>
  <c r="B114" i="47" s="1"/>
  <c r="G122" i="42"/>
  <c r="L122" i="42"/>
  <c r="M122" i="42"/>
  <c r="N122" i="42"/>
  <c r="C232" i="56"/>
  <c r="M232" i="56" s="1"/>
  <c r="C408" i="56"/>
  <c r="M408" i="56" s="1"/>
  <c r="C522" i="56"/>
  <c r="M522" i="56" s="1"/>
  <c r="C213" i="56"/>
  <c r="M213" i="56" s="1"/>
  <c r="C510" i="56"/>
  <c r="M510" i="56" s="1"/>
  <c r="C380" i="56"/>
  <c r="M380" i="56" s="1"/>
  <c r="C352" i="56"/>
  <c r="M352" i="56" s="1"/>
  <c r="C345" i="56"/>
  <c r="M345" i="56" s="1"/>
  <c r="C177" i="56"/>
  <c r="M177" i="56" s="1"/>
  <c r="C313" i="56"/>
  <c r="M313" i="56" s="1"/>
  <c r="C171" i="56"/>
  <c r="M171" i="56" s="1"/>
  <c r="C325" i="56"/>
  <c r="M325" i="56" s="1"/>
  <c r="C512" i="56"/>
  <c r="M512" i="56" s="1"/>
  <c r="C219" i="56"/>
  <c r="M219" i="56" s="1"/>
  <c r="C263" i="56"/>
  <c r="C381" i="56"/>
  <c r="M381" i="56" s="1"/>
  <c r="C251" i="56"/>
  <c r="C511" i="56"/>
  <c r="M511" i="56" s="1"/>
  <c r="C426" i="56"/>
  <c r="M426" i="56" s="1"/>
  <c r="C431" i="56"/>
  <c r="C247" i="56"/>
  <c r="M247" i="56" s="1"/>
  <c r="C179" i="56"/>
  <c r="C422" i="56"/>
  <c r="M422" i="56" s="1"/>
  <c r="C277" i="56"/>
  <c r="M277" i="56" s="1"/>
  <c r="C297" i="56"/>
  <c r="M297" i="56" s="1"/>
  <c r="C432" i="56"/>
  <c r="M432" i="56" s="1"/>
  <c r="C282" i="56"/>
  <c r="M282" i="56" s="1"/>
  <c r="C285" i="56"/>
  <c r="M285" i="56" s="1"/>
  <c r="C448" i="56"/>
  <c r="M448" i="56" s="1"/>
  <c r="C493" i="56"/>
  <c r="M493" i="56" s="1"/>
  <c r="C185" i="56"/>
  <c r="M185" i="56" s="1"/>
  <c r="C191" i="56"/>
  <c r="C415" i="56"/>
  <c r="M415" i="56" s="1"/>
  <c r="C269" i="56"/>
  <c r="M269" i="56" s="1"/>
  <c r="C198" i="56"/>
  <c r="M198" i="56" s="1"/>
  <c r="C464" i="56"/>
  <c r="M464" i="56" s="1"/>
  <c r="C205" i="56"/>
  <c r="M205" i="56" s="1"/>
  <c r="C337" i="56"/>
  <c r="M337" i="56" s="1"/>
  <c r="C267" i="56"/>
  <c r="M267" i="56" s="1"/>
  <c r="C259" i="56"/>
  <c r="M259" i="56" s="1"/>
  <c r="C294" i="56"/>
  <c r="M294" i="56" s="1"/>
  <c r="C284" i="56"/>
  <c r="M284" i="56" s="1"/>
  <c r="C482" i="56"/>
  <c r="M482" i="56" s="1"/>
  <c r="C424" i="56"/>
  <c r="M424" i="56" s="1"/>
  <c r="C196" i="56"/>
  <c r="M196" i="56" s="1"/>
  <c r="C450" i="56"/>
  <c r="M450" i="56" s="1"/>
  <c r="C469" i="56"/>
  <c r="M469" i="56" s="1"/>
  <c r="C270" i="56"/>
  <c r="M270" i="56" s="1"/>
  <c r="C229" i="56"/>
  <c r="M229" i="56" s="1"/>
  <c r="C456" i="56"/>
  <c r="M456" i="56" s="1"/>
  <c r="C492" i="56"/>
  <c r="M492" i="56" s="1"/>
  <c r="C307" i="56"/>
  <c r="M307" i="56" s="1"/>
  <c r="C480" i="56"/>
  <c r="M480" i="56" s="1"/>
  <c r="C280" i="56"/>
  <c r="M280" i="56" s="1"/>
  <c r="C272" i="56"/>
  <c r="M272" i="56" s="1"/>
  <c r="C210" i="56"/>
  <c r="M210" i="56" s="1"/>
  <c r="C489" i="56"/>
  <c r="M489" i="56" s="1"/>
  <c r="C178" i="56"/>
  <c r="M178" i="56" s="1"/>
  <c r="C245" i="56"/>
  <c r="M245" i="56" s="1"/>
  <c r="C279" i="56"/>
  <c r="M279" i="56" s="1"/>
  <c r="C453" i="56"/>
  <c r="M453" i="56" s="1"/>
  <c r="C264" i="56"/>
  <c r="M264" i="56" s="1"/>
  <c r="C295" i="56"/>
  <c r="M295" i="56" s="1"/>
  <c r="C433" i="56"/>
  <c r="M433" i="56" s="1"/>
  <c r="C519" i="56"/>
  <c r="M519" i="56" s="1"/>
  <c r="C372" i="56"/>
  <c r="M372" i="56" s="1"/>
  <c r="C343" i="56"/>
  <c r="M343" i="56" s="1"/>
  <c r="C379" i="56"/>
  <c r="M379" i="56" s="1"/>
  <c r="C250" i="56"/>
  <c r="M250" i="56" s="1"/>
  <c r="C236" i="56"/>
  <c r="M236" i="56" s="1"/>
  <c r="C407" i="56"/>
  <c r="C223" i="56"/>
  <c r="M223" i="56" s="1"/>
  <c r="C266" i="56"/>
  <c r="M266" i="56" s="1"/>
  <c r="C467" i="56"/>
  <c r="C457" i="56"/>
  <c r="M457" i="56" s="1"/>
  <c r="C233" i="56"/>
  <c r="M233" i="56" s="1"/>
  <c r="C308" i="56"/>
  <c r="M308" i="56" s="1"/>
  <c r="C252" i="56"/>
  <c r="M252" i="56" s="1"/>
  <c r="C460" i="56"/>
  <c r="M460" i="56" s="1"/>
  <c r="C328" i="56"/>
  <c r="M328" i="56" s="1"/>
  <c r="C406" i="56"/>
  <c r="M406" i="56" s="1"/>
  <c r="C487" i="56"/>
  <c r="M487" i="56" s="1"/>
  <c r="C458" i="56"/>
  <c r="M458" i="56" s="1"/>
  <c r="C477" i="56"/>
  <c r="M477" i="56" s="1"/>
  <c r="C496" i="56"/>
  <c r="M496" i="56" s="1"/>
  <c r="C446" i="56"/>
  <c r="M446" i="56" s="1"/>
  <c r="C293" i="56"/>
  <c r="M293" i="56" s="1"/>
  <c r="C476" i="56"/>
  <c r="M476" i="56" s="1"/>
  <c r="C192" i="56"/>
  <c r="M192" i="56" s="1"/>
  <c r="C330" i="56"/>
  <c r="M330" i="56" s="1"/>
  <c r="C261" i="56"/>
  <c r="M261" i="56" s="1"/>
  <c r="C190" i="56"/>
  <c r="M190" i="56" s="1"/>
  <c r="C390" i="56"/>
  <c r="M390" i="56" s="1"/>
  <c r="C475" i="56"/>
  <c r="M475" i="56" s="1"/>
  <c r="C287" i="56"/>
  <c r="C348" i="56"/>
  <c r="M348" i="56" s="1"/>
  <c r="C226" i="56"/>
  <c r="M226" i="56" s="1"/>
  <c r="C170" i="56"/>
  <c r="M170" i="56" s="1"/>
  <c r="C189" i="56"/>
  <c r="M189" i="56" s="1"/>
  <c r="C167" i="56"/>
  <c r="C240" i="56"/>
  <c r="M240" i="56" s="1"/>
  <c r="C363" i="56"/>
  <c r="M363" i="56" s="1"/>
  <c r="C471" i="56"/>
  <c r="M471" i="56" s="1"/>
  <c r="C254" i="56"/>
  <c r="M254" i="56" s="1"/>
  <c r="C271" i="56"/>
  <c r="M271" i="56" s="1"/>
  <c r="C442" i="56"/>
  <c r="M442" i="56" s="1"/>
  <c r="C188" i="56"/>
  <c r="M188" i="56" s="1"/>
  <c r="C504" i="56"/>
  <c r="M504" i="56" s="1"/>
  <c r="C249" i="56"/>
  <c r="M249" i="56" s="1"/>
  <c r="C256" i="56"/>
  <c r="M256" i="56" s="1"/>
  <c r="C430" i="56"/>
  <c r="M430" i="56" s="1"/>
  <c r="C268" i="56"/>
  <c r="M268" i="56" s="1"/>
  <c r="C508" i="56"/>
  <c r="M508" i="56" s="1"/>
  <c r="C258" i="56"/>
  <c r="M258" i="56" s="1"/>
  <c r="C309" i="56"/>
  <c r="M309" i="56" s="1"/>
  <c r="C463" i="56"/>
  <c r="M463" i="56" s="1"/>
  <c r="C321" i="56"/>
  <c r="M321" i="56" s="1"/>
  <c r="C273" i="56"/>
  <c r="M273" i="56" s="1"/>
  <c r="C342" i="56"/>
  <c r="M342" i="56" s="1"/>
  <c r="C449" i="56"/>
  <c r="M449" i="56" s="1"/>
  <c r="C425" i="56"/>
  <c r="M425" i="56" s="1"/>
  <c r="C197" i="56"/>
  <c r="M197" i="56" s="1"/>
  <c r="C201" i="56"/>
  <c r="M201" i="56" s="1"/>
  <c r="C444" i="56"/>
  <c r="M444" i="56" s="1"/>
  <c r="C385" i="56"/>
  <c r="M385" i="56" s="1"/>
  <c r="C339" i="56"/>
  <c r="M339" i="56" s="1"/>
  <c r="C517" i="56"/>
  <c r="M517" i="56" s="1"/>
  <c r="C235" i="56"/>
  <c r="M235" i="56" s="1"/>
  <c r="C371" i="56"/>
  <c r="C418" i="56"/>
  <c r="M418" i="56" s="1"/>
  <c r="C290" i="56"/>
  <c r="M290" i="56" s="1"/>
  <c r="C220" i="56"/>
  <c r="M220" i="56" s="1"/>
  <c r="C327" i="56"/>
  <c r="M327" i="56" s="1"/>
  <c r="C314" i="56"/>
  <c r="M314" i="56" s="1"/>
  <c r="C505" i="56"/>
  <c r="M505" i="56" s="1"/>
  <c r="C331" i="56"/>
  <c r="M331" i="56" s="1"/>
  <c r="C501" i="56"/>
  <c r="M501" i="56" s="1"/>
  <c r="C334" i="56"/>
  <c r="M334" i="56" s="1"/>
  <c r="C387" i="56"/>
  <c r="M387" i="56" s="1"/>
  <c r="C318" i="56"/>
  <c r="M318" i="56" s="1"/>
  <c r="C183" i="56"/>
  <c r="M183" i="56" s="1"/>
  <c r="C234" i="56"/>
  <c r="M234" i="56" s="1"/>
  <c r="C362" i="56"/>
  <c r="M362" i="56" s="1"/>
  <c r="C481" i="56"/>
  <c r="M481" i="56" s="1"/>
  <c r="C455" i="56"/>
  <c r="C405" i="56"/>
  <c r="M405" i="56" s="1"/>
  <c r="C281" i="56"/>
  <c r="M281" i="56" s="1"/>
  <c r="C388" i="56"/>
  <c r="M388" i="56" s="1"/>
  <c r="C466" i="56"/>
  <c r="M466" i="56" s="1"/>
  <c r="C231" i="56"/>
  <c r="M231" i="56" s="1"/>
  <c r="C298" i="56"/>
  <c r="M298" i="56" s="1"/>
  <c r="C427" i="56"/>
  <c r="M427" i="56" s="1"/>
  <c r="C193" i="56"/>
  <c r="M193" i="56" s="1"/>
  <c r="C452" i="56"/>
  <c r="M452" i="56" s="1"/>
  <c r="C300" i="56"/>
  <c r="M300" i="56" s="1"/>
  <c r="C274" i="56"/>
  <c r="M274" i="56" s="1"/>
  <c r="C310" i="56"/>
  <c r="M310" i="56" s="1"/>
  <c r="C301" i="56"/>
  <c r="M301" i="56" s="1"/>
  <c r="C184" i="56"/>
  <c r="M184" i="56" s="1"/>
  <c r="C324" i="56"/>
  <c r="M324" i="56" s="1"/>
  <c r="C315" i="56"/>
  <c r="M315" i="56" s="1"/>
  <c r="C353" i="56"/>
  <c r="M353" i="56" s="1"/>
  <c r="C486" i="56"/>
  <c r="M486" i="56" s="1"/>
  <c r="C186" i="56"/>
  <c r="M186" i="56" s="1"/>
  <c r="C459" i="56"/>
  <c r="M459" i="56" s="1"/>
  <c r="C441" i="56"/>
  <c r="M441" i="56" s="1"/>
  <c r="C238" i="56"/>
  <c r="M238" i="56" s="1"/>
  <c r="C423" i="56"/>
  <c r="M423" i="56" s="1"/>
  <c r="C500" i="56"/>
  <c r="M500" i="56" s="1"/>
  <c r="C303" i="56"/>
  <c r="M303" i="56" s="1"/>
  <c r="C336" i="56"/>
  <c r="M336" i="56" s="1"/>
  <c r="C382" i="56"/>
  <c r="M382" i="56" s="1"/>
  <c r="C465" i="56"/>
  <c r="M465" i="56" s="1"/>
  <c r="C400" i="56"/>
  <c r="M400" i="56" s="1"/>
  <c r="C335" i="56"/>
  <c r="C359" i="56"/>
  <c r="C176" i="56"/>
  <c r="M176" i="56" s="1"/>
  <c r="C443" i="56"/>
  <c r="C436" i="56"/>
  <c r="M436" i="56" s="1"/>
  <c r="C275" i="56"/>
  <c r="C237" i="56"/>
  <c r="M237" i="56" s="1"/>
  <c r="C217" i="56"/>
  <c r="M217" i="56" s="1"/>
  <c r="C525" i="56"/>
  <c r="M525" i="56" s="1"/>
  <c r="C202" i="56"/>
  <c r="M202" i="56" s="1"/>
  <c r="C209" i="56"/>
  <c r="M209" i="56" s="1"/>
  <c r="C368" i="56"/>
  <c r="M368" i="56" s="1"/>
  <c r="C401" i="56"/>
  <c r="M401" i="56" s="1"/>
  <c r="C283" i="56"/>
  <c r="M283" i="56" s="1"/>
  <c r="C484" i="56"/>
  <c r="M484" i="56" s="1"/>
  <c r="C419" i="56"/>
  <c r="C302" i="56"/>
  <c r="M302" i="56" s="1"/>
  <c r="C204" i="56"/>
  <c r="M204" i="56" s="1"/>
  <c r="C326" i="56"/>
  <c r="M326" i="56" s="1"/>
  <c r="C349" i="56"/>
  <c r="M349" i="56" s="1"/>
  <c r="C215" i="56"/>
  <c r="C462" i="56"/>
  <c r="M462" i="56" s="1"/>
  <c r="C230" i="56"/>
  <c r="M230" i="56" s="1"/>
  <c r="C495" i="56"/>
  <c r="M495" i="56" s="1"/>
  <c r="C502" i="56"/>
  <c r="M502" i="56" s="1"/>
  <c r="C304" i="56"/>
  <c r="M304" i="56" s="1"/>
  <c r="C429" i="56"/>
  <c r="M429" i="56" s="1"/>
  <c r="C172" i="56"/>
  <c r="M172" i="56" s="1"/>
  <c r="C494" i="56"/>
  <c r="M494" i="56" s="1"/>
  <c r="C216" i="56"/>
  <c r="M216" i="56" s="1"/>
  <c r="C435" i="56"/>
  <c r="M435" i="56" s="1"/>
  <c r="C305" i="56"/>
  <c r="M305" i="56" s="1"/>
  <c r="C417" i="56"/>
  <c r="M417" i="56" s="1"/>
  <c r="C402" i="56"/>
  <c r="M402" i="56" s="1"/>
  <c r="C306" i="56"/>
  <c r="M306" i="56" s="1"/>
  <c r="C278" i="56"/>
  <c r="M278" i="56" s="1"/>
  <c r="C454" i="56"/>
  <c r="M454" i="56" s="1"/>
  <c r="C212" i="56"/>
  <c r="M212" i="56" s="1"/>
  <c r="C503" i="56"/>
  <c r="C361" i="56"/>
  <c r="M361" i="56" s="1"/>
  <c r="C255" i="56"/>
  <c r="M255" i="56" s="1"/>
  <c r="C428" i="56"/>
  <c r="M428" i="56" s="1"/>
  <c r="C470" i="56"/>
  <c r="M470" i="56" s="1"/>
  <c r="C394" i="56"/>
  <c r="M394" i="56" s="1"/>
  <c r="C199" i="56"/>
  <c r="M199" i="56" s="1"/>
  <c r="C242" i="56"/>
  <c r="M242" i="56" s="1"/>
  <c r="C410" i="56"/>
  <c r="M410" i="56" s="1"/>
  <c r="C260" i="56"/>
  <c r="M260" i="56" s="1"/>
  <c r="C312" i="56"/>
  <c r="M312" i="56" s="1"/>
  <c r="C397" i="56"/>
  <c r="M397" i="56" s="1"/>
  <c r="C386" i="56"/>
  <c r="M386" i="56" s="1"/>
  <c r="C207" i="56"/>
  <c r="M207" i="56" s="1"/>
  <c r="C398" i="56"/>
  <c r="M398" i="56" s="1"/>
  <c r="C338" i="56"/>
  <c r="M338" i="56" s="1"/>
  <c r="C341" i="56"/>
  <c r="M341" i="56" s="1"/>
  <c r="C472" i="56"/>
  <c r="M472" i="56" s="1"/>
  <c r="C474" i="56"/>
  <c r="M474" i="56" s="1"/>
  <c r="C409" i="56"/>
  <c r="M409" i="56" s="1"/>
  <c r="C175" i="56"/>
  <c r="M175" i="56" s="1"/>
  <c r="C228" i="56"/>
  <c r="M228" i="56" s="1"/>
  <c r="C440" i="56"/>
  <c r="M440" i="56" s="1"/>
  <c r="C265" i="56"/>
  <c r="M265" i="56" s="1"/>
  <c r="C344" i="56"/>
  <c r="M344" i="56" s="1"/>
  <c r="C396" i="56"/>
  <c r="M396" i="56" s="1"/>
  <c r="C445" i="56"/>
  <c r="M445" i="56" s="1"/>
  <c r="C358" i="56"/>
  <c r="M358" i="56" s="1"/>
  <c r="C479" i="56"/>
  <c r="C346" i="56"/>
  <c r="M346" i="56" s="1"/>
  <c r="C248" i="56"/>
  <c r="M248" i="56" s="1"/>
  <c r="C399" i="56"/>
  <c r="M399" i="56" s="1"/>
  <c r="C468" i="56"/>
  <c r="M468" i="56" s="1"/>
  <c r="C243" i="56"/>
  <c r="M243" i="56" s="1"/>
  <c r="C414" i="56"/>
  <c r="M414" i="56" s="1"/>
  <c r="C311" i="56"/>
  <c r="C373" i="56"/>
  <c r="M373" i="56" s="1"/>
  <c r="C412" i="56"/>
  <c r="M412" i="56" s="1"/>
  <c r="C389" i="56"/>
  <c r="M389" i="56" s="1"/>
  <c r="C375" i="56"/>
  <c r="M375" i="56" s="1"/>
  <c r="C438" i="56"/>
  <c r="M438" i="56" s="1"/>
  <c r="C200" i="56"/>
  <c r="M200" i="56" s="1"/>
  <c r="C211" i="56"/>
  <c r="M211" i="56" s="1"/>
  <c r="C227" i="56"/>
  <c r="C203" i="56"/>
  <c r="C516" i="56"/>
  <c r="M516" i="56" s="1"/>
  <c r="C403" i="56"/>
  <c r="M403" i="56" s="1"/>
  <c r="C317" i="56"/>
  <c r="M317" i="56" s="1"/>
  <c r="C413" i="56"/>
  <c r="M413" i="56" s="1"/>
  <c r="C498" i="56"/>
  <c r="M498" i="56" s="1"/>
  <c r="C378" i="56"/>
  <c r="M378" i="56" s="1"/>
  <c r="C253" i="56"/>
  <c r="M253" i="56" s="1"/>
  <c r="C320" i="56"/>
  <c r="M320" i="56" s="1"/>
  <c r="C509" i="56"/>
  <c r="M509" i="56" s="1"/>
  <c r="C351" i="56"/>
  <c r="M351" i="56" s="1"/>
  <c r="C478" i="56"/>
  <c r="M478" i="56" s="1"/>
  <c r="C483" i="56"/>
  <c r="M483" i="56" s="1"/>
  <c r="C485" i="56"/>
  <c r="M485" i="56" s="1"/>
  <c r="C316" i="56"/>
  <c r="M316" i="56" s="1"/>
  <c r="C393" i="56"/>
  <c r="M393" i="56" s="1"/>
  <c r="C225" i="56"/>
  <c r="M225" i="56" s="1"/>
  <c r="C416" i="56"/>
  <c r="M416" i="56" s="1"/>
  <c r="C515" i="56"/>
  <c r="C421" i="56"/>
  <c r="M421" i="56" s="1"/>
  <c r="C369" i="56"/>
  <c r="M369" i="56" s="1"/>
  <c r="C376" i="56"/>
  <c r="M376" i="56" s="1"/>
  <c r="C439" i="56"/>
  <c r="M439" i="56" s="1"/>
  <c r="C332" i="56"/>
  <c r="M332" i="56" s="1"/>
  <c r="C239" i="56"/>
  <c r="E100" i="56"/>
  <c r="C354" i="56"/>
  <c r="M354" i="56" s="1"/>
  <c r="C299" i="56"/>
  <c r="C322" i="56"/>
  <c r="M322" i="56" s="1"/>
  <c r="F59" i="47"/>
  <c r="C520" i="56"/>
  <c r="M520" i="56" s="1"/>
  <c r="C187" i="56"/>
  <c r="M187" i="56" s="1"/>
  <c r="C526" i="56"/>
  <c r="M526" i="56" s="1"/>
  <c r="C257" i="56"/>
  <c r="M257" i="56" s="1"/>
  <c r="C383" i="56"/>
  <c r="C214" i="56"/>
  <c r="M214" i="56" s="1"/>
  <c r="C411" i="56"/>
  <c r="M411" i="56" s="1"/>
  <c r="C451" i="56"/>
  <c r="M451" i="56" s="1"/>
  <c r="C208" i="56"/>
  <c r="M208" i="56" s="1"/>
  <c r="C507" i="56"/>
  <c r="M507" i="56" s="1"/>
  <c r="C173" i="56"/>
  <c r="M173" i="56" s="1"/>
  <c r="C521" i="56"/>
  <c r="M521" i="56" s="1"/>
  <c r="C262" i="56"/>
  <c r="M262" i="56" s="1"/>
  <c r="C174" i="56"/>
  <c r="M174" i="56" s="1"/>
  <c r="C473" i="56"/>
  <c r="M473" i="56" s="1"/>
  <c r="C206" i="56"/>
  <c r="M206" i="56" s="1"/>
  <c r="C523" i="56"/>
  <c r="M523" i="56" s="1"/>
  <c r="C286" i="56"/>
  <c r="M286" i="56" s="1"/>
  <c r="C514" i="56"/>
  <c r="M514" i="56" s="1"/>
  <c r="C181" i="56"/>
  <c r="M181" i="56" s="1"/>
  <c r="C329" i="56"/>
  <c r="M329" i="56" s="1"/>
  <c r="C356" i="56"/>
  <c r="M356" i="56" s="1"/>
  <c r="C276" i="56"/>
  <c r="M276" i="56" s="1"/>
  <c r="C182" i="56"/>
  <c r="M182" i="56" s="1"/>
  <c r="C218" i="56"/>
  <c r="M218" i="56" s="1"/>
  <c r="C289" i="56"/>
  <c r="M289" i="56" s="1"/>
  <c r="C241" i="56"/>
  <c r="M241" i="56" s="1"/>
  <c r="C370" i="56"/>
  <c r="M370" i="56" s="1"/>
  <c r="C391" i="56"/>
  <c r="M391" i="56" s="1"/>
  <c r="C461" i="56"/>
  <c r="M461" i="56" s="1"/>
  <c r="C488" i="56"/>
  <c r="M488" i="56" s="1"/>
  <c r="C340" i="56"/>
  <c r="M340" i="56" s="1"/>
  <c r="C513" i="56"/>
  <c r="M513" i="56" s="1"/>
  <c r="C350" i="56"/>
  <c r="M350" i="56" s="1"/>
  <c r="C222" i="56"/>
  <c r="M222" i="56" s="1"/>
  <c r="C323" i="56"/>
  <c r="C377" i="56"/>
  <c r="M377" i="56" s="1"/>
  <c r="C365" i="56"/>
  <c r="M365" i="56" s="1"/>
  <c r="C374" i="56"/>
  <c r="M374" i="56" s="1"/>
  <c r="C499" i="56"/>
  <c r="M499" i="56" s="1"/>
  <c r="C355" i="56"/>
  <c r="M355" i="56" s="1"/>
  <c r="C434" i="56"/>
  <c r="M434" i="56" s="1"/>
  <c r="C360" i="56"/>
  <c r="M360" i="56" s="1"/>
  <c r="C518" i="56"/>
  <c r="M518" i="56" s="1"/>
  <c r="C367" i="56"/>
  <c r="M367" i="56" s="1"/>
  <c r="C194" i="56"/>
  <c r="M194" i="56" s="1"/>
  <c r="C180" i="56"/>
  <c r="M180" i="56" s="1"/>
  <c r="C490" i="56"/>
  <c r="M490" i="56" s="1"/>
  <c r="C497" i="56"/>
  <c r="M497" i="56" s="1"/>
  <c r="C224" i="56"/>
  <c r="M224" i="56" s="1"/>
  <c r="C288" i="56"/>
  <c r="M288" i="56" s="1"/>
  <c r="C437" i="56"/>
  <c r="M437" i="56" s="1"/>
  <c r="C246" i="56"/>
  <c r="M246" i="56" s="1"/>
  <c r="C357" i="56"/>
  <c r="M357" i="56" s="1"/>
  <c r="C195" i="56"/>
  <c r="M195" i="56" s="1"/>
  <c r="C291" i="56"/>
  <c r="M291" i="56" s="1"/>
  <c r="C447" i="56"/>
  <c r="M447" i="56" s="1"/>
  <c r="C333" i="56"/>
  <c r="M333" i="56" s="1"/>
  <c r="C347" i="56"/>
  <c r="C395" i="56"/>
  <c r="C491" i="56"/>
  <c r="C506" i="56"/>
  <c r="M506" i="56" s="1"/>
  <c r="C319" i="56"/>
  <c r="M319" i="56" s="1"/>
  <c r="C296" i="56"/>
  <c r="M296" i="56" s="1"/>
  <c r="C221" i="56"/>
  <c r="M221" i="56" s="1"/>
  <c r="C244" i="56"/>
  <c r="M244" i="56" s="1"/>
  <c r="C168" i="56"/>
  <c r="M168" i="56" s="1"/>
  <c r="C420" i="56"/>
  <c r="M420" i="56" s="1"/>
  <c r="C364" i="56"/>
  <c r="M364" i="56" s="1"/>
  <c r="C384" i="56"/>
  <c r="M384" i="56" s="1"/>
  <c r="C404" i="56"/>
  <c r="M404" i="56" s="1"/>
  <c r="C292" i="56"/>
  <c r="M292" i="56" s="1"/>
  <c r="C524" i="56"/>
  <c r="M524" i="56" s="1"/>
  <c r="C392" i="56"/>
  <c r="M392" i="56" s="1"/>
  <c r="C366" i="56"/>
  <c r="M366" i="56" s="1"/>
  <c r="C169" i="56"/>
  <c r="M169" i="56" s="1"/>
  <c r="C61" i="42"/>
  <c r="B43" i="47" s="1"/>
  <c r="H122" i="42"/>
  <c r="J122" i="42"/>
  <c r="K122" i="42"/>
  <c r="P122" i="42"/>
  <c r="Q122" i="42"/>
  <c r="H56" i="47"/>
  <c r="B144" i="47" s="1"/>
  <c r="L144" i="47" s="1"/>
  <c r="L166" i="56"/>
  <c r="D167" i="56"/>
  <c r="N167" i="56" s="1"/>
  <c r="J19" i="47"/>
  <c r="H54" i="47"/>
  <c r="F108" i="57"/>
  <c r="D135" i="42"/>
  <c r="D138" i="42" s="1"/>
  <c r="E105" i="42"/>
  <c r="D143" i="42" s="1"/>
  <c r="D146" i="42" s="1"/>
  <c r="I123" i="51"/>
  <c r="Q123" i="51"/>
  <c r="Y123" i="51"/>
  <c r="AG123" i="51"/>
  <c r="T123" i="51"/>
  <c r="AC123" i="51"/>
  <c r="J123" i="51"/>
  <c r="R123" i="51"/>
  <c r="Z123" i="51"/>
  <c r="AH123" i="51"/>
  <c r="L123" i="51"/>
  <c r="U123" i="51"/>
  <c r="F123" i="51"/>
  <c r="AD123" i="51"/>
  <c r="K123" i="51"/>
  <c r="S123" i="51"/>
  <c r="AA123" i="51"/>
  <c r="AB123" i="51"/>
  <c r="M123" i="51"/>
  <c r="N123" i="51"/>
  <c r="V123" i="51"/>
  <c r="G123" i="51"/>
  <c r="O123" i="51"/>
  <c r="W123" i="51"/>
  <c r="AE123" i="51"/>
  <c r="H123" i="51"/>
  <c r="P123" i="51"/>
  <c r="X123" i="51"/>
  <c r="AF123" i="51"/>
  <c r="E123" i="51"/>
  <c r="R182" i="51"/>
  <c r="AB182" i="51" s="1"/>
  <c r="M337" i="51"/>
  <c r="R190" i="51"/>
  <c r="AB190" i="51" s="1"/>
  <c r="M433" i="51"/>
  <c r="R191" i="51"/>
  <c r="AB191" i="51" s="1"/>
  <c r="M445" i="51"/>
  <c r="R173" i="51"/>
  <c r="AB173" i="51" s="1"/>
  <c r="M229" i="51"/>
  <c r="R192" i="51"/>
  <c r="AB192" i="51" s="1"/>
  <c r="M457" i="51"/>
  <c r="M361" i="51"/>
  <c r="R184" i="51"/>
  <c r="AB184" i="51" s="1"/>
  <c r="R183" i="51"/>
  <c r="AB183" i="51" s="1"/>
  <c r="M349" i="51"/>
  <c r="R179" i="51"/>
  <c r="AB179" i="51" s="1"/>
  <c r="M301" i="51"/>
  <c r="R181" i="51"/>
  <c r="AB181" i="51" s="1"/>
  <c r="M325" i="51"/>
  <c r="R188" i="51"/>
  <c r="AB188" i="51" s="1"/>
  <c r="M409" i="51"/>
  <c r="R175" i="51"/>
  <c r="AB175" i="51" s="1"/>
  <c r="M253" i="51"/>
  <c r="R186" i="51"/>
  <c r="AB186" i="51" s="1"/>
  <c r="M385" i="51"/>
  <c r="R194" i="51"/>
  <c r="AB194" i="51" s="1"/>
  <c r="M481" i="51"/>
  <c r="R168" i="51"/>
  <c r="AB168" i="51" s="1"/>
  <c r="M169" i="51"/>
  <c r="E169" i="51"/>
  <c r="D144" i="51"/>
  <c r="D147" i="51" s="1"/>
  <c r="R187" i="51"/>
  <c r="AB187" i="51" s="1"/>
  <c r="M397" i="51"/>
  <c r="R171" i="51"/>
  <c r="AB171" i="51" s="1"/>
  <c r="M205" i="51"/>
  <c r="M217" i="51"/>
  <c r="R172" i="51"/>
  <c r="AB172" i="51" s="1"/>
  <c r="R177" i="51"/>
  <c r="AB177" i="51" s="1"/>
  <c r="M277" i="51"/>
  <c r="R195" i="51"/>
  <c r="AB195" i="51" s="1"/>
  <c r="M493" i="51"/>
  <c r="M517" i="51"/>
  <c r="R197" i="51"/>
  <c r="AB197" i="51" s="1"/>
  <c r="R189" i="51"/>
  <c r="AB189" i="51" s="1"/>
  <c r="M421" i="51"/>
  <c r="M181" i="51"/>
  <c r="R169" i="51"/>
  <c r="AB169" i="51" s="1"/>
  <c r="C61" i="51"/>
  <c r="E43" i="47" s="1"/>
  <c r="E66" i="47"/>
  <c r="R176" i="51"/>
  <c r="AB176" i="51" s="1"/>
  <c r="M265" i="51"/>
  <c r="R174" i="51"/>
  <c r="AB174" i="51" s="1"/>
  <c r="M241" i="51"/>
  <c r="R193" i="51"/>
  <c r="AB193" i="51" s="1"/>
  <c r="M469" i="51"/>
  <c r="R180" i="51"/>
  <c r="AB180" i="51" s="1"/>
  <c r="M313" i="51"/>
  <c r="R196" i="51"/>
  <c r="AB196" i="51" s="1"/>
  <c r="M505" i="51"/>
  <c r="M193" i="51"/>
  <c r="R170" i="51"/>
  <c r="AB170" i="51" s="1"/>
  <c r="M373" i="51"/>
  <c r="R185" i="51"/>
  <c r="AB185" i="51" s="1"/>
  <c r="R178" i="51"/>
  <c r="AB178" i="51" s="1"/>
  <c r="M289" i="51"/>
  <c r="C208" i="53"/>
  <c r="C431" i="53"/>
  <c r="M431" i="53" s="1"/>
  <c r="C509" i="53"/>
  <c r="M509" i="53" s="1"/>
  <c r="C228" i="53"/>
  <c r="M228" i="53" s="1"/>
  <c r="C416" i="53"/>
  <c r="M416" i="53" s="1"/>
  <c r="C446" i="53"/>
  <c r="M446" i="53" s="1"/>
  <c r="C395" i="53"/>
  <c r="M395" i="53" s="1"/>
  <c r="C447" i="53"/>
  <c r="M447" i="53" s="1"/>
  <c r="C498" i="53"/>
  <c r="M498" i="53" s="1"/>
  <c r="C227" i="53"/>
  <c r="M227" i="53" s="1"/>
  <c r="C420" i="53"/>
  <c r="M420" i="53" s="1"/>
  <c r="C318" i="53"/>
  <c r="M318" i="53" s="1"/>
  <c r="C390" i="53"/>
  <c r="M390" i="53" s="1"/>
  <c r="C173" i="53"/>
  <c r="M173" i="53" s="1"/>
  <c r="C240" i="53"/>
  <c r="M240" i="53" s="1"/>
  <c r="C401" i="53"/>
  <c r="M401" i="53" s="1"/>
  <c r="C391" i="53"/>
  <c r="M391" i="53" s="1"/>
  <c r="C417" i="53"/>
  <c r="M417" i="53" s="1"/>
  <c r="C365" i="53"/>
  <c r="M365" i="53" s="1"/>
  <c r="C172" i="53"/>
  <c r="C269" i="53"/>
  <c r="M269" i="53" s="1"/>
  <c r="C316" i="53"/>
  <c r="C475" i="53"/>
  <c r="M475" i="53" s="1"/>
  <c r="C195" i="53"/>
  <c r="M195" i="53" s="1"/>
  <c r="C436" i="53"/>
  <c r="C261" i="53"/>
  <c r="M261" i="53" s="1"/>
  <c r="C279" i="53"/>
  <c r="M279" i="53" s="1"/>
  <c r="C230" i="53"/>
  <c r="M230" i="53" s="1"/>
  <c r="C297" i="53"/>
  <c r="M297" i="53" s="1"/>
  <c r="C175" i="53"/>
  <c r="M175" i="53" s="1"/>
  <c r="C531" i="53"/>
  <c r="M531" i="53" s="1"/>
  <c r="C246" i="53"/>
  <c r="M246" i="53" s="1"/>
  <c r="C236" i="53"/>
  <c r="M236" i="53" s="1"/>
  <c r="C305" i="53"/>
  <c r="M305" i="53" s="1"/>
  <c r="C183" i="53"/>
  <c r="M183" i="53" s="1"/>
  <c r="C449" i="53"/>
  <c r="M449" i="53" s="1"/>
  <c r="C196" i="53"/>
  <c r="C484" i="53"/>
  <c r="C237" i="53"/>
  <c r="M237" i="53" s="1"/>
  <c r="C410" i="53"/>
  <c r="M410" i="53" s="1"/>
  <c r="C197" i="53"/>
  <c r="M197" i="53" s="1"/>
  <c r="C309" i="53"/>
  <c r="M309" i="53" s="1"/>
  <c r="C206" i="53"/>
  <c r="M206" i="53" s="1"/>
  <c r="C328" i="53"/>
  <c r="C355" i="53"/>
  <c r="M355" i="53" s="1"/>
  <c r="C322" i="53"/>
  <c r="M322" i="53" s="1"/>
  <c r="C287" i="53"/>
  <c r="M287" i="53" s="1"/>
  <c r="C474" i="53"/>
  <c r="M474" i="53" s="1"/>
  <c r="C411" i="53"/>
  <c r="M411" i="53" s="1"/>
  <c r="C520" i="53"/>
  <c r="C343" i="53"/>
  <c r="M343" i="53" s="1"/>
  <c r="C525" i="53"/>
  <c r="M525" i="53" s="1"/>
  <c r="C394" i="53"/>
  <c r="M394" i="53" s="1"/>
  <c r="C392" i="53"/>
  <c r="M392" i="53" s="1"/>
  <c r="C386" i="53"/>
  <c r="M386" i="53" s="1"/>
  <c r="C523" i="53"/>
  <c r="M523" i="53" s="1"/>
  <c r="C291" i="53"/>
  <c r="M291" i="53" s="1"/>
  <c r="C220" i="53"/>
  <c r="C450" i="53"/>
  <c r="M450" i="53" s="1"/>
  <c r="C256" i="53"/>
  <c r="C315" i="53"/>
  <c r="M315" i="53" s="1"/>
  <c r="C435" i="53"/>
  <c r="M435" i="53" s="1"/>
  <c r="C327" i="53"/>
  <c r="M327" i="53" s="1"/>
  <c r="C345" i="53"/>
  <c r="M345" i="53" s="1"/>
  <c r="C199" i="53"/>
  <c r="M199" i="53" s="1"/>
  <c r="C378" i="53"/>
  <c r="M378" i="53" s="1"/>
  <c r="C440" i="53"/>
  <c r="M440" i="53" s="1"/>
  <c r="C508" i="53"/>
  <c r="C376" i="53"/>
  <c r="C425" i="53"/>
  <c r="M425" i="53" s="1"/>
  <c r="C294" i="53"/>
  <c r="M294" i="53" s="1"/>
  <c r="C522" i="53"/>
  <c r="M522" i="53" s="1"/>
  <c r="C277" i="53"/>
  <c r="M277" i="53" s="1"/>
  <c r="C224" i="53"/>
  <c r="M224" i="53" s="1"/>
  <c r="C352" i="53"/>
  <c r="C264" i="53"/>
  <c r="M264" i="53" s="1"/>
  <c r="C458" i="53"/>
  <c r="M458" i="53" s="1"/>
  <c r="C262" i="53"/>
  <c r="M262" i="53" s="1"/>
  <c r="C362" i="53"/>
  <c r="M362" i="53" s="1"/>
  <c r="C333" i="53"/>
  <c r="M333" i="53" s="1"/>
  <c r="C529" i="53"/>
  <c r="M529" i="53" s="1"/>
  <c r="C422" i="53"/>
  <c r="M422" i="53" s="1"/>
  <c r="C280" i="53"/>
  <c r="C226" i="53"/>
  <c r="M226" i="53" s="1"/>
  <c r="C428" i="53"/>
  <c r="M428" i="53" s="1"/>
  <c r="C293" i="53"/>
  <c r="M293" i="53" s="1"/>
  <c r="C326" i="53"/>
  <c r="M326" i="53" s="1"/>
  <c r="C373" i="53"/>
  <c r="M373" i="53" s="1"/>
  <c r="C338" i="53"/>
  <c r="M338" i="53" s="1"/>
  <c r="C409" i="53"/>
  <c r="M409" i="53" s="1"/>
  <c r="C349" i="53"/>
  <c r="M349" i="53" s="1"/>
  <c r="C311" i="53"/>
  <c r="M311" i="53" s="1"/>
  <c r="C347" i="53"/>
  <c r="M347" i="53" s="1"/>
  <c r="C407" i="53"/>
  <c r="M407" i="53" s="1"/>
  <c r="C393" i="53"/>
  <c r="M393" i="53" s="1"/>
  <c r="C506" i="53"/>
  <c r="M506" i="53" s="1"/>
  <c r="C289" i="53"/>
  <c r="M289" i="53" s="1"/>
  <c r="C313" i="53"/>
  <c r="M313" i="53" s="1"/>
  <c r="C272" i="53"/>
  <c r="M272" i="53" s="1"/>
  <c r="C429" i="53"/>
  <c r="M429" i="53" s="1"/>
  <c r="C421" i="53"/>
  <c r="M421" i="53" s="1"/>
  <c r="C528" i="53"/>
  <c r="M528" i="53" s="1"/>
  <c r="C370" i="53"/>
  <c r="M370" i="53" s="1"/>
  <c r="C232" i="53"/>
  <c r="C253" i="53"/>
  <c r="M253" i="53" s="1"/>
  <c r="C306" i="53"/>
  <c r="M306" i="53" s="1"/>
  <c r="C495" i="53"/>
  <c r="M495" i="53" s="1"/>
  <c r="C463" i="53"/>
  <c r="M463" i="53" s="1"/>
  <c r="C354" i="53"/>
  <c r="M354" i="53" s="1"/>
  <c r="C489" i="53"/>
  <c r="M489" i="53" s="1"/>
  <c r="C250" i="53"/>
  <c r="M250" i="53" s="1"/>
  <c r="C516" i="53"/>
  <c r="M516" i="53" s="1"/>
  <c r="C211" i="53"/>
  <c r="M211" i="53" s="1"/>
  <c r="C215" i="53"/>
  <c r="M215" i="53" s="1"/>
  <c r="C397" i="53"/>
  <c r="M397" i="53" s="1"/>
  <c r="C288" i="53"/>
  <c r="M288" i="53" s="1"/>
  <c r="C361" i="53"/>
  <c r="M361" i="53" s="1"/>
  <c r="C266" i="53"/>
  <c r="M266" i="53" s="1"/>
  <c r="C487" i="53"/>
  <c r="M487" i="53" s="1"/>
  <c r="C198" i="53"/>
  <c r="M198" i="53" s="1"/>
  <c r="C387" i="53"/>
  <c r="M387" i="53" s="1"/>
  <c r="C205" i="53"/>
  <c r="M205" i="53" s="1"/>
  <c r="C239" i="53"/>
  <c r="M239" i="53" s="1"/>
  <c r="C517" i="53"/>
  <c r="M517" i="53" s="1"/>
  <c r="C408" i="53"/>
  <c r="M408" i="53" s="1"/>
  <c r="C456" i="53"/>
  <c r="M456" i="53" s="1"/>
  <c r="C317" i="53"/>
  <c r="M317" i="53" s="1"/>
  <c r="C359" i="53"/>
  <c r="M359" i="53" s="1"/>
  <c r="C304" i="53"/>
  <c r="C258" i="53"/>
  <c r="M258" i="53" s="1"/>
  <c r="C490" i="53"/>
  <c r="M490" i="53" s="1"/>
  <c r="C299" i="53"/>
  <c r="M299" i="53" s="1"/>
  <c r="C324" i="53"/>
  <c r="M324" i="53" s="1"/>
  <c r="C433" i="53"/>
  <c r="M433" i="53" s="1"/>
  <c r="C283" i="53"/>
  <c r="M283" i="53" s="1"/>
  <c r="C494" i="53"/>
  <c r="M494" i="53" s="1"/>
  <c r="C235" i="53"/>
  <c r="M235" i="53" s="1"/>
  <c r="C212" i="53"/>
  <c r="M212" i="53" s="1"/>
  <c r="C321" i="53"/>
  <c r="M321" i="53" s="1"/>
  <c r="C499" i="53"/>
  <c r="M499" i="53" s="1"/>
  <c r="C414" i="53"/>
  <c r="M414" i="53" s="1"/>
  <c r="C485" i="53"/>
  <c r="M485" i="53" s="1"/>
  <c r="C406" i="53"/>
  <c r="M406" i="53" s="1"/>
  <c r="C448" i="53"/>
  <c r="C486" i="53"/>
  <c r="M486" i="53" s="1"/>
  <c r="C442" i="53"/>
  <c r="M442" i="53" s="1"/>
  <c r="C465" i="53"/>
  <c r="M465" i="53" s="1"/>
  <c r="C413" i="53"/>
  <c r="M413" i="53" s="1"/>
  <c r="C504" i="53"/>
  <c r="M504" i="53" s="1"/>
  <c r="C285" i="53"/>
  <c r="M285" i="53" s="1"/>
  <c r="C331" i="53"/>
  <c r="M331" i="53" s="1"/>
  <c r="C384" i="53"/>
  <c r="M384" i="53" s="1"/>
  <c r="C281" i="53"/>
  <c r="M281" i="53" s="1"/>
  <c r="C519" i="53"/>
  <c r="M519" i="53" s="1"/>
  <c r="C210" i="53"/>
  <c r="M210" i="53" s="1"/>
  <c r="C496" i="53"/>
  <c r="C364" i="53"/>
  <c r="C278" i="53"/>
  <c r="M278" i="53" s="1"/>
  <c r="C369" i="53"/>
  <c r="M369" i="53" s="1"/>
  <c r="C290" i="53"/>
  <c r="M290" i="53" s="1"/>
  <c r="C400" i="53"/>
  <c r="C263" i="53"/>
  <c r="M263" i="53" s="1"/>
  <c r="C371" i="53"/>
  <c r="M371" i="53" s="1"/>
  <c r="C389" i="53"/>
  <c r="M389" i="53" s="1"/>
  <c r="C243" i="53"/>
  <c r="M243" i="53" s="1"/>
  <c r="C267" i="53"/>
  <c r="M267" i="53" s="1"/>
  <c r="C518" i="53"/>
  <c r="M518" i="53" s="1"/>
  <c r="C209" i="53"/>
  <c r="M209" i="53" s="1"/>
  <c r="C190" i="53"/>
  <c r="M190" i="53" s="1"/>
  <c r="E105" i="53"/>
  <c r="C332" i="53"/>
  <c r="M332" i="53" s="1"/>
  <c r="C233" i="53"/>
  <c r="M233" i="53" s="1"/>
  <c r="C396" i="53"/>
  <c r="M396" i="53" s="1"/>
  <c r="C330" i="53"/>
  <c r="M330" i="53" s="1"/>
  <c r="C426" i="53"/>
  <c r="M426" i="53" s="1"/>
  <c r="C501" i="53"/>
  <c r="M501" i="53" s="1"/>
  <c r="C415" i="53"/>
  <c r="M415" i="53" s="1"/>
  <c r="C245" i="53"/>
  <c r="M245" i="53" s="1"/>
  <c r="C473" i="53"/>
  <c r="M473" i="53" s="1"/>
  <c r="C468" i="53"/>
  <c r="M468" i="53" s="1"/>
  <c r="C472" i="53"/>
  <c r="C445" i="53"/>
  <c r="M445" i="53" s="1"/>
  <c r="C271" i="53"/>
  <c r="M271" i="53" s="1"/>
  <c r="C192" i="53"/>
  <c r="M192" i="53" s="1"/>
  <c r="C191" i="53"/>
  <c r="M191" i="53" s="1"/>
  <c r="C257" i="53"/>
  <c r="M257" i="53" s="1"/>
  <c r="C177" i="53"/>
  <c r="M177" i="53" s="1"/>
  <c r="C430" i="53"/>
  <c r="M430" i="53" s="1"/>
  <c r="C300" i="53"/>
  <c r="M300" i="53" s="1"/>
  <c r="C423" i="53"/>
  <c r="M423" i="53" s="1"/>
  <c r="C222" i="53"/>
  <c r="M222" i="53" s="1"/>
  <c r="C358" i="53"/>
  <c r="M358" i="53" s="1"/>
  <c r="C452" i="53"/>
  <c r="M452" i="53" s="1"/>
  <c r="C234" i="53"/>
  <c r="M234" i="53" s="1"/>
  <c r="C469" i="53"/>
  <c r="M469" i="53" s="1"/>
  <c r="C470" i="53"/>
  <c r="M470" i="53" s="1"/>
  <c r="C223" i="53"/>
  <c r="M223" i="53" s="1"/>
  <c r="C339" i="53"/>
  <c r="M339" i="53" s="1"/>
  <c r="C467" i="53"/>
  <c r="M467" i="53" s="1"/>
  <c r="C242" i="53"/>
  <c r="M242" i="53" s="1"/>
  <c r="C241" i="53"/>
  <c r="M241" i="53" s="1"/>
  <c r="C444" i="53"/>
  <c r="M444" i="53" s="1"/>
  <c r="C466" i="53"/>
  <c r="M466" i="53" s="1"/>
  <c r="C187" i="53"/>
  <c r="M187" i="53" s="1"/>
  <c r="C412" i="53"/>
  <c r="C503" i="53"/>
  <c r="M503" i="53" s="1"/>
  <c r="C457" i="53"/>
  <c r="M457" i="53" s="1"/>
  <c r="C513" i="53"/>
  <c r="M513" i="53" s="1"/>
  <c r="C500" i="53"/>
  <c r="M500" i="53" s="1"/>
  <c r="C202" i="53"/>
  <c r="M202" i="53" s="1"/>
  <c r="C303" i="53"/>
  <c r="M303" i="53" s="1"/>
  <c r="C298" i="53"/>
  <c r="M298" i="53" s="1"/>
  <c r="C217" i="53"/>
  <c r="M217" i="53" s="1"/>
  <c r="C363" i="53"/>
  <c r="M363" i="53" s="1"/>
  <c r="C492" i="53"/>
  <c r="M492" i="53" s="1"/>
  <c r="C275" i="53"/>
  <c r="M275" i="53" s="1"/>
  <c r="C178" i="53"/>
  <c r="M178" i="53" s="1"/>
  <c r="C193" i="53"/>
  <c r="M193" i="53" s="1"/>
  <c r="C402" i="53"/>
  <c r="M402" i="53" s="1"/>
  <c r="C510" i="53"/>
  <c r="M510" i="53" s="1"/>
  <c r="C214" i="53"/>
  <c r="M214" i="53" s="1"/>
  <c r="C368" i="53"/>
  <c r="M368" i="53" s="1"/>
  <c r="C296" i="53"/>
  <c r="M296" i="53" s="1"/>
  <c r="C201" i="53"/>
  <c r="M201" i="53" s="1"/>
  <c r="C182" i="53"/>
  <c r="M182" i="53" s="1"/>
  <c r="C251" i="53"/>
  <c r="M251" i="53" s="1"/>
  <c r="C480" i="53"/>
  <c r="M480" i="53" s="1"/>
  <c r="C441" i="53"/>
  <c r="M441" i="53" s="1"/>
  <c r="C308" i="53"/>
  <c r="M308" i="53" s="1"/>
  <c r="C319" i="53"/>
  <c r="M319" i="53" s="1"/>
  <c r="C434" i="53"/>
  <c r="M434" i="53" s="1"/>
  <c r="D59" i="47"/>
  <c r="H59" i="47" s="1"/>
  <c r="C162" i="47" s="1"/>
  <c r="M162" i="47" s="1"/>
  <c r="C274" i="53"/>
  <c r="M274" i="53" s="1"/>
  <c r="C181" i="53"/>
  <c r="M181" i="53" s="1"/>
  <c r="C491" i="53"/>
  <c r="M491" i="53" s="1"/>
  <c r="C270" i="53"/>
  <c r="M270" i="53" s="1"/>
  <c r="C481" i="53"/>
  <c r="M481" i="53" s="1"/>
  <c r="C238" i="53"/>
  <c r="M238" i="53" s="1"/>
  <c r="C418" i="53"/>
  <c r="M418" i="53" s="1"/>
  <c r="C268" i="53"/>
  <c r="C438" i="53"/>
  <c r="M438" i="53" s="1"/>
  <c r="C493" i="53"/>
  <c r="M493" i="53" s="1"/>
  <c r="C348" i="53"/>
  <c r="M348" i="53" s="1"/>
  <c r="C432" i="53"/>
  <c r="M432" i="53" s="1"/>
  <c r="C460" i="53"/>
  <c r="C374" i="53"/>
  <c r="M374" i="53" s="1"/>
  <c r="C451" i="53"/>
  <c r="M451" i="53" s="1"/>
  <c r="C471" i="53"/>
  <c r="M471" i="53" s="1"/>
  <c r="C497" i="53"/>
  <c r="M497" i="53" s="1"/>
  <c r="C382" i="53"/>
  <c r="M382" i="53" s="1"/>
  <c r="C482" i="53"/>
  <c r="M482" i="53" s="1"/>
  <c r="C216" i="53"/>
  <c r="M216" i="53" s="1"/>
  <c r="C377" i="53"/>
  <c r="M377" i="53" s="1"/>
  <c r="C194" i="53"/>
  <c r="M194" i="53" s="1"/>
  <c r="C341" i="53"/>
  <c r="M341" i="53" s="1"/>
  <c r="C530" i="53"/>
  <c r="M530" i="53" s="1"/>
  <c r="C478" i="53"/>
  <c r="M478" i="53" s="1"/>
  <c r="C252" i="53"/>
  <c r="M252" i="53" s="1"/>
  <c r="C403" i="53"/>
  <c r="M403" i="53" s="1"/>
  <c r="C515" i="53"/>
  <c r="M515" i="53" s="1"/>
  <c r="C284" i="53"/>
  <c r="M284" i="53" s="1"/>
  <c r="C388" i="53"/>
  <c r="C207" i="53"/>
  <c r="M207" i="53" s="1"/>
  <c r="C295" i="53"/>
  <c r="M295" i="53" s="1"/>
  <c r="C334" i="53"/>
  <c r="M334" i="53" s="1"/>
  <c r="C174" i="53"/>
  <c r="M174" i="53" s="1"/>
  <c r="C483" i="53"/>
  <c r="M483" i="53" s="1"/>
  <c r="C454" i="53"/>
  <c r="M454" i="53" s="1"/>
  <c r="C399" i="53"/>
  <c r="M399" i="53" s="1"/>
  <c r="C219" i="53"/>
  <c r="M219" i="53" s="1"/>
  <c r="C477" i="53"/>
  <c r="M477" i="53" s="1"/>
  <c r="C344" i="53"/>
  <c r="M344" i="53" s="1"/>
  <c r="C248" i="53"/>
  <c r="M248" i="53" s="1"/>
  <c r="C176" i="53"/>
  <c r="M176" i="53" s="1"/>
  <c r="C184" i="53"/>
  <c r="C372" i="53"/>
  <c r="M372" i="53" s="1"/>
  <c r="C476" i="53"/>
  <c r="M476" i="53" s="1"/>
  <c r="C188" i="53"/>
  <c r="M188" i="53" s="1"/>
  <c r="C307" i="53"/>
  <c r="M307" i="53" s="1"/>
  <c r="C379" i="53"/>
  <c r="M379" i="53" s="1"/>
  <c r="C225" i="53"/>
  <c r="M225" i="53" s="1"/>
  <c r="C367" i="53"/>
  <c r="M367" i="53" s="1"/>
  <c r="C337" i="53"/>
  <c r="M337" i="53" s="1"/>
  <c r="C244" i="53"/>
  <c r="C461" i="53"/>
  <c r="M461" i="53" s="1"/>
  <c r="C336" i="53"/>
  <c r="M336" i="53" s="1"/>
  <c r="C404" i="53"/>
  <c r="M404" i="53" s="1"/>
  <c r="C507" i="53"/>
  <c r="M507" i="53" s="1"/>
  <c r="C459" i="53"/>
  <c r="M459" i="53" s="1"/>
  <c r="C286" i="53"/>
  <c r="M286" i="53" s="1"/>
  <c r="C437" i="53"/>
  <c r="M437" i="53" s="1"/>
  <c r="C301" i="53"/>
  <c r="M301" i="53" s="1"/>
  <c r="C221" i="53"/>
  <c r="M221" i="53" s="1"/>
  <c r="C351" i="53"/>
  <c r="M351" i="53" s="1"/>
  <c r="C189" i="53"/>
  <c r="M189" i="53" s="1"/>
  <c r="C524" i="53"/>
  <c r="M524" i="53" s="1"/>
  <c r="C381" i="53"/>
  <c r="M381" i="53" s="1"/>
  <c r="C502" i="53"/>
  <c r="M502" i="53" s="1"/>
  <c r="C385" i="53"/>
  <c r="M385" i="53" s="1"/>
  <c r="C427" i="53"/>
  <c r="M427" i="53" s="1"/>
  <c r="C479" i="53"/>
  <c r="M479" i="53" s="1"/>
  <c r="C383" i="53"/>
  <c r="M383" i="53" s="1"/>
  <c r="C521" i="53"/>
  <c r="M521" i="53" s="1"/>
  <c r="C340" i="53"/>
  <c r="C443" i="53"/>
  <c r="M443" i="53" s="1"/>
  <c r="C292" i="53"/>
  <c r="C218" i="53"/>
  <c r="M218" i="53" s="1"/>
  <c r="C419" i="53"/>
  <c r="M419" i="53" s="1"/>
  <c r="C180" i="53"/>
  <c r="M180" i="53" s="1"/>
  <c r="C366" i="53"/>
  <c r="M366" i="53" s="1"/>
  <c r="C231" i="53"/>
  <c r="M231" i="53" s="1"/>
  <c r="C213" i="53"/>
  <c r="M213" i="53" s="1"/>
  <c r="C329" i="53"/>
  <c r="M329" i="53" s="1"/>
  <c r="C488" i="53"/>
  <c r="M488" i="53" s="1"/>
  <c r="C462" i="53"/>
  <c r="M462" i="53" s="1"/>
  <c r="C203" i="53"/>
  <c r="M203" i="53" s="1"/>
  <c r="C398" i="53"/>
  <c r="M398" i="53" s="1"/>
  <c r="C200" i="53"/>
  <c r="M200" i="53" s="1"/>
  <c r="C424" i="53"/>
  <c r="C439" i="53"/>
  <c r="M439" i="53" s="1"/>
  <c r="C380" i="53"/>
  <c r="M380" i="53" s="1"/>
  <c r="C360" i="53"/>
  <c r="M360" i="53" s="1"/>
  <c r="C247" i="53"/>
  <c r="M247" i="53" s="1"/>
  <c r="C229" i="53"/>
  <c r="M229" i="53" s="1"/>
  <c r="C356" i="53"/>
  <c r="M356" i="53" s="1"/>
  <c r="C342" i="53"/>
  <c r="M342" i="53" s="1"/>
  <c r="C511" i="53"/>
  <c r="M511" i="53" s="1"/>
  <c r="C527" i="53"/>
  <c r="M527" i="53" s="1"/>
  <c r="C323" i="53"/>
  <c r="M323" i="53" s="1"/>
  <c r="C512" i="53"/>
  <c r="M512" i="53" s="1"/>
  <c r="C186" i="53"/>
  <c r="M186" i="53" s="1"/>
  <c r="C276" i="53"/>
  <c r="M276" i="53" s="1"/>
  <c r="C260" i="53"/>
  <c r="M260" i="53" s="1"/>
  <c r="C185" i="53"/>
  <c r="M185" i="53" s="1"/>
  <c r="C453" i="53"/>
  <c r="M453" i="53" s="1"/>
  <c r="C314" i="53"/>
  <c r="M314" i="53" s="1"/>
  <c r="C325" i="53"/>
  <c r="M325" i="53" s="1"/>
  <c r="C255" i="53"/>
  <c r="M255" i="53" s="1"/>
  <c r="C204" i="53"/>
  <c r="M204" i="53" s="1"/>
  <c r="C357" i="53"/>
  <c r="M357" i="53" s="1"/>
  <c r="C405" i="53"/>
  <c r="M405" i="53" s="1"/>
  <c r="C335" i="53"/>
  <c r="M335" i="53" s="1"/>
  <c r="C254" i="53"/>
  <c r="M254" i="53" s="1"/>
  <c r="C265" i="53"/>
  <c r="M265" i="53" s="1"/>
  <c r="C375" i="53"/>
  <c r="M375" i="53" s="1"/>
  <c r="C249" i="53"/>
  <c r="M249" i="53" s="1"/>
  <c r="C505" i="53"/>
  <c r="M505" i="53" s="1"/>
  <c r="C310" i="53"/>
  <c r="M310" i="53" s="1"/>
  <c r="C526" i="53"/>
  <c r="M526" i="53" s="1"/>
  <c r="C514" i="53"/>
  <c r="M514" i="53" s="1"/>
  <c r="C455" i="53"/>
  <c r="M455" i="53" s="1"/>
  <c r="C320" i="53"/>
  <c r="M320" i="53" s="1"/>
  <c r="C346" i="53"/>
  <c r="M346" i="53" s="1"/>
  <c r="C350" i="53"/>
  <c r="M350" i="53" s="1"/>
  <c r="C179" i="53"/>
  <c r="M179" i="53" s="1"/>
  <c r="C312" i="53"/>
  <c r="M312" i="53" s="1"/>
  <c r="C282" i="53"/>
  <c r="M282" i="53" s="1"/>
  <c r="C353" i="53"/>
  <c r="M353" i="53" s="1"/>
  <c r="C259" i="53"/>
  <c r="M259" i="53" s="1"/>
  <c r="C464" i="53"/>
  <c r="M464" i="53" s="1"/>
  <c r="C273" i="53"/>
  <c r="M273" i="53" s="1"/>
  <c r="C302" i="53"/>
  <c r="M302" i="53" s="1"/>
  <c r="E108" i="53"/>
  <c r="D37" i="47"/>
  <c r="R186" i="42"/>
  <c r="AB186" i="42" s="1"/>
  <c r="R176" i="42"/>
  <c r="AB176" i="42" s="1"/>
  <c r="R194" i="42"/>
  <c r="AB194" i="42" s="1"/>
  <c r="R195" i="42"/>
  <c r="AB195" i="42" s="1"/>
  <c r="R181" i="42"/>
  <c r="AB181" i="42" s="1"/>
  <c r="R168" i="42"/>
  <c r="AB168" i="42" s="1"/>
  <c r="R177" i="42"/>
  <c r="AB177" i="42" s="1"/>
  <c r="R189" i="42"/>
  <c r="AB189" i="42" s="1"/>
  <c r="R184" i="42"/>
  <c r="AB184" i="42" s="1"/>
  <c r="R167" i="42"/>
  <c r="AB167" i="42" s="1"/>
  <c r="E168" i="42"/>
  <c r="O168" i="42" s="1"/>
  <c r="R192" i="42"/>
  <c r="AB192" i="42" s="1"/>
  <c r="R183" i="42"/>
  <c r="AB183" i="42" s="1"/>
  <c r="R174" i="42"/>
  <c r="AB174" i="42" s="1"/>
  <c r="R185" i="42"/>
  <c r="AB185" i="42" s="1"/>
  <c r="R187" i="42"/>
  <c r="AB187" i="42" s="1"/>
  <c r="R179" i="42"/>
  <c r="AB179" i="42" s="1"/>
  <c r="R182" i="42"/>
  <c r="AB182" i="42" s="1"/>
  <c r="R191" i="42"/>
  <c r="AB191" i="42" s="1"/>
  <c r="R173" i="42"/>
  <c r="AB173" i="42" s="1"/>
  <c r="R175" i="42"/>
  <c r="AB175" i="42" s="1"/>
  <c r="R180" i="42"/>
  <c r="AB180" i="42" s="1"/>
  <c r="R171" i="42"/>
  <c r="AB171" i="42" s="1"/>
  <c r="R169" i="42"/>
  <c r="AB169" i="42" s="1"/>
  <c r="R178" i="42"/>
  <c r="AB178" i="42" s="1"/>
  <c r="R172" i="42"/>
  <c r="AB172" i="42" s="1"/>
  <c r="R170" i="42"/>
  <c r="AB170" i="42" s="1"/>
  <c r="R188" i="42"/>
  <c r="AB188" i="42" s="1"/>
  <c r="R196" i="42"/>
  <c r="AB196" i="42" s="1"/>
  <c r="R190" i="42"/>
  <c r="AB190" i="42" s="1"/>
  <c r="R193" i="42"/>
  <c r="AB193" i="42" s="1"/>
  <c r="F114" i="51"/>
  <c r="E111" i="55"/>
  <c r="E112" i="56"/>
  <c r="D55" i="56"/>
  <c r="C89" i="47"/>
  <c r="D142" i="53"/>
  <c r="G110" i="55"/>
  <c r="G114" i="55"/>
  <c r="G109" i="55"/>
  <c r="F112" i="56"/>
  <c r="I106" i="55"/>
  <c r="H108" i="55"/>
  <c r="G111" i="57"/>
  <c r="G106" i="57"/>
  <c r="G107" i="57"/>
  <c r="F111" i="55"/>
  <c r="N103" i="57"/>
  <c r="D137" i="56"/>
  <c r="I104" i="57"/>
  <c r="H105" i="57"/>
  <c r="D142" i="56"/>
  <c r="D145" i="56" s="1"/>
  <c r="C39" i="47"/>
  <c r="C62" i="55"/>
  <c r="C57" i="55"/>
  <c r="C42" i="47" s="1"/>
  <c r="E112" i="42"/>
  <c r="E113" i="42"/>
  <c r="F111" i="42"/>
  <c r="G109" i="42"/>
  <c r="E55" i="42"/>
  <c r="J173" i="53"/>
  <c r="G44" i="47"/>
  <c r="C57" i="57"/>
  <c r="G45" i="47" s="1"/>
  <c r="I107" i="56"/>
  <c r="H109" i="56"/>
  <c r="D141" i="55"/>
  <c r="D144" i="55" s="1"/>
  <c r="L115" i="42"/>
  <c r="G113" i="53"/>
  <c r="G114" i="53" s="1"/>
  <c r="D82" i="47"/>
  <c r="G170" i="51"/>
  <c r="H112" i="53"/>
  <c r="E57" i="51"/>
  <c r="E37" i="47"/>
  <c r="N167" i="57"/>
  <c r="J167" i="57"/>
  <c r="C61" i="57"/>
  <c r="G47" i="47"/>
  <c r="J167" i="55"/>
  <c r="C67" i="53"/>
  <c r="D39" i="47"/>
  <c r="C62" i="53"/>
  <c r="D42" i="47" s="1"/>
  <c r="O166" i="55"/>
  <c r="B166" i="55"/>
  <c r="C43" i="47"/>
  <c r="C59" i="55"/>
  <c r="L110" i="42"/>
  <c r="E167" i="57"/>
  <c r="J168" i="56"/>
  <c r="I109" i="57"/>
  <c r="G117" i="51"/>
  <c r="G113" i="51"/>
  <c r="G112" i="51"/>
  <c r="I109" i="51"/>
  <c r="H111" i="51"/>
  <c r="J169" i="42"/>
  <c r="I145" i="47"/>
  <c r="G110" i="56"/>
  <c r="G115" i="56"/>
  <c r="G111" i="56"/>
  <c r="E115" i="53"/>
  <c r="E116" i="53"/>
  <c r="C83" i="47"/>
  <c r="I112" i="55"/>
  <c r="F87" i="47"/>
  <c r="D89" i="47"/>
  <c r="F114" i="53"/>
  <c r="D136" i="55"/>
  <c r="H65" i="47" l="1"/>
  <c r="R195" i="56"/>
  <c r="AB195" i="56" s="1"/>
  <c r="M515" i="56"/>
  <c r="R170" i="56"/>
  <c r="AB170" i="56" s="1"/>
  <c r="M215" i="56"/>
  <c r="M395" i="56"/>
  <c r="R185" i="56"/>
  <c r="AB185" i="56" s="1"/>
  <c r="Q121" i="56"/>
  <c r="P121" i="56"/>
  <c r="K121" i="56"/>
  <c r="J121" i="56"/>
  <c r="AH121" i="56"/>
  <c r="N121" i="56"/>
  <c r="M121" i="56"/>
  <c r="L121" i="56"/>
  <c r="G121" i="56"/>
  <c r="F121" i="56"/>
  <c r="I121" i="56"/>
  <c r="H121" i="56"/>
  <c r="X121" i="56"/>
  <c r="T121" i="56"/>
  <c r="E121" i="56"/>
  <c r="AE121" i="56"/>
  <c r="AD121" i="56"/>
  <c r="C59" i="56"/>
  <c r="F43" i="47" s="1"/>
  <c r="AB121" i="56"/>
  <c r="R121" i="56"/>
  <c r="O121" i="56"/>
  <c r="AG121" i="56"/>
  <c r="AF121" i="56"/>
  <c r="AA121" i="56"/>
  <c r="Z121" i="56"/>
  <c r="F66" i="47"/>
  <c r="AC121" i="56"/>
  <c r="W121" i="56"/>
  <c r="V121" i="56"/>
  <c r="Y121" i="56"/>
  <c r="S121" i="56"/>
  <c r="U121" i="56"/>
  <c r="C60" i="56"/>
  <c r="F44" i="47" s="1"/>
  <c r="R181" i="56"/>
  <c r="AB181" i="56" s="1"/>
  <c r="M347" i="56"/>
  <c r="M239" i="56"/>
  <c r="R172" i="56"/>
  <c r="AB172" i="56" s="1"/>
  <c r="R169" i="56"/>
  <c r="AB169" i="56" s="1"/>
  <c r="M203" i="56"/>
  <c r="M479" i="56"/>
  <c r="R192" i="56"/>
  <c r="AB192" i="56" s="1"/>
  <c r="M455" i="56"/>
  <c r="R190" i="56"/>
  <c r="AB190" i="56" s="1"/>
  <c r="M371" i="56"/>
  <c r="R183" i="56"/>
  <c r="AB183" i="56" s="1"/>
  <c r="R173" i="56"/>
  <c r="AB173" i="56" s="1"/>
  <c r="M251" i="56"/>
  <c r="E167" i="56"/>
  <c r="M167" i="56"/>
  <c r="R166" i="56"/>
  <c r="AB166" i="56" s="1"/>
  <c r="R184" i="56"/>
  <c r="AB184" i="56" s="1"/>
  <c r="M383" i="56"/>
  <c r="M323" i="56"/>
  <c r="R179" i="56"/>
  <c r="AB179" i="56" s="1"/>
  <c r="R189" i="56"/>
  <c r="AB189" i="56" s="1"/>
  <c r="M443" i="56"/>
  <c r="R191" i="56"/>
  <c r="AB191" i="56" s="1"/>
  <c r="M467" i="56"/>
  <c r="R171" i="56"/>
  <c r="AB171" i="56" s="1"/>
  <c r="M227" i="56"/>
  <c r="R178" i="56"/>
  <c r="AB178" i="56" s="1"/>
  <c r="M311" i="56"/>
  <c r="M359" i="56"/>
  <c r="R182" i="56"/>
  <c r="AB182" i="56" s="1"/>
  <c r="M191" i="56"/>
  <c r="R168" i="56"/>
  <c r="AB168" i="56" s="1"/>
  <c r="M275" i="56"/>
  <c r="R175" i="56"/>
  <c r="AB175" i="56" s="1"/>
  <c r="R193" i="56"/>
  <c r="AB193" i="56" s="1"/>
  <c r="M491" i="56"/>
  <c r="M335" i="56"/>
  <c r="R180" i="56"/>
  <c r="AB180" i="56" s="1"/>
  <c r="R176" i="56"/>
  <c r="AB176" i="56" s="1"/>
  <c r="M287" i="56"/>
  <c r="M419" i="56"/>
  <c r="R187" i="56"/>
  <c r="AB187" i="56" s="1"/>
  <c r="M179" i="56"/>
  <c r="R167" i="56"/>
  <c r="AB167" i="56" s="1"/>
  <c r="R177" i="56"/>
  <c r="AB177" i="56" s="1"/>
  <c r="M299" i="56"/>
  <c r="R188" i="56"/>
  <c r="AB188" i="56" s="1"/>
  <c r="M431" i="56"/>
  <c r="R186" i="56"/>
  <c r="AB186" i="56" s="1"/>
  <c r="M407" i="56"/>
  <c r="R174" i="56"/>
  <c r="AB174" i="56" s="1"/>
  <c r="M263" i="56"/>
  <c r="M503" i="56"/>
  <c r="R194" i="56"/>
  <c r="AB194" i="56" s="1"/>
  <c r="H71" i="47"/>
  <c r="B119" i="47" s="1"/>
  <c r="B122" i="47" s="1"/>
  <c r="G108" i="57"/>
  <c r="C175" i="47"/>
  <c r="M175" i="47" s="1"/>
  <c r="C317" i="47"/>
  <c r="M317" i="47" s="1"/>
  <c r="C291" i="47"/>
  <c r="M291" i="47" s="1"/>
  <c r="C477" i="47"/>
  <c r="M477" i="47" s="1"/>
  <c r="C164" i="47"/>
  <c r="M164" i="47" s="1"/>
  <c r="C428" i="47"/>
  <c r="M428" i="47" s="1"/>
  <c r="C150" i="47"/>
  <c r="M150" i="47" s="1"/>
  <c r="C342" i="47"/>
  <c r="M342" i="47" s="1"/>
  <c r="C398" i="47"/>
  <c r="M398" i="47" s="1"/>
  <c r="C324" i="47"/>
  <c r="M324" i="47" s="1"/>
  <c r="C151" i="47"/>
  <c r="M151" i="47" s="1"/>
  <c r="C347" i="47"/>
  <c r="M347" i="47" s="1"/>
  <c r="C176" i="47"/>
  <c r="M176" i="47" s="1"/>
  <c r="C165" i="47"/>
  <c r="M165" i="47" s="1"/>
  <c r="C343" i="47"/>
  <c r="M343" i="47" s="1"/>
  <c r="C466" i="47"/>
  <c r="M466" i="47" s="1"/>
  <c r="C179" i="47"/>
  <c r="M179" i="47" s="1"/>
  <c r="C325" i="47"/>
  <c r="M325" i="47" s="1"/>
  <c r="C149" i="47"/>
  <c r="M149" i="47" s="1"/>
  <c r="C422" i="47"/>
  <c r="M422" i="47" s="1"/>
  <c r="C360" i="47"/>
  <c r="M360" i="47" s="1"/>
  <c r="C337" i="47"/>
  <c r="M337" i="47" s="1"/>
  <c r="C351" i="47"/>
  <c r="M351" i="47" s="1"/>
  <c r="C277" i="47"/>
  <c r="M277" i="47" s="1"/>
  <c r="C306" i="47"/>
  <c r="M306" i="47" s="1"/>
  <c r="C404" i="47"/>
  <c r="M404" i="47" s="1"/>
  <c r="C289" i="47"/>
  <c r="M289" i="47" s="1"/>
  <c r="C297" i="47"/>
  <c r="M297" i="47" s="1"/>
  <c r="C454" i="47"/>
  <c r="M454" i="47" s="1"/>
  <c r="C171" i="47"/>
  <c r="M171" i="47" s="1"/>
  <c r="C268" i="47"/>
  <c r="M268" i="47" s="1"/>
  <c r="C353" i="47"/>
  <c r="M353" i="47" s="1"/>
  <c r="C500" i="47"/>
  <c r="M500" i="47" s="1"/>
  <c r="C502" i="47"/>
  <c r="M502" i="47" s="1"/>
  <c r="C473" i="47"/>
  <c r="M473" i="47" s="1"/>
  <c r="C217" i="47"/>
  <c r="M217" i="47" s="1"/>
  <c r="C390" i="47"/>
  <c r="M390" i="47" s="1"/>
  <c r="C209" i="47"/>
  <c r="M209" i="47" s="1"/>
  <c r="C340" i="47"/>
  <c r="M340" i="47" s="1"/>
  <c r="C431" i="47"/>
  <c r="M431" i="47" s="1"/>
  <c r="C249" i="47"/>
  <c r="M249" i="47" s="1"/>
  <c r="C234" i="47"/>
  <c r="M234" i="47" s="1"/>
  <c r="C364" i="47"/>
  <c r="M364" i="47" s="1"/>
  <c r="C377" i="47"/>
  <c r="M377" i="47" s="1"/>
  <c r="C278" i="47"/>
  <c r="M278" i="47" s="1"/>
  <c r="C421" i="47"/>
  <c r="M421" i="47" s="1"/>
  <c r="C327" i="47"/>
  <c r="M327" i="47" s="1"/>
  <c r="C382" i="47"/>
  <c r="M382" i="47" s="1"/>
  <c r="C163" i="47"/>
  <c r="M163" i="47" s="1"/>
  <c r="C191" i="47"/>
  <c r="M191" i="47" s="1"/>
  <c r="C475" i="47"/>
  <c r="M475" i="47" s="1"/>
  <c r="C161" i="47"/>
  <c r="M161" i="47" s="1"/>
  <c r="C186" i="47"/>
  <c r="M186" i="47" s="1"/>
  <c r="C380" i="47"/>
  <c r="M380" i="47" s="1"/>
  <c r="C457" i="47"/>
  <c r="M457" i="47" s="1"/>
  <c r="C185" i="47"/>
  <c r="M185" i="47" s="1"/>
  <c r="C292" i="47"/>
  <c r="M292" i="47" s="1"/>
  <c r="C166" i="47"/>
  <c r="M166" i="47" s="1"/>
  <c r="C237" i="47"/>
  <c r="M237" i="47" s="1"/>
  <c r="C366" i="47"/>
  <c r="M366" i="47" s="1"/>
  <c r="C218" i="47"/>
  <c r="M218" i="47" s="1"/>
  <c r="C444" i="47"/>
  <c r="M444" i="47" s="1"/>
  <c r="C187" i="47"/>
  <c r="M187" i="47" s="1"/>
  <c r="C400" i="47"/>
  <c r="M400" i="47" s="1"/>
  <c r="C416" i="47"/>
  <c r="M416" i="47" s="1"/>
  <c r="O169" i="51"/>
  <c r="B169" i="51"/>
  <c r="C223" i="47"/>
  <c r="M223" i="47" s="1"/>
  <c r="C309" i="47"/>
  <c r="M309" i="47" s="1"/>
  <c r="C286" i="47"/>
  <c r="M286" i="47" s="1"/>
  <c r="C433" i="47"/>
  <c r="M433" i="47" s="1"/>
  <c r="C395" i="47"/>
  <c r="M395" i="47" s="1"/>
  <c r="C284" i="47"/>
  <c r="M284" i="47" s="1"/>
  <c r="C420" i="47"/>
  <c r="M420" i="47" s="1"/>
  <c r="C447" i="47"/>
  <c r="M447" i="47" s="1"/>
  <c r="C266" i="47"/>
  <c r="M266" i="47" s="1"/>
  <c r="C465" i="47"/>
  <c r="M465" i="47" s="1"/>
  <c r="C430" i="47"/>
  <c r="M430" i="47" s="1"/>
  <c r="C184" i="47"/>
  <c r="M184" i="47" s="1"/>
  <c r="C487" i="47"/>
  <c r="M487" i="47" s="1"/>
  <c r="C384" i="47"/>
  <c r="M384" i="47" s="1"/>
  <c r="C240" i="47"/>
  <c r="M240" i="47" s="1"/>
  <c r="C480" i="47"/>
  <c r="M480" i="47" s="1"/>
  <c r="C182" i="47"/>
  <c r="M182" i="47" s="1"/>
  <c r="C495" i="47"/>
  <c r="M495" i="47" s="1"/>
  <c r="C198" i="47"/>
  <c r="M198" i="47" s="1"/>
  <c r="C193" i="47"/>
  <c r="M193" i="47" s="1"/>
  <c r="C426" i="47"/>
  <c r="M426" i="47" s="1"/>
  <c r="C159" i="47"/>
  <c r="M159" i="47" s="1"/>
  <c r="C279" i="47"/>
  <c r="M279" i="47" s="1"/>
  <c r="C504" i="47"/>
  <c r="M504" i="47" s="1"/>
  <c r="C273" i="47"/>
  <c r="M273" i="47" s="1"/>
  <c r="C448" i="47"/>
  <c r="M448" i="47" s="1"/>
  <c r="C303" i="47"/>
  <c r="M303" i="47" s="1"/>
  <c r="C242" i="47"/>
  <c r="M242" i="47" s="1"/>
  <c r="C208" i="47"/>
  <c r="M208" i="47" s="1"/>
  <c r="C257" i="47"/>
  <c r="M257" i="47" s="1"/>
  <c r="C312" i="47"/>
  <c r="M312" i="47" s="1"/>
  <c r="C410" i="47"/>
  <c r="M410" i="47" s="1"/>
  <c r="C387" i="47"/>
  <c r="M387" i="47" s="1"/>
  <c r="C169" i="47"/>
  <c r="M169" i="47" s="1"/>
  <c r="C152" i="47"/>
  <c r="M152" i="47" s="1"/>
  <c r="C299" i="47"/>
  <c r="M299" i="47" s="1"/>
  <c r="C315" i="47"/>
  <c r="M315" i="47" s="1"/>
  <c r="C445" i="47"/>
  <c r="M445" i="47" s="1"/>
  <c r="C167" i="47"/>
  <c r="M167" i="47" s="1"/>
  <c r="C468" i="47"/>
  <c r="M468" i="47" s="1"/>
  <c r="C497" i="47"/>
  <c r="M497" i="47" s="1"/>
  <c r="C441" i="47"/>
  <c r="M441" i="47" s="1"/>
  <c r="C276" i="47"/>
  <c r="M276" i="47" s="1"/>
  <c r="C415" i="47"/>
  <c r="M415" i="47" s="1"/>
  <c r="C255" i="47"/>
  <c r="M255" i="47" s="1"/>
  <c r="C158" i="47"/>
  <c r="M158" i="47" s="1"/>
  <c r="C427" i="47"/>
  <c r="M427" i="47" s="1"/>
  <c r="C228" i="47"/>
  <c r="M228" i="47" s="1"/>
  <c r="C230" i="47"/>
  <c r="M230" i="47" s="1"/>
  <c r="C221" i="47"/>
  <c r="M221" i="47" s="1"/>
  <c r="C371" i="47"/>
  <c r="M371" i="47" s="1"/>
  <c r="C392" i="47"/>
  <c r="M392" i="47" s="1"/>
  <c r="C490" i="47"/>
  <c r="M490" i="47" s="1"/>
  <c r="C207" i="47"/>
  <c r="M207" i="47" s="1"/>
  <c r="C204" i="47"/>
  <c r="M204" i="47" s="1"/>
  <c r="C270" i="47"/>
  <c r="M270" i="47" s="1"/>
  <c r="C345" i="47"/>
  <c r="M345" i="47" s="1"/>
  <c r="C467" i="47"/>
  <c r="M467" i="47" s="1"/>
  <c r="C344" i="47"/>
  <c r="M344" i="47" s="1"/>
  <c r="C442" i="47"/>
  <c r="M442" i="47" s="1"/>
  <c r="C271" i="47"/>
  <c r="M271" i="47" s="1"/>
  <c r="C244" i="47"/>
  <c r="M244" i="47" s="1"/>
  <c r="C252" i="47"/>
  <c r="M252" i="47" s="1"/>
  <c r="C373" i="47"/>
  <c r="M373" i="47" s="1"/>
  <c r="C172" i="47"/>
  <c r="M172" i="47" s="1"/>
  <c r="C275" i="47"/>
  <c r="M275" i="47" s="1"/>
  <c r="C437" i="47"/>
  <c r="M437" i="47" s="1"/>
  <c r="C318" i="47"/>
  <c r="M318" i="47" s="1"/>
  <c r="C359" i="47"/>
  <c r="M359" i="47" s="1"/>
  <c r="C397" i="47"/>
  <c r="M397" i="47" s="1"/>
  <c r="C496" i="47"/>
  <c r="M496" i="47" s="1"/>
  <c r="C213" i="47"/>
  <c r="M213" i="47" s="1"/>
  <c r="C211" i="47"/>
  <c r="M211" i="47" s="1"/>
  <c r="C288" i="47"/>
  <c r="M288" i="47" s="1"/>
  <c r="C239" i="47"/>
  <c r="M239" i="47" s="1"/>
  <c r="C260" i="47"/>
  <c r="M260" i="47" s="1"/>
  <c r="C326" i="47"/>
  <c r="M326" i="47" s="1"/>
  <c r="C349" i="47"/>
  <c r="M349" i="47" s="1"/>
  <c r="C265" i="47"/>
  <c r="M265" i="47" s="1"/>
  <c r="C424" i="47"/>
  <c r="M424" i="47" s="1"/>
  <c r="C219" i="47"/>
  <c r="M219" i="47" s="1"/>
  <c r="C403" i="47"/>
  <c r="M403" i="47" s="1"/>
  <c r="C236" i="47"/>
  <c r="M236" i="47" s="1"/>
  <c r="C334" i="47"/>
  <c r="M334" i="47" s="1"/>
  <c r="C253" i="47"/>
  <c r="M253" i="47" s="1"/>
  <c r="C295" i="47"/>
  <c r="M295" i="47" s="1"/>
  <c r="C440" i="47"/>
  <c r="M440" i="47" s="1"/>
  <c r="C474" i="47"/>
  <c r="M474" i="47" s="1"/>
  <c r="C227" i="47"/>
  <c r="M227" i="47" s="1"/>
  <c r="C308" i="47"/>
  <c r="M308" i="47" s="1"/>
  <c r="C316" i="47"/>
  <c r="M316" i="47" s="1"/>
  <c r="C256" i="47"/>
  <c r="M256" i="47" s="1"/>
  <c r="C224" i="47"/>
  <c r="M224" i="47" s="1"/>
  <c r="C417" i="47"/>
  <c r="M417" i="47" s="1"/>
  <c r="C205" i="47"/>
  <c r="M205" i="47" s="1"/>
  <c r="C434" i="47"/>
  <c r="M434" i="47" s="1"/>
  <c r="C220" i="47"/>
  <c r="M220" i="47" s="1"/>
  <c r="C499" i="47"/>
  <c r="M499" i="47" s="1"/>
  <c r="C322" i="47"/>
  <c r="M322" i="47" s="1"/>
  <c r="C407" i="47"/>
  <c r="M407" i="47" s="1"/>
  <c r="C425" i="47"/>
  <c r="M425" i="47" s="1"/>
  <c r="C443" i="47"/>
  <c r="M443" i="47" s="1"/>
  <c r="C293" i="47"/>
  <c r="M293" i="47" s="1"/>
  <c r="C484" i="47"/>
  <c r="M484" i="47" s="1"/>
  <c r="C486" i="47"/>
  <c r="M486" i="47" s="1"/>
  <c r="C355" i="47"/>
  <c r="M355" i="47" s="1"/>
  <c r="C264" i="47"/>
  <c r="M264" i="47" s="1"/>
  <c r="C298" i="47"/>
  <c r="M298" i="47" s="1"/>
  <c r="C493" i="47"/>
  <c r="M493" i="47" s="1"/>
  <c r="C419" i="47"/>
  <c r="M419" i="47" s="1"/>
  <c r="C460" i="47"/>
  <c r="M460" i="47" s="1"/>
  <c r="C235" i="47"/>
  <c r="M235" i="47" s="1"/>
  <c r="C479" i="47"/>
  <c r="M479" i="47" s="1"/>
  <c r="C248" i="47"/>
  <c r="M248" i="47" s="1"/>
  <c r="C250" i="47"/>
  <c r="M250" i="47" s="1"/>
  <c r="C301" i="47"/>
  <c r="M301" i="47" s="1"/>
  <c r="C357" i="47"/>
  <c r="M357" i="47" s="1"/>
  <c r="C406" i="47"/>
  <c r="M406" i="47" s="1"/>
  <c r="C414" i="47"/>
  <c r="M414" i="47" s="1"/>
  <c r="C226" i="47"/>
  <c r="M226" i="47" s="1"/>
  <c r="C181" i="47"/>
  <c r="M181" i="47" s="1"/>
  <c r="C194" i="47"/>
  <c r="M194" i="47" s="1"/>
  <c r="C485" i="47"/>
  <c r="M485" i="47" s="1"/>
  <c r="C483" i="47"/>
  <c r="M483" i="47" s="1"/>
  <c r="C274" i="47"/>
  <c r="M274" i="47" s="1"/>
  <c r="C423" i="47"/>
  <c r="M423" i="47" s="1"/>
  <c r="C154" i="47"/>
  <c r="M154" i="47" s="1"/>
  <c r="C413" i="47"/>
  <c r="M413" i="47" s="1"/>
  <c r="C370" i="47"/>
  <c r="M370" i="47" s="1"/>
  <c r="C341" i="47"/>
  <c r="M341" i="47" s="1"/>
  <c r="C368" i="47"/>
  <c r="M368" i="47" s="1"/>
  <c r="C201" i="47"/>
  <c r="M201" i="47" s="1"/>
  <c r="C155" i="47"/>
  <c r="M155" i="47" s="1"/>
  <c r="C459" i="47"/>
  <c r="M459" i="47" s="1"/>
  <c r="C469" i="47"/>
  <c r="M469" i="47" s="1"/>
  <c r="C328" i="47"/>
  <c r="M328" i="47" s="1"/>
  <c r="C330" i="47"/>
  <c r="M330" i="47" s="1"/>
  <c r="C261" i="47"/>
  <c r="M261" i="47" s="1"/>
  <c r="C170" i="47"/>
  <c r="M170" i="47" s="1"/>
  <c r="C492" i="47"/>
  <c r="M492" i="47" s="1"/>
  <c r="C491" i="47"/>
  <c r="M491" i="47" s="1"/>
  <c r="C435" i="47"/>
  <c r="M435" i="47" s="1"/>
  <c r="C280" i="47"/>
  <c r="M280" i="47" s="1"/>
  <c r="C346" i="47"/>
  <c r="M346" i="47" s="1"/>
  <c r="C429" i="47"/>
  <c r="M429" i="47" s="1"/>
  <c r="C178" i="47"/>
  <c r="M178" i="47" s="1"/>
  <c r="C470" i="47"/>
  <c r="M470" i="47" s="1"/>
  <c r="C478" i="47"/>
  <c r="M478" i="47" s="1"/>
  <c r="C418" i="47"/>
  <c r="M418" i="47" s="1"/>
  <c r="C189" i="47"/>
  <c r="M189" i="47" s="1"/>
  <c r="C402" i="47"/>
  <c r="M402" i="47" s="1"/>
  <c r="C145" i="47"/>
  <c r="M145" i="47" s="1"/>
  <c r="C241" i="47"/>
  <c r="M241" i="47" s="1"/>
  <c r="C379" i="47"/>
  <c r="M379" i="47" s="1"/>
  <c r="C489" i="47"/>
  <c r="M489" i="47" s="1"/>
  <c r="C153" i="47"/>
  <c r="M153" i="47" s="1"/>
  <c r="C173" i="47"/>
  <c r="M173" i="47" s="1"/>
  <c r="C251" i="47"/>
  <c r="M251" i="47" s="1"/>
  <c r="C229" i="47"/>
  <c r="M229" i="47" s="1"/>
  <c r="C385" i="47"/>
  <c r="M385" i="47" s="1"/>
  <c r="C174" i="47"/>
  <c r="M174" i="47" s="1"/>
  <c r="M280" i="53"/>
  <c r="R180" i="53"/>
  <c r="AB180" i="53" s="1"/>
  <c r="M220" i="53"/>
  <c r="R175" i="53"/>
  <c r="AB175" i="53" s="1"/>
  <c r="M520" i="53"/>
  <c r="R200" i="53"/>
  <c r="AB200" i="53" s="1"/>
  <c r="M400" i="53"/>
  <c r="R190" i="53"/>
  <c r="AB190" i="53" s="1"/>
  <c r="M304" i="53"/>
  <c r="R182" i="53"/>
  <c r="AB182" i="53" s="1"/>
  <c r="M460" i="53"/>
  <c r="R195" i="53"/>
  <c r="AB195" i="53" s="1"/>
  <c r="M412" i="53"/>
  <c r="R191" i="53"/>
  <c r="AB191" i="53" s="1"/>
  <c r="M472" i="53"/>
  <c r="R196" i="53"/>
  <c r="AB196" i="53" s="1"/>
  <c r="M364" i="53"/>
  <c r="R187" i="53"/>
  <c r="AB187" i="53" s="1"/>
  <c r="M376" i="53"/>
  <c r="R188" i="53"/>
  <c r="AB188" i="53" s="1"/>
  <c r="M196" i="53"/>
  <c r="R173" i="53"/>
  <c r="AB173" i="53" s="1"/>
  <c r="C196" i="47"/>
  <c r="M196" i="47" s="1"/>
  <c r="C452" i="47"/>
  <c r="M452" i="47" s="1"/>
  <c r="C358" i="47"/>
  <c r="M358" i="47" s="1"/>
  <c r="C501" i="47"/>
  <c r="M501" i="47" s="1"/>
  <c r="C319" i="47"/>
  <c r="M319" i="47" s="1"/>
  <c r="C183" i="47"/>
  <c r="M183" i="47" s="1"/>
  <c r="C296" i="47"/>
  <c r="M296" i="47" s="1"/>
  <c r="C202" i="47"/>
  <c r="M202" i="47" s="1"/>
  <c r="C458" i="47"/>
  <c r="M458" i="47" s="1"/>
  <c r="C365" i="47"/>
  <c r="M365" i="47" s="1"/>
  <c r="C199" i="47"/>
  <c r="M199" i="47" s="1"/>
  <c r="C168" i="47"/>
  <c r="M168" i="47" s="1"/>
  <c r="C396" i="47"/>
  <c r="M396" i="47" s="1"/>
  <c r="C302" i="47"/>
  <c r="M302" i="47" s="1"/>
  <c r="C363" i="47"/>
  <c r="M363" i="47" s="1"/>
  <c r="C233" i="47"/>
  <c r="M233" i="47" s="1"/>
  <c r="C481" i="47"/>
  <c r="M481" i="47" s="1"/>
  <c r="C216" i="47"/>
  <c r="M216" i="47" s="1"/>
  <c r="C472" i="47"/>
  <c r="M472" i="47" s="1"/>
  <c r="C378" i="47"/>
  <c r="M378" i="47" s="1"/>
  <c r="C455" i="47"/>
  <c r="M455" i="47" s="1"/>
  <c r="C399" i="47"/>
  <c r="M399" i="47" s="1"/>
  <c r="C471" i="47"/>
  <c r="M471" i="47" s="1"/>
  <c r="C214" i="47"/>
  <c r="M214" i="47" s="1"/>
  <c r="C188" i="47"/>
  <c r="M188" i="47" s="1"/>
  <c r="C350" i="47"/>
  <c r="M350" i="47" s="1"/>
  <c r="C320" i="47"/>
  <c r="M320" i="47" s="1"/>
  <c r="C482" i="47"/>
  <c r="M482" i="47" s="1"/>
  <c r="C386" i="47"/>
  <c r="M386" i="47" s="1"/>
  <c r="C313" i="47"/>
  <c r="M313" i="47" s="1"/>
  <c r="C310" i="47"/>
  <c r="M310" i="47" s="1"/>
  <c r="C307" i="47"/>
  <c r="M307" i="47" s="1"/>
  <c r="C210" i="47"/>
  <c r="M210" i="47" s="1"/>
  <c r="C367" i="47"/>
  <c r="M367" i="47" s="1"/>
  <c r="C304" i="47"/>
  <c r="M304" i="47" s="1"/>
  <c r="C391" i="47"/>
  <c r="M391" i="47" s="1"/>
  <c r="C305" i="47"/>
  <c r="M305" i="47" s="1"/>
  <c r="C246" i="47"/>
  <c r="M246" i="47" s="1"/>
  <c r="C389" i="47"/>
  <c r="M389" i="47" s="1"/>
  <c r="C212" i="47"/>
  <c r="M212" i="47" s="1"/>
  <c r="C405" i="47"/>
  <c r="M405" i="47" s="1"/>
  <c r="C361" i="47"/>
  <c r="M361" i="47" s="1"/>
  <c r="C323" i="47"/>
  <c r="M323" i="47" s="1"/>
  <c r="C476" i="47"/>
  <c r="M476" i="47" s="1"/>
  <c r="C338" i="47"/>
  <c r="M338" i="47" s="1"/>
  <c r="M244" i="53"/>
  <c r="R177" i="53"/>
  <c r="AB177" i="53" s="1"/>
  <c r="M496" i="53"/>
  <c r="R198" i="53"/>
  <c r="AB198" i="53" s="1"/>
  <c r="M508" i="53"/>
  <c r="R199" i="53"/>
  <c r="AB199" i="53" s="1"/>
  <c r="M256" i="53"/>
  <c r="R178" i="53"/>
  <c r="AB178" i="53" s="1"/>
  <c r="M328" i="53"/>
  <c r="R184" i="53"/>
  <c r="AB184" i="53" s="1"/>
  <c r="M172" i="53"/>
  <c r="R171" i="53"/>
  <c r="AB171" i="53" s="1"/>
  <c r="E172" i="53"/>
  <c r="M184" i="53"/>
  <c r="R172" i="53"/>
  <c r="AB172" i="53" s="1"/>
  <c r="M352" i="53"/>
  <c r="R186" i="53"/>
  <c r="AB186" i="53" s="1"/>
  <c r="M292" i="53"/>
  <c r="R181" i="53"/>
  <c r="AB181" i="53" s="1"/>
  <c r="V126" i="53"/>
  <c r="AA126" i="53"/>
  <c r="Z126" i="53"/>
  <c r="Q126" i="53"/>
  <c r="AG126" i="53"/>
  <c r="N126" i="53"/>
  <c r="D66" i="47"/>
  <c r="U126" i="53"/>
  <c r="C63" i="53"/>
  <c r="Y126" i="53"/>
  <c r="J126" i="53"/>
  <c r="G126" i="53"/>
  <c r="R126" i="53"/>
  <c r="AH126" i="53"/>
  <c r="K126" i="53"/>
  <c r="T126" i="53"/>
  <c r="E126" i="53"/>
  <c r="W126" i="53"/>
  <c r="M126" i="53"/>
  <c r="AC126" i="53"/>
  <c r="P126" i="53"/>
  <c r="O126" i="53"/>
  <c r="AE126" i="53"/>
  <c r="I126" i="53"/>
  <c r="L126" i="53"/>
  <c r="F126" i="53"/>
  <c r="AF126" i="53"/>
  <c r="AD126" i="53"/>
  <c r="S126" i="53"/>
  <c r="AB126" i="53"/>
  <c r="H126" i="53"/>
  <c r="X126" i="53"/>
  <c r="M436" i="53"/>
  <c r="R193" i="53"/>
  <c r="AB193" i="53" s="1"/>
  <c r="M208" i="53"/>
  <c r="R174" i="53"/>
  <c r="AB174" i="53" s="1"/>
  <c r="D147" i="53"/>
  <c r="D150" i="53" s="1"/>
  <c r="M232" i="53"/>
  <c r="R176" i="53"/>
  <c r="AB176" i="53" s="1"/>
  <c r="C356" i="47"/>
  <c r="M356" i="47" s="1"/>
  <c r="C262" i="47"/>
  <c r="M262" i="47" s="1"/>
  <c r="C203" i="47"/>
  <c r="M203" i="47" s="1"/>
  <c r="C197" i="47"/>
  <c r="M197" i="47" s="1"/>
  <c r="C321" i="47"/>
  <c r="M321" i="47" s="1"/>
  <c r="C200" i="47"/>
  <c r="M200" i="47" s="1"/>
  <c r="C456" i="47"/>
  <c r="M456" i="47" s="1"/>
  <c r="C362" i="47"/>
  <c r="M362" i="47" s="1"/>
  <c r="C215" i="47"/>
  <c r="M215" i="47" s="1"/>
  <c r="C335" i="47"/>
  <c r="M335" i="47" s="1"/>
  <c r="C247" i="47"/>
  <c r="M247" i="47" s="1"/>
  <c r="C300" i="47"/>
  <c r="M300" i="47" s="1"/>
  <c r="C206" i="47"/>
  <c r="M206" i="47" s="1"/>
  <c r="C462" i="47"/>
  <c r="M462" i="47" s="1"/>
  <c r="C381" i="47"/>
  <c r="M381" i="47" s="1"/>
  <c r="C263" i="47"/>
  <c r="M263" i="47" s="1"/>
  <c r="C148" i="47"/>
  <c r="M148" i="47" s="1"/>
  <c r="C376" i="47"/>
  <c r="M376" i="47" s="1"/>
  <c r="C282" i="47"/>
  <c r="M282" i="47" s="1"/>
  <c r="C283" i="47"/>
  <c r="M283" i="47" s="1"/>
  <c r="C231" i="47"/>
  <c r="M231" i="47" s="1"/>
  <c r="C401" i="47"/>
  <c r="M401" i="47" s="1"/>
  <c r="C372" i="47"/>
  <c r="M372" i="47" s="1"/>
  <c r="C267" i="47"/>
  <c r="M267" i="47" s="1"/>
  <c r="H66" i="47"/>
  <c r="W98" i="47" s="1"/>
  <c r="C156" i="47"/>
  <c r="M156" i="47" s="1"/>
  <c r="C290" i="47"/>
  <c r="M290" i="47" s="1"/>
  <c r="C432" i="47"/>
  <c r="M432" i="47" s="1"/>
  <c r="C311" i="47"/>
  <c r="M311" i="47" s="1"/>
  <c r="C348" i="47"/>
  <c r="M348" i="47" s="1"/>
  <c r="C461" i="47"/>
  <c r="M461" i="47" s="1"/>
  <c r="C272" i="47"/>
  <c r="M272" i="47" s="1"/>
  <c r="C269" i="47"/>
  <c r="M269" i="47" s="1"/>
  <c r="C146" i="47"/>
  <c r="M146" i="47" s="1"/>
  <c r="C374" i="47"/>
  <c r="M374" i="47" s="1"/>
  <c r="C383" i="47"/>
  <c r="M383" i="47" s="1"/>
  <c r="C336" i="47"/>
  <c r="M336" i="47" s="1"/>
  <c r="C503" i="47"/>
  <c r="M503" i="47" s="1"/>
  <c r="C369" i="47"/>
  <c r="M369" i="47" s="1"/>
  <c r="C393" i="47"/>
  <c r="M393" i="47" s="1"/>
  <c r="C258" i="47"/>
  <c r="M258" i="47" s="1"/>
  <c r="C177" i="47"/>
  <c r="M177" i="47" s="1"/>
  <c r="C446" i="47"/>
  <c r="M446" i="47" s="1"/>
  <c r="C333" i="47"/>
  <c r="M333" i="47" s="1"/>
  <c r="M424" i="53"/>
  <c r="R192" i="53"/>
  <c r="AB192" i="53" s="1"/>
  <c r="M340" i="53"/>
  <c r="R185" i="53"/>
  <c r="AB185" i="53" s="1"/>
  <c r="M268" i="53"/>
  <c r="R179" i="53"/>
  <c r="AB179" i="53" s="1"/>
  <c r="M448" i="53"/>
  <c r="R194" i="53"/>
  <c r="AB194" i="53" s="1"/>
  <c r="C160" i="47"/>
  <c r="M160" i="47" s="1"/>
  <c r="C388" i="47"/>
  <c r="M388" i="47" s="1"/>
  <c r="C294" i="47"/>
  <c r="M294" i="47" s="1"/>
  <c r="C331" i="47"/>
  <c r="M331" i="47" s="1"/>
  <c r="C439" i="47"/>
  <c r="M439" i="47" s="1"/>
  <c r="C449" i="47"/>
  <c r="M449" i="47" s="1"/>
  <c r="C232" i="47"/>
  <c r="M232" i="47" s="1"/>
  <c r="C488" i="47"/>
  <c r="M488" i="47" s="1"/>
  <c r="C394" i="47"/>
  <c r="M394" i="47" s="1"/>
  <c r="C281" i="47"/>
  <c r="M281" i="47" s="1"/>
  <c r="C463" i="47"/>
  <c r="M463" i="47" s="1"/>
  <c r="C329" i="47"/>
  <c r="M329" i="47" s="1"/>
  <c r="C332" i="47"/>
  <c r="M332" i="47" s="1"/>
  <c r="C238" i="47"/>
  <c r="M238" i="47" s="1"/>
  <c r="C494" i="47"/>
  <c r="M494" i="47" s="1"/>
  <c r="C157" i="47"/>
  <c r="M157" i="47" s="1"/>
  <c r="C225" i="47"/>
  <c r="M225" i="47" s="1"/>
  <c r="C180" i="47"/>
  <c r="M180" i="47" s="1"/>
  <c r="C408" i="47"/>
  <c r="M408" i="47" s="1"/>
  <c r="C314" i="47"/>
  <c r="M314" i="47" s="1"/>
  <c r="C411" i="47"/>
  <c r="M411" i="47" s="1"/>
  <c r="C409" i="47"/>
  <c r="M409" i="47" s="1"/>
  <c r="C259" i="47"/>
  <c r="M259" i="47" s="1"/>
  <c r="C436" i="47"/>
  <c r="M436" i="47" s="1"/>
  <c r="C245" i="47"/>
  <c r="M245" i="47" s="1"/>
  <c r="C222" i="47"/>
  <c r="M222" i="47" s="1"/>
  <c r="C192" i="47"/>
  <c r="M192" i="47" s="1"/>
  <c r="C354" i="47"/>
  <c r="M354" i="47" s="1"/>
  <c r="C190" i="47"/>
  <c r="M190" i="47" s="1"/>
  <c r="C287" i="47"/>
  <c r="M287" i="47" s="1"/>
  <c r="C464" i="47"/>
  <c r="M464" i="47" s="1"/>
  <c r="C375" i="47"/>
  <c r="M375" i="47" s="1"/>
  <c r="C352" i="47"/>
  <c r="M352" i="47" s="1"/>
  <c r="C243" i="47"/>
  <c r="M243" i="47" s="1"/>
  <c r="C147" i="47"/>
  <c r="M147" i="47" s="1"/>
  <c r="C450" i="47"/>
  <c r="M450" i="47" s="1"/>
  <c r="C195" i="47"/>
  <c r="M195" i="47" s="1"/>
  <c r="C412" i="47"/>
  <c r="M412" i="47" s="1"/>
  <c r="C285" i="47"/>
  <c r="M285" i="47" s="1"/>
  <c r="C339" i="47"/>
  <c r="M339" i="47" s="1"/>
  <c r="C451" i="47"/>
  <c r="M451" i="47" s="1"/>
  <c r="C498" i="47"/>
  <c r="M498" i="47" s="1"/>
  <c r="C438" i="47"/>
  <c r="M438" i="47" s="1"/>
  <c r="C453" i="47"/>
  <c r="M453" i="47" s="1"/>
  <c r="C254" i="47"/>
  <c r="M254" i="47" s="1"/>
  <c r="M388" i="53"/>
  <c r="R189" i="53"/>
  <c r="AB189" i="53" s="1"/>
  <c r="M484" i="53"/>
  <c r="R197" i="53"/>
  <c r="AB197" i="53" s="1"/>
  <c r="M316" i="53"/>
  <c r="R183" i="53"/>
  <c r="AB183" i="53" s="1"/>
  <c r="B168" i="42"/>
  <c r="D169" i="42" s="1"/>
  <c r="G114" i="51"/>
  <c r="C84" i="47"/>
  <c r="C58" i="56"/>
  <c r="F42" i="47" s="1"/>
  <c r="F39" i="47"/>
  <c r="G112" i="56"/>
  <c r="C63" i="56"/>
  <c r="F47" i="47" s="1"/>
  <c r="G111" i="55"/>
  <c r="C47" i="47"/>
  <c r="C64" i="55"/>
  <c r="C65" i="55" s="1"/>
  <c r="H106" i="57"/>
  <c r="H107" i="57"/>
  <c r="H111" i="57"/>
  <c r="J106" i="55"/>
  <c r="I108" i="55"/>
  <c r="J104" i="57"/>
  <c r="I105" i="57"/>
  <c r="O103" i="57"/>
  <c r="H114" i="55"/>
  <c r="H110" i="55"/>
  <c r="H109" i="55"/>
  <c r="L168" i="42"/>
  <c r="C85" i="47"/>
  <c r="E114" i="42"/>
  <c r="E57" i="42"/>
  <c r="B37" i="47"/>
  <c r="H37" i="47" s="1"/>
  <c r="G111" i="42"/>
  <c r="H109" i="42"/>
  <c r="F81" i="47" s="1"/>
  <c r="F113" i="42"/>
  <c r="F112" i="42"/>
  <c r="E81" i="47"/>
  <c r="G115" i="53"/>
  <c r="G116" i="53"/>
  <c r="C65" i="51"/>
  <c r="C60" i="51"/>
  <c r="E42" i="47" s="1"/>
  <c r="E39" i="47"/>
  <c r="C62" i="51"/>
  <c r="E89" i="47"/>
  <c r="B167" i="57"/>
  <c r="M115" i="42"/>
  <c r="I112" i="53"/>
  <c r="H113" i="53"/>
  <c r="E82" i="47"/>
  <c r="AH110" i="57"/>
  <c r="R110" i="57"/>
  <c r="J110" i="57"/>
  <c r="W110" i="57"/>
  <c r="S110" i="57"/>
  <c r="AG110" i="57"/>
  <c r="N110" i="57"/>
  <c r="E110" i="57"/>
  <c r="E118" i="57" s="1"/>
  <c r="T110" i="57"/>
  <c r="AF110" i="57"/>
  <c r="C62" i="57"/>
  <c r="G50" i="47" s="1"/>
  <c r="P110" i="57"/>
  <c r="Q110" i="57"/>
  <c r="M110" i="57"/>
  <c r="AD110" i="57"/>
  <c r="I110" i="57"/>
  <c r="H110" i="57"/>
  <c r="Z110" i="57"/>
  <c r="AE110" i="57"/>
  <c r="K110" i="57"/>
  <c r="Y110" i="57"/>
  <c r="V110" i="57"/>
  <c r="G110" i="57"/>
  <c r="G118" i="57" s="1"/>
  <c r="AC110" i="57"/>
  <c r="AA110" i="57"/>
  <c r="AB110" i="57"/>
  <c r="O110" i="57"/>
  <c r="X110" i="57"/>
  <c r="G49" i="47"/>
  <c r="U110" i="57"/>
  <c r="F110" i="57"/>
  <c r="F118" i="57" s="1"/>
  <c r="L110" i="57"/>
  <c r="J107" i="56"/>
  <c r="I109" i="56"/>
  <c r="G169" i="42"/>
  <c r="J109" i="57"/>
  <c r="J112" i="55"/>
  <c r="G87" i="47"/>
  <c r="J145" i="47"/>
  <c r="C44" i="47"/>
  <c r="C60" i="55"/>
  <c r="C45" i="47" s="1"/>
  <c r="C69" i="53"/>
  <c r="C70" i="53" s="1"/>
  <c r="D47" i="47"/>
  <c r="I171" i="51"/>
  <c r="H111" i="56"/>
  <c r="H110" i="56"/>
  <c r="H115" i="56"/>
  <c r="H117" i="51"/>
  <c r="H113" i="51"/>
  <c r="H112" i="51"/>
  <c r="M110" i="42"/>
  <c r="G167" i="55"/>
  <c r="F115" i="53"/>
  <c r="F116" i="53"/>
  <c r="D83" i="47"/>
  <c r="D167" i="55"/>
  <c r="L166" i="55"/>
  <c r="E117" i="53"/>
  <c r="J109" i="51"/>
  <c r="I111" i="51"/>
  <c r="G168" i="56"/>
  <c r="O167" i="57"/>
  <c r="G167" i="57"/>
  <c r="G173" i="53"/>
  <c r="C61" i="56" l="1"/>
  <c r="F45" i="47" s="1"/>
  <c r="O167" i="56"/>
  <c r="B167" i="56"/>
  <c r="AE98" i="47"/>
  <c r="T98" i="47"/>
  <c r="H57" i="47"/>
  <c r="D145" i="47" s="1"/>
  <c r="N145" i="47" s="1"/>
  <c r="D170" i="51"/>
  <c r="L169" i="51"/>
  <c r="R145" i="47"/>
  <c r="AB145" i="47" s="1"/>
  <c r="R160" i="47"/>
  <c r="AB160" i="47" s="1"/>
  <c r="R150" i="47"/>
  <c r="AB150" i="47" s="1"/>
  <c r="R167" i="47"/>
  <c r="AB167" i="47" s="1"/>
  <c r="R171" i="47"/>
  <c r="AB171" i="47" s="1"/>
  <c r="P98" i="47"/>
  <c r="R152" i="47"/>
  <c r="AB152" i="47" s="1"/>
  <c r="R173" i="47"/>
  <c r="AB173" i="47" s="1"/>
  <c r="I98" i="47"/>
  <c r="AD98" i="47"/>
  <c r="Y98" i="47"/>
  <c r="AA98" i="47"/>
  <c r="AF98" i="47"/>
  <c r="R154" i="47"/>
  <c r="AB154" i="47" s="1"/>
  <c r="F98" i="47"/>
  <c r="R153" i="47"/>
  <c r="AB153" i="47" s="1"/>
  <c r="H98" i="47"/>
  <c r="R162" i="47"/>
  <c r="AB162" i="47" s="1"/>
  <c r="O172" i="53"/>
  <c r="B172" i="53"/>
  <c r="R159" i="47"/>
  <c r="AB159" i="47" s="1"/>
  <c r="D43" i="47"/>
  <c r="H43" i="47" s="1"/>
  <c r="C64" i="53"/>
  <c r="R161" i="47"/>
  <c r="AB161" i="47" s="1"/>
  <c r="AB98" i="47"/>
  <c r="Q98" i="47"/>
  <c r="R151" i="47"/>
  <c r="AB151" i="47" s="1"/>
  <c r="O98" i="47"/>
  <c r="R166" i="47"/>
  <c r="AB166" i="47" s="1"/>
  <c r="R155" i="47"/>
  <c r="AB155" i="47" s="1"/>
  <c r="R144" i="47"/>
  <c r="AB144" i="47" s="1"/>
  <c r="R170" i="47"/>
  <c r="AB170" i="47" s="1"/>
  <c r="V98" i="47"/>
  <c r="M98" i="47"/>
  <c r="Z98" i="47"/>
  <c r="R157" i="47"/>
  <c r="AB157" i="47" s="1"/>
  <c r="R146" i="47"/>
  <c r="AB146" i="47" s="1"/>
  <c r="C98" i="47"/>
  <c r="E98" i="47"/>
  <c r="AC98" i="47"/>
  <c r="U98" i="47"/>
  <c r="R149" i="47"/>
  <c r="AB149" i="47" s="1"/>
  <c r="R158" i="47"/>
  <c r="AB158" i="47" s="1"/>
  <c r="N98" i="47"/>
  <c r="R172" i="47"/>
  <c r="AB172" i="47" s="1"/>
  <c r="R148" i="47"/>
  <c r="AB148" i="47" s="1"/>
  <c r="R164" i="47"/>
  <c r="AB164" i="47" s="1"/>
  <c r="X98" i="47"/>
  <c r="R147" i="47"/>
  <c r="AB147" i="47" s="1"/>
  <c r="J98" i="47"/>
  <c r="G98" i="47"/>
  <c r="K98" i="47"/>
  <c r="D98" i="47"/>
  <c r="R156" i="47"/>
  <c r="AB156" i="47" s="1"/>
  <c r="R165" i="47"/>
  <c r="AB165" i="47" s="1"/>
  <c r="R163" i="47"/>
  <c r="AB163" i="47" s="1"/>
  <c r="R168" i="47"/>
  <c r="AB168" i="47" s="1"/>
  <c r="S98" i="47"/>
  <c r="R169" i="47"/>
  <c r="AB169" i="47" s="1"/>
  <c r="L98" i="47"/>
  <c r="R98" i="47"/>
  <c r="C65" i="56"/>
  <c r="Y114" i="56" s="1"/>
  <c r="H112" i="56"/>
  <c r="H114" i="51"/>
  <c r="F117" i="53"/>
  <c r="H111" i="55"/>
  <c r="F89" i="47"/>
  <c r="I110" i="55"/>
  <c r="I114" i="55"/>
  <c r="I109" i="55"/>
  <c r="H108" i="57"/>
  <c r="H118" i="57" s="1"/>
  <c r="H123" i="57" s="1"/>
  <c r="I106" i="57"/>
  <c r="I111" i="57"/>
  <c r="I107" i="57"/>
  <c r="P103" i="57"/>
  <c r="K106" i="55"/>
  <c r="J108" i="55"/>
  <c r="AC113" i="55"/>
  <c r="C49" i="47"/>
  <c r="T113" i="55"/>
  <c r="AF113" i="55"/>
  <c r="W113" i="55"/>
  <c r="F113" i="55"/>
  <c r="F118" i="55" s="1"/>
  <c r="AB113" i="55"/>
  <c r="X113" i="55"/>
  <c r="AA113" i="55"/>
  <c r="R113" i="55"/>
  <c r="N113" i="55"/>
  <c r="AE113" i="55"/>
  <c r="H113" i="55"/>
  <c r="H118" i="55" s="1"/>
  <c r="K113" i="55"/>
  <c r="Q113" i="55"/>
  <c r="AG113" i="55"/>
  <c r="AD113" i="55"/>
  <c r="E113" i="55"/>
  <c r="E118" i="55" s="1"/>
  <c r="G113" i="55"/>
  <c r="G118" i="55" s="1"/>
  <c r="V113" i="55"/>
  <c r="M113" i="55"/>
  <c r="I113" i="55"/>
  <c r="P113" i="55"/>
  <c r="C50" i="47"/>
  <c r="S113" i="55"/>
  <c r="O113" i="55"/>
  <c r="J113" i="55"/>
  <c r="L113" i="55"/>
  <c r="U113" i="55"/>
  <c r="E88" i="55"/>
  <c r="AH113" i="55"/>
  <c r="Z113" i="55"/>
  <c r="Y113" i="55"/>
  <c r="K104" i="57"/>
  <c r="J105" i="57"/>
  <c r="E169" i="42"/>
  <c r="N169" i="42"/>
  <c r="F114" i="42"/>
  <c r="D84" i="47"/>
  <c r="H111" i="42"/>
  <c r="I109" i="42"/>
  <c r="G81" i="47" s="1"/>
  <c r="G112" i="42"/>
  <c r="E84" i="47" s="1"/>
  <c r="G113" i="42"/>
  <c r="E85" i="47" s="1"/>
  <c r="E83" i="47"/>
  <c r="B39" i="47"/>
  <c r="H39" i="47" s="1"/>
  <c r="H47" i="47" s="1"/>
  <c r="C62" i="42"/>
  <c r="C63" i="42" s="1"/>
  <c r="C60" i="42"/>
  <c r="B42" i="47" s="1"/>
  <c r="C65" i="42"/>
  <c r="B48" i="47" s="1"/>
  <c r="H48" i="47" s="1"/>
  <c r="D85" i="47"/>
  <c r="K109" i="51"/>
  <c r="J111" i="51"/>
  <c r="I170" i="42"/>
  <c r="F134" i="57"/>
  <c r="F136" i="57" s="1"/>
  <c r="F123" i="57"/>
  <c r="F121" i="57"/>
  <c r="G123" i="57"/>
  <c r="G121" i="57"/>
  <c r="E8" i="57"/>
  <c r="M9" i="47" s="1"/>
  <c r="G134" i="57"/>
  <c r="G136" i="57" s="1"/>
  <c r="D168" i="57"/>
  <c r="I113" i="53"/>
  <c r="F82" i="47"/>
  <c r="E167" i="55"/>
  <c r="N167" i="55"/>
  <c r="L167" i="57"/>
  <c r="I168" i="57"/>
  <c r="J112" i="53"/>
  <c r="N110" i="42"/>
  <c r="I110" i="56"/>
  <c r="I111" i="56"/>
  <c r="I115" i="56"/>
  <c r="I113" i="51"/>
  <c r="I112" i="51"/>
  <c r="I117" i="51"/>
  <c r="K109" i="57"/>
  <c r="C67" i="51"/>
  <c r="C68" i="51" s="1"/>
  <c r="E47" i="47"/>
  <c r="I169" i="56"/>
  <c r="J171" i="51"/>
  <c r="K107" i="56"/>
  <c r="J109" i="56"/>
  <c r="N115" i="42"/>
  <c r="I168" i="55"/>
  <c r="G145" i="47"/>
  <c r="H114" i="53"/>
  <c r="AH119" i="53"/>
  <c r="W119" i="53"/>
  <c r="U119" i="53"/>
  <c r="T119" i="53"/>
  <c r="N119" i="53"/>
  <c r="AD119" i="53"/>
  <c r="E119" i="53"/>
  <c r="E124" i="53" s="1"/>
  <c r="Q119" i="53"/>
  <c r="AF119" i="53"/>
  <c r="X119" i="53"/>
  <c r="R119" i="53"/>
  <c r="S119" i="53"/>
  <c r="Y119" i="53"/>
  <c r="Z119" i="53"/>
  <c r="L119" i="53"/>
  <c r="J119" i="53"/>
  <c r="H119" i="53"/>
  <c r="V119" i="53"/>
  <c r="AA119" i="53"/>
  <c r="P119" i="53"/>
  <c r="D50" i="47"/>
  <c r="G119" i="53"/>
  <c r="O119" i="53"/>
  <c r="M119" i="53"/>
  <c r="E94" i="53"/>
  <c r="AB119" i="53"/>
  <c r="AG119" i="53"/>
  <c r="AC119" i="53"/>
  <c r="F119" i="53"/>
  <c r="D49" i="47"/>
  <c r="I119" i="53"/>
  <c r="K119" i="53"/>
  <c r="AE119" i="53"/>
  <c r="I174" i="53"/>
  <c r="C86" i="47"/>
  <c r="K112" i="55"/>
  <c r="H87" i="47"/>
  <c r="E121" i="57"/>
  <c r="E123" i="57"/>
  <c r="E134" i="57"/>
  <c r="E136" i="57" s="1"/>
  <c r="C63" i="51"/>
  <c r="E45" i="47" s="1"/>
  <c r="E44" i="47"/>
  <c r="G117" i="53"/>
  <c r="L167" i="56" l="1"/>
  <c r="D168" i="56"/>
  <c r="E145" i="47"/>
  <c r="O145" i="47" s="1"/>
  <c r="I108" i="57"/>
  <c r="I118" i="57" s="1"/>
  <c r="I134" i="57" s="1"/>
  <c r="I136" i="57" s="1"/>
  <c r="U114" i="56"/>
  <c r="F114" i="56"/>
  <c r="F119" i="56" s="1"/>
  <c r="F135" i="56" s="1"/>
  <c r="F137" i="56" s="1"/>
  <c r="F49" i="47"/>
  <c r="Z114" i="56"/>
  <c r="N114" i="56"/>
  <c r="J114" i="56"/>
  <c r="AA114" i="56"/>
  <c r="AB114" i="56"/>
  <c r="AC114" i="56"/>
  <c r="H114" i="56"/>
  <c r="H119" i="56" s="1"/>
  <c r="H122" i="56" s="1"/>
  <c r="P114" i="56"/>
  <c r="C66" i="56"/>
  <c r="F50" i="47" s="1"/>
  <c r="Q114" i="56"/>
  <c r="V114" i="56"/>
  <c r="M114" i="56"/>
  <c r="N170" i="51"/>
  <c r="E170" i="51"/>
  <c r="L172" i="53"/>
  <c r="D173" i="53"/>
  <c r="D44" i="47"/>
  <c r="C65" i="53"/>
  <c r="D45" i="47" s="1"/>
  <c r="D86" i="47"/>
  <c r="H49" i="47"/>
  <c r="H50" i="47" s="1"/>
  <c r="L114" i="56"/>
  <c r="AG114" i="56"/>
  <c r="G114" i="56"/>
  <c r="G119" i="56" s="1"/>
  <c r="E8" i="56" s="1"/>
  <c r="K9" i="47" s="1"/>
  <c r="AD114" i="56"/>
  <c r="R114" i="56"/>
  <c r="E114" i="56"/>
  <c r="E119" i="56" s="1"/>
  <c r="E122" i="56" s="1"/>
  <c r="X114" i="56"/>
  <c r="I114" i="56"/>
  <c r="AH114" i="56"/>
  <c r="W114" i="56"/>
  <c r="T114" i="56"/>
  <c r="AE114" i="56"/>
  <c r="AF114" i="56"/>
  <c r="S114" i="56"/>
  <c r="K114" i="56"/>
  <c r="O114" i="56"/>
  <c r="F124" i="53"/>
  <c r="F129" i="53" s="1"/>
  <c r="H121" i="57"/>
  <c r="H142" i="57" s="1"/>
  <c r="H144" i="57" s="1"/>
  <c r="I112" i="56"/>
  <c r="H123" i="55"/>
  <c r="H134" i="55"/>
  <c r="H136" i="55" s="1"/>
  <c r="H121" i="55"/>
  <c r="J107" i="57"/>
  <c r="J106" i="57"/>
  <c r="J111" i="57"/>
  <c r="E123" i="55"/>
  <c r="E134" i="55"/>
  <c r="E136" i="55" s="1"/>
  <c r="E121" i="55"/>
  <c r="F123" i="55"/>
  <c r="F134" i="55"/>
  <c r="F136" i="55" s="1"/>
  <c r="F121" i="55"/>
  <c r="I111" i="55"/>
  <c r="I118" i="55" s="1"/>
  <c r="H134" i="57"/>
  <c r="H136" i="57" s="1"/>
  <c r="L104" i="57"/>
  <c r="K105" i="57"/>
  <c r="Q103" i="57"/>
  <c r="J110" i="55"/>
  <c r="J114" i="55"/>
  <c r="J109" i="55"/>
  <c r="I114" i="51"/>
  <c r="G123" i="55"/>
  <c r="G121" i="55"/>
  <c r="G134" i="55"/>
  <c r="G136" i="55" s="1"/>
  <c r="E8" i="55"/>
  <c r="E9" i="47" s="1"/>
  <c r="L106" i="55"/>
  <c r="K108" i="55"/>
  <c r="O169" i="42"/>
  <c r="B169" i="42"/>
  <c r="G114" i="42"/>
  <c r="E86" i="47" s="1"/>
  <c r="H44" i="47"/>
  <c r="H45" i="47" s="1"/>
  <c r="H42" i="47"/>
  <c r="C67" i="42"/>
  <c r="C68" i="42" s="1"/>
  <c r="B47" i="47"/>
  <c r="J109" i="42"/>
  <c r="I111" i="42"/>
  <c r="B44" i="47"/>
  <c r="B45" i="47"/>
  <c r="H113" i="42"/>
  <c r="H112" i="42"/>
  <c r="E127" i="53"/>
  <c r="E129" i="53"/>
  <c r="E140" i="53"/>
  <c r="E142" i="53" s="1"/>
  <c r="O115" i="42"/>
  <c r="F142" i="57"/>
  <c r="F144" i="57" s="1"/>
  <c r="F124" i="57"/>
  <c r="J170" i="42"/>
  <c r="G124" i="53"/>
  <c r="L112" i="55"/>
  <c r="I87" i="47"/>
  <c r="J169" i="56"/>
  <c r="N168" i="57"/>
  <c r="J168" i="57"/>
  <c r="G142" i="57"/>
  <c r="G144" i="57" s="1"/>
  <c r="G124" i="57"/>
  <c r="E5" i="57" s="1"/>
  <c r="M6" i="47" s="1"/>
  <c r="J168" i="55"/>
  <c r="J113" i="53"/>
  <c r="J114" i="53" s="1"/>
  <c r="G82" i="47"/>
  <c r="E168" i="57"/>
  <c r="E142" i="57"/>
  <c r="E144" i="57" s="1"/>
  <c r="E124" i="57"/>
  <c r="J174" i="53"/>
  <c r="H116" i="53"/>
  <c r="H115" i="53"/>
  <c r="F83" i="47"/>
  <c r="I114" i="53"/>
  <c r="J112" i="51"/>
  <c r="J113" i="51"/>
  <c r="J117" i="51"/>
  <c r="O110" i="42"/>
  <c r="AH116" i="51"/>
  <c r="AG116" i="51"/>
  <c r="M116" i="51"/>
  <c r="AF116" i="51"/>
  <c r="AB116" i="51"/>
  <c r="F116" i="51"/>
  <c r="F121" i="51" s="1"/>
  <c r="F124" i="51" s="1"/>
  <c r="E116" i="51"/>
  <c r="Q116" i="51"/>
  <c r="I116" i="51"/>
  <c r="J116" i="51"/>
  <c r="AD116" i="51"/>
  <c r="AE116" i="51"/>
  <c r="E50" i="47"/>
  <c r="R116" i="51"/>
  <c r="T116" i="51"/>
  <c r="E91" i="51"/>
  <c r="X116" i="51"/>
  <c r="AC116" i="51"/>
  <c r="W116" i="51"/>
  <c r="K116" i="51"/>
  <c r="AA116" i="51"/>
  <c r="O116" i="51"/>
  <c r="Y116" i="51"/>
  <c r="S116" i="51"/>
  <c r="N116" i="51"/>
  <c r="U116" i="51"/>
  <c r="L116" i="51"/>
  <c r="V116" i="51"/>
  <c r="G116" i="51"/>
  <c r="G121" i="51" s="1"/>
  <c r="G124" i="51" s="1"/>
  <c r="E49" i="47"/>
  <c r="P116" i="51"/>
  <c r="Z116" i="51"/>
  <c r="H116" i="51"/>
  <c r="H121" i="51" s="1"/>
  <c r="H124" i="51" s="1"/>
  <c r="B145" i="47"/>
  <c r="L145" i="47" s="1"/>
  <c r="L109" i="57"/>
  <c r="J115" i="56"/>
  <c r="J111" i="56"/>
  <c r="J110" i="56"/>
  <c r="G89" i="47"/>
  <c r="K112" i="53"/>
  <c r="L109" i="51"/>
  <c r="K111" i="51"/>
  <c r="I146" i="47"/>
  <c r="G171" i="51"/>
  <c r="L107" i="56"/>
  <c r="K109" i="56"/>
  <c r="O167" i="55"/>
  <c r="B167" i="55"/>
  <c r="F124" i="56" l="1"/>
  <c r="H135" i="56"/>
  <c r="H137" i="56" s="1"/>
  <c r="E168" i="56"/>
  <c r="N168" i="56"/>
  <c r="J108" i="57"/>
  <c r="J118" i="57" s="1"/>
  <c r="J134" i="57" s="1"/>
  <c r="J136" i="57" s="1"/>
  <c r="I123" i="57"/>
  <c r="I121" i="57"/>
  <c r="I124" i="57" s="1"/>
  <c r="H124" i="57"/>
  <c r="H124" i="56"/>
  <c r="G122" i="56"/>
  <c r="G125" i="56" s="1"/>
  <c r="E5" i="56" s="1"/>
  <c r="K6" i="47" s="1"/>
  <c r="F122" i="56"/>
  <c r="F143" i="56" s="1"/>
  <c r="F145" i="56" s="1"/>
  <c r="G124" i="56"/>
  <c r="I119" i="56"/>
  <c r="I135" i="56" s="1"/>
  <c r="I137" i="56" s="1"/>
  <c r="E124" i="56"/>
  <c r="E135" i="56"/>
  <c r="E137" i="56" s="1"/>
  <c r="B170" i="51"/>
  <c r="O170" i="51"/>
  <c r="N173" i="53"/>
  <c r="E173" i="53"/>
  <c r="J111" i="55"/>
  <c r="J118" i="55" s="1"/>
  <c r="J121" i="55" s="1"/>
  <c r="J124" i="55" s="1"/>
  <c r="H55" i="47"/>
  <c r="G135" i="56"/>
  <c r="G137" i="56" s="1"/>
  <c r="F127" i="53"/>
  <c r="F148" i="53" s="1"/>
  <c r="F150" i="53" s="1"/>
  <c r="F140" i="53"/>
  <c r="F142" i="53" s="1"/>
  <c r="J114" i="51"/>
  <c r="J121" i="51" s="1"/>
  <c r="J124" i="51" s="1"/>
  <c r="F85" i="47"/>
  <c r="H114" i="42"/>
  <c r="I121" i="55"/>
  <c r="I134" i="55"/>
  <c r="I136" i="55" s="1"/>
  <c r="I123" i="55"/>
  <c r="H124" i="55"/>
  <c r="H142" i="55"/>
  <c r="H144" i="55" s="1"/>
  <c r="M106" i="55"/>
  <c r="L108" i="55"/>
  <c r="M104" i="57"/>
  <c r="L105" i="57"/>
  <c r="J112" i="56"/>
  <c r="J119" i="56" s="1"/>
  <c r="J122" i="56" s="1"/>
  <c r="R103" i="57"/>
  <c r="E124" i="55"/>
  <c r="E142" i="55"/>
  <c r="E144" i="55" s="1"/>
  <c r="K110" i="55"/>
  <c r="K114" i="55"/>
  <c r="K109" i="55"/>
  <c r="G142" i="55"/>
  <c r="G144" i="55" s="1"/>
  <c r="G124" i="55"/>
  <c r="E5" i="55" s="1"/>
  <c r="E6" i="47" s="1"/>
  <c r="K111" i="57"/>
  <c r="K107" i="57"/>
  <c r="K106" i="57"/>
  <c r="F142" i="55"/>
  <c r="F144" i="55" s="1"/>
  <c r="F124" i="55"/>
  <c r="F84" i="47"/>
  <c r="L169" i="42"/>
  <c r="D170" i="42"/>
  <c r="W116" i="42"/>
  <c r="U88" i="47" s="1"/>
  <c r="AF116" i="42"/>
  <c r="AD88" i="47" s="1"/>
  <c r="T116" i="42"/>
  <c r="R88" i="47" s="1"/>
  <c r="V116" i="42"/>
  <c r="T88" i="47" s="1"/>
  <c r="AC116" i="42"/>
  <c r="AA88" i="47" s="1"/>
  <c r="B49" i="47"/>
  <c r="M116" i="42"/>
  <c r="K88" i="47" s="1"/>
  <c r="F116" i="42"/>
  <c r="F120" i="42" s="1"/>
  <c r="H116" i="42"/>
  <c r="F88" i="47" s="1"/>
  <c r="AE116" i="42"/>
  <c r="AC88" i="47" s="1"/>
  <c r="Y116" i="42"/>
  <c r="W88" i="47" s="1"/>
  <c r="R116" i="42"/>
  <c r="P88" i="47" s="1"/>
  <c r="K116" i="42"/>
  <c r="I88" i="47" s="1"/>
  <c r="N116" i="42"/>
  <c r="L88" i="47" s="1"/>
  <c r="U116" i="42"/>
  <c r="S88" i="47" s="1"/>
  <c r="X116" i="42"/>
  <c r="V88" i="47" s="1"/>
  <c r="Q116" i="42"/>
  <c r="O88" i="47" s="1"/>
  <c r="E116" i="42"/>
  <c r="E120" i="42" s="1"/>
  <c r="I116" i="42"/>
  <c r="G88" i="47" s="1"/>
  <c r="E91" i="42"/>
  <c r="S116" i="42"/>
  <c r="Q88" i="47" s="1"/>
  <c r="AH116" i="42"/>
  <c r="AF88" i="47" s="1"/>
  <c r="AB116" i="42"/>
  <c r="Z88" i="47" s="1"/>
  <c r="AG116" i="42"/>
  <c r="AE88" i="47" s="1"/>
  <c r="B50" i="47"/>
  <c r="AA116" i="42"/>
  <c r="Y88" i="47" s="1"/>
  <c r="O116" i="42"/>
  <c r="M88" i="47" s="1"/>
  <c r="P116" i="42"/>
  <c r="N88" i="47" s="1"/>
  <c r="Z116" i="42"/>
  <c r="X88" i="47" s="1"/>
  <c r="L116" i="42"/>
  <c r="J88" i="47" s="1"/>
  <c r="J116" i="42"/>
  <c r="H88" i="47" s="1"/>
  <c r="G116" i="42"/>
  <c r="G120" i="42" s="1"/>
  <c r="AD116" i="42"/>
  <c r="AB88" i="47" s="1"/>
  <c r="I113" i="42"/>
  <c r="I112" i="42"/>
  <c r="J111" i="42"/>
  <c r="H83" i="47" s="1"/>
  <c r="K109" i="42"/>
  <c r="I81" i="47" s="1"/>
  <c r="H81" i="47"/>
  <c r="J115" i="53"/>
  <c r="J116" i="53"/>
  <c r="F126" i="51"/>
  <c r="F137" i="51"/>
  <c r="F139" i="51" s="1"/>
  <c r="M112" i="55"/>
  <c r="J87" i="47"/>
  <c r="I115" i="53"/>
  <c r="I116" i="53"/>
  <c r="G83" i="47"/>
  <c r="J146" i="47"/>
  <c r="M109" i="57"/>
  <c r="G169" i="56"/>
  <c r="E130" i="53"/>
  <c r="E148" i="53"/>
  <c r="E150" i="53" s="1"/>
  <c r="K113" i="53"/>
  <c r="K114" i="53" s="1"/>
  <c r="H82" i="47"/>
  <c r="H125" i="56"/>
  <c r="H143" i="56"/>
  <c r="H145" i="56" s="1"/>
  <c r="M109" i="51"/>
  <c r="L111" i="51"/>
  <c r="P110" i="42"/>
  <c r="G129" i="53"/>
  <c r="G140" i="53"/>
  <c r="G142" i="53" s="1"/>
  <c r="G127" i="53"/>
  <c r="E8" i="53"/>
  <c r="G9" i="47" s="1"/>
  <c r="I172" i="51"/>
  <c r="D146" i="47"/>
  <c r="E121" i="51"/>
  <c r="E124" i="51" s="1"/>
  <c r="G174" i="53"/>
  <c r="D168" i="55"/>
  <c r="L167" i="55"/>
  <c r="K113" i="51"/>
  <c r="K117" i="51"/>
  <c r="K112" i="51"/>
  <c r="E125" i="56"/>
  <c r="E143" i="56"/>
  <c r="E145" i="56" s="1"/>
  <c r="O168" i="57"/>
  <c r="G168" i="57"/>
  <c r="M107" i="56"/>
  <c r="L109" i="56"/>
  <c r="H89" i="47"/>
  <c r="I121" i="51"/>
  <c r="I124" i="51" s="1"/>
  <c r="G168" i="55"/>
  <c r="P115" i="42"/>
  <c r="E8" i="51"/>
  <c r="I9" i="47" s="1"/>
  <c r="G126" i="51"/>
  <c r="G137" i="51"/>
  <c r="G139" i="51" s="1"/>
  <c r="G170" i="42"/>
  <c r="K110" i="56"/>
  <c r="K115" i="56"/>
  <c r="K111" i="56"/>
  <c r="L112" i="53"/>
  <c r="G143" i="56"/>
  <c r="G145" i="56" s="1"/>
  <c r="H126" i="51"/>
  <c r="H137" i="51"/>
  <c r="H139" i="51" s="1"/>
  <c r="H117" i="53"/>
  <c r="B168" i="57"/>
  <c r="B168" i="56" l="1"/>
  <c r="O168" i="56"/>
  <c r="F125" i="56"/>
  <c r="I142" i="57"/>
  <c r="I144" i="57" s="1"/>
  <c r="K108" i="57"/>
  <c r="K118" i="57" s="1"/>
  <c r="K134" i="57" s="1"/>
  <c r="K136" i="57" s="1"/>
  <c r="J123" i="57"/>
  <c r="J121" i="57"/>
  <c r="I124" i="56"/>
  <c r="I122" i="56"/>
  <c r="I143" i="56" s="1"/>
  <c r="I145" i="56" s="1"/>
  <c r="J135" i="56"/>
  <c r="J137" i="56" s="1"/>
  <c r="L170" i="51"/>
  <c r="D171" i="51"/>
  <c r="O173" i="53"/>
  <c r="B173" i="53"/>
  <c r="J123" i="55"/>
  <c r="J134" i="55"/>
  <c r="J136" i="55" s="1"/>
  <c r="J126" i="51"/>
  <c r="J137" i="51"/>
  <c r="J139" i="51" s="1"/>
  <c r="J145" i="51"/>
  <c r="J147" i="51" s="1"/>
  <c r="F130" i="53"/>
  <c r="K111" i="55"/>
  <c r="K118" i="55" s="1"/>
  <c r="K121" i="55" s="1"/>
  <c r="J142" i="55"/>
  <c r="J144" i="55" s="1"/>
  <c r="K112" i="56"/>
  <c r="K119" i="56" s="1"/>
  <c r="J124" i="56"/>
  <c r="J117" i="53"/>
  <c r="J124" i="53" s="1"/>
  <c r="I89" i="47"/>
  <c r="S103" i="57"/>
  <c r="N106" i="55"/>
  <c r="M108" i="55"/>
  <c r="N104" i="57"/>
  <c r="M105" i="57"/>
  <c r="K114" i="51"/>
  <c r="K121" i="51" s="1"/>
  <c r="K124" i="51" s="1"/>
  <c r="L106" i="57"/>
  <c r="L111" i="57"/>
  <c r="L107" i="57"/>
  <c r="L110" i="55"/>
  <c r="L114" i="55"/>
  <c r="L109" i="55"/>
  <c r="I142" i="55"/>
  <c r="I144" i="55" s="1"/>
  <c r="I124" i="55"/>
  <c r="C88" i="47"/>
  <c r="C96" i="47" s="1"/>
  <c r="C101" i="47" s="1"/>
  <c r="N170" i="42"/>
  <c r="E170" i="42"/>
  <c r="H120" i="42"/>
  <c r="H136" i="42" s="1"/>
  <c r="H138" i="42" s="1"/>
  <c r="I114" i="42"/>
  <c r="I120" i="42" s="1"/>
  <c r="E8" i="42"/>
  <c r="C9" i="47" s="1"/>
  <c r="G123" i="42"/>
  <c r="G126" i="42" s="1"/>
  <c r="G136" i="42"/>
  <c r="G138" i="42" s="1"/>
  <c r="G125" i="42"/>
  <c r="F125" i="42"/>
  <c r="F136" i="42"/>
  <c r="F138" i="42" s="1"/>
  <c r="F123" i="42"/>
  <c r="F126" i="42" s="1"/>
  <c r="D88" i="47"/>
  <c r="D96" i="47" s="1"/>
  <c r="D112" i="47" s="1"/>
  <c r="D114" i="47" s="1"/>
  <c r="L109" i="42"/>
  <c r="J81" i="47" s="1"/>
  <c r="K111" i="42"/>
  <c r="I83" i="47" s="1"/>
  <c r="G85" i="47"/>
  <c r="J113" i="42"/>
  <c r="H85" i="47" s="1"/>
  <c r="J112" i="42"/>
  <c r="H84" i="47" s="1"/>
  <c r="E136" i="42"/>
  <c r="E138" i="42" s="1"/>
  <c r="E123" i="42"/>
  <c r="E126" i="42" s="1"/>
  <c r="E125" i="42"/>
  <c r="E88" i="47"/>
  <c r="E96" i="47" s="1"/>
  <c r="E101" i="47" s="1"/>
  <c r="G84" i="47"/>
  <c r="D169" i="57"/>
  <c r="H124" i="53"/>
  <c r="F86" i="47"/>
  <c r="F96" i="47" s="1"/>
  <c r="I171" i="42"/>
  <c r="I169" i="55"/>
  <c r="N107" i="56"/>
  <c r="M109" i="56"/>
  <c r="L168" i="57"/>
  <c r="I169" i="57"/>
  <c r="G130" i="53"/>
  <c r="E5" i="53" s="1"/>
  <c r="G6" i="47" s="1"/>
  <c r="G148" i="53"/>
  <c r="G150" i="53" s="1"/>
  <c r="N109" i="51"/>
  <c r="M111" i="51"/>
  <c r="I175" i="53"/>
  <c r="Q115" i="42"/>
  <c r="I170" i="56"/>
  <c r="E137" i="51"/>
  <c r="E139" i="51" s="1"/>
  <c r="E126" i="51"/>
  <c r="Q110" i="42"/>
  <c r="G146" i="47"/>
  <c r="H127" i="51"/>
  <c r="H145" i="51"/>
  <c r="H147" i="51" s="1"/>
  <c r="K115" i="53"/>
  <c r="K116" i="53"/>
  <c r="M112" i="53"/>
  <c r="G127" i="51"/>
  <c r="E5" i="51" s="1"/>
  <c r="I6" i="47" s="1"/>
  <c r="G145" i="51"/>
  <c r="G147" i="51" s="1"/>
  <c r="L110" i="56"/>
  <c r="L115" i="56"/>
  <c r="L111" i="56"/>
  <c r="E146" i="47"/>
  <c r="O146" i="47" s="1"/>
  <c r="L113" i="53"/>
  <c r="I82" i="47"/>
  <c r="N146" i="47"/>
  <c r="I117" i="53"/>
  <c r="N112" i="55"/>
  <c r="K87" i="47"/>
  <c r="J125" i="56"/>
  <c r="J143" i="56"/>
  <c r="J145" i="56" s="1"/>
  <c r="I137" i="51"/>
  <c r="I139" i="51" s="1"/>
  <c r="I126" i="51"/>
  <c r="F127" i="51"/>
  <c r="F145" i="51"/>
  <c r="F147" i="51" s="1"/>
  <c r="J172" i="51"/>
  <c r="N109" i="57"/>
  <c r="E168" i="55"/>
  <c r="N168" i="55"/>
  <c r="L117" i="51"/>
  <c r="L113" i="51"/>
  <c r="L112" i="51"/>
  <c r="L168" i="56" l="1"/>
  <c r="D169" i="56"/>
  <c r="I125" i="56"/>
  <c r="K121" i="57"/>
  <c r="K124" i="57" s="1"/>
  <c r="K123" i="57"/>
  <c r="L108" i="57"/>
  <c r="L118" i="57" s="1"/>
  <c r="J124" i="57"/>
  <c r="J142" i="57"/>
  <c r="J144" i="57" s="1"/>
  <c r="E171" i="51"/>
  <c r="N171" i="51"/>
  <c r="J127" i="51"/>
  <c r="L173" i="53"/>
  <c r="D174" i="53"/>
  <c r="L114" i="51"/>
  <c r="L121" i="51" s="1"/>
  <c r="L124" i="51" s="1"/>
  <c r="K135" i="56"/>
  <c r="K137" i="56" s="1"/>
  <c r="K124" i="56"/>
  <c r="K122" i="56"/>
  <c r="K143" i="56" s="1"/>
  <c r="K145" i="56" s="1"/>
  <c r="K142" i="55"/>
  <c r="K144" i="55" s="1"/>
  <c r="K124" i="55"/>
  <c r="C112" i="47"/>
  <c r="C114" i="47" s="1"/>
  <c r="K123" i="55"/>
  <c r="K134" i="55"/>
  <c r="K136" i="55" s="1"/>
  <c r="C99" i="47"/>
  <c r="C102" i="47" s="1"/>
  <c r="O106" i="55"/>
  <c r="N108" i="55"/>
  <c r="K137" i="51"/>
  <c r="K139" i="51" s="1"/>
  <c r="L111" i="55"/>
  <c r="L118" i="55" s="1"/>
  <c r="O104" i="57"/>
  <c r="N105" i="57"/>
  <c r="T103" i="57"/>
  <c r="L112" i="56"/>
  <c r="L119" i="56" s="1"/>
  <c r="L124" i="56" s="1"/>
  <c r="K126" i="51"/>
  <c r="H123" i="42"/>
  <c r="M114" i="55"/>
  <c r="M110" i="55"/>
  <c r="M109" i="55"/>
  <c r="M107" i="57"/>
  <c r="M111" i="57"/>
  <c r="M106" i="57"/>
  <c r="D101" i="47"/>
  <c r="B170" i="42"/>
  <c r="O170" i="42"/>
  <c r="H125" i="42"/>
  <c r="D99" i="47"/>
  <c r="D120" i="47" s="1"/>
  <c r="D122" i="47" s="1"/>
  <c r="J114" i="42"/>
  <c r="J120" i="42" s="1"/>
  <c r="J125" i="42" s="1"/>
  <c r="E112" i="47"/>
  <c r="E114" i="47" s="1"/>
  <c r="I125" i="42"/>
  <c r="I136" i="42"/>
  <c r="I138" i="42" s="1"/>
  <c r="I123" i="42"/>
  <c r="I126" i="42" s="1"/>
  <c r="E144" i="42"/>
  <c r="E146" i="42" s="1"/>
  <c r="F144" i="42"/>
  <c r="F146" i="42" s="1"/>
  <c r="K112" i="42"/>
  <c r="I84" i="47" s="1"/>
  <c r="K113" i="42"/>
  <c r="I85" i="47" s="1"/>
  <c r="L111" i="42"/>
  <c r="M109" i="42"/>
  <c r="E99" i="47"/>
  <c r="E120" i="47" s="1"/>
  <c r="E122" i="47" s="1"/>
  <c r="O9" i="47"/>
  <c r="G144" i="42"/>
  <c r="G146" i="42" s="1"/>
  <c r="E5" i="42"/>
  <c r="C6" i="47" s="1"/>
  <c r="E127" i="51"/>
  <c r="E145" i="51"/>
  <c r="E147" i="51" s="1"/>
  <c r="I147" i="47"/>
  <c r="M113" i="53"/>
  <c r="J82" i="47"/>
  <c r="I124" i="53"/>
  <c r="G86" i="47"/>
  <c r="G96" i="47" s="1"/>
  <c r="M113" i="51"/>
  <c r="M112" i="51"/>
  <c r="M114" i="51" s="1"/>
  <c r="M117" i="51"/>
  <c r="H129" i="53"/>
  <c r="H127" i="53"/>
  <c r="H140" i="53"/>
  <c r="H142" i="53" s="1"/>
  <c r="O109" i="57"/>
  <c r="J175" i="53"/>
  <c r="J169" i="55"/>
  <c r="B146" i="47"/>
  <c r="L146" i="47" s="1"/>
  <c r="J127" i="53"/>
  <c r="J140" i="53"/>
  <c r="J142" i="53" s="1"/>
  <c r="J129" i="53"/>
  <c r="L114" i="53"/>
  <c r="R110" i="42"/>
  <c r="O109" i="51"/>
  <c r="N111" i="51"/>
  <c r="E169" i="57"/>
  <c r="G172" i="51"/>
  <c r="K117" i="53"/>
  <c r="J89" i="47"/>
  <c r="R115" i="42"/>
  <c r="J171" i="42"/>
  <c r="N169" i="57"/>
  <c r="J169" i="57"/>
  <c r="K127" i="51"/>
  <c r="K145" i="51"/>
  <c r="K147" i="51" s="1"/>
  <c r="I145" i="51"/>
  <c r="I147" i="51" s="1"/>
  <c r="I127" i="51"/>
  <c r="J170" i="56"/>
  <c r="M115" i="56"/>
  <c r="M110" i="56"/>
  <c r="M111" i="56"/>
  <c r="O168" i="55"/>
  <c r="B168" i="55"/>
  <c r="O112" i="55"/>
  <c r="L87" i="47"/>
  <c r="N112" i="53"/>
  <c r="O107" i="56"/>
  <c r="N109" i="56"/>
  <c r="F112" i="47"/>
  <c r="F114" i="47" s="1"/>
  <c r="F99" i="47"/>
  <c r="F101" i="47"/>
  <c r="M121" i="51" l="1"/>
  <c r="M124" i="51" s="1"/>
  <c r="E169" i="56"/>
  <c r="N169" i="56"/>
  <c r="K142" i="57"/>
  <c r="K144" i="57" s="1"/>
  <c r="L137" i="51"/>
  <c r="L139" i="51" s="1"/>
  <c r="L145" i="51"/>
  <c r="L147" i="51" s="1"/>
  <c r="O171" i="51"/>
  <c r="B171" i="51"/>
  <c r="L126" i="51"/>
  <c r="N174" i="53"/>
  <c r="E174" i="53"/>
  <c r="H144" i="42"/>
  <c r="H146" i="42" s="1"/>
  <c r="H126" i="42"/>
  <c r="K125" i="56"/>
  <c r="L135" i="56"/>
  <c r="L137" i="56" s="1"/>
  <c r="L122" i="56"/>
  <c r="L125" i="56" s="1"/>
  <c r="M111" i="55"/>
  <c r="M118" i="55" s="1"/>
  <c r="M134" i="55" s="1"/>
  <c r="M136" i="55" s="1"/>
  <c r="C120" i="47"/>
  <c r="C122" i="47" s="1"/>
  <c r="N111" i="57"/>
  <c r="N106" i="57"/>
  <c r="N107" i="57"/>
  <c r="M108" i="57"/>
  <c r="M118" i="57" s="1"/>
  <c r="L134" i="55"/>
  <c r="L136" i="55" s="1"/>
  <c r="L123" i="55"/>
  <c r="L121" i="55"/>
  <c r="N114" i="55"/>
  <c r="N110" i="55"/>
  <c r="N109" i="55"/>
  <c r="M112" i="56"/>
  <c r="M119" i="56" s="1"/>
  <c r="M135" i="56" s="1"/>
  <c r="M137" i="56" s="1"/>
  <c r="U103" i="57"/>
  <c r="L123" i="57"/>
  <c r="L134" i="57"/>
  <c r="L136" i="57" s="1"/>
  <c r="L121" i="57"/>
  <c r="P104" i="57"/>
  <c r="O105" i="57"/>
  <c r="P106" i="55"/>
  <c r="O108" i="55"/>
  <c r="D102" i="47"/>
  <c r="H86" i="47"/>
  <c r="H96" i="47" s="1"/>
  <c r="H101" i="47" s="1"/>
  <c r="L170" i="42"/>
  <c r="D171" i="42"/>
  <c r="J123" i="42"/>
  <c r="J126" i="42" s="1"/>
  <c r="J136" i="42"/>
  <c r="J138" i="42" s="1"/>
  <c r="E102" i="47"/>
  <c r="N109" i="42"/>
  <c r="L81" i="47" s="1"/>
  <c r="M111" i="42"/>
  <c r="K114" i="42"/>
  <c r="K120" i="42" s="1"/>
  <c r="K81" i="47"/>
  <c r="I144" i="42"/>
  <c r="I146" i="42" s="1"/>
  <c r="L113" i="42"/>
  <c r="L112" i="42"/>
  <c r="N117" i="51"/>
  <c r="N112" i="51"/>
  <c r="N113" i="51"/>
  <c r="P112" i="55"/>
  <c r="M87" i="47"/>
  <c r="L116" i="53"/>
  <c r="L115" i="53"/>
  <c r="J83" i="47"/>
  <c r="J147" i="47"/>
  <c r="G170" i="56"/>
  <c r="F102" i="47"/>
  <c r="F120" i="47"/>
  <c r="F122" i="47" s="1"/>
  <c r="O169" i="57"/>
  <c r="G169" i="57"/>
  <c r="B169" i="57"/>
  <c r="J130" i="53"/>
  <c r="J148" i="53"/>
  <c r="J150" i="53" s="1"/>
  <c r="H148" i="53"/>
  <c r="H150" i="53" s="1"/>
  <c r="H130" i="53"/>
  <c r="N115" i="56"/>
  <c r="N110" i="56"/>
  <c r="N111" i="56"/>
  <c r="K124" i="53"/>
  <c r="I173" i="51"/>
  <c r="G175" i="53"/>
  <c r="G112" i="47"/>
  <c r="G114" i="47" s="1"/>
  <c r="G99" i="47"/>
  <c r="G101" i="47"/>
  <c r="P107" i="56"/>
  <c r="O109" i="56"/>
  <c r="P109" i="51"/>
  <c r="O111" i="51"/>
  <c r="G171" i="42"/>
  <c r="P109" i="57"/>
  <c r="S115" i="42"/>
  <c r="S110" i="42"/>
  <c r="N113" i="53"/>
  <c r="N114" i="53" s="1"/>
  <c r="K82" i="47"/>
  <c r="G169" i="55"/>
  <c r="I129" i="53"/>
  <c r="I127" i="53"/>
  <c r="I140" i="53"/>
  <c r="I142" i="53" s="1"/>
  <c r="D169" i="55"/>
  <c r="L168" i="55"/>
  <c r="M126" i="51"/>
  <c r="K89" i="47"/>
  <c r="M114" i="53"/>
  <c r="O112" i="53"/>
  <c r="D147" i="47"/>
  <c r="M137" i="51" l="1"/>
  <c r="M139" i="51" s="1"/>
  <c r="O169" i="56"/>
  <c r="B169" i="56"/>
  <c r="N108" i="57"/>
  <c r="N118" i="57" s="1"/>
  <c r="N127" i="57" s="1"/>
  <c r="N128" i="57" s="1"/>
  <c r="L127" i="51"/>
  <c r="D172" i="51"/>
  <c r="L171" i="51"/>
  <c r="O174" i="53"/>
  <c r="B174" i="53"/>
  <c r="N111" i="55"/>
  <c r="N118" i="55" s="1"/>
  <c r="N134" i="55" s="1"/>
  <c r="M121" i="55"/>
  <c r="M124" i="55" s="1"/>
  <c r="M123" i="55"/>
  <c r="L143" i="56"/>
  <c r="L145" i="56" s="1"/>
  <c r="M122" i="56"/>
  <c r="M143" i="56" s="1"/>
  <c r="M145" i="56" s="1"/>
  <c r="N114" i="51"/>
  <c r="N121" i="51" s="1"/>
  <c r="N124" i="51" s="1"/>
  <c r="O107" i="57"/>
  <c r="O106" i="57"/>
  <c r="O111" i="57"/>
  <c r="M124" i="56"/>
  <c r="H112" i="47"/>
  <c r="H114" i="47" s="1"/>
  <c r="O114" i="55"/>
  <c r="O110" i="55"/>
  <c r="O109" i="55"/>
  <c r="L142" i="57"/>
  <c r="L144" i="57" s="1"/>
  <c r="L124" i="57"/>
  <c r="V103" i="57"/>
  <c r="L142" i="55"/>
  <c r="L144" i="55" s="1"/>
  <c r="L124" i="55"/>
  <c r="J144" i="42"/>
  <c r="J146" i="42" s="1"/>
  <c r="Q106" i="55"/>
  <c r="P108" i="55"/>
  <c r="N112" i="56"/>
  <c r="N119" i="56" s="1"/>
  <c r="Q104" i="57"/>
  <c r="P105" i="57"/>
  <c r="M134" i="57"/>
  <c r="M136" i="57" s="1"/>
  <c r="M123" i="57"/>
  <c r="M121" i="57"/>
  <c r="H99" i="47"/>
  <c r="H120" i="47" s="1"/>
  <c r="H122" i="47" s="1"/>
  <c r="N171" i="42"/>
  <c r="E171" i="42"/>
  <c r="L114" i="42"/>
  <c r="L120" i="42" s="1"/>
  <c r="L125" i="42" s="1"/>
  <c r="J84" i="47"/>
  <c r="K125" i="42"/>
  <c r="K136" i="42"/>
  <c r="K138" i="42" s="1"/>
  <c r="K123" i="42"/>
  <c r="K126" i="42" s="1"/>
  <c r="J85" i="47"/>
  <c r="M113" i="42"/>
  <c r="M112" i="42"/>
  <c r="I86" i="47"/>
  <c r="I96" i="47" s="1"/>
  <c r="I101" i="47" s="1"/>
  <c r="N111" i="42"/>
  <c r="L83" i="47" s="1"/>
  <c r="O109" i="42"/>
  <c r="J173" i="51"/>
  <c r="M145" i="51"/>
  <c r="M147" i="51" s="1"/>
  <c r="M127" i="51"/>
  <c r="G102" i="47"/>
  <c r="G120" i="47"/>
  <c r="G122" i="47" s="1"/>
  <c r="D170" i="57"/>
  <c r="E170" i="57" s="1"/>
  <c r="B170" i="57" s="1"/>
  <c r="O113" i="53"/>
  <c r="O114" i="53" s="1"/>
  <c r="L82" i="47"/>
  <c r="M115" i="53"/>
  <c r="M116" i="53"/>
  <c r="K83" i="47"/>
  <c r="O115" i="56"/>
  <c r="O110" i="56"/>
  <c r="O111" i="56"/>
  <c r="I130" i="53"/>
  <c r="I148" i="53"/>
  <c r="I150" i="53" s="1"/>
  <c r="T110" i="42"/>
  <c r="I172" i="42"/>
  <c r="Q107" i="56"/>
  <c r="P109" i="56"/>
  <c r="K129" i="53"/>
  <c r="K140" i="53"/>
  <c r="K142" i="53" s="1"/>
  <c r="K127" i="53"/>
  <c r="E169" i="55"/>
  <c r="N169" i="55"/>
  <c r="O112" i="51"/>
  <c r="O113" i="51"/>
  <c r="O117" i="51"/>
  <c r="I176" i="53"/>
  <c r="T115" i="42"/>
  <c r="E147" i="47"/>
  <c r="O147" i="47" s="1"/>
  <c r="N147" i="47"/>
  <c r="N115" i="53"/>
  <c r="N116" i="53"/>
  <c r="Q109" i="51"/>
  <c r="P111" i="51"/>
  <c r="L169" i="57"/>
  <c r="I170" i="57"/>
  <c r="L89" i="47"/>
  <c r="G147" i="47"/>
  <c r="I170" i="55"/>
  <c r="Q112" i="55"/>
  <c r="N87" i="47"/>
  <c r="P112" i="53"/>
  <c r="Q109" i="57"/>
  <c r="I171" i="56"/>
  <c r="L117" i="53"/>
  <c r="N135" i="57" l="1"/>
  <c r="D170" i="56"/>
  <c r="L169" i="56"/>
  <c r="N134" i="57"/>
  <c r="N123" i="57"/>
  <c r="N121" i="57"/>
  <c r="N142" i="57" s="1"/>
  <c r="N124" i="57"/>
  <c r="O108" i="57"/>
  <c r="O118" i="57" s="1"/>
  <c r="O121" i="57" s="1"/>
  <c r="O142" i="57" s="1"/>
  <c r="O144" i="57" s="1"/>
  <c r="N135" i="56"/>
  <c r="N128" i="56"/>
  <c r="N129" i="56" s="1"/>
  <c r="N136" i="56" s="1"/>
  <c r="N126" i="51"/>
  <c r="N127" i="51"/>
  <c r="E172" i="51"/>
  <c r="N172" i="51"/>
  <c r="N130" i="51"/>
  <c r="N131" i="51" s="1"/>
  <c r="N138" i="51" s="1"/>
  <c r="L174" i="53"/>
  <c r="D175" i="53"/>
  <c r="N127" i="55"/>
  <c r="N128" i="55" s="1"/>
  <c r="N135" i="55" s="1"/>
  <c r="N136" i="55" s="1"/>
  <c r="N121" i="55"/>
  <c r="N124" i="55" s="1"/>
  <c r="N123" i="55"/>
  <c r="M142" i="55"/>
  <c r="M144" i="55" s="1"/>
  <c r="O111" i="55"/>
  <c r="O118" i="55" s="1"/>
  <c r="O134" i="55" s="1"/>
  <c r="O136" i="55" s="1"/>
  <c r="N137" i="51"/>
  <c r="M125" i="56"/>
  <c r="O112" i="56"/>
  <c r="O119" i="56" s="1"/>
  <c r="N124" i="56"/>
  <c r="N122" i="56"/>
  <c r="N143" i="56" s="1"/>
  <c r="P111" i="57"/>
  <c r="P106" i="57"/>
  <c r="P107" i="57"/>
  <c r="M114" i="42"/>
  <c r="M120" i="42" s="1"/>
  <c r="M125" i="42" s="1"/>
  <c r="P110" i="55"/>
  <c r="P114" i="55"/>
  <c r="P109" i="55"/>
  <c r="R106" i="55"/>
  <c r="Q108" i="55"/>
  <c r="O114" i="51"/>
  <c r="O121" i="51" s="1"/>
  <c r="O124" i="51" s="1"/>
  <c r="M142" i="57"/>
  <c r="M144" i="57" s="1"/>
  <c r="M124" i="57"/>
  <c r="R104" i="57"/>
  <c r="Q105" i="57"/>
  <c r="W103" i="57"/>
  <c r="H102" i="47"/>
  <c r="B171" i="42"/>
  <c r="O171" i="42"/>
  <c r="K85" i="47"/>
  <c r="L123" i="42"/>
  <c r="I99" i="47"/>
  <c r="I102" i="47" s="1"/>
  <c r="L136" i="42"/>
  <c r="L138" i="42" s="1"/>
  <c r="I112" i="47"/>
  <c r="I114" i="47" s="1"/>
  <c r="K84" i="47"/>
  <c r="K144" i="42"/>
  <c r="K146" i="42" s="1"/>
  <c r="O111" i="42"/>
  <c r="M83" i="47" s="1"/>
  <c r="P109" i="42"/>
  <c r="N81" i="47" s="1"/>
  <c r="N113" i="42"/>
  <c r="L85" i="47" s="1"/>
  <c r="N112" i="42"/>
  <c r="L84" i="47" s="1"/>
  <c r="M81" i="47"/>
  <c r="N138" i="55"/>
  <c r="F6" i="55" s="1"/>
  <c r="N137" i="55"/>
  <c r="E6" i="55" s="1"/>
  <c r="E7" i="47" s="1"/>
  <c r="D171" i="57"/>
  <c r="E171" i="57" s="1"/>
  <c r="B171" i="57" s="1"/>
  <c r="P117" i="51"/>
  <c r="P113" i="51"/>
  <c r="P112" i="51"/>
  <c r="B169" i="55"/>
  <c r="O169" i="55"/>
  <c r="R112" i="55"/>
  <c r="O87" i="47"/>
  <c r="J176" i="53"/>
  <c r="K130" i="53"/>
  <c r="K148" i="53"/>
  <c r="K150" i="53" s="1"/>
  <c r="R107" i="56"/>
  <c r="Q109" i="56"/>
  <c r="L124" i="53"/>
  <c r="J86" i="47"/>
  <c r="J96" i="47" s="1"/>
  <c r="J171" i="56"/>
  <c r="U115" i="42"/>
  <c r="I148" i="47"/>
  <c r="M89" i="47"/>
  <c r="J172" i="42"/>
  <c r="M117" i="53"/>
  <c r="N170" i="57"/>
  <c r="J170" i="57"/>
  <c r="O115" i="53"/>
  <c r="O116" i="53"/>
  <c r="Q112" i="53"/>
  <c r="B147" i="47"/>
  <c r="L147" i="47" s="1"/>
  <c r="G173" i="51"/>
  <c r="U110" i="42"/>
  <c r="R109" i="51"/>
  <c r="Q111" i="51"/>
  <c r="R109" i="57"/>
  <c r="P111" i="56"/>
  <c r="P115" i="56"/>
  <c r="P110" i="56"/>
  <c r="J170" i="55"/>
  <c r="N117" i="53"/>
  <c r="P113" i="53"/>
  <c r="P114" i="53" s="1"/>
  <c r="M82" i="47"/>
  <c r="N136" i="57" l="1"/>
  <c r="N138" i="57" s="1"/>
  <c r="E170" i="56"/>
  <c r="N170" i="56"/>
  <c r="N137" i="57"/>
  <c r="O123" i="57"/>
  <c r="O134" i="57"/>
  <c r="O136" i="57" s="1"/>
  <c r="P108" i="57"/>
  <c r="P118" i="57" s="1"/>
  <c r="P121" i="57" s="1"/>
  <c r="P124" i="57" s="1"/>
  <c r="N137" i="56"/>
  <c r="N145" i="51"/>
  <c r="O126" i="51"/>
  <c r="O145" i="51"/>
  <c r="O147" i="51" s="1"/>
  <c r="O172" i="51"/>
  <c r="B172" i="51"/>
  <c r="N139" i="51"/>
  <c r="N141" i="51" s="1"/>
  <c r="P114" i="51"/>
  <c r="P121" i="51" s="1"/>
  <c r="P124" i="51" s="1"/>
  <c r="N175" i="53"/>
  <c r="E175" i="53"/>
  <c r="N142" i="55"/>
  <c r="P111" i="55"/>
  <c r="P118" i="55" s="1"/>
  <c r="L144" i="42"/>
  <c r="L146" i="42" s="1"/>
  <c r="L126" i="42"/>
  <c r="O137" i="51"/>
  <c r="O139" i="51" s="1"/>
  <c r="O124" i="57"/>
  <c r="N125" i="56"/>
  <c r="P112" i="56"/>
  <c r="P119" i="56" s="1"/>
  <c r="P122" i="56" s="1"/>
  <c r="O117" i="53"/>
  <c r="O124" i="53" s="1"/>
  <c r="M123" i="42"/>
  <c r="M126" i="42" s="1"/>
  <c r="M136" i="42"/>
  <c r="M138" i="42" s="1"/>
  <c r="O123" i="55"/>
  <c r="O121" i="55"/>
  <c r="S106" i="55"/>
  <c r="R108" i="55"/>
  <c r="X103" i="57"/>
  <c r="Q107" i="57"/>
  <c r="Q106" i="57"/>
  <c r="Q111" i="57"/>
  <c r="S104" i="57"/>
  <c r="R105" i="57"/>
  <c r="Q114" i="55"/>
  <c r="Q110" i="55"/>
  <c r="Q109" i="55"/>
  <c r="L171" i="42"/>
  <c r="D172" i="42"/>
  <c r="I120" i="47"/>
  <c r="I122" i="47" s="1"/>
  <c r="N114" i="42"/>
  <c r="N120" i="42" s="1"/>
  <c r="N123" i="42" s="1"/>
  <c r="N126" i="42" s="1"/>
  <c r="P111" i="42"/>
  <c r="N83" i="47" s="1"/>
  <c r="Q109" i="42"/>
  <c r="O81" i="47" s="1"/>
  <c r="O112" i="42"/>
  <c r="M84" i="47" s="1"/>
  <c r="O113" i="42"/>
  <c r="M85" i="47" s="1"/>
  <c r="D172" i="57"/>
  <c r="E172" i="57" s="1"/>
  <c r="B172" i="57" s="1"/>
  <c r="V110" i="42"/>
  <c r="S109" i="57"/>
  <c r="R112" i="53"/>
  <c r="J148" i="47"/>
  <c r="J112" i="47"/>
  <c r="J114" i="47" s="1"/>
  <c r="J99" i="47"/>
  <c r="J101" i="47"/>
  <c r="D170" i="55"/>
  <c r="L169" i="55"/>
  <c r="M124" i="53"/>
  <c r="K86" i="47"/>
  <c r="K96" i="47" s="1"/>
  <c r="P115" i="53"/>
  <c r="P116" i="53"/>
  <c r="O170" i="57"/>
  <c r="G170" i="57"/>
  <c r="Q113" i="51"/>
  <c r="Q112" i="51"/>
  <c r="Q117" i="51"/>
  <c r="G172" i="42"/>
  <c r="Q115" i="56"/>
  <c r="Q111" i="56"/>
  <c r="Q110" i="56"/>
  <c r="D148" i="47"/>
  <c r="N148" i="47" s="1"/>
  <c r="G176" i="53"/>
  <c r="I174" i="51"/>
  <c r="N124" i="53"/>
  <c r="V115" i="42"/>
  <c r="L127" i="53"/>
  <c r="L129" i="53"/>
  <c r="L140" i="53"/>
  <c r="L142" i="53" s="1"/>
  <c r="Q113" i="53"/>
  <c r="Q114" i="53" s="1"/>
  <c r="N82" i="47"/>
  <c r="N89" i="47"/>
  <c r="O135" i="56"/>
  <c r="O137" i="56" s="1"/>
  <c r="O124" i="56"/>
  <c r="O122" i="56"/>
  <c r="G170" i="55"/>
  <c r="S109" i="51"/>
  <c r="R111" i="51"/>
  <c r="S107" i="56"/>
  <c r="R109" i="56"/>
  <c r="S112" i="55"/>
  <c r="P87" i="47"/>
  <c r="G171" i="56"/>
  <c r="N140" i="51" l="1"/>
  <c r="O170" i="56"/>
  <c r="B170" i="56"/>
  <c r="Q111" i="55"/>
  <c r="Q118" i="55" s="1"/>
  <c r="Q108" i="57"/>
  <c r="Q118" i="57" s="1"/>
  <c r="Q134" i="57" s="1"/>
  <c r="Q136" i="57" s="1"/>
  <c r="P123" i="57"/>
  <c r="P134" i="57"/>
  <c r="P136" i="57" s="1"/>
  <c r="N139" i="56"/>
  <c r="N138" i="56"/>
  <c r="D173" i="51"/>
  <c r="L172" i="51"/>
  <c r="P137" i="51"/>
  <c r="P139" i="51" s="1"/>
  <c r="P126" i="51"/>
  <c r="B175" i="53"/>
  <c r="O175" i="53"/>
  <c r="P117" i="53"/>
  <c r="P124" i="53" s="1"/>
  <c r="P142" i="57"/>
  <c r="P144" i="57" s="1"/>
  <c r="P135" i="56"/>
  <c r="P137" i="56" s="1"/>
  <c r="P124" i="56"/>
  <c r="Q114" i="51"/>
  <c r="Q121" i="51" s="1"/>
  <c r="Q124" i="51" s="1"/>
  <c r="O127" i="51"/>
  <c r="M144" i="42"/>
  <c r="M146" i="42" s="1"/>
  <c r="O124" i="55"/>
  <c r="O142" i="55"/>
  <c r="O144" i="55" s="1"/>
  <c r="Q112" i="56"/>
  <c r="Q119" i="56" s="1"/>
  <c r="Q124" i="56" s="1"/>
  <c r="P134" i="55"/>
  <c r="P136" i="55" s="1"/>
  <c r="P121" i="55"/>
  <c r="P123" i="55"/>
  <c r="T106" i="55"/>
  <c r="S108" i="55"/>
  <c r="R107" i="57"/>
  <c r="R111" i="57"/>
  <c r="R106" i="57"/>
  <c r="Y103" i="57"/>
  <c r="T104" i="57"/>
  <c r="S105" i="57"/>
  <c r="R114" i="55"/>
  <c r="R110" i="55"/>
  <c r="R109" i="55"/>
  <c r="N136" i="42"/>
  <c r="E172" i="42"/>
  <c r="N172" i="42"/>
  <c r="N129" i="42"/>
  <c r="N130" i="42" s="1"/>
  <c r="N137" i="42" s="1"/>
  <c r="L86" i="47"/>
  <c r="L96" i="47" s="1"/>
  <c r="L112" i="47" s="1"/>
  <c r="N125" i="42"/>
  <c r="O114" i="42"/>
  <c r="N144" i="42"/>
  <c r="R109" i="42"/>
  <c r="Q111" i="42"/>
  <c r="O83" i="47" s="1"/>
  <c r="P113" i="42"/>
  <c r="N85" i="47" s="1"/>
  <c r="P112" i="42"/>
  <c r="N84" i="47" s="1"/>
  <c r="D173" i="57"/>
  <c r="E173" i="57" s="1"/>
  <c r="B173" i="57" s="1"/>
  <c r="T112" i="55"/>
  <c r="Q87" i="47"/>
  <c r="R111" i="56"/>
  <c r="R115" i="56"/>
  <c r="R110" i="56"/>
  <c r="S112" i="53"/>
  <c r="J174" i="51"/>
  <c r="M129" i="53"/>
  <c r="M140" i="53"/>
  <c r="M142" i="53" s="1"/>
  <c r="M127" i="53"/>
  <c r="T109" i="51"/>
  <c r="S111" i="51"/>
  <c r="T109" i="57"/>
  <c r="I171" i="55"/>
  <c r="Q115" i="53"/>
  <c r="Q116" i="53"/>
  <c r="G148" i="47"/>
  <c r="O127" i="53"/>
  <c r="O140" i="53"/>
  <c r="O142" i="53" s="1"/>
  <c r="O129" i="53"/>
  <c r="O143" i="56"/>
  <c r="O145" i="56" s="1"/>
  <c r="O125" i="56"/>
  <c r="W115" i="42"/>
  <c r="R113" i="53"/>
  <c r="O82" i="47"/>
  <c r="I177" i="53"/>
  <c r="E148" i="47"/>
  <c r="J120" i="47"/>
  <c r="J122" i="47" s="1"/>
  <c r="J102" i="47"/>
  <c r="W110" i="42"/>
  <c r="L130" i="53"/>
  <c r="L148" i="53"/>
  <c r="L150" i="53" s="1"/>
  <c r="E170" i="55"/>
  <c r="N170" i="55"/>
  <c r="P125" i="56"/>
  <c r="P143" i="56"/>
  <c r="P145" i="56" s="1"/>
  <c r="I173" i="42"/>
  <c r="I171" i="57"/>
  <c r="L170" i="57"/>
  <c r="O89" i="47"/>
  <c r="P145" i="51"/>
  <c r="P147" i="51" s="1"/>
  <c r="P127" i="51"/>
  <c r="K112" i="47"/>
  <c r="K114" i="47" s="1"/>
  <c r="K101" i="47"/>
  <c r="K99" i="47"/>
  <c r="T107" i="56"/>
  <c r="S109" i="56"/>
  <c r="N140" i="53"/>
  <c r="N129" i="53"/>
  <c r="N127" i="53"/>
  <c r="N133" i="53"/>
  <c r="I172" i="56"/>
  <c r="R113" i="51"/>
  <c r="R117" i="51"/>
  <c r="R112" i="51"/>
  <c r="L170" i="56" l="1"/>
  <c r="D171" i="56"/>
  <c r="R108" i="57"/>
  <c r="R118" i="57" s="1"/>
  <c r="R134" i="57" s="1"/>
  <c r="R136" i="57" s="1"/>
  <c r="Q123" i="57"/>
  <c r="Q121" i="57"/>
  <c r="Q142" i="57" s="1"/>
  <c r="Q144" i="57" s="1"/>
  <c r="Q137" i="51"/>
  <c r="Q139" i="51" s="1"/>
  <c r="Q127" i="51"/>
  <c r="N173" i="51"/>
  <c r="E173" i="51"/>
  <c r="Q126" i="51"/>
  <c r="R114" i="51"/>
  <c r="R121" i="51" s="1"/>
  <c r="R124" i="51" s="1"/>
  <c r="L175" i="53"/>
  <c r="D176" i="53"/>
  <c r="R111" i="55"/>
  <c r="R118" i="55" s="1"/>
  <c r="Q135" i="56"/>
  <c r="Q137" i="56" s="1"/>
  <c r="Q122" i="56"/>
  <c r="Q143" i="56" s="1"/>
  <c r="Q145" i="56" s="1"/>
  <c r="R112" i="56"/>
  <c r="R119" i="56" s="1"/>
  <c r="R135" i="56" s="1"/>
  <c r="R137" i="56" s="1"/>
  <c r="N138" i="42"/>
  <c r="L99" i="47"/>
  <c r="L102" i="47" s="1"/>
  <c r="S110" i="55"/>
  <c r="S114" i="55"/>
  <c r="S109" i="55"/>
  <c r="P89" i="47"/>
  <c r="S106" i="57"/>
  <c r="S111" i="57"/>
  <c r="S107" i="57"/>
  <c r="U106" i="55"/>
  <c r="T108" i="55"/>
  <c r="U104" i="57"/>
  <c r="T105" i="57"/>
  <c r="Q123" i="55"/>
  <c r="Q121" i="55"/>
  <c r="Q134" i="55"/>
  <c r="Q136" i="55" s="1"/>
  <c r="Z103" i="57"/>
  <c r="P124" i="55"/>
  <c r="P142" i="55"/>
  <c r="P144" i="55" s="1"/>
  <c r="L101" i="47"/>
  <c r="B172" i="42"/>
  <c r="O172" i="42"/>
  <c r="Q113" i="42"/>
  <c r="O85" i="47" s="1"/>
  <c r="Q112" i="42"/>
  <c r="O84" i="47" s="1"/>
  <c r="S109" i="42"/>
  <c r="Q81" i="47" s="1"/>
  <c r="R111" i="42"/>
  <c r="P114" i="42"/>
  <c r="P81" i="47"/>
  <c r="O120" i="42"/>
  <c r="M86" i="47"/>
  <c r="M96" i="47" s="1"/>
  <c r="D174" i="57"/>
  <c r="E174" i="57" s="1"/>
  <c r="B174" i="57" s="1"/>
  <c r="B148" i="47"/>
  <c r="L148" i="47" s="1"/>
  <c r="P140" i="53"/>
  <c r="P142" i="53" s="1"/>
  <c r="P127" i="53"/>
  <c r="P129" i="53"/>
  <c r="I149" i="47"/>
  <c r="M130" i="53"/>
  <c r="M148" i="53"/>
  <c r="M150" i="53" s="1"/>
  <c r="X115" i="42"/>
  <c r="S113" i="51"/>
  <c r="S117" i="51"/>
  <c r="S112" i="51"/>
  <c r="X110" i="42"/>
  <c r="N134" i="53"/>
  <c r="L105" i="47"/>
  <c r="S111" i="56"/>
  <c r="S110" i="56"/>
  <c r="S115" i="56"/>
  <c r="O148" i="47"/>
  <c r="Q117" i="53"/>
  <c r="J173" i="42"/>
  <c r="S113" i="53"/>
  <c r="S114" i="53" s="1"/>
  <c r="P82" i="47"/>
  <c r="K102" i="47"/>
  <c r="K120" i="47"/>
  <c r="K122" i="47" s="1"/>
  <c r="J177" i="53"/>
  <c r="U109" i="51"/>
  <c r="T111" i="51"/>
  <c r="J171" i="55"/>
  <c r="N130" i="53"/>
  <c r="N148" i="53"/>
  <c r="O130" i="53"/>
  <c r="O148" i="53"/>
  <c r="O150" i="53" s="1"/>
  <c r="T112" i="53"/>
  <c r="J172" i="56"/>
  <c r="G174" i="51"/>
  <c r="U107" i="56"/>
  <c r="T109" i="56"/>
  <c r="N171" i="57"/>
  <c r="J171" i="57"/>
  <c r="B170" i="55"/>
  <c r="O170" i="55"/>
  <c r="U109" i="57"/>
  <c r="R114" i="53"/>
  <c r="U112" i="55"/>
  <c r="R87" i="47"/>
  <c r="E171" i="56" l="1"/>
  <c r="N171" i="56"/>
  <c r="R121" i="57"/>
  <c r="R142" i="57" s="1"/>
  <c r="R144" i="57" s="1"/>
  <c r="R123" i="57"/>
  <c r="Q124" i="57"/>
  <c r="Q125" i="56"/>
  <c r="R137" i="51"/>
  <c r="R139" i="51" s="1"/>
  <c r="R145" i="51"/>
  <c r="R147" i="51" s="1"/>
  <c r="Q145" i="51"/>
  <c r="Q147" i="51" s="1"/>
  <c r="O173" i="51"/>
  <c r="B173" i="51"/>
  <c r="S114" i="51"/>
  <c r="S121" i="51" s="1"/>
  <c r="S124" i="51" s="1"/>
  <c r="E176" i="53"/>
  <c r="N176" i="53"/>
  <c r="S111" i="55"/>
  <c r="S118" i="55" s="1"/>
  <c r="R124" i="56"/>
  <c r="R122" i="56"/>
  <c r="R143" i="56" s="1"/>
  <c r="R145" i="56" s="1"/>
  <c r="S112" i="56"/>
  <c r="S119" i="56" s="1"/>
  <c r="S124" i="56" s="1"/>
  <c r="R126" i="51"/>
  <c r="L120" i="47"/>
  <c r="N139" i="42"/>
  <c r="N140" i="42"/>
  <c r="AA103" i="57"/>
  <c r="T111" i="57"/>
  <c r="T106" i="57"/>
  <c r="T107" i="57"/>
  <c r="V106" i="55"/>
  <c r="U108" i="55"/>
  <c r="V104" i="57"/>
  <c r="U105" i="57"/>
  <c r="S108" i="57"/>
  <c r="S118" i="57" s="1"/>
  <c r="Q124" i="55"/>
  <c r="Q142" i="55"/>
  <c r="Q144" i="55" s="1"/>
  <c r="R123" i="55"/>
  <c r="R121" i="55"/>
  <c r="R134" i="55"/>
  <c r="R136" i="55" s="1"/>
  <c r="Q89" i="47"/>
  <c r="T110" i="55"/>
  <c r="T114" i="55"/>
  <c r="T109" i="55"/>
  <c r="D173" i="42"/>
  <c r="L172" i="42"/>
  <c r="Q114" i="42"/>
  <c r="Q120" i="42" s="1"/>
  <c r="Q136" i="42" s="1"/>
  <c r="Q138" i="42" s="1"/>
  <c r="R113" i="42"/>
  <c r="R112" i="42"/>
  <c r="S111" i="42"/>
  <c r="Q83" i="47" s="1"/>
  <c r="T109" i="42"/>
  <c r="R81" i="47" s="1"/>
  <c r="P120" i="42"/>
  <c r="N86" i="47"/>
  <c r="N96" i="47" s="1"/>
  <c r="M112" i="47"/>
  <c r="M114" i="47" s="1"/>
  <c r="M99" i="47"/>
  <c r="M101" i="47"/>
  <c r="O136" i="42"/>
  <c r="O138" i="42" s="1"/>
  <c r="O125" i="42"/>
  <c r="O123" i="42"/>
  <c r="O126" i="42" s="1"/>
  <c r="G172" i="56"/>
  <c r="O171" i="57"/>
  <c r="G171" i="57"/>
  <c r="P130" i="53"/>
  <c r="P148" i="53"/>
  <c r="P150" i="53" s="1"/>
  <c r="T113" i="53"/>
  <c r="T114" i="53" s="1"/>
  <c r="Q82" i="47"/>
  <c r="U112" i="53"/>
  <c r="V109" i="57"/>
  <c r="V109" i="51"/>
  <c r="U111" i="51"/>
  <c r="D175" i="57"/>
  <c r="E175" i="57" s="1"/>
  <c r="B175" i="57" s="1"/>
  <c r="V112" i="55"/>
  <c r="S87" i="47"/>
  <c r="T110" i="56"/>
  <c r="T115" i="56"/>
  <c r="T111" i="56"/>
  <c r="R115" i="53"/>
  <c r="R116" i="53"/>
  <c r="P83" i="47"/>
  <c r="V107" i="56"/>
  <c r="U109" i="56"/>
  <c r="G173" i="42"/>
  <c r="N141" i="53"/>
  <c r="N142" i="53" s="1"/>
  <c r="L106" i="47"/>
  <c r="T113" i="51"/>
  <c r="T117" i="51"/>
  <c r="T112" i="51"/>
  <c r="G171" i="55"/>
  <c r="G177" i="53"/>
  <c r="I175" i="51"/>
  <c r="Y110" i="42"/>
  <c r="Y115" i="42"/>
  <c r="J149" i="47"/>
  <c r="D149" i="47"/>
  <c r="N149" i="47" s="1"/>
  <c r="D171" i="55"/>
  <c r="L170" i="55"/>
  <c r="S116" i="53"/>
  <c r="S115" i="53"/>
  <c r="Q124" i="53"/>
  <c r="B171" i="56" l="1"/>
  <c r="O171" i="56"/>
  <c r="R124" i="57"/>
  <c r="T108" i="57"/>
  <c r="T118" i="57" s="1"/>
  <c r="T134" i="57" s="1"/>
  <c r="T136" i="57" s="1"/>
  <c r="S135" i="56"/>
  <c r="S137" i="56" s="1"/>
  <c r="S137" i="51"/>
  <c r="S139" i="51" s="1"/>
  <c r="L173" i="51"/>
  <c r="D174" i="51"/>
  <c r="R127" i="51"/>
  <c r="S126" i="51"/>
  <c r="B176" i="53"/>
  <c r="O176" i="53"/>
  <c r="T114" i="51"/>
  <c r="T121" i="51" s="1"/>
  <c r="T124" i="51" s="1"/>
  <c r="T111" i="55"/>
  <c r="T118" i="55" s="1"/>
  <c r="R125" i="56"/>
  <c r="S122" i="56"/>
  <c r="S143" i="56" s="1"/>
  <c r="S145" i="56" s="1"/>
  <c r="P85" i="47"/>
  <c r="R89" i="47"/>
  <c r="T112" i="56"/>
  <c r="T119" i="56" s="1"/>
  <c r="T135" i="56" s="1"/>
  <c r="T137" i="56" s="1"/>
  <c r="W104" i="57"/>
  <c r="V105" i="57"/>
  <c r="O86" i="47"/>
  <c r="O96" i="47" s="1"/>
  <c r="O112" i="47" s="1"/>
  <c r="O114" i="47" s="1"/>
  <c r="S121" i="55"/>
  <c r="S123" i="55"/>
  <c r="S134" i="55"/>
  <c r="S136" i="55" s="1"/>
  <c r="U110" i="55"/>
  <c r="U114" i="55"/>
  <c r="U109" i="55"/>
  <c r="W106" i="55"/>
  <c r="V108" i="55"/>
  <c r="R117" i="53"/>
  <c r="Q125" i="42"/>
  <c r="R124" i="55"/>
  <c r="R142" i="55"/>
  <c r="R144" i="55" s="1"/>
  <c r="S121" i="57"/>
  <c r="S134" i="57"/>
  <c r="S136" i="57" s="1"/>
  <c r="S123" i="57"/>
  <c r="U111" i="57"/>
  <c r="U107" i="57"/>
  <c r="U106" i="57"/>
  <c r="Q123" i="42"/>
  <c r="AB103" i="57"/>
  <c r="P84" i="47"/>
  <c r="E173" i="42"/>
  <c r="N173" i="42"/>
  <c r="R114" i="42"/>
  <c r="R120" i="42" s="1"/>
  <c r="R136" i="42" s="1"/>
  <c r="R138" i="42" s="1"/>
  <c r="N112" i="47"/>
  <c r="N114" i="47" s="1"/>
  <c r="N101" i="47"/>
  <c r="N99" i="47"/>
  <c r="P136" i="42"/>
  <c r="P138" i="42" s="1"/>
  <c r="P123" i="42"/>
  <c r="P126" i="42" s="1"/>
  <c r="P125" i="42"/>
  <c r="U109" i="42"/>
  <c r="T111" i="42"/>
  <c r="R83" i="47" s="1"/>
  <c r="O144" i="42"/>
  <c r="O146" i="42" s="1"/>
  <c r="S113" i="42"/>
  <c r="Q85" i="47" s="1"/>
  <c r="S112" i="42"/>
  <c r="Q84" i="47" s="1"/>
  <c r="M120" i="47"/>
  <c r="M122" i="47" s="1"/>
  <c r="M102" i="47"/>
  <c r="D176" i="57"/>
  <c r="E176" i="57" s="1"/>
  <c r="B176" i="57" s="1"/>
  <c r="Z115" i="42"/>
  <c r="V112" i="53"/>
  <c r="I173" i="56"/>
  <c r="Z110" i="42"/>
  <c r="W112" i="55"/>
  <c r="T87" i="47"/>
  <c r="G149" i="47"/>
  <c r="L113" i="47"/>
  <c r="L114" i="47" s="1"/>
  <c r="U113" i="53"/>
  <c r="U114" i="53" s="1"/>
  <c r="R82" i="47"/>
  <c r="S145" i="51"/>
  <c r="S147" i="51" s="1"/>
  <c r="S127" i="51"/>
  <c r="Q129" i="53"/>
  <c r="Q127" i="53"/>
  <c r="Q140" i="53"/>
  <c r="Q142" i="53" s="1"/>
  <c r="W107" i="56"/>
  <c r="V109" i="56"/>
  <c r="U113" i="51"/>
  <c r="U112" i="51"/>
  <c r="U117" i="51"/>
  <c r="I174" i="42"/>
  <c r="T115" i="53"/>
  <c r="T116" i="53"/>
  <c r="W109" i="57"/>
  <c r="I178" i="53"/>
  <c r="I172" i="55"/>
  <c r="L171" i="57"/>
  <c r="I172" i="57"/>
  <c r="S117" i="53"/>
  <c r="U111" i="56"/>
  <c r="U110" i="56"/>
  <c r="U115" i="56"/>
  <c r="E171" i="55"/>
  <c r="N171" i="55"/>
  <c r="E149" i="47"/>
  <c r="O149" i="47" s="1"/>
  <c r="J175" i="51"/>
  <c r="N143" i="53"/>
  <c r="E6" i="53" s="1"/>
  <c r="G7" i="47" s="1"/>
  <c r="N144" i="53"/>
  <c r="F6" i="53" s="1"/>
  <c r="W109" i="51"/>
  <c r="V111" i="51"/>
  <c r="L171" i="56" l="1"/>
  <c r="D172" i="56"/>
  <c r="S125" i="56"/>
  <c r="T123" i="57"/>
  <c r="T121" i="57"/>
  <c r="T124" i="57" s="1"/>
  <c r="U108" i="57"/>
  <c r="U118" i="57" s="1"/>
  <c r="U134" i="57" s="1"/>
  <c r="U136" i="57" s="1"/>
  <c r="T137" i="51"/>
  <c r="T139" i="51" s="1"/>
  <c r="T145" i="51"/>
  <c r="T147" i="51" s="1"/>
  <c r="E174" i="51"/>
  <c r="N174" i="51"/>
  <c r="D177" i="53"/>
  <c r="L176" i="53"/>
  <c r="Q144" i="42"/>
  <c r="Q146" i="42" s="1"/>
  <c r="Q126" i="42"/>
  <c r="T126" i="51"/>
  <c r="P86" i="47"/>
  <c r="P96" i="47" s="1"/>
  <c r="P99" i="47" s="1"/>
  <c r="R123" i="42"/>
  <c r="R126" i="42" s="1"/>
  <c r="U112" i="56"/>
  <c r="U119" i="56" s="1"/>
  <c r="U135" i="56" s="1"/>
  <c r="U137" i="56" s="1"/>
  <c r="T124" i="56"/>
  <c r="T122" i="56"/>
  <c r="T125" i="56" s="1"/>
  <c r="U111" i="55"/>
  <c r="U118" i="55" s="1"/>
  <c r="O101" i="47"/>
  <c r="T121" i="55"/>
  <c r="T134" i="55"/>
  <c r="T136" i="55" s="1"/>
  <c r="T123" i="55"/>
  <c r="R124" i="53"/>
  <c r="R127" i="53" s="1"/>
  <c r="X106" i="55"/>
  <c r="W108" i="55"/>
  <c r="U114" i="51"/>
  <c r="U121" i="51" s="1"/>
  <c r="U124" i="51" s="1"/>
  <c r="AC103" i="57"/>
  <c r="S142" i="57"/>
  <c r="S144" i="57" s="1"/>
  <c r="S124" i="57"/>
  <c r="O99" i="47"/>
  <c r="O120" i="47" s="1"/>
  <c r="O122" i="47" s="1"/>
  <c r="V114" i="55"/>
  <c r="V110" i="55"/>
  <c r="V109" i="55"/>
  <c r="V106" i="57"/>
  <c r="V111" i="57"/>
  <c r="V107" i="57"/>
  <c r="S124" i="55"/>
  <c r="S142" i="55"/>
  <c r="S144" i="55" s="1"/>
  <c r="X104" i="57"/>
  <c r="W105" i="57"/>
  <c r="B173" i="42"/>
  <c r="O173" i="42"/>
  <c r="R125" i="42"/>
  <c r="S114" i="42"/>
  <c r="S120" i="42" s="1"/>
  <c r="S136" i="42" s="1"/>
  <c r="S138" i="42" s="1"/>
  <c r="U111" i="42"/>
  <c r="S83" i="47" s="1"/>
  <c r="V109" i="42"/>
  <c r="T81" i="47" s="1"/>
  <c r="P144" i="42"/>
  <c r="P146" i="42" s="1"/>
  <c r="N102" i="47"/>
  <c r="N120" i="47"/>
  <c r="N122" i="47" s="1"/>
  <c r="T113" i="42"/>
  <c r="R85" i="47" s="1"/>
  <c r="T112" i="42"/>
  <c r="R84" i="47" s="1"/>
  <c r="S81" i="47"/>
  <c r="S124" i="53"/>
  <c r="O171" i="55"/>
  <c r="B171" i="55"/>
  <c r="N172" i="57"/>
  <c r="J172" i="57"/>
  <c r="Q148" i="53"/>
  <c r="Q150" i="53" s="1"/>
  <c r="Q130" i="53"/>
  <c r="I150" i="47"/>
  <c r="J173" i="56"/>
  <c r="W112" i="53"/>
  <c r="T117" i="53"/>
  <c r="S89" i="47"/>
  <c r="X112" i="55"/>
  <c r="U87" i="47"/>
  <c r="U115" i="53"/>
  <c r="U116" i="53"/>
  <c r="G175" i="51"/>
  <c r="V117" i="51"/>
  <c r="V113" i="51"/>
  <c r="V112" i="51"/>
  <c r="J172" i="55"/>
  <c r="V111" i="56"/>
  <c r="V115" i="56"/>
  <c r="V110" i="56"/>
  <c r="V113" i="53"/>
  <c r="V114" i="53" s="1"/>
  <c r="S82" i="47"/>
  <c r="D177" i="57"/>
  <c r="AA115" i="42"/>
  <c r="J174" i="42"/>
  <c r="J178" i="53"/>
  <c r="AA110" i="42"/>
  <c r="X109" i="51"/>
  <c r="W111" i="51"/>
  <c r="B149" i="47"/>
  <c r="L149" i="47" s="1"/>
  <c r="X109" i="57"/>
  <c r="X107" i="56"/>
  <c r="W109" i="56"/>
  <c r="E172" i="56" l="1"/>
  <c r="N172" i="56"/>
  <c r="T142" i="57"/>
  <c r="T144" i="57" s="1"/>
  <c r="V108" i="57"/>
  <c r="V118" i="57" s="1"/>
  <c r="V134" i="57" s="1"/>
  <c r="V136" i="57" s="1"/>
  <c r="U121" i="57"/>
  <c r="U124" i="57" s="1"/>
  <c r="U123" i="57"/>
  <c r="U137" i="51"/>
  <c r="U139" i="51" s="1"/>
  <c r="U145" i="51"/>
  <c r="U147" i="51" s="1"/>
  <c r="O174" i="51"/>
  <c r="B174" i="51"/>
  <c r="E177" i="53"/>
  <c r="N177" i="53"/>
  <c r="R140" i="53"/>
  <c r="R142" i="53" s="1"/>
  <c r="S140" i="42"/>
  <c r="F6" i="42" s="1"/>
  <c r="S139" i="42"/>
  <c r="E6" i="42" s="1"/>
  <c r="C7" i="47" s="1"/>
  <c r="R144" i="42"/>
  <c r="R146" i="42" s="1"/>
  <c r="T127" i="51"/>
  <c r="P101" i="47"/>
  <c r="P112" i="47"/>
  <c r="P114" i="47" s="1"/>
  <c r="V123" i="57"/>
  <c r="U124" i="56"/>
  <c r="U122" i="56"/>
  <c r="U143" i="56" s="1"/>
  <c r="U145" i="56" s="1"/>
  <c r="T143" i="56"/>
  <c r="T145" i="56" s="1"/>
  <c r="V114" i="51"/>
  <c r="V121" i="51" s="1"/>
  <c r="V124" i="51" s="1"/>
  <c r="R129" i="53"/>
  <c r="U117" i="53"/>
  <c r="U124" i="53" s="1"/>
  <c r="T124" i="55"/>
  <c r="T142" i="55"/>
  <c r="T144" i="55" s="1"/>
  <c r="O102" i="47"/>
  <c r="Y106" i="55"/>
  <c r="X108" i="55"/>
  <c r="U126" i="51"/>
  <c r="Y104" i="57"/>
  <c r="X105" i="57"/>
  <c r="U134" i="55"/>
  <c r="U136" i="55" s="1"/>
  <c r="U123" i="55"/>
  <c r="U121" i="55"/>
  <c r="AD103" i="57"/>
  <c r="V112" i="56"/>
  <c r="V119" i="56" s="1"/>
  <c r="V122" i="56" s="1"/>
  <c r="V111" i="55"/>
  <c r="V118" i="55" s="1"/>
  <c r="W110" i="55"/>
  <c r="W114" i="55"/>
  <c r="W109" i="55"/>
  <c r="T89" i="47"/>
  <c r="W106" i="57"/>
  <c r="W111" i="57"/>
  <c r="W107" i="57"/>
  <c r="D174" i="42"/>
  <c r="L173" i="42"/>
  <c r="Q86" i="47"/>
  <c r="Q96" i="47" s="1"/>
  <c r="Q99" i="47" s="1"/>
  <c r="S125" i="42"/>
  <c r="T114" i="42"/>
  <c r="T120" i="42" s="1"/>
  <c r="T136" i="42" s="1"/>
  <c r="T138" i="42" s="1"/>
  <c r="S123" i="42"/>
  <c r="U113" i="42"/>
  <c r="S85" i="47" s="1"/>
  <c r="U112" i="42"/>
  <c r="S84" i="47" s="1"/>
  <c r="W109" i="42"/>
  <c r="V111" i="42"/>
  <c r="W117" i="51"/>
  <c r="W112" i="51"/>
  <c r="W113" i="51"/>
  <c r="E177" i="57"/>
  <c r="S165" i="57"/>
  <c r="Y109" i="51"/>
  <c r="X111" i="51"/>
  <c r="T124" i="53"/>
  <c r="W110" i="56"/>
  <c r="W111" i="56"/>
  <c r="W115" i="56"/>
  <c r="X112" i="53"/>
  <c r="J150" i="47"/>
  <c r="Y107" i="56"/>
  <c r="X109" i="56"/>
  <c r="W113" i="53"/>
  <c r="W114" i="53" s="1"/>
  <c r="T82" i="47"/>
  <c r="G172" i="55"/>
  <c r="R130" i="53"/>
  <c r="R148" i="53"/>
  <c r="R150" i="53" s="1"/>
  <c r="G173" i="56"/>
  <c r="I176" i="51"/>
  <c r="Y112" i="55"/>
  <c r="V87" i="47"/>
  <c r="O172" i="57"/>
  <c r="G172" i="57"/>
  <c r="G174" i="42"/>
  <c r="V116" i="53"/>
  <c r="V115" i="53"/>
  <c r="AB110" i="42"/>
  <c r="G178" i="53"/>
  <c r="P102" i="47"/>
  <c r="P120" i="47"/>
  <c r="P122" i="47" s="1"/>
  <c r="Y109" i="57"/>
  <c r="D172" i="55"/>
  <c r="L171" i="55"/>
  <c r="D150" i="47"/>
  <c r="E150" i="47" s="1"/>
  <c r="B150" i="47" s="1"/>
  <c r="AB115" i="42"/>
  <c r="S140" i="53"/>
  <c r="S142" i="53" s="1"/>
  <c r="S127" i="53"/>
  <c r="S129" i="53"/>
  <c r="B172" i="56" l="1"/>
  <c r="O172" i="56"/>
  <c r="V121" i="57"/>
  <c r="V124" i="57" s="1"/>
  <c r="U142" i="57"/>
  <c r="U144" i="57" s="1"/>
  <c r="W108" i="57"/>
  <c r="W118" i="57" s="1"/>
  <c r="W123" i="57" s="1"/>
  <c r="V124" i="56"/>
  <c r="L174" i="51"/>
  <c r="D175" i="51"/>
  <c r="U127" i="51"/>
  <c r="B177" i="53"/>
  <c r="O177" i="53"/>
  <c r="S144" i="42"/>
  <c r="S146" i="42" s="1"/>
  <c r="S126" i="42"/>
  <c r="W114" i="51"/>
  <c r="W121" i="51" s="1"/>
  <c r="W124" i="51" s="1"/>
  <c r="V137" i="51"/>
  <c r="V139" i="51" s="1"/>
  <c r="V142" i="57"/>
  <c r="V144" i="57" s="1"/>
  <c r="U125" i="56"/>
  <c r="U89" i="47"/>
  <c r="V135" i="56"/>
  <c r="V137" i="56" s="1"/>
  <c r="V126" i="51"/>
  <c r="V117" i="53"/>
  <c r="V124" i="53" s="1"/>
  <c r="Q112" i="47"/>
  <c r="Q114" i="47" s="1"/>
  <c r="P9" i="47"/>
  <c r="Q101" i="47"/>
  <c r="AE103" i="57"/>
  <c r="X106" i="57"/>
  <c r="X107" i="57"/>
  <c r="X111" i="57"/>
  <c r="Z106" i="55"/>
  <c r="Y108" i="55"/>
  <c r="W112" i="56"/>
  <c r="W119" i="56" s="1"/>
  <c r="W124" i="56" s="1"/>
  <c r="V134" i="55"/>
  <c r="V136" i="55" s="1"/>
  <c r="V121" i="55"/>
  <c r="V123" i="55"/>
  <c r="U142" i="55"/>
  <c r="U144" i="55" s="1"/>
  <c r="U124" i="55"/>
  <c r="Z104" i="57"/>
  <c r="Y105" i="57"/>
  <c r="W111" i="55"/>
  <c r="W118" i="55" s="1"/>
  <c r="X110" i="55"/>
  <c r="X114" i="55"/>
  <c r="X109" i="55"/>
  <c r="E174" i="42"/>
  <c r="N174" i="42"/>
  <c r="R86" i="47"/>
  <c r="R96" i="47" s="1"/>
  <c r="R101" i="47" s="1"/>
  <c r="T123" i="42"/>
  <c r="U114" i="42"/>
  <c r="U120" i="42" s="1"/>
  <c r="U136" i="42" s="1"/>
  <c r="U138" i="42" s="1"/>
  <c r="T125" i="42"/>
  <c r="X109" i="42"/>
  <c r="W111" i="42"/>
  <c r="U83" i="47" s="1"/>
  <c r="V113" i="42"/>
  <c r="T85" i="47" s="1"/>
  <c r="V112" i="42"/>
  <c r="T84" i="47" s="1"/>
  <c r="T83" i="47"/>
  <c r="U81" i="47"/>
  <c r="Q102" i="47"/>
  <c r="Q120" i="47"/>
  <c r="Q122" i="47" s="1"/>
  <c r="Y112" i="53"/>
  <c r="I179" i="53"/>
  <c r="L172" i="57"/>
  <c r="I173" i="57"/>
  <c r="O150" i="47"/>
  <c r="G150" i="47"/>
  <c r="AC110" i="42"/>
  <c r="X113" i="53"/>
  <c r="X114" i="53" s="1"/>
  <c r="U82" i="47"/>
  <c r="N150" i="47"/>
  <c r="X113" i="51"/>
  <c r="X117" i="51"/>
  <c r="X112" i="51"/>
  <c r="V145" i="51"/>
  <c r="V147" i="51" s="1"/>
  <c r="V127" i="51"/>
  <c r="J176" i="51"/>
  <c r="S148" i="53"/>
  <c r="S150" i="53" s="1"/>
  <c r="S130" i="53"/>
  <c r="AC115" i="42"/>
  <c r="E172" i="55"/>
  <c r="N172" i="55"/>
  <c r="U129" i="53"/>
  <c r="U140" i="53"/>
  <c r="U142" i="53" s="1"/>
  <c r="U127" i="53"/>
  <c r="Z112" i="55"/>
  <c r="W87" i="47"/>
  <c r="I174" i="56"/>
  <c r="X111" i="56"/>
  <c r="X115" i="56"/>
  <c r="X110" i="56"/>
  <c r="Y111" i="51"/>
  <c r="Z109" i="51"/>
  <c r="T140" i="53"/>
  <c r="T142" i="53" s="1"/>
  <c r="T129" i="53"/>
  <c r="T127" i="53"/>
  <c r="Z107" i="56"/>
  <c r="Y109" i="56"/>
  <c r="I173" i="55"/>
  <c r="D151" i="47"/>
  <c r="E151" i="47" s="1"/>
  <c r="B151" i="47" s="1"/>
  <c r="Z109" i="57"/>
  <c r="I175" i="42"/>
  <c r="W116" i="53"/>
  <c r="W115" i="53"/>
  <c r="T165" i="57"/>
  <c r="B177" i="57"/>
  <c r="V125" i="56"/>
  <c r="V143" i="56"/>
  <c r="V145" i="56" s="1"/>
  <c r="L172" i="56" l="1"/>
  <c r="D173" i="56"/>
  <c r="W121" i="57"/>
  <c r="W124" i="57" s="1"/>
  <c r="W134" i="57"/>
  <c r="W136" i="57" s="1"/>
  <c r="X108" i="57"/>
  <c r="X118" i="57" s="1"/>
  <c r="X121" i="57" s="1"/>
  <c r="X142" i="57" s="1"/>
  <c r="X144" i="57" s="1"/>
  <c r="W126" i="51"/>
  <c r="E175" i="51"/>
  <c r="N175" i="51"/>
  <c r="W137" i="51"/>
  <c r="W139" i="51" s="1"/>
  <c r="X114" i="51"/>
  <c r="X121" i="51" s="1"/>
  <c r="X124" i="51" s="1"/>
  <c r="W145" i="51"/>
  <c r="W147" i="51" s="1"/>
  <c r="D178" i="53"/>
  <c r="L177" i="53"/>
  <c r="Q116" i="47"/>
  <c r="Q115" i="47"/>
  <c r="P7" i="47" s="1"/>
  <c r="T144" i="42"/>
  <c r="T146" i="42" s="1"/>
  <c r="T126" i="42"/>
  <c r="W122" i="56"/>
  <c r="W125" i="56" s="1"/>
  <c r="W142" i="57"/>
  <c r="W144" i="57" s="1"/>
  <c r="W135" i="56"/>
  <c r="W137" i="56" s="1"/>
  <c r="W123" i="55"/>
  <c r="W134" i="55"/>
  <c r="W136" i="55" s="1"/>
  <c r="W121" i="55"/>
  <c r="AF103" i="57"/>
  <c r="Y114" i="55"/>
  <c r="Y110" i="55"/>
  <c r="Y109" i="55"/>
  <c r="V89" i="47"/>
  <c r="AA104" i="57"/>
  <c r="Z105" i="57"/>
  <c r="V142" i="55"/>
  <c r="V144" i="55" s="1"/>
  <c r="V124" i="55"/>
  <c r="AA106" i="55"/>
  <c r="Z108" i="55"/>
  <c r="Y106" i="57"/>
  <c r="Y107" i="57"/>
  <c r="Y111" i="57"/>
  <c r="X112" i="56"/>
  <c r="X119" i="56" s="1"/>
  <c r="X124" i="56" s="1"/>
  <c r="U123" i="42"/>
  <c r="U126" i="42" s="1"/>
  <c r="X111" i="55"/>
  <c r="X118" i="55" s="1"/>
  <c r="B174" i="42"/>
  <c r="O174" i="42"/>
  <c r="R99" i="47"/>
  <c r="R120" i="47" s="1"/>
  <c r="R122" i="47" s="1"/>
  <c r="R112" i="47"/>
  <c r="R114" i="47" s="1"/>
  <c r="S86" i="47"/>
  <c r="S96" i="47" s="1"/>
  <c r="S99" i="47" s="1"/>
  <c r="S102" i="47" s="1"/>
  <c r="U125" i="42"/>
  <c r="V114" i="42"/>
  <c r="V120" i="42" s="1"/>
  <c r="Y109" i="42"/>
  <c r="W81" i="47" s="1"/>
  <c r="X111" i="42"/>
  <c r="V83" i="47" s="1"/>
  <c r="W113" i="42"/>
  <c r="U85" i="47" s="1"/>
  <c r="W112" i="42"/>
  <c r="U84" i="47" s="1"/>
  <c r="V81" i="47"/>
  <c r="X115" i="53"/>
  <c r="X116" i="53"/>
  <c r="G176" i="51"/>
  <c r="V129" i="53"/>
  <c r="V127" i="53"/>
  <c r="V140" i="53"/>
  <c r="V142" i="53" s="1"/>
  <c r="AA109" i="57"/>
  <c r="AA107" i="56"/>
  <c r="Z109" i="56"/>
  <c r="J179" i="53"/>
  <c r="W117" i="53"/>
  <c r="J174" i="56"/>
  <c r="T130" i="53"/>
  <c r="T148" i="53"/>
  <c r="T150" i="53" s="1"/>
  <c r="N173" i="57"/>
  <c r="J173" i="57"/>
  <c r="J175" i="42"/>
  <c r="J173" i="55"/>
  <c r="AA112" i="55"/>
  <c r="X87" i="47"/>
  <c r="AD115" i="42"/>
  <c r="Q165" i="57"/>
  <c r="D178" i="57"/>
  <c r="Y111" i="56"/>
  <c r="Y115" i="56"/>
  <c r="Y110" i="56"/>
  <c r="L150" i="47"/>
  <c r="I151" i="47"/>
  <c r="D152" i="47"/>
  <c r="E152" i="47" s="1"/>
  <c r="B152" i="47" s="1"/>
  <c r="B172" i="55"/>
  <c r="O172" i="55"/>
  <c r="AA109" i="51"/>
  <c r="Z111" i="51"/>
  <c r="U148" i="53"/>
  <c r="U150" i="53" s="1"/>
  <c r="U130" i="53"/>
  <c r="AD110" i="42"/>
  <c r="Z112" i="53"/>
  <c r="Y112" i="51"/>
  <c r="Y117" i="51"/>
  <c r="Y113" i="51"/>
  <c r="Y113" i="53"/>
  <c r="V82" i="47"/>
  <c r="N173" i="56" l="1"/>
  <c r="E173" i="56"/>
  <c r="X123" i="57"/>
  <c r="X134" i="57"/>
  <c r="X136" i="57" s="1"/>
  <c r="Y108" i="57"/>
  <c r="Y118" i="57" s="1"/>
  <c r="Y134" i="57" s="1"/>
  <c r="Y136" i="57" s="1"/>
  <c r="W143" i="56"/>
  <c r="W145" i="56" s="1"/>
  <c r="X137" i="51"/>
  <c r="X139" i="51" s="1"/>
  <c r="B175" i="51"/>
  <c r="O175" i="51"/>
  <c r="W127" i="51"/>
  <c r="E178" i="53"/>
  <c r="N178" i="53"/>
  <c r="X145" i="51"/>
  <c r="X147" i="51" s="1"/>
  <c r="X126" i="51"/>
  <c r="Y111" i="55"/>
  <c r="Y118" i="55" s="1"/>
  <c r="Y121" i="55" s="1"/>
  <c r="Y142" i="55" s="1"/>
  <c r="Y144" i="55" s="1"/>
  <c r="X124" i="57"/>
  <c r="X122" i="56"/>
  <c r="X125" i="56" s="1"/>
  <c r="X135" i="56"/>
  <c r="X137" i="56" s="1"/>
  <c r="Y114" i="51"/>
  <c r="Y121" i="51" s="1"/>
  <c r="Y124" i="51" s="1"/>
  <c r="Y112" i="56"/>
  <c r="Y119" i="56" s="1"/>
  <c r="Y124" i="56" s="1"/>
  <c r="U144" i="42"/>
  <c r="U146" i="42" s="1"/>
  <c r="X121" i="55"/>
  <c r="X123" i="55"/>
  <c r="X134" i="55"/>
  <c r="X136" i="55" s="1"/>
  <c r="AG103" i="57"/>
  <c r="Z114" i="55"/>
  <c r="Z110" i="55"/>
  <c r="Z109" i="55"/>
  <c r="Z111" i="57"/>
  <c r="Z106" i="57"/>
  <c r="Z107" i="57"/>
  <c r="W124" i="55"/>
  <c r="W142" i="55"/>
  <c r="W144" i="55" s="1"/>
  <c r="W89" i="47"/>
  <c r="AB106" i="55"/>
  <c r="AA108" i="55"/>
  <c r="AB104" i="57"/>
  <c r="AA105" i="57"/>
  <c r="S101" i="47"/>
  <c r="S112" i="47"/>
  <c r="S114" i="47" s="1"/>
  <c r="R102" i="47"/>
  <c r="S120" i="47"/>
  <c r="S122" i="47" s="1"/>
  <c r="D175" i="42"/>
  <c r="L174" i="42"/>
  <c r="T86" i="47"/>
  <c r="T96" i="47" s="1"/>
  <c r="X113" i="42"/>
  <c r="V85" i="47" s="1"/>
  <c r="X112" i="42"/>
  <c r="V84" i="47" s="1"/>
  <c r="Z109" i="42"/>
  <c r="X81" i="47" s="1"/>
  <c r="Y111" i="42"/>
  <c r="W114" i="42"/>
  <c r="W120" i="42" s="1"/>
  <c r="V125" i="42"/>
  <c r="V123" i="42"/>
  <c r="V126" i="42" s="1"/>
  <c r="V136" i="42"/>
  <c r="V138" i="42" s="1"/>
  <c r="D153" i="47"/>
  <c r="E153" i="47" s="1"/>
  <c r="B153" i="47" s="1"/>
  <c r="Z113" i="53"/>
  <c r="Z114" i="53" s="1"/>
  <c r="W82" i="47"/>
  <c r="AB109" i="57"/>
  <c r="G175" i="42"/>
  <c r="G174" i="56"/>
  <c r="V130" i="53"/>
  <c r="V148" i="53"/>
  <c r="V150" i="53" s="1"/>
  <c r="X117" i="53"/>
  <c r="Y114" i="53"/>
  <c r="AE115" i="42"/>
  <c r="G173" i="55"/>
  <c r="AA112" i="53"/>
  <c r="AE110" i="42"/>
  <c r="AB109" i="51"/>
  <c r="AA111" i="51"/>
  <c r="D173" i="55"/>
  <c r="L172" i="55"/>
  <c r="E178" i="57"/>
  <c r="AB112" i="55"/>
  <c r="Y87" i="47"/>
  <c r="W124" i="53"/>
  <c r="I177" i="51"/>
  <c r="G179" i="53"/>
  <c r="Z115" i="56"/>
  <c r="Z110" i="56"/>
  <c r="Z111" i="56"/>
  <c r="Z112" i="51"/>
  <c r="Z113" i="51"/>
  <c r="Z117" i="51"/>
  <c r="N151" i="47"/>
  <c r="J151" i="47"/>
  <c r="O173" i="57"/>
  <c r="G173" i="57"/>
  <c r="AB107" i="56"/>
  <c r="AA109" i="56"/>
  <c r="B173" i="56" l="1"/>
  <c r="O173" i="56"/>
  <c r="Z108" i="57"/>
  <c r="Z118" i="57" s="1"/>
  <c r="Y121" i="57"/>
  <c r="Y123" i="57"/>
  <c r="X143" i="56"/>
  <c r="X145" i="56" s="1"/>
  <c r="Y122" i="56"/>
  <c r="Y125" i="56" s="1"/>
  <c r="D176" i="51"/>
  <c r="L175" i="51"/>
  <c r="B178" i="53"/>
  <c r="O178" i="53"/>
  <c r="Y134" i="55"/>
  <c r="Y136" i="55" s="1"/>
  <c r="Y135" i="56"/>
  <c r="Y137" i="56" s="1"/>
  <c r="X127" i="51"/>
  <c r="Y126" i="51"/>
  <c r="Y137" i="51"/>
  <c r="Y139" i="51" s="1"/>
  <c r="Y124" i="55"/>
  <c r="Z111" i="55"/>
  <c r="Z118" i="55" s="1"/>
  <c r="Y123" i="55"/>
  <c r="X89" i="47"/>
  <c r="Z112" i="56"/>
  <c r="Z119" i="56" s="1"/>
  <c r="Z124" i="56" s="1"/>
  <c r="AA106" i="57"/>
  <c r="AA107" i="57"/>
  <c r="AA111" i="57"/>
  <c r="AC104" i="57"/>
  <c r="AB105" i="57"/>
  <c r="Z114" i="51"/>
  <c r="Z121" i="51" s="1"/>
  <c r="Z124" i="51" s="1"/>
  <c r="AA110" i="55"/>
  <c r="AA114" i="55"/>
  <c r="AA109" i="55"/>
  <c r="X124" i="55"/>
  <c r="X142" i="55"/>
  <c r="X144" i="55" s="1"/>
  <c r="AC106" i="55"/>
  <c r="AB108" i="55"/>
  <c r="AH103" i="57"/>
  <c r="E175" i="42"/>
  <c r="N175" i="42"/>
  <c r="T112" i="47"/>
  <c r="T114" i="47" s="1"/>
  <c r="T99" i="47"/>
  <c r="T101" i="47"/>
  <c r="X114" i="42"/>
  <c r="X120" i="42" s="1"/>
  <c r="X123" i="42" s="1"/>
  <c r="X126" i="42" s="1"/>
  <c r="Y112" i="42"/>
  <c r="Y113" i="42"/>
  <c r="Z111" i="42"/>
  <c r="X83" i="47" s="1"/>
  <c r="AA109" i="42"/>
  <c r="W136" i="42"/>
  <c r="W138" i="42" s="1"/>
  <c r="W123" i="42"/>
  <c r="W126" i="42" s="1"/>
  <c r="W125" i="42"/>
  <c r="V144" i="42"/>
  <c r="V146" i="42" s="1"/>
  <c r="U86" i="47"/>
  <c r="U96" i="47" s="1"/>
  <c r="U99" i="47" s="1"/>
  <c r="Z116" i="53"/>
  <c r="Z115" i="53"/>
  <c r="X124" i="53"/>
  <c r="W129" i="53"/>
  <c r="W140" i="53"/>
  <c r="W142" i="53" s="1"/>
  <c r="W127" i="53"/>
  <c r="AC109" i="57"/>
  <c r="AC109" i="51"/>
  <c r="AB111" i="51"/>
  <c r="Y145" i="51"/>
  <c r="Y147" i="51" s="1"/>
  <c r="Y127" i="51"/>
  <c r="AF115" i="42"/>
  <c r="I175" i="56"/>
  <c r="E173" i="55"/>
  <c r="N173" i="55"/>
  <c r="I180" i="53"/>
  <c r="Y116" i="53"/>
  <c r="Y115" i="53"/>
  <c r="W83" i="47"/>
  <c r="B178" i="57"/>
  <c r="AA117" i="51"/>
  <c r="AA112" i="51"/>
  <c r="AA113" i="51"/>
  <c r="AB112" i="53"/>
  <c r="I176" i="42"/>
  <c r="AA113" i="53"/>
  <c r="AA114" i="53" s="1"/>
  <c r="X82" i="47"/>
  <c r="AC107" i="56"/>
  <c r="AB109" i="56"/>
  <c r="AF110" i="42"/>
  <c r="I174" i="55"/>
  <c r="L173" i="57"/>
  <c r="I174" i="57"/>
  <c r="AA111" i="56"/>
  <c r="AA110" i="56"/>
  <c r="AA115" i="56"/>
  <c r="J177" i="51"/>
  <c r="O151" i="47"/>
  <c r="G151" i="47"/>
  <c r="AC112" i="55"/>
  <c r="Z87" i="47"/>
  <c r="D154" i="47"/>
  <c r="E154" i="47" s="1"/>
  <c r="B154" i="47" s="1"/>
  <c r="Y143" i="56" l="1"/>
  <c r="Y145" i="56" s="1"/>
  <c r="D174" i="56"/>
  <c r="L173" i="56"/>
  <c r="AA108" i="57"/>
  <c r="AA118" i="57" s="1"/>
  <c r="AA123" i="57" s="1"/>
  <c r="Y142" i="57"/>
  <c r="Y144" i="57" s="1"/>
  <c r="Y124" i="57"/>
  <c r="E176" i="51"/>
  <c r="N176" i="51"/>
  <c r="Z126" i="51"/>
  <c r="D179" i="53"/>
  <c r="L178" i="53"/>
  <c r="Z137" i="51"/>
  <c r="Z139" i="51" s="1"/>
  <c r="AA112" i="56"/>
  <c r="AA119" i="56" s="1"/>
  <c r="AA124" i="56" s="1"/>
  <c r="AA114" i="51"/>
  <c r="AA121" i="51" s="1"/>
  <c r="AA124" i="51" s="1"/>
  <c r="Y117" i="53"/>
  <c r="Y124" i="53" s="1"/>
  <c r="Z134" i="55"/>
  <c r="Z136" i="55" s="1"/>
  <c r="Z121" i="55"/>
  <c r="Z123" i="55"/>
  <c r="Z135" i="56"/>
  <c r="Z137" i="56" s="1"/>
  <c r="Z122" i="56"/>
  <c r="Z143" i="56" s="1"/>
  <c r="Z145" i="56" s="1"/>
  <c r="AB110" i="55"/>
  <c r="AB114" i="55"/>
  <c r="AB109" i="55"/>
  <c r="Z121" i="57"/>
  <c r="Z123" i="57"/>
  <c r="Z134" i="57"/>
  <c r="Z136" i="57" s="1"/>
  <c r="AA111" i="55"/>
  <c r="AA118" i="55" s="1"/>
  <c r="AB106" i="57"/>
  <c r="AB111" i="57"/>
  <c r="AB107" i="57"/>
  <c r="AD106" i="55"/>
  <c r="AC108" i="55"/>
  <c r="AD104" i="57"/>
  <c r="AC105" i="57"/>
  <c r="Y89" i="47"/>
  <c r="W84" i="47"/>
  <c r="V86" i="47"/>
  <c r="V96" i="47" s="1"/>
  <c r="Q9" i="47" s="1"/>
  <c r="B175" i="42"/>
  <c r="O175" i="42"/>
  <c r="T102" i="47"/>
  <c r="T120" i="47"/>
  <c r="T122" i="47" s="1"/>
  <c r="U112" i="47"/>
  <c r="U114" i="47" s="1"/>
  <c r="X136" i="42"/>
  <c r="X138" i="42" s="1"/>
  <c r="X125" i="42"/>
  <c r="AA111" i="42"/>
  <c r="Y83" i="47" s="1"/>
  <c r="AB109" i="42"/>
  <c r="Z81" i="47" s="1"/>
  <c r="Y114" i="42"/>
  <c r="Y120" i="42" s="1"/>
  <c r="Z113" i="42"/>
  <c r="X85" i="47" s="1"/>
  <c r="Z112" i="42"/>
  <c r="X84" i="47" s="1"/>
  <c r="U101" i="47"/>
  <c r="Y81" i="47"/>
  <c r="W85" i="47"/>
  <c r="W144" i="42"/>
  <c r="W146" i="42" s="1"/>
  <c r="X144" i="42"/>
  <c r="X146" i="42" s="1"/>
  <c r="AA116" i="53"/>
  <c r="AA115" i="53"/>
  <c r="D155" i="47"/>
  <c r="E155" i="47" s="1"/>
  <c r="B155" i="47" s="1"/>
  <c r="W130" i="53"/>
  <c r="W148" i="53"/>
  <c r="W150" i="53" s="1"/>
  <c r="J175" i="56"/>
  <c r="U102" i="47"/>
  <c r="U120" i="47"/>
  <c r="U122" i="47" s="1"/>
  <c r="N174" i="57"/>
  <c r="J174" i="57"/>
  <c r="AD107" i="56"/>
  <c r="AC109" i="56"/>
  <c r="O173" i="55"/>
  <c r="B173" i="55"/>
  <c r="Z117" i="53"/>
  <c r="J174" i="55"/>
  <c r="D179" i="57"/>
  <c r="AG115" i="42"/>
  <c r="AB113" i="51"/>
  <c r="AB112" i="51"/>
  <c r="AB117" i="51"/>
  <c r="X140" i="53"/>
  <c r="X142" i="53" s="1"/>
  <c r="X127" i="53"/>
  <c r="X129" i="53"/>
  <c r="Z127" i="51"/>
  <c r="Z145" i="51"/>
  <c r="Z147" i="51" s="1"/>
  <c r="AD112" i="55"/>
  <c r="AA87" i="47"/>
  <c r="AC112" i="53"/>
  <c r="AD109" i="51"/>
  <c r="AC111" i="51"/>
  <c r="L151" i="47"/>
  <c r="I152" i="47"/>
  <c r="J176" i="42"/>
  <c r="J180" i="53"/>
  <c r="AB115" i="56"/>
  <c r="AB110" i="56"/>
  <c r="AB111" i="56"/>
  <c r="G177" i="51"/>
  <c r="AB113" i="53"/>
  <c r="AB114" i="53" s="1"/>
  <c r="Y82" i="47"/>
  <c r="AG110" i="42"/>
  <c r="AD109" i="57"/>
  <c r="E174" i="56" l="1"/>
  <c r="N174" i="56"/>
  <c r="AA134" i="57"/>
  <c r="AA136" i="57" s="1"/>
  <c r="AA121" i="57"/>
  <c r="AB112" i="56"/>
  <c r="AB119" i="56" s="1"/>
  <c r="AB124" i="56" s="1"/>
  <c r="AA135" i="56"/>
  <c r="AA137" i="56" s="1"/>
  <c r="AA137" i="51"/>
  <c r="AA139" i="51" s="1"/>
  <c r="O176" i="51"/>
  <c r="B176" i="51"/>
  <c r="AB114" i="51"/>
  <c r="AB121" i="51" s="1"/>
  <c r="AB124" i="51" s="1"/>
  <c r="AA126" i="51"/>
  <c r="E179" i="53"/>
  <c r="N179" i="53"/>
  <c r="AA122" i="56"/>
  <c r="AA143" i="56" s="1"/>
  <c r="AA145" i="56" s="1"/>
  <c r="AA127" i="51"/>
  <c r="AA117" i="53"/>
  <c r="AA124" i="53" s="1"/>
  <c r="AB111" i="55"/>
  <c r="AB118" i="55" s="1"/>
  <c r="V99" i="47"/>
  <c r="V120" i="47" s="1"/>
  <c r="V122" i="47" s="1"/>
  <c r="V101" i="47"/>
  <c r="V112" i="47"/>
  <c r="V114" i="47" s="1"/>
  <c r="Z124" i="55"/>
  <c r="Z142" i="55"/>
  <c r="Z144" i="55" s="1"/>
  <c r="Z125" i="56"/>
  <c r="AC106" i="57"/>
  <c r="AC111" i="57"/>
  <c r="AC107" i="57"/>
  <c r="AB108" i="57"/>
  <c r="AB118" i="57" s="1"/>
  <c r="AE104" i="57"/>
  <c r="AD105" i="57"/>
  <c r="AC114" i="55"/>
  <c r="AC110" i="55"/>
  <c r="AC109" i="55"/>
  <c r="Z124" i="57"/>
  <c r="Z142" i="57"/>
  <c r="Z144" i="57" s="1"/>
  <c r="AE106" i="55"/>
  <c r="AD108" i="55"/>
  <c r="AA121" i="55"/>
  <c r="AA123" i="55"/>
  <c r="AA134" i="55"/>
  <c r="AA136" i="55" s="1"/>
  <c r="D176" i="42"/>
  <c r="L175" i="42"/>
  <c r="W86" i="47"/>
  <c r="W96" i="47" s="1"/>
  <c r="W101" i="47" s="1"/>
  <c r="Z114" i="42"/>
  <c r="Z120" i="42" s="1"/>
  <c r="Z136" i="42" s="1"/>
  <c r="Z138" i="42" s="1"/>
  <c r="Y125" i="42"/>
  <c r="Y123" i="42"/>
  <c r="Y126" i="42" s="1"/>
  <c r="Y136" i="42"/>
  <c r="Y138" i="42" s="1"/>
  <c r="AB111" i="42"/>
  <c r="AC109" i="42"/>
  <c r="AA81" i="47" s="1"/>
  <c r="AA112" i="42"/>
  <c r="Y84" i="47" s="1"/>
  <c r="AA113" i="42"/>
  <c r="Y85" i="47" s="1"/>
  <c r="AB116" i="53"/>
  <c r="AB115" i="53"/>
  <c r="N152" i="47"/>
  <c r="J152" i="47"/>
  <c r="Z124" i="53"/>
  <c r="AE109" i="57"/>
  <c r="E179" i="57"/>
  <c r="AC111" i="56"/>
  <c r="AC110" i="56"/>
  <c r="AC115" i="56"/>
  <c r="AE107" i="56"/>
  <c r="AD109" i="56"/>
  <c r="D156" i="47"/>
  <c r="AD112" i="53"/>
  <c r="X130" i="53"/>
  <c r="X148" i="53"/>
  <c r="X150" i="53" s="1"/>
  <c r="D174" i="55"/>
  <c r="L173" i="55"/>
  <c r="AH110" i="42"/>
  <c r="AC117" i="51"/>
  <c r="AC112" i="51"/>
  <c r="AC113" i="51"/>
  <c r="Z89" i="47"/>
  <c r="G174" i="55"/>
  <c r="G175" i="56"/>
  <c r="AH115" i="42"/>
  <c r="AE109" i="51"/>
  <c r="AD111" i="51"/>
  <c r="G180" i="53"/>
  <c r="AE112" i="55"/>
  <c r="AB87" i="47"/>
  <c r="Y129" i="53"/>
  <c r="Y127" i="53"/>
  <c r="Y140" i="53"/>
  <c r="Y142" i="53" s="1"/>
  <c r="I178" i="51"/>
  <c r="O174" i="57"/>
  <c r="G174" i="57"/>
  <c r="G176" i="42"/>
  <c r="AC113" i="53"/>
  <c r="Z82" i="47"/>
  <c r="B174" i="56" l="1"/>
  <c r="O174" i="56"/>
  <c r="AC108" i="57"/>
  <c r="AC118" i="57" s="1"/>
  <c r="AA124" i="57"/>
  <c r="AA142" i="57"/>
  <c r="AA144" i="57" s="1"/>
  <c r="AB135" i="56"/>
  <c r="AB137" i="56" s="1"/>
  <c r="AA125" i="56"/>
  <c r="AB122" i="56"/>
  <c r="AB143" i="56" s="1"/>
  <c r="AB145" i="56" s="1"/>
  <c r="D177" i="51"/>
  <c r="L176" i="51"/>
  <c r="AA145" i="51"/>
  <c r="AA147" i="51" s="1"/>
  <c r="AB126" i="51"/>
  <c r="B179" i="53"/>
  <c r="O179" i="53"/>
  <c r="AB137" i="51"/>
  <c r="AB139" i="51" s="1"/>
  <c r="V102" i="47"/>
  <c r="AC112" i="56"/>
  <c r="AC119" i="56" s="1"/>
  <c r="W112" i="47"/>
  <c r="W114" i="47" s="1"/>
  <c r="AF106" i="55"/>
  <c r="AE108" i="55"/>
  <c r="AC114" i="51"/>
  <c r="AC121" i="51" s="1"/>
  <c r="AC124" i="51" s="1"/>
  <c r="AA142" i="55"/>
  <c r="AA144" i="55" s="1"/>
  <c r="AA124" i="55"/>
  <c r="AD107" i="57"/>
  <c r="AD106" i="57"/>
  <c r="AD111" i="57"/>
  <c r="AB121" i="57"/>
  <c r="AB123" i="57"/>
  <c r="AB134" i="57"/>
  <c r="AB136" i="57" s="1"/>
  <c r="W99" i="47"/>
  <c r="W102" i="47" s="1"/>
  <c r="AB121" i="55"/>
  <c r="AB123" i="55"/>
  <c r="AB134" i="55"/>
  <c r="AB136" i="55" s="1"/>
  <c r="AD110" i="55"/>
  <c r="AD114" i="55"/>
  <c r="AD109" i="55"/>
  <c r="AC111" i="55"/>
  <c r="AC118" i="55" s="1"/>
  <c r="AF104" i="57"/>
  <c r="AE105" i="57"/>
  <c r="E176" i="42"/>
  <c r="N176" i="42"/>
  <c r="Z123" i="42"/>
  <c r="X86" i="47"/>
  <c r="X96" i="47" s="1"/>
  <c r="X99" i="47" s="1"/>
  <c r="AA114" i="42"/>
  <c r="AA120" i="42" s="1"/>
  <c r="AA136" i="42" s="1"/>
  <c r="AA138" i="42" s="1"/>
  <c r="Z125" i="42"/>
  <c r="AB113" i="42"/>
  <c r="AB112" i="42"/>
  <c r="Z84" i="47" s="1"/>
  <c r="Y144" i="42"/>
  <c r="Y146" i="42" s="1"/>
  <c r="AC111" i="42"/>
  <c r="AD109" i="42"/>
  <c r="AB81" i="47" s="1"/>
  <c r="Z83" i="47"/>
  <c r="AD112" i="51"/>
  <c r="AD113" i="51"/>
  <c r="AD117" i="51"/>
  <c r="AF109" i="57"/>
  <c r="I181" i="53"/>
  <c r="L174" i="57"/>
  <c r="I175" i="57"/>
  <c r="E174" i="55"/>
  <c r="N174" i="55"/>
  <c r="AE112" i="53"/>
  <c r="AF107" i="56"/>
  <c r="AE109" i="56"/>
  <c r="Z129" i="53"/>
  <c r="Z127" i="53"/>
  <c r="Z140" i="53"/>
  <c r="Z142" i="53" s="1"/>
  <c r="AB117" i="53"/>
  <c r="AF112" i="55"/>
  <c r="AC87" i="47"/>
  <c r="AD113" i="53"/>
  <c r="AD114" i="53" s="1"/>
  <c r="AA82" i="47"/>
  <c r="AA129" i="53"/>
  <c r="AA140" i="53"/>
  <c r="AA142" i="53" s="1"/>
  <c r="AA127" i="53"/>
  <c r="I177" i="42"/>
  <c r="E156" i="47"/>
  <c r="S144" i="47"/>
  <c r="O152" i="47"/>
  <c r="G152" i="47"/>
  <c r="AC114" i="53"/>
  <c r="Y130" i="53"/>
  <c r="Y148" i="53"/>
  <c r="Y150" i="53" s="1"/>
  <c r="AA89" i="47"/>
  <c r="AB127" i="51"/>
  <c r="AB145" i="51"/>
  <c r="AB147" i="51" s="1"/>
  <c r="J178" i="51"/>
  <c r="I175" i="55"/>
  <c r="AF109" i="51"/>
  <c r="AE111" i="51"/>
  <c r="AD110" i="56"/>
  <c r="AD115" i="56"/>
  <c r="AD111" i="56"/>
  <c r="I176" i="56"/>
  <c r="B179" i="57"/>
  <c r="D175" i="56" l="1"/>
  <c r="L174" i="56"/>
  <c r="AB125" i="56"/>
  <c r="AC123" i="57"/>
  <c r="AC134" i="57"/>
  <c r="AC136" i="57" s="1"/>
  <c r="AC121" i="57"/>
  <c r="AC124" i="57" s="1"/>
  <c r="AC137" i="51"/>
  <c r="AC139" i="51" s="1"/>
  <c r="AC127" i="51"/>
  <c r="E177" i="51"/>
  <c r="N177" i="51"/>
  <c r="AC126" i="51"/>
  <c r="D180" i="53"/>
  <c r="L179" i="53"/>
  <c r="Z144" i="42"/>
  <c r="Z146" i="42" s="1"/>
  <c r="Z126" i="42"/>
  <c r="Y86" i="47"/>
  <c r="Y96" i="47" s="1"/>
  <c r="Y112" i="47" s="1"/>
  <c r="Y114" i="47" s="1"/>
  <c r="AD114" i="51"/>
  <c r="AD121" i="51" s="1"/>
  <c r="AD124" i="51" s="1"/>
  <c r="AD111" i="55"/>
  <c r="AD118" i="55" s="1"/>
  <c r="AD134" i="55" s="1"/>
  <c r="AD136" i="55" s="1"/>
  <c r="AD112" i="56"/>
  <c r="AD119" i="56" s="1"/>
  <c r="AD122" i="56" s="1"/>
  <c r="W120" i="47"/>
  <c r="W122" i="47" s="1"/>
  <c r="AA123" i="42"/>
  <c r="AE106" i="57"/>
  <c r="AE107" i="57"/>
  <c r="AE111" i="57"/>
  <c r="AA125" i="42"/>
  <c r="AG104" i="57"/>
  <c r="AF105" i="57"/>
  <c r="AG106" i="55"/>
  <c r="AF108" i="55"/>
  <c r="AB142" i="55"/>
  <c r="AB144" i="55" s="1"/>
  <c r="AB124" i="55"/>
  <c r="AB142" i="57"/>
  <c r="AB144" i="57" s="1"/>
  <c r="AB124" i="57"/>
  <c r="AC134" i="55"/>
  <c r="AC136" i="55" s="1"/>
  <c r="AC121" i="55"/>
  <c r="AC123" i="55"/>
  <c r="AD108" i="57"/>
  <c r="AD118" i="57" s="1"/>
  <c r="AE114" i="55"/>
  <c r="AE110" i="55"/>
  <c r="AE109" i="55"/>
  <c r="X112" i="47"/>
  <c r="X114" i="47" s="1"/>
  <c r="B176" i="42"/>
  <c r="O176" i="42"/>
  <c r="X101" i="47"/>
  <c r="AB114" i="42"/>
  <c r="AB120" i="42" s="1"/>
  <c r="AC112" i="42"/>
  <c r="AC113" i="42"/>
  <c r="Z85" i="47"/>
  <c r="AE109" i="42"/>
  <c r="AD111" i="42"/>
  <c r="AB83" i="47" s="1"/>
  <c r="J175" i="55"/>
  <c r="L152" i="47"/>
  <c r="I153" i="47"/>
  <c r="G178" i="51"/>
  <c r="J177" i="42"/>
  <c r="AB124" i="53"/>
  <c r="AG109" i="57"/>
  <c r="AE117" i="51"/>
  <c r="AE112" i="51"/>
  <c r="AE113" i="51"/>
  <c r="AF112" i="53"/>
  <c r="AG109" i="51"/>
  <c r="AF111" i="51"/>
  <c r="AE113" i="53"/>
  <c r="AE114" i="53" s="1"/>
  <c r="AB82" i="47"/>
  <c r="Z148" i="53"/>
  <c r="Z150" i="53" s="1"/>
  <c r="Z130" i="53"/>
  <c r="O174" i="55"/>
  <c r="B174" i="55"/>
  <c r="X102" i="47"/>
  <c r="X120" i="47"/>
  <c r="X122" i="47" s="1"/>
  <c r="AB89" i="47"/>
  <c r="N175" i="57"/>
  <c r="J175" i="57"/>
  <c r="J176" i="56"/>
  <c r="AA130" i="53"/>
  <c r="AA148" i="53"/>
  <c r="AA150" i="53" s="1"/>
  <c r="AC135" i="56"/>
  <c r="AC137" i="56" s="1"/>
  <c r="AC122" i="56"/>
  <c r="AC124" i="56"/>
  <c r="AE111" i="56"/>
  <c r="AE115" i="56"/>
  <c r="AE110" i="56"/>
  <c r="J181" i="53"/>
  <c r="T144" i="47"/>
  <c r="B156" i="47"/>
  <c r="AD115" i="53"/>
  <c r="AD116" i="53"/>
  <c r="D180" i="57"/>
  <c r="AC115" i="53"/>
  <c r="AC116" i="53"/>
  <c r="AA83" i="47"/>
  <c r="AG112" i="55"/>
  <c r="AD87" i="47"/>
  <c r="AG107" i="56"/>
  <c r="AF109" i="56"/>
  <c r="E175" i="56" l="1"/>
  <c r="N175" i="56"/>
  <c r="AC142" i="57"/>
  <c r="AC144" i="57" s="1"/>
  <c r="AC145" i="51"/>
  <c r="AC147" i="51" s="1"/>
  <c r="O177" i="51"/>
  <c r="B177" i="51"/>
  <c r="AD137" i="51"/>
  <c r="AD139" i="51" s="1"/>
  <c r="AD127" i="51"/>
  <c r="AD126" i="51"/>
  <c r="E180" i="53"/>
  <c r="N180" i="53"/>
  <c r="AD123" i="55"/>
  <c r="AD121" i="55"/>
  <c r="AD142" i="55" s="1"/>
  <c r="AD144" i="55" s="1"/>
  <c r="AA144" i="42"/>
  <c r="AA146" i="42" s="1"/>
  <c r="AA126" i="42"/>
  <c r="Y101" i="47"/>
  <c r="Y99" i="47"/>
  <c r="Y102" i="47" s="1"/>
  <c r="AD124" i="56"/>
  <c r="AD135" i="56"/>
  <c r="AD137" i="56" s="1"/>
  <c r="AE111" i="55"/>
  <c r="AE118" i="55" s="1"/>
  <c r="AA84" i="47"/>
  <c r="AF110" i="55"/>
  <c r="AF114" i="55"/>
  <c r="AF109" i="55"/>
  <c r="AF111" i="57"/>
  <c r="AF107" i="57"/>
  <c r="AF106" i="57"/>
  <c r="AD123" i="57"/>
  <c r="AD134" i="57"/>
  <c r="AD136" i="57" s="1"/>
  <c r="AD121" i="57"/>
  <c r="AH104" i="57"/>
  <c r="AH105" i="57" s="1"/>
  <c r="AG105" i="57"/>
  <c r="AE108" i="57"/>
  <c r="AE118" i="57" s="1"/>
  <c r="AC117" i="53"/>
  <c r="AC124" i="53" s="1"/>
  <c r="AE112" i="56"/>
  <c r="AE119" i="56" s="1"/>
  <c r="AE124" i="56" s="1"/>
  <c r="AE114" i="51"/>
  <c r="AE121" i="51" s="1"/>
  <c r="AE124" i="51" s="1"/>
  <c r="AC124" i="55"/>
  <c r="AC142" i="55"/>
  <c r="AC144" i="55" s="1"/>
  <c r="AH106" i="55"/>
  <c r="AH108" i="55" s="1"/>
  <c r="AG108" i="55"/>
  <c r="D177" i="42"/>
  <c r="L176" i="42"/>
  <c r="Z86" i="47"/>
  <c r="Z96" i="47" s="1"/>
  <c r="Z99" i="47" s="1"/>
  <c r="AE111" i="42"/>
  <c r="AC83" i="47" s="1"/>
  <c r="AF109" i="42"/>
  <c r="AD81" i="47" s="1"/>
  <c r="AC114" i="42"/>
  <c r="AC120" i="42" s="1"/>
  <c r="AC81" i="47"/>
  <c r="AD113" i="42"/>
  <c r="AB85" i="47" s="1"/>
  <c r="AD112" i="42"/>
  <c r="AB84" i="47" s="1"/>
  <c r="AA85" i="47"/>
  <c r="AB136" i="42"/>
  <c r="AB138" i="42" s="1"/>
  <c r="AB123" i="42"/>
  <c r="AB126" i="42" s="1"/>
  <c r="AB125" i="42"/>
  <c r="D175" i="55"/>
  <c r="L174" i="55"/>
  <c r="G177" i="42"/>
  <c r="E180" i="57"/>
  <c r="O175" i="57"/>
  <c r="G175" i="57"/>
  <c r="AH109" i="51"/>
  <c r="AH111" i="51" s="1"/>
  <c r="AG111" i="51"/>
  <c r="AH112" i="55"/>
  <c r="AE87" i="47"/>
  <c r="Q144" i="47"/>
  <c r="D157" i="47"/>
  <c r="AC89" i="47"/>
  <c r="N153" i="47"/>
  <c r="J153" i="47"/>
  <c r="AD125" i="56"/>
  <c r="AD143" i="56"/>
  <c r="AD145" i="56" s="1"/>
  <c r="AF117" i="51"/>
  <c r="AF113" i="51"/>
  <c r="AF112" i="51"/>
  <c r="I179" i="51"/>
  <c r="AE116" i="53"/>
  <c r="AE115" i="53"/>
  <c r="AC125" i="56"/>
  <c r="AC143" i="56"/>
  <c r="AC145" i="56" s="1"/>
  <c r="AG112" i="53"/>
  <c r="G181" i="53"/>
  <c r="AF113" i="53"/>
  <c r="AC82" i="47"/>
  <c r="G175" i="55"/>
  <c r="AH107" i="56"/>
  <c r="AH109" i="56" s="1"/>
  <c r="AG109" i="56"/>
  <c r="AD117" i="53"/>
  <c r="AH109" i="57"/>
  <c r="AF111" i="56"/>
  <c r="AF115" i="56"/>
  <c r="AF110" i="56"/>
  <c r="G176" i="56"/>
  <c r="AB129" i="53"/>
  <c r="AB140" i="53"/>
  <c r="AB142" i="53" s="1"/>
  <c r="AB127" i="53"/>
  <c r="AD145" i="51"/>
  <c r="AD147" i="51" s="1"/>
  <c r="B175" i="56" l="1"/>
  <c r="O175" i="56"/>
  <c r="AE135" i="56"/>
  <c r="AE137" i="56" s="1"/>
  <c r="AE137" i="51"/>
  <c r="AE139" i="51" s="1"/>
  <c r="AE145" i="51"/>
  <c r="AE147" i="51" s="1"/>
  <c r="L177" i="51"/>
  <c r="D178" i="51"/>
  <c r="AE126" i="51"/>
  <c r="AF114" i="51"/>
  <c r="AF121" i="51" s="1"/>
  <c r="AF124" i="51" s="1"/>
  <c r="B180" i="53"/>
  <c r="O180" i="53"/>
  <c r="AD124" i="55"/>
  <c r="AF111" i="55"/>
  <c r="AF118" i="55" s="1"/>
  <c r="AF121" i="55" s="1"/>
  <c r="AF124" i="55" s="1"/>
  <c r="Y120" i="47"/>
  <c r="Y122" i="47" s="1"/>
  <c r="AE117" i="53"/>
  <c r="AE124" i="53" s="1"/>
  <c r="AE122" i="56"/>
  <c r="AE125" i="56" s="1"/>
  <c r="AD124" i="57"/>
  <c r="AD142" i="57"/>
  <c r="AD144" i="57" s="1"/>
  <c r="AG114" i="55"/>
  <c r="AG110" i="55"/>
  <c r="AG109" i="55"/>
  <c r="AG106" i="57"/>
  <c r="AG107" i="57"/>
  <c r="AG111" i="57"/>
  <c r="AE134" i="57"/>
  <c r="AE136" i="57" s="1"/>
  <c r="AE121" i="57"/>
  <c r="AE123" i="57"/>
  <c r="AF112" i="56"/>
  <c r="AF119" i="56" s="1"/>
  <c r="AF135" i="56" s="1"/>
  <c r="AF137" i="56" s="1"/>
  <c r="AH114" i="55"/>
  <c r="AH109" i="55"/>
  <c r="AH110" i="55"/>
  <c r="AH111" i="57"/>
  <c r="AH106" i="57"/>
  <c r="AH107" i="57"/>
  <c r="AF108" i="57"/>
  <c r="AF118" i="57" s="1"/>
  <c r="AE123" i="55"/>
  <c r="AE121" i="55"/>
  <c r="AE134" i="55"/>
  <c r="AE136" i="55" s="1"/>
  <c r="E177" i="42"/>
  <c r="N177" i="42"/>
  <c r="Z101" i="47"/>
  <c r="Z112" i="47"/>
  <c r="Z114" i="47" s="1"/>
  <c r="AA86" i="47"/>
  <c r="AA96" i="47" s="1"/>
  <c r="R9" i="47" s="1"/>
  <c r="AD114" i="42"/>
  <c r="AD120" i="42" s="1"/>
  <c r="AD123" i="42" s="1"/>
  <c r="AD126" i="42" s="1"/>
  <c r="AB144" i="42"/>
  <c r="AB146" i="42" s="1"/>
  <c r="AC123" i="42"/>
  <c r="AC126" i="42" s="1"/>
  <c r="AC125" i="42"/>
  <c r="AC136" i="42"/>
  <c r="AC138" i="42" s="1"/>
  <c r="AF111" i="42"/>
  <c r="AG109" i="42"/>
  <c r="AE81" i="47" s="1"/>
  <c r="AE113" i="42"/>
  <c r="AC85" i="47" s="1"/>
  <c r="AE112" i="42"/>
  <c r="AC84" i="47" s="1"/>
  <c r="AB148" i="53"/>
  <c r="AB150" i="53" s="1"/>
  <c r="AB130" i="53"/>
  <c r="L175" i="57"/>
  <c r="I176" i="57"/>
  <c r="AH115" i="56"/>
  <c r="AH110" i="56"/>
  <c r="AH111" i="56"/>
  <c r="AF87" i="47"/>
  <c r="J179" i="51"/>
  <c r="I177" i="56"/>
  <c r="AG113" i="53"/>
  <c r="AG114" i="53" s="1"/>
  <c r="AD82" i="47"/>
  <c r="O153" i="47"/>
  <c r="G153" i="47"/>
  <c r="AG113" i="51"/>
  <c r="AG117" i="51"/>
  <c r="AG112" i="51"/>
  <c r="B180" i="57"/>
  <c r="E157" i="47"/>
  <c r="AD124" i="53"/>
  <c r="AF114" i="53"/>
  <c r="AD89" i="47"/>
  <c r="I176" i="55"/>
  <c r="E175" i="55"/>
  <c r="N175" i="55"/>
  <c r="AC127" i="53"/>
  <c r="AC140" i="53"/>
  <c r="AC142" i="53" s="1"/>
  <c r="AC129" i="53"/>
  <c r="Z102" i="47"/>
  <c r="Z120" i="47"/>
  <c r="Z122" i="47" s="1"/>
  <c r="AH117" i="51"/>
  <c r="AH113" i="51"/>
  <c r="AH112" i="51"/>
  <c r="I178" i="42"/>
  <c r="AG110" i="56"/>
  <c r="AG115" i="56"/>
  <c r="AG111" i="56"/>
  <c r="I182" i="53"/>
  <c r="AH112" i="53"/>
  <c r="AH108" i="57" l="1"/>
  <c r="AH118" i="57" s="1"/>
  <c r="D176" i="56"/>
  <c r="L175" i="56"/>
  <c r="AE143" i="56"/>
  <c r="AE145" i="56" s="1"/>
  <c r="E178" i="51"/>
  <c r="N178" i="51"/>
  <c r="D181" i="53"/>
  <c r="L180" i="53"/>
  <c r="AF123" i="55"/>
  <c r="AF134" i="55"/>
  <c r="AF136" i="55" s="1"/>
  <c r="AG114" i="51"/>
  <c r="AG121" i="51" s="1"/>
  <c r="AG124" i="51" s="1"/>
  <c r="AF137" i="51"/>
  <c r="AF139" i="51" s="1"/>
  <c r="AE127" i="51"/>
  <c r="AG112" i="56"/>
  <c r="AG119" i="56" s="1"/>
  <c r="AH112" i="56"/>
  <c r="AH119" i="56" s="1"/>
  <c r="AF126" i="51"/>
  <c r="AF122" i="56"/>
  <c r="AF143" i="56" s="1"/>
  <c r="AF145" i="56" s="1"/>
  <c r="AF142" i="55"/>
  <c r="AF144" i="55" s="1"/>
  <c r="AH111" i="55"/>
  <c r="AH118" i="55" s="1"/>
  <c r="AH134" i="55" s="1"/>
  <c r="AH136" i="55" s="1"/>
  <c r="AA101" i="47"/>
  <c r="AF124" i="56"/>
  <c r="AE124" i="57"/>
  <c r="AE142" i="57"/>
  <c r="AE144" i="57" s="1"/>
  <c r="AF89" i="47"/>
  <c r="AD136" i="42"/>
  <c r="AD138" i="42" s="1"/>
  <c r="AE142" i="55"/>
  <c r="AE144" i="55" s="1"/>
  <c r="AE124" i="55"/>
  <c r="AG111" i="55"/>
  <c r="AG118" i="55" s="1"/>
  <c r="AF134" i="57"/>
  <c r="AF136" i="57" s="1"/>
  <c r="AF121" i="57"/>
  <c r="AF123" i="57"/>
  <c r="AH114" i="51"/>
  <c r="AH121" i="51" s="1"/>
  <c r="AH124" i="51" s="1"/>
  <c r="AG108" i="57"/>
  <c r="AG118" i="57" s="1"/>
  <c r="AA112" i="47"/>
  <c r="AA114" i="47" s="1"/>
  <c r="AA99" i="47"/>
  <c r="AA102" i="47" s="1"/>
  <c r="B177" i="42"/>
  <c r="O177" i="42"/>
  <c r="AB86" i="47"/>
  <c r="AB96" i="47" s="1"/>
  <c r="AB101" i="47" s="1"/>
  <c r="AD125" i="42"/>
  <c r="AH109" i="42"/>
  <c r="AH111" i="42" s="1"/>
  <c r="AG111" i="42"/>
  <c r="AE83" i="47" s="1"/>
  <c r="AC144" i="42"/>
  <c r="AC146" i="42" s="1"/>
  <c r="AF113" i="42"/>
  <c r="AF112" i="42"/>
  <c r="AE114" i="42"/>
  <c r="AD144" i="42"/>
  <c r="AD146" i="42" s="1"/>
  <c r="J182" i="53"/>
  <c r="J177" i="56"/>
  <c r="J176" i="55"/>
  <c r="AF116" i="53"/>
  <c r="AF115" i="53"/>
  <c r="AD83" i="47"/>
  <c r="B175" i="55"/>
  <c r="O175" i="55"/>
  <c r="B157" i="47"/>
  <c r="D181" i="57"/>
  <c r="L153" i="47"/>
  <c r="I154" i="47"/>
  <c r="G179" i="51"/>
  <c r="AE140" i="53"/>
  <c r="AE142" i="53" s="1"/>
  <c r="AE129" i="53"/>
  <c r="AE127" i="53"/>
  <c r="AF145" i="51"/>
  <c r="AF147" i="51" s="1"/>
  <c r="AF127" i="51"/>
  <c r="J178" i="42"/>
  <c r="AH113" i="53"/>
  <c r="AF82" i="47" s="1"/>
  <c r="AE82" i="47"/>
  <c r="N176" i="57"/>
  <c r="J176" i="57"/>
  <c r="AC130" i="53"/>
  <c r="AC148" i="53"/>
  <c r="AC150" i="53" s="1"/>
  <c r="AG116" i="53"/>
  <c r="AG115" i="53"/>
  <c r="AD140" i="53"/>
  <c r="AD142" i="53" s="1"/>
  <c r="AD129" i="53"/>
  <c r="AD127" i="53"/>
  <c r="AE89" i="47"/>
  <c r="AH134" i="57" l="1"/>
  <c r="AH123" i="57"/>
  <c r="AH121" i="57"/>
  <c r="AH142" i="57" s="1"/>
  <c r="E176" i="56"/>
  <c r="N176" i="56"/>
  <c r="AH127" i="57"/>
  <c r="AH128" i="57" s="1"/>
  <c r="AH135" i="57" s="1"/>
  <c r="AH136" i="57" s="1"/>
  <c r="AG137" i="51"/>
  <c r="AG139" i="51" s="1"/>
  <c r="AG145" i="51"/>
  <c r="AG147" i="51" s="1"/>
  <c r="B178" i="51"/>
  <c r="O178" i="51"/>
  <c r="AG126" i="51"/>
  <c r="E181" i="53"/>
  <c r="N181" i="53"/>
  <c r="AH123" i="55"/>
  <c r="AH121" i="55"/>
  <c r="AH142" i="55" s="1"/>
  <c r="AH137" i="51"/>
  <c r="AG117" i="53"/>
  <c r="AH124" i="57"/>
  <c r="AG122" i="56"/>
  <c r="AG143" i="56" s="1"/>
  <c r="AG145" i="56" s="1"/>
  <c r="AG135" i="56"/>
  <c r="AG137" i="56" s="1"/>
  <c r="AG124" i="56"/>
  <c r="AH122" i="56"/>
  <c r="AH143" i="56" s="1"/>
  <c r="AH128" i="56"/>
  <c r="AH129" i="56" s="1"/>
  <c r="AH136" i="56" s="1"/>
  <c r="AH124" i="56"/>
  <c r="AH135" i="56"/>
  <c r="AF125" i="56"/>
  <c r="AF117" i="53"/>
  <c r="AF124" i="53" s="1"/>
  <c r="AA120" i="47"/>
  <c r="AA122" i="47" s="1"/>
  <c r="AH130" i="51"/>
  <c r="AG123" i="57"/>
  <c r="AG121" i="57"/>
  <c r="AG134" i="57"/>
  <c r="AG136" i="57" s="1"/>
  <c r="AH126" i="51"/>
  <c r="AG123" i="55"/>
  <c r="AG134" i="55"/>
  <c r="AG136" i="55" s="1"/>
  <c r="AG121" i="55"/>
  <c r="AH114" i="53"/>
  <c r="AH116" i="53" s="1"/>
  <c r="AF142" i="57"/>
  <c r="AF144" i="57" s="1"/>
  <c r="AF124" i="57"/>
  <c r="AF81" i="47"/>
  <c r="D178" i="42"/>
  <c r="L177" i="42"/>
  <c r="AB112" i="47"/>
  <c r="AB114" i="47" s="1"/>
  <c r="AB99" i="47"/>
  <c r="AB120" i="47" s="1"/>
  <c r="AB122" i="47" s="1"/>
  <c r="AF114" i="42"/>
  <c r="AF120" i="42" s="1"/>
  <c r="AF136" i="42" s="1"/>
  <c r="AF138" i="42" s="1"/>
  <c r="AD85" i="47"/>
  <c r="AE120" i="42"/>
  <c r="AC86" i="47"/>
  <c r="AC96" i="47" s="1"/>
  <c r="AD84" i="47"/>
  <c r="AG113" i="42"/>
  <c r="AE85" i="47" s="1"/>
  <c r="AG112" i="42"/>
  <c r="AE84" i="47" s="1"/>
  <c r="AH113" i="42"/>
  <c r="AH112" i="42"/>
  <c r="AD130" i="53"/>
  <c r="AD148" i="53"/>
  <c r="AD150" i="53" s="1"/>
  <c r="G177" i="56"/>
  <c r="G178" i="42"/>
  <c r="I180" i="51"/>
  <c r="G176" i="55"/>
  <c r="G182" i="53"/>
  <c r="O176" i="57"/>
  <c r="G176" i="57"/>
  <c r="E181" i="57"/>
  <c r="AE148" i="53"/>
  <c r="AE150" i="53" s="1"/>
  <c r="AE130" i="53"/>
  <c r="D176" i="55"/>
  <c r="L175" i="55"/>
  <c r="N154" i="47"/>
  <c r="J154" i="47"/>
  <c r="D158" i="47"/>
  <c r="AH145" i="51"/>
  <c r="AH127" i="51"/>
  <c r="AG124" i="53"/>
  <c r="O176" i="56" l="1"/>
  <c r="B176" i="56"/>
  <c r="AG125" i="56"/>
  <c r="AH138" i="57"/>
  <c r="F6" i="57" s="1"/>
  <c r="AH137" i="57"/>
  <c r="E6" i="57" s="1"/>
  <c r="M7" i="47" s="1"/>
  <c r="AF105" i="47"/>
  <c r="D179" i="51"/>
  <c r="L178" i="51"/>
  <c r="AG127" i="51"/>
  <c r="AH131" i="51"/>
  <c r="AH138" i="51" s="1"/>
  <c r="AH139" i="51" s="1"/>
  <c r="B181" i="53"/>
  <c r="O181" i="53"/>
  <c r="AH124" i="55"/>
  <c r="AF83" i="47"/>
  <c r="AH115" i="53"/>
  <c r="AH117" i="53" s="1"/>
  <c r="AH114" i="42"/>
  <c r="AH120" i="42" s="1"/>
  <c r="AH136" i="42" s="1"/>
  <c r="AH138" i="42" s="1"/>
  <c r="AH125" i="56"/>
  <c r="AH137" i="56"/>
  <c r="AH138" i="56" s="1"/>
  <c r="E6" i="56" s="1"/>
  <c r="K7" i="47" s="1"/>
  <c r="AG124" i="57"/>
  <c r="AG142" i="57"/>
  <c r="AG144" i="57" s="1"/>
  <c r="AG124" i="55"/>
  <c r="AG142" i="55"/>
  <c r="AG144" i="55" s="1"/>
  <c r="AB102" i="47"/>
  <c r="AD86" i="47"/>
  <c r="AD96" i="47" s="1"/>
  <c r="AD101" i="47" s="1"/>
  <c r="E178" i="42"/>
  <c r="N178" i="42"/>
  <c r="AF123" i="42"/>
  <c r="AF126" i="42" s="1"/>
  <c r="AF85" i="47"/>
  <c r="AF125" i="42"/>
  <c r="AC99" i="47"/>
  <c r="AC112" i="47"/>
  <c r="AC114" i="47" s="1"/>
  <c r="AC101" i="47"/>
  <c r="AG114" i="42"/>
  <c r="AE136" i="42"/>
  <c r="AE138" i="42" s="1"/>
  <c r="AE123" i="42"/>
  <c r="AE126" i="42" s="1"/>
  <c r="AE125" i="42"/>
  <c r="L176" i="57"/>
  <c r="I177" i="57"/>
  <c r="I178" i="56"/>
  <c r="J180" i="51"/>
  <c r="X168" i="51"/>
  <c r="AG129" i="53"/>
  <c r="AG140" i="53"/>
  <c r="AG142" i="53" s="1"/>
  <c r="AG127" i="53"/>
  <c r="E176" i="55"/>
  <c r="N176" i="55"/>
  <c r="B181" i="57"/>
  <c r="I179" i="42"/>
  <c r="O154" i="47"/>
  <c r="G154" i="47"/>
  <c r="I183" i="53"/>
  <c r="AF129" i="53"/>
  <c r="AF127" i="53"/>
  <c r="AF140" i="53"/>
  <c r="AF142" i="53" s="1"/>
  <c r="E158" i="47"/>
  <c r="I177" i="55"/>
  <c r="AF84" i="47" l="1"/>
  <c r="L176" i="56"/>
  <c r="D177" i="56"/>
  <c r="AH139" i="56"/>
  <c r="F6" i="56" s="1"/>
  <c r="E179" i="51"/>
  <c r="N179" i="51"/>
  <c r="AF106" i="47"/>
  <c r="AF113" i="47" s="1"/>
  <c r="D182" i="53"/>
  <c r="L181" i="53"/>
  <c r="AH123" i="42"/>
  <c r="AH126" i="42" s="1"/>
  <c r="AH125" i="42"/>
  <c r="AD99" i="47"/>
  <c r="AD102" i="47" s="1"/>
  <c r="AD112" i="47"/>
  <c r="AD114" i="47" s="1"/>
  <c r="AF144" i="42"/>
  <c r="AF146" i="42" s="1"/>
  <c r="B178" i="42"/>
  <c r="O178" i="42"/>
  <c r="AE144" i="42"/>
  <c r="AE146" i="42" s="1"/>
  <c r="AG120" i="42"/>
  <c r="AE86" i="47"/>
  <c r="AE96" i="47" s="1"/>
  <c r="AC102" i="47"/>
  <c r="AC120" i="47"/>
  <c r="AC122" i="47" s="1"/>
  <c r="AH140" i="51"/>
  <c r="E6" i="51" s="1"/>
  <c r="I7" i="47" s="1"/>
  <c r="AH141" i="51"/>
  <c r="F6" i="51" s="1"/>
  <c r="N177" i="57"/>
  <c r="J177" i="57"/>
  <c r="X165" i="57"/>
  <c r="AC165" i="57" s="1"/>
  <c r="J179" i="42"/>
  <c r="X167" i="42"/>
  <c r="O176" i="55"/>
  <c r="B176" i="55"/>
  <c r="B158" i="47"/>
  <c r="AF148" i="53"/>
  <c r="AF150" i="53" s="1"/>
  <c r="AF130" i="53"/>
  <c r="J177" i="55"/>
  <c r="X165" i="55"/>
  <c r="L154" i="47"/>
  <c r="I155" i="47"/>
  <c r="AG130" i="53"/>
  <c r="AG148" i="53"/>
  <c r="AG150" i="53" s="1"/>
  <c r="J183" i="53"/>
  <c r="X171" i="53"/>
  <c r="Y168" i="51"/>
  <c r="G180" i="51"/>
  <c r="AH124" i="53"/>
  <c r="AF86" i="47"/>
  <c r="AF96" i="47" s="1"/>
  <c r="D182" i="57"/>
  <c r="J178" i="56"/>
  <c r="X166" i="56"/>
  <c r="E177" i="56" l="1"/>
  <c r="N177" i="56"/>
  <c r="B179" i="51"/>
  <c r="O179" i="51"/>
  <c r="E182" i="53"/>
  <c r="N182" i="53"/>
  <c r="AH144" i="42"/>
  <c r="AD120" i="47"/>
  <c r="AD122" i="47" s="1"/>
  <c r="D179" i="42"/>
  <c r="L178" i="42"/>
  <c r="AG125" i="42"/>
  <c r="AG136" i="42"/>
  <c r="AG138" i="42" s="1"/>
  <c r="AG123" i="42"/>
  <c r="AG126" i="42" s="1"/>
  <c r="AE99" i="47"/>
  <c r="AE112" i="47"/>
  <c r="AE114" i="47" s="1"/>
  <c r="AE101" i="47"/>
  <c r="AF112" i="47"/>
  <c r="AF114" i="47" s="1"/>
  <c r="AF99" i="47"/>
  <c r="S9" i="47"/>
  <c r="AF101" i="47"/>
  <c r="V168" i="51"/>
  <c r="I181" i="51"/>
  <c r="Y166" i="56"/>
  <c r="G178" i="56"/>
  <c r="N155" i="47"/>
  <c r="J155" i="47"/>
  <c r="Y167" i="42"/>
  <c r="G179" i="42"/>
  <c r="D177" i="55"/>
  <c r="L176" i="55"/>
  <c r="AH129" i="53"/>
  <c r="AH140" i="53"/>
  <c r="AH142" i="53" s="1"/>
  <c r="AH127" i="53"/>
  <c r="E182" i="57"/>
  <c r="D159" i="47"/>
  <c r="Y171" i="53"/>
  <c r="G183" i="53"/>
  <c r="Y165" i="55"/>
  <c r="G177" i="55"/>
  <c r="O177" i="57"/>
  <c r="Y165" i="57"/>
  <c r="AD165" i="57" s="1"/>
  <c r="G177" i="57"/>
  <c r="B177" i="56" l="1"/>
  <c r="O177" i="56"/>
  <c r="D180" i="51"/>
  <c r="L179" i="51"/>
  <c r="B182" i="53"/>
  <c r="O182" i="53"/>
  <c r="E179" i="42"/>
  <c r="S167" i="42"/>
  <c r="AC167" i="42" s="1"/>
  <c r="N179" i="42"/>
  <c r="AE120" i="47"/>
  <c r="AE122" i="47" s="1"/>
  <c r="AE102" i="47"/>
  <c r="AG144" i="42"/>
  <c r="AG146" i="42" s="1"/>
  <c r="L177" i="57"/>
  <c r="V165" i="57"/>
  <c r="AA165" i="57" s="1"/>
  <c r="I178" i="57"/>
  <c r="B182" i="57"/>
  <c r="V165" i="55"/>
  <c r="I178" i="55"/>
  <c r="O155" i="47"/>
  <c r="G155" i="47"/>
  <c r="J181" i="51"/>
  <c r="AH130" i="53"/>
  <c r="AH148" i="53"/>
  <c r="V167" i="42"/>
  <c r="I180" i="42"/>
  <c r="I179" i="56"/>
  <c r="V166" i="56"/>
  <c r="I184" i="53"/>
  <c r="V171" i="53"/>
  <c r="E159" i="47"/>
  <c r="AF102" i="47"/>
  <c r="AF120" i="47"/>
  <c r="E177" i="55"/>
  <c r="S165" i="55"/>
  <c r="AC165" i="55" s="1"/>
  <c r="N177" i="55"/>
  <c r="D178" i="56" l="1"/>
  <c r="L177" i="56"/>
  <c r="N180" i="51"/>
  <c r="E180" i="51"/>
  <c r="S168" i="51"/>
  <c r="AC168" i="51" s="1"/>
  <c r="D183" i="53"/>
  <c r="L182" i="53"/>
  <c r="T167" i="42"/>
  <c r="AD167" i="42" s="1"/>
  <c r="B179" i="42"/>
  <c r="O179" i="42"/>
  <c r="L155" i="47"/>
  <c r="I156" i="47"/>
  <c r="J180" i="42"/>
  <c r="T165" i="55"/>
  <c r="AD165" i="55" s="1"/>
  <c r="O177" i="55"/>
  <c r="B177" i="55"/>
  <c r="D183" i="57"/>
  <c r="E183" i="57" s="1"/>
  <c r="B183" i="57" s="1"/>
  <c r="N178" i="57"/>
  <c r="J178" i="57"/>
  <c r="J184" i="53"/>
  <c r="J179" i="56"/>
  <c r="J178" i="55"/>
  <c r="G181" i="51"/>
  <c r="B159" i="47"/>
  <c r="E178" i="56" l="1"/>
  <c r="S166" i="56"/>
  <c r="AC166" i="56" s="1"/>
  <c r="N178" i="56"/>
  <c r="O180" i="51"/>
  <c r="B180" i="51"/>
  <c r="T168" i="51"/>
  <c r="AD168" i="51" s="1"/>
  <c r="E183" i="53"/>
  <c r="N183" i="53"/>
  <c r="S171" i="53"/>
  <c r="AC171" i="53" s="1"/>
  <c r="D180" i="42"/>
  <c r="Q167" i="42"/>
  <c r="AA167" i="42" s="1"/>
  <c r="L179" i="42"/>
  <c r="D184" i="57"/>
  <c r="E184" i="57" s="1"/>
  <c r="B184" i="57" s="1"/>
  <c r="G184" i="53"/>
  <c r="O178" i="57"/>
  <c r="G178" i="57"/>
  <c r="D160" i="47"/>
  <c r="N156" i="47"/>
  <c r="J156" i="47"/>
  <c r="X144" i="47"/>
  <c r="AC144" i="47" s="1"/>
  <c r="G178" i="55"/>
  <c r="D178" i="55"/>
  <c r="Q165" i="55"/>
  <c r="AA165" i="55" s="1"/>
  <c r="L177" i="55"/>
  <c r="G179" i="56"/>
  <c r="G180" i="42"/>
  <c r="I182" i="51"/>
  <c r="B178" i="56" l="1"/>
  <c r="O178" i="56"/>
  <c r="T166" i="56"/>
  <c r="AD166" i="56" s="1"/>
  <c r="Q168" i="51"/>
  <c r="AA168" i="51" s="1"/>
  <c r="L180" i="51"/>
  <c r="D181" i="51"/>
  <c r="O183" i="53"/>
  <c r="T171" i="53"/>
  <c r="AD171" i="53" s="1"/>
  <c r="B183" i="53"/>
  <c r="E180" i="42"/>
  <c r="N180" i="42"/>
  <c r="D185" i="57"/>
  <c r="E185" i="57" s="1"/>
  <c r="B185" i="57" s="1"/>
  <c r="I181" i="42"/>
  <c r="J182" i="51"/>
  <c r="L178" i="57"/>
  <c r="I179" i="57"/>
  <c r="I185" i="53"/>
  <c r="E178" i="55"/>
  <c r="N178" i="55"/>
  <c r="O156" i="47"/>
  <c r="Y144" i="47"/>
  <c r="AD144" i="47" s="1"/>
  <c r="G156" i="47"/>
  <c r="E160" i="47"/>
  <c r="I180" i="56"/>
  <c r="I179" i="55"/>
  <c r="D179" i="56" l="1"/>
  <c r="Q166" i="56"/>
  <c r="AA166" i="56" s="1"/>
  <c r="L178" i="56"/>
  <c r="E181" i="51"/>
  <c r="N181" i="51"/>
  <c r="Q171" i="53"/>
  <c r="AA171" i="53" s="1"/>
  <c r="D184" i="53"/>
  <c r="L183" i="53"/>
  <c r="O180" i="42"/>
  <c r="B180" i="42"/>
  <c r="D186" i="57"/>
  <c r="E186" i="57" s="1"/>
  <c r="B186" i="57" s="1"/>
  <c r="J185" i="53"/>
  <c r="B160" i="47"/>
  <c r="V144" i="47"/>
  <c r="AA144" i="47" s="1"/>
  <c r="L156" i="47"/>
  <c r="I157" i="47"/>
  <c r="B178" i="55"/>
  <c r="O178" i="55"/>
  <c r="N179" i="57"/>
  <c r="J179" i="57"/>
  <c r="J179" i="55"/>
  <c r="J181" i="42"/>
  <c r="J180" i="56"/>
  <c r="G182" i="51"/>
  <c r="E179" i="56" l="1"/>
  <c r="N179" i="56"/>
  <c r="O181" i="51"/>
  <c r="B181" i="51"/>
  <c r="E184" i="53"/>
  <c r="N184" i="53"/>
  <c r="D181" i="42"/>
  <c r="L180" i="42"/>
  <c r="D187" i="57"/>
  <c r="E187" i="57" s="1"/>
  <c r="B187" i="57" s="1"/>
  <c r="G181" i="42"/>
  <c r="D161" i="47"/>
  <c r="I183" i="51"/>
  <c r="D179" i="55"/>
  <c r="L178" i="55"/>
  <c r="G179" i="55"/>
  <c r="G180" i="56"/>
  <c r="G185" i="53"/>
  <c r="O179" i="57"/>
  <c r="G179" i="57"/>
  <c r="N157" i="47"/>
  <c r="J157" i="47"/>
  <c r="X145" i="47"/>
  <c r="O179" i="56" l="1"/>
  <c r="B179" i="56"/>
  <c r="L181" i="51"/>
  <c r="D182" i="51"/>
  <c r="O184" i="53"/>
  <c r="B184" i="53"/>
  <c r="E181" i="42"/>
  <c r="N181" i="42"/>
  <c r="J183" i="51"/>
  <c r="I186" i="53"/>
  <c r="E161" i="47"/>
  <c r="L179" i="57"/>
  <c r="I180" i="57"/>
  <c r="E179" i="55"/>
  <c r="N179" i="55"/>
  <c r="D188" i="57"/>
  <c r="E188" i="57" s="1"/>
  <c r="B188" i="57" s="1"/>
  <c r="I180" i="55"/>
  <c r="O157" i="47"/>
  <c r="Y145" i="47"/>
  <c r="G157" i="47"/>
  <c r="I181" i="56"/>
  <c r="I182" i="42"/>
  <c r="D180" i="56" l="1"/>
  <c r="L179" i="56"/>
  <c r="N182" i="51"/>
  <c r="E182" i="51"/>
  <c r="D185" i="53"/>
  <c r="L184" i="53"/>
  <c r="B181" i="42"/>
  <c r="O181" i="42"/>
  <c r="D189" i="57"/>
  <c r="L157" i="47"/>
  <c r="I158" i="47"/>
  <c r="G183" i="51"/>
  <c r="J180" i="55"/>
  <c r="N180" i="57"/>
  <c r="J180" i="57"/>
  <c r="J182" i="42"/>
  <c r="B161" i="47"/>
  <c r="J181" i="56"/>
  <c r="B179" i="55"/>
  <c r="O179" i="55"/>
  <c r="J186" i="53"/>
  <c r="E180" i="56" l="1"/>
  <c r="N180" i="56"/>
  <c r="B182" i="51"/>
  <c r="O182" i="51"/>
  <c r="E185" i="53"/>
  <c r="N185" i="53"/>
  <c r="D182" i="42"/>
  <c r="L181" i="42"/>
  <c r="D180" i="55"/>
  <c r="L179" i="55"/>
  <c r="I184" i="51"/>
  <c r="E189" i="57"/>
  <c r="S166" i="57"/>
  <c r="G180" i="55"/>
  <c r="G182" i="42"/>
  <c r="N158" i="47"/>
  <c r="J158" i="47"/>
  <c r="X146" i="47"/>
  <c r="G181" i="56"/>
  <c r="O180" i="57"/>
  <c r="G180" i="57"/>
  <c r="G186" i="53"/>
  <c r="D162" i="47"/>
  <c r="E162" i="47" s="1"/>
  <c r="B162" i="47" s="1"/>
  <c r="B180" i="56" l="1"/>
  <c r="O180" i="56"/>
  <c r="D183" i="51"/>
  <c r="L182" i="51"/>
  <c r="O185" i="53"/>
  <c r="B185" i="53"/>
  <c r="E182" i="42"/>
  <c r="N182" i="42"/>
  <c r="D163" i="47"/>
  <c r="E163" i="47" s="1"/>
  <c r="B163" i="47" s="1"/>
  <c r="O158" i="47"/>
  <c r="Y146" i="47"/>
  <c r="G158" i="47"/>
  <c r="I181" i="55"/>
  <c r="I187" i="53"/>
  <c r="I182" i="56"/>
  <c r="I183" i="42"/>
  <c r="J184" i="51"/>
  <c r="E180" i="55"/>
  <c r="N180" i="55"/>
  <c r="L180" i="57"/>
  <c r="I181" i="57"/>
  <c r="T166" i="57"/>
  <c r="B189" i="57"/>
  <c r="L180" i="56" l="1"/>
  <c r="D181" i="56"/>
  <c r="N183" i="51"/>
  <c r="E183" i="51"/>
  <c r="D186" i="53"/>
  <c r="L185" i="53"/>
  <c r="B182" i="42"/>
  <c r="O182" i="42"/>
  <c r="D164" i="47"/>
  <c r="E164" i="47" s="1"/>
  <c r="B164" i="47" s="1"/>
  <c r="J187" i="53"/>
  <c r="N181" i="57"/>
  <c r="J181" i="57"/>
  <c r="L158" i="47"/>
  <c r="I159" i="47"/>
  <c r="D190" i="57"/>
  <c r="Q166" i="57"/>
  <c r="O180" i="55"/>
  <c r="B180" i="55"/>
  <c r="J182" i="56"/>
  <c r="J181" i="55"/>
  <c r="J183" i="42"/>
  <c r="G184" i="51"/>
  <c r="E181" i="56" l="1"/>
  <c r="N181" i="56"/>
  <c r="B183" i="51"/>
  <c r="O183" i="51"/>
  <c r="E186" i="53"/>
  <c r="N186" i="53"/>
  <c r="D183" i="42"/>
  <c r="L182" i="42"/>
  <c r="D165" i="47"/>
  <c r="E165" i="47" s="1"/>
  <c r="B165" i="47" s="1"/>
  <c r="E190" i="57"/>
  <c r="G182" i="56"/>
  <c r="G187" i="53"/>
  <c r="D181" i="55"/>
  <c r="L180" i="55"/>
  <c r="O181" i="57"/>
  <c r="G181" i="57"/>
  <c r="N159" i="47"/>
  <c r="J159" i="47"/>
  <c r="X147" i="47"/>
  <c r="I185" i="51"/>
  <c r="G183" i="42"/>
  <c r="G181" i="55"/>
  <c r="B181" i="56" l="1"/>
  <c r="O181" i="56"/>
  <c r="D184" i="51"/>
  <c r="L183" i="51"/>
  <c r="O186" i="53"/>
  <c r="B186" i="53"/>
  <c r="E183" i="42"/>
  <c r="N183" i="42"/>
  <c r="I188" i="53"/>
  <c r="O159" i="47"/>
  <c r="Y147" i="47"/>
  <c r="G159" i="47"/>
  <c r="I182" i="55"/>
  <c r="I183" i="56"/>
  <c r="J185" i="51"/>
  <c r="I184" i="42"/>
  <c r="L181" i="57"/>
  <c r="I182" i="57"/>
  <c r="E181" i="55"/>
  <c r="N181" i="55"/>
  <c r="B190" i="57"/>
  <c r="D166" i="47"/>
  <c r="E166" i="47" s="1"/>
  <c r="B166" i="47" s="1"/>
  <c r="L181" i="56" l="1"/>
  <c r="D182" i="56"/>
  <c r="N184" i="51"/>
  <c r="E184" i="51"/>
  <c r="D187" i="53"/>
  <c r="L186" i="53"/>
  <c r="O183" i="42"/>
  <c r="B183" i="42"/>
  <c r="D167" i="47"/>
  <c r="E167" i="47" s="1"/>
  <c r="B167" i="47" s="1"/>
  <c r="L159" i="47"/>
  <c r="I160" i="47"/>
  <c r="D191" i="57"/>
  <c r="J182" i="55"/>
  <c r="G185" i="51"/>
  <c r="O181" i="55"/>
  <c r="B181" i="55"/>
  <c r="N182" i="57"/>
  <c r="J182" i="57"/>
  <c r="J184" i="42"/>
  <c r="J183" i="56"/>
  <c r="J188" i="53"/>
  <c r="E182" i="56" l="1"/>
  <c r="N182" i="56"/>
  <c r="O184" i="51"/>
  <c r="B184" i="51"/>
  <c r="E187" i="53"/>
  <c r="N187" i="53"/>
  <c r="D184" i="42"/>
  <c r="L183" i="42"/>
  <c r="G183" i="56"/>
  <c r="G182" i="55"/>
  <c r="G188" i="53"/>
  <c r="D182" i="55"/>
  <c r="L181" i="55"/>
  <c r="G184" i="42"/>
  <c r="E191" i="57"/>
  <c r="I186" i="51"/>
  <c r="N160" i="47"/>
  <c r="J160" i="47"/>
  <c r="X148" i="47"/>
  <c r="O182" i="57"/>
  <c r="G182" i="57"/>
  <c r="D168" i="47"/>
  <c r="O182" i="56" l="1"/>
  <c r="B182" i="56"/>
  <c r="D185" i="51"/>
  <c r="L184" i="51"/>
  <c r="O187" i="53"/>
  <c r="B187" i="53"/>
  <c r="E184" i="42"/>
  <c r="N184" i="42"/>
  <c r="E182" i="55"/>
  <c r="N182" i="55"/>
  <c r="B191" i="57"/>
  <c r="I185" i="42"/>
  <c r="O160" i="47"/>
  <c r="Y148" i="47"/>
  <c r="G160" i="47"/>
  <c r="I189" i="53"/>
  <c r="L182" i="57"/>
  <c r="I183" i="57"/>
  <c r="I184" i="56"/>
  <c r="I183" i="55"/>
  <c r="E168" i="47"/>
  <c r="S145" i="47"/>
  <c r="AC145" i="47" s="1"/>
  <c r="J186" i="51"/>
  <c r="D183" i="56" l="1"/>
  <c r="L182" i="56"/>
  <c r="E185" i="51"/>
  <c r="N185" i="51"/>
  <c r="D188" i="53"/>
  <c r="L187" i="53"/>
  <c r="B184" i="42"/>
  <c r="O184" i="42"/>
  <c r="J184" i="56"/>
  <c r="T145" i="47"/>
  <c r="AD145" i="47" s="1"/>
  <c r="B168" i="47"/>
  <c r="J183" i="55"/>
  <c r="N183" i="57"/>
  <c r="J183" i="57"/>
  <c r="J185" i="42"/>
  <c r="G186" i="51"/>
  <c r="J189" i="53"/>
  <c r="D192" i="57"/>
  <c r="L160" i="47"/>
  <c r="I161" i="47"/>
  <c r="O182" i="55"/>
  <c r="B182" i="55"/>
  <c r="N183" i="56" l="1"/>
  <c r="E183" i="56"/>
  <c r="B185" i="51"/>
  <c r="O185" i="51"/>
  <c r="E188" i="53"/>
  <c r="N188" i="53"/>
  <c r="D185" i="42"/>
  <c r="L184" i="42"/>
  <c r="G185" i="42"/>
  <c r="E192" i="57"/>
  <c r="O183" i="57"/>
  <c r="G183" i="57"/>
  <c r="G183" i="55"/>
  <c r="D183" i="55"/>
  <c r="L182" i="55"/>
  <c r="G189" i="53"/>
  <c r="I187" i="51"/>
  <c r="Q145" i="47"/>
  <c r="D169" i="47"/>
  <c r="G184" i="56"/>
  <c r="N161" i="47"/>
  <c r="J161" i="47"/>
  <c r="X149" i="47"/>
  <c r="B183" i="56" l="1"/>
  <c r="O183" i="56"/>
  <c r="L185" i="51"/>
  <c r="D186" i="51"/>
  <c r="O188" i="53"/>
  <c r="B188" i="53"/>
  <c r="E185" i="42"/>
  <c r="N185" i="42"/>
  <c r="E169" i="47"/>
  <c r="E183" i="55"/>
  <c r="N183" i="55"/>
  <c r="B192" i="57"/>
  <c r="O161" i="47"/>
  <c r="Y149" i="47"/>
  <c r="G161" i="47"/>
  <c r="L183" i="57"/>
  <c r="I184" i="57"/>
  <c r="J187" i="51"/>
  <c r="I184" i="55"/>
  <c r="I186" i="42"/>
  <c r="I185" i="56"/>
  <c r="I190" i="53"/>
  <c r="L183" i="56" l="1"/>
  <c r="D184" i="56"/>
  <c r="E186" i="51"/>
  <c r="N186" i="51"/>
  <c r="D189" i="53"/>
  <c r="L188" i="53"/>
  <c r="B185" i="42"/>
  <c r="O185" i="42"/>
  <c r="J186" i="42"/>
  <c r="J185" i="56"/>
  <c r="D193" i="57"/>
  <c r="G187" i="51"/>
  <c r="J190" i="53"/>
  <c r="B169" i="47"/>
  <c r="J184" i="55"/>
  <c r="O183" i="55"/>
  <c r="B183" i="55"/>
  <c r="N184" i="57"/>
  <c r="J184" i="57"/>
  <c r="L161" i="47"/>
  <c r="I162" i="47"/>
  <c r="N184" i="56" l="1"/>
  <c r="E184" i="56"/>
  <c r="B186" i="51"/>
  <c r="O186" i="51"/>
  <c r="E189" i="53"/>
  <c r="N189" i="53"/>
  <c r="D186" i="42"/>
  <c r="L185" i="42"/>
  <c r="N162" i="47"/>
  <c r="J162" i="47"/>
  <c r="X150" i="47"/>
  <c r="I188" i="51"/>
  <c r="G186" i="42"/>
  <c r="G190" i="53"/>
  <c r="O184" i="57"/>
  <c r="G184" i="57"/>
  <c r="E193" i="57"/>
  <c r="G185" i="56"/>
  <c r="G184" i="55"/>
  <c r="D170" i="47"/>
  <c r="D184" i="55"/>
  <c r="L183" i="55"/>
  <c r="B184" i="56" l="1"/>
  <c r="O184" i="56"/>
  <c r="D187" i="51"/>
  <c r="L186" i="51"/>
  <c r="B189" i="53"/>
  <c r="O189" i="53"/>
  <c r="E186" i="42"/>
  <c r="N186" i="42"/>
  <c r="L184" i="57"/>
  <c r="I185" i="57"/>
  <c r="I186" i="56"/>
  <c r="I191" i="53"/>
  <c r="J188" i="51"/>
  <c r="I187" i="42"/>
  <c r="O162" i="47"/>
  <c r="Y150" i="47"/>
  <c r="G162" i="47"/>
  <c r="E170" i="47"/>
  <c r="B193" i="57"/>
  <c r="I185" i="55"/>
  <c r="E184" i="55"/>
  <c r="N184" i="55"/>
  <c r="D185" i="56" l="1"/>
  <c r="L184" i="56"/>
  <c r="E187" i="51"/>
  <c r="N187" i="51"/>
  <c r="D190" i="53"/>
  <c r="L189" i="53"/>
  <c r="B186" i="42"/>
  <c r="O186" i="42"/>
  <c r="L162" i="47"/>
  <c r="I163" i="47"/>
  <c r="G188" i="51"/>
  <c r="B170" i="47"/>
  <c r="J187" i="42"/>
  <c r="J191" i="53"/>
  <c r="B184" i="55"/>
  <c r="O184" i="55"/>
  <c r="J186" i="56"/>
  <c r="J185" i="55"/>
  <c r="N185" i="57"/>
  <c r="J185" i="57"/>
  <c r="D194" i="57"/>
  <c r="E185" i="56" l="1"/>
  <c r="N185" i="56"/>
  <c r="O187" i="51"/>
  <c r="B187" i="51"/>
  <c r="E190" i="53"/>
  <c r="N190" i="53"/>
  <c r="D187" i="42"/>
  <c r="L186" i="42"/>
  <c r="I189" i="51"/>
  <c r="G187" i="42"/>
  <c r="E194" i="57"/>
  <c r="G185" i="55"/>
  <c r="D185" i="55"/>
  <c r="L184" i="55"/>
  <c r="G186" i="56"/>
  <c r="N163" i="47"/>
  <c r="J163" i="47"/>
  <c r="X151" i="47"/>
  <c r="O185" i="57"/>
  <c r="G185" i="57"/>
  <c r="G191" i="53"/>
  <c r="D171" i="47"/>
  <c r="B185" i="56" l="1"/>
  <c r="O185" i="56"/>
  <c r="L187" i="51"/>
  <c r="D188" i="51"/>
  <c r="B190" i="53"/>
  <c r="O190" i="53"/>
  <c r="E187" i="42"/>
  <c r="N187" i="42"/>
  <c r="I188" i="42"/>
  <c r="J189" i="51"/>
  <c r="B194" i="57"/>
  <c r="E185" i="55"/>
  <c r="N185" i="55"/>
  <c r="I192" i="53"/>
  <c r="L185" i="57"/>
  <c r="I186" i="57"/>
  <c r="I186" i="55"/>
  <c r="O163" i="47"/>
  <c r="Y151" i="47"/>
  <c r="G163" i="47"/>
  <c r="E171" i="47"/>
  <c r="I187" i="56"/>
  <c r="D186" i="56" l="1"/>
  <c r="L185" i="56"/>
  <c r="N188" i="51"/>
  <c r="E188" i="51"/>
  <c r="D191" i="53"/>
  <c r="L190" i="53"/>
  <c r="B187" i="42"/>
  <c r="O187" i="42"/>
  <c r="G189" i="51"/>
  <c r="J187" i="56"/>
  <c r="B171" i="47"/>
  <c r="J186" i="55"/>
  <c r="J192" i="53"/>
  <c r="L163" i="47"/>
  <c r="I164" i="47"/>
  <c r="O185" i="55"/>
  <c r="B185" i="55"/>
  <c r="J188" i="42"/>
  <c r="N186" i="57"/>
  <c r="J186" i="57"/>
  <c r="D195" i="57"/>
  <c r="E195" i="57" s="1"/>
  <c r="B195" i="57" s="1"/>
  <c r="E186" i="56" l="1"/>
  <c r="N186" i="56"/>
  <c r="B188" i="51"/>
  <c r="O188" i="51"/>
  <c r="E191" i="53"/>
  <c r="N191" i="53"/>
  <c r="D188" i="42"/>
  <c r="L187" i="42"/>
  <c r="D196" i="57"/>
  <c r="E196" i="57" s="1"/>
  <c r="B196" i="57" s="1"/>
  <c r="G192" i="53"/>
  <c r="D186" i="55"/>
  <c r="L185" i="55"/>
  <c r="G188" i="42"/>
  <c r="G187" i="56"/>
  <c r="O186" i="57"/>
  <c r="G186" i="57"/>
  <c r="G186" i="55"/>
  <c r="I190" i="51"/>
  <c r="D172" i="47"/>
  <c r="N164" i="47"/>
  <c r="J164" i="47"/>
  <c r="X152" i="47"/>
  <c r="B186" i="56" l="1"/>
  <c r="O186" i="56"/>
  <c r="D189" i="51"/>
  <c r="L188" i="51"/>
  <c r="B191" i="53"/>
  <c r="O191" i="53"/>
  <c r="E188" i="42"/>
  <c r="N188" i="42"/>
  <c r="D197" i="57"/>
  <c r="E197" i="57" s="1"/>
  <c r="B197" i="57" s="1"/>
  <c r="E186" i="55"/>
  <c r="N186" i="55"/>
  <c r="I188" i="56"/>
  <c r="O164" i="47"/>
  <c r="Y152" i="47"/>
  <c r="G164" i="47"/>
  <c r="I193" i="53"/>
  <c r="J190" i="51"/>
  <c r="E172" i="47"/>
  <c r="I187" i="57"/>
  <c r="L186" i="57"/>
  <c r="I189" i="42"/>
  <c r="I187" i="55"/>
  <c r="L186" i="56" l="1"/>
  <c r="D187" i="56"/>
  <c r="E189" i="51"/>
  <c r="N189" i="51"/>
  <c r="D192" i="53"/>
  <c r="L191" i="53"/>
  <c r="B188" i="42"/>
  <c r="O188" i="42"/>
  <c r="D198" i="57"/>
  <c r="E198" i="57" s="1"/>
  <c r="B198" i="57" s="1"/>
  <c r="L164" i="47"/>
  <c r="I165" i="47"/>
  <c r="J193" i="53"/>
  <c r="J189" i="42"/>
  <c r="J188" i="56"/>
  <c r="G190" i="51"/>
  <c r="B172" i="47"/>
  <c r="B186" i="55"/>
  <c r="O186" i="55"/>
  <c r="J187" i="55"/>
  <c r="N187" i="57"/>
  <c r="J187" i="57"/>
  <c r="E187" i="56" l="1"/>
  <c r="N187" i="56"/>
  <c r="O189" i="51"/>
  <c r="B189" i="51"/>
  <c r="E192" i="53"/>
  <c r="N192" i="53"/>
  <c r="D189" i="42"/>
  <c r="L188" i="42"/>
  <c r="G189" i="42"/>
  <c r="D199" i="57"/>
  <c r="E199" i="57" s="1"/>
  <c r="B199" i="57" s="1"/>
  <c r="G187" i="55"/>
  <c r="G193" i="53"/>
  <c r="D173" i="47"/>
  <c r="O187" i="57"/>
  <c r="G187" i="57"/>
  <c r="I191" i="51"/>
  <c r="D187" i="55"/>
  <c r="L186" i="55"/>
  <c r="G188" i="56"/>
  <c r="N165" i="47"/>
  <c r="J165" i="47"/>
  <c r="X153" i="47"/>
  <c r="B187" i="56" l="1"/>
  <c r="O187" i="56"/>
  <c r="L189" i="51"/>
  <c r="D190" i="51"/>
  <c r="B192" i="53"/>
  <c r="O192" i="53"/>
  <c r="E189" i="42"/>
  <c r="N189" i="42"/>
  <c r="D200" i="57"/>
  <c r="E200" i="57" s="1"/>
  <c r="B200" i="57" s="1"/>
  <c r="I194" i="53"/>
  <c r="I188" i="55"/>
  <c r="L187" i="57"/>
  <c r="I188" i="57"/>
  <c r="J191" i="51"/>
  <c r="I189" i="56"/>
  <c r="E173" i="47"/>
  <c r="I190" i="42"/>
  <c r="O165" i="47"/>
  <c r="Y153" i="47"/>
  <c r="G165" i="47"/>
  <c r="E187" i="55"/>
  <c r="N187" i="55"/>
  <c r="L187" i="56" l="1"/>
  <c r="D188" i="56"/>
  <c r="E190" i="51"/>
  <c r="N190" i="51"/>
  <c r="D193" i="53"/>
  <c r="L192" i="53"/>
  <c r="B189" i="42"/>
  <c r="O189" i="42"/>
  <c r="J189" i="56"/>
  <c r="J194" i="53"/>
  <c r="J190" i="42"/>
  <c r="L165" i="47"/>
  <c r="I166" i="47"/>
  <c r="J188" i="55"/>
  <c r="G191" i="51"/>
  <c r="D201" i="57"/>
  <c r="B187" i="55"/>
  <c r="O187" i="55"/>
  <c r="B173" i="47"/>
  <c r="N188" i="57"/>
  <c r="J188" i="57"/>
  <c r="E188" i="56" l="1"/>
  <c r="N188" i="56"/>
  <c r="O190" i="51"/>
  <c r="B190" i="51"/>
  <c r="E193" i="53"/>
  <c r="N193" i="53"/>
  <c r="D190" i="42"/>
  <c r="L189" i="42"/>
  <c r="D174" i="47"/>
  <c r="E174" i="47" s="1"/>
  <c r="B174" i="47" s="1"/>
  <c r="G190" i="42"/>
  <c r="G189" i="56"/>
  <c r="I192" i="51"/>
  <c r="G188" i="55"/>
  <c r="G194" i="53"/>
  <c r="E201" i="57"/>
  <c r="S167" i="57"/>
  <c r="O188" i="57"/>
  <c r="G188" i="57"/>
  <c r="N166" i="47"/>
  <c r="J166" i="47"/>
  <c r="D188" i="55"/>
  <c r="L187" i="55"/>
  <c r="B188" i="56" l="1"/>
  <c r="O188" i="56"/>
  <c r="L190" i="51"/>
  <c r="D191" i="51"/>
  <c r="B193" i="53"/>
  <c r="O193" i="53"/>
  <c r="E190" i="42"/>
  <c r="N190" i="42"/>
  <c r="D175" i="47"/>
  <c r="E175" i="47" s="1"/>
  <c r="B175" i="47" s="1"/>
  <c r="E188" i="55"/>
  <c r="N188" i="55"/>
  <c r="I195" i="53"/>
  <c r="J192" i="51"/>
  <c r="X169" i="51"/>
  <c r="I191" i="42"/>
  <c r="I190" i="56"/>
  <c r="T167" i="57"/>
  <c r="B201" i="57"/>
  <c r="O166" i="47"/>
  <c r="G166" i="47"/>
  <c r="L188" i="57"/>
  <c r="I189" i="57"/>
  <c r="I189" i="55"/>
  <c r="D189" i="56" l="1"/>
  <c r="L188" i="56"/>
  <c r="E191" i="51"/>
  <c r="N191" i="51"/>
  <c r="D194" i="53"/>
  <c r="L193" i="53"/>
  <c r="B190" i="42"/>
  <c r="O190" i="42"/>
  <c r="D176" i="47"/>
  <c r="E176" i="47" s="1"/>
  <c r="B176" i="47" s="1"/>
  <c r="L166" i="47"/>
  <c r="I167" i="47"/>
  <c r="J191" i="42"/>
  <c r="X168" i="42"/>
  <c r="Q167" i="57"/>
  <c r="D202" i="57"/>
  <c r="N189" i="57"/>
  <c r="J189" i="57"/>
  <c r="X166" i="57"/>
  <c r="AC166" i="57" s="1"/>
  <c r="J195" i="53"/>
  <c r="X172" i="53"/>
  <c r="Y169" i="51"/>
  <c r="G192" i="51"/>
  <c r="J190" i="56"/>
  <c r="X167" i="56"/>
  <c r="J189" i="55"/>
  <c r="X166" i="55"/>
  <c r="B188" i="55"/>
  <c r="O188" i="55"/>
  <c r="E189" i="56" l="1"/>
  <c r="N189" i="56"/>
  <c r="O191" i="51"/>
  <c r="B191" i="51"/>
  <c r="E194" i="53"/>
  <c r="N194" i="53"/>
  <c r="D191" i="42"/>
  <c r="L190" i="42"/>
  <c r="D177" i="47"/>
  <c r="E177" i="47" s="1"/>
  <c r="B177" i="47" s="1"/>
  <c r="Y167" i="56"/>
  <c r="G190" i="56"/>
  <c r="Y172" i="53"/>
  <c r="G195" i="53"/>
  <c r="V169" i="51"/>
  <c r="I193" i="51"/>
  <c r="Y166" i="55"/>
  <c r="G189" i="55"/>
  <c r="N167" i="47"/>
  <c r="J167" i="47"/>
  <c r="Y168" i="42"/>
  <c r="G191" i="42"/>
  <c r="D189" i="55"/>
  <c r="L188" i="55"/>
  <c r="O189" i="57"/>
  <c r="Y166" i="57"/>
  <c r="AD166" i="57" s="1"/>
  <c r="G189" i="57"/>
  <c r="E202" i="57"/>
  <c r="B189" i="56" l="1"/>
  <c r="O189" i="56"/>
  <c r="L191" i="51"/>
  <c r="D192" i="51"/>
  <c r="B194" i="53"/>
  <c r="O194" i="53"/>
  <c r="E191" i="42"/>
  <c r="S168" i="42"/>
  <c r="AC168" i="42" s="1"/>
  <c r="N191" i="42"/>
  <c r="D178" i="47"/>
  <c r="E178" i="47" s="1"/>
  <c r="B178" i="47" s="1"/>
  <c r="V168" i="42"/>
  <c r="I192" i="42"/>
  <c r="E189" i="55"/>
  <c r="S166" i="55"/>
  <c r="AC166" i="55" s="1"/>
  <c r="N189" i="55"/>
  <c r="B202" i="57"/>
  <c r="I191" i="56"/>
  <c r="V167" i="56"/>
  <c r="V166" i="55"/>
  <c r="I190" i="55"/>
  <c r="O167" i="47"/>
  <c r="G167" i="47"/>
  <c r="I196" i="53"/>
  <c r="V172" i="53"/>
  <c r="J193" i="51"/>
  <c r="L189" i="57"/>
  <c r="V166" i="57"/>
  <c r="AA166" i="57" s="1"/>
  <c r="I190" i="57"/>
  <c r="D190" i="56" l="1"/>
  <c r="L189" i="56"/>
  <c r="N192" i="51"/>
  <c r="E192" i="51"/>
  <c r="S169" i="51"/>
  <c r="AC169" i="51" s="1"/>
  <c r="D195" i="53"/>
  <c r="L194" i="53"/>
  <c r="T168" i="42"/>
  <c r="AD168" i="42" s="1"/>
  <c r="O191" i="42"/>
  <c r="B191" i="42"/>
  <c r="D179" i="47"/>
  <c r="E179" i="47" s="1"/>
  <c r="B179" i="47" s="1"/>
  <c r="G193" i="51"/>
  <c r="T166" i="55"/>
  <c r="AD166" i="55" s="1"/>
  <c r="O189" i="55"/>
  <c r="B189" i="55"/>
  <c r="D203" i="57"/>
  <c r="J190" i="55"/>
  <c r="J191" i="56"/>
  <c r="N190" i="57"/>
  <c r="J190" i="57"/>
  <c r="J196" i="53"/>
  <c r="L167" i="47"/>
  <c r="I168" i="47"/>
  <c r="J192" i="42"/>
  <c r="N190" i="56" l="1"/>
  <c r="S167" i="56"/>
  <c r="AC167" i="56" s="1"/>
  <c r="E190" i="56"/>
  <c r="O192" i="51"/>
  <c r="T169" i="51"/>
  <c r="AD169" i="51" s="1"/>
  <c r="B192" i="51"/>
  <c r="E195" i="53"/>
  <c r="S172" i="53"/>
  <c r="AC172" i="53" s="1"/>
  <c r="N195" i="53"/>
  <c r="D192" i="42"/>
  <c r="Q168" i="42"/>
  <c r="AA168" i="42" s="1"/>
  <c r="L191" i="42"/>
  <c r="D180" i="47"/>
  <c r="E203" i="57"/>
  <c r="G192" i="42"/>
  <c r="I194" i="51"/>
  <c r="G190" i="55"/>
  <c r="N168" i="47"/>
  <c r="J168" i="47"/>
  <c r="Q166" i="55"/>
  <c r="AA166" i="55" s="1"/>
  <c r="D190" i="55"/>
  <c r="L189" i="55"/>
  <c r="G191" i="56"/>
  <c r="O190" i="57"/>
  <c r="G190" i="57"/>
  <c r="G196" i="53"/>
  <c r="B190" i="56" l="1"/>
  <c r="O190" i="56"/>
  <c r="T167" i="56"/>
  <c r="AD167" i="56" s="1"/>
  <c r="Q169" i="51"/>
  <c r="AA169" i="51" s="1"/>
  <c r="L192" i="51"/>
  <c r="D193" i="51"/>
  <c r="T172" i="53"/>
  <c r="AD172" i="53" s="1"/>
  <c r="O195" i="53"/>
  <c r="B195" i="53"/>
  <c r="E192" i="42"/>
  <c r="N192" i="42"/>
  <c r="I192" i="56"/>
  <c r="I191" i="55"/>
  <c r="B203" i="57"/>
  <c r="E180" i="47"/>
  <c r="S146" i="47"/>
  <c r="AC146" i="47" s="1"/>
  <c r="J194" i="51"/>
  <c r="O168" i="47"/>
  <c r="G168" i="47"/>
  <c r="I197" i="53"/>
  <c r="I193" i="42"/>
  <c r="L190" i="57"/>
  <c r="I191" i="57"/>
  <c r="E190" i="55"/>
  <c r="N190" i="55"/>
  <c r="D191" i="56" l="1"/>
  <c r="Q167" i="56"/>
  <c r="AA167" i="56" s="1"/>
  <c r="L190" i="56"/>
  <c r="N193" i="51"/>
  <c r="E193" i="51"/>
  <c r="Q172" i="53"/>
  <c r="AA172" i="53" s="1"/>
  <c r="D196" i="53"/>
  <c r="L195" i="53"/>
  <c r="O192" i="42"/>
  <c r="B192" i="42"/>
  <c r="J192" i="56"/>
  <c r="T146" i="47"/>
  <c r="AD146" i="47" s="1"/>
  <c r="B180" i="47"/>
  <c r="V145" i="47"/>
  <c r="AA145" i="47" s="1"/>
  <c r="L168" i="47"/>
  <c r="I169" i="47"/>
  <c r="D204" i="57"/>
  <c r="J193" i="42"/>
  <c r="G194" i="51"/>
  <c r="N191" i="57"/>
  <c r="J191" i="57"/>
  <c r="J191" i="55"/>
  <c r="J197" i="53"/>
  <c r="B190" i="55"/>
  <c r="O190" i="55"/>
  <c r="E191" i="56" l="1"/>
  <c r="N191" i="56"/>
  <c r="B193" i="51"/>
  <c r="O193" i="51"/>
  <c r="E196" i="53"/>
  <c r="N196" i="53"/>
  <c r="D193" i="42"/>
  <c r="L192" i="42"/>
  <c r="G197" i="53"/>
  <c r="Q146" i="47"/>
  <c r="D181" i="47"/>
  <c r="O191" i="57"/>
  <c r="G191" i="57"/>
  <c r="D191" i="55"/>
  <c r="L190" i="55"/>
  <c r="I195" i="51"/>
  <c r="G191" i="55"/>
  <c r="G192" i="56"/>
  <c r="G193" i="42"/>
  <c r="E204" i="57"/>
  <c r="N169" i="47"/>
  <c r="J169" i="47"/>
  <c r="O191" i="56" l="1"/>
  <c r="B191" i="56"/>
  <c r="D194" i="51"/>
  <c r="L193" i="51"/>
  <c r="O196" i="53"/>
  <c r="B196" i="53"/>
  <c r="E193" i="42"/>
  <c r="N193" i="42"/>
  <c r="I194" i="42"/>
  <c r="L191" i="57"/>
  <c r="I192" i="57"/>
  <c r="B204" i="57"/>
  <c r="I192" i="55"/>
  <c r="I198" i="53"/>
  <c r="E191" i="55"/>
  <c r="N191" i="55"/>
  <c r="I193" i="56"/>
  <c r="J195" i="51"/>
  <c r="O169" i="47"/>
  <c r="G169" i="47"/>
  <c r="E181" i="47"/>
  <c r="L191" i="56" l="1"/>
  <c r="D192" i="56"/>
  <c r="E194" i="51"/>
  <c r="N194" i="51"/>
  <c r="D197" i="53"/>
  <c r="L196" i="53"/>
  <c r="B193" i="42"/>
  <c r="O193" i="42"/>
  <c r="B191" i="55"/>
  <c r="O191" i="55"/>
  <c r="D205" i="57"/>
  <c r="G195" i="51"/>
  <c r="J194" i="42"/>
  <c r="N192" i="57"/>
  <c r="J192" i="57"/>
  <c r="B181" i="47"/>
  <c r="J198" i="53"/>
  <c r="J192" i="55"/>
  <c r="J193" i="56"/>
  <c r="L169" i="47"/>
  <c r="I170" i="47"/>
  <c r="E192" i="56" l="1"/>
  <c r="N192" i="56"/>
  <c r="O194" i="51"/>
  <c r="B194" i="51"/>
  <c r="E197" i="53"/>
  <c r="N197" i="53"/>
  <c r="D194" i="42"/>
  <c r="L193" i="42"/>
  <c r="G192" i="55"/>
  <c r="G198" i="53"/>
  <c r="I196" i="51"/>
  <c r="E205" i="57"/>
  <c r="D182" i="47"/>
  <c r="D192" i="55"/>
  <c r="L191" i="55"/>
  <c r="O192" i="57"/>
  <c r="G192" i="57"/>
  <c r="N170" i="47"/>
  <c r="J170" i="47"/>
  <c r="G194" i="42"/>
  <c r="G193" i="56"/>
  <c r="B192" i="56" l="1"/>
  <c r="O192" i="56"/>
  <c r="L194" i="51"/>
  <c r="D195" i="51"/>
  <c r="O197" i="53"/>
  <c r="B197" i="53"/>
  <c r="E194" i="42"/>
  <c r="N194" i="42"/>
  <c r="I195" i="42"/>
  <c r="E192" i="55"/>
  <c r="N192" i="55"/>
  <c r="O170" i="47"/>
  <c r="G170" i="47"/>
  <c r="E182" i="47"/>
  <c r="I193" i="55"/>
  <c r="B205" i="57"/>
  <c r="L192" i="57"/>
  <c r="I193" i="57"/>
  <c r="I199" i="53"/>
  <c r="I194" i="56"/>
  <c r="J196" i="51"/>
  <c r="L192" i="56" l="1"/>
  <c r="D193" i="56"/>
  <c r="E195" i="51"/>
  <c r="N195" i="51"/>
  <c r="D198" i="53"/>
  <c r="L197" i="53"/>
  <c r="B194" i="42"/>
  <c r="O194" i="42"/>
  <c r="J193" i="55"/>
  <c r="O192" i="55"/>
  <c r="B192" i="55"/>
  <c r="J199" i="53"/>
  <c r="J195" i="42"/>
  <c r="L170" i="47"/>
  <c r="I171" i="47"/>
  <c r="D206" i="57"/>
  <c r="G196" i="51"/>
  <c r="J194" i="56"/>
  <c r="N193" i="57"/>
  <c r="J193" i="57"/>
  <c r="B182" i="47"/>
  <c r="E193" i="56" l="1"/>
  <c r="N193" i="56"/>
  <c r="O195" i="51"/>
  <c r="B195" i="51"/>
  <c r="E198" i="53"/>
  <c r="N198" i="53"/>
  <c r="D195" i="42"/>
  <c r="L194" i="42"/>
  <c r="G194" i="56"/>
  <c r="I197" i="51"/>
  <c r="D193" i="55"/>
  <c r="L192" i="55"/>
  <c r="E206" i="57"/>
  <c r="D183" i="47"/>
  <c r="N171" i="47"/>
  <c r="J171" i="47"/>
  <c r="G195" i="42"/>
  <c r="G199" i="53"/>
  <c r="O193" i="57"/>
  <c r="G193" i="57"/>
  <c r="G193" i="55"/>
  <c r="B193" i="56" l="1"/>
  <c r="O193" i="56"/>
  <c r="D196" i="51"/>
  <c r="L195" i="51"/>
  <c r="O198" i="53"/>
  <c r="B198" i="53"/>
  <c r="E195" i="42"/>
  <c r="N195" i="42"/>
  <c r="I200" i="53"/>
  <c r="J197" i="51"/>
  <c r="I196" i="42"/>
  <c r="E193" i="55"/>
  <c r="N193" i="55"/>
  <c r="I195" i="56"/>
  <c r="E183" i="47"/>
  <c r="L193" i="57"/>
  <c r="I194" i="57"/>
  <c r="B206" i="57"/>
  <c r="I194" i="55"/>
  <c r="O171" i="47"/>
  <c r="G171" i="47"/>
  <c r="L193" i="56" l="1"/>
  <c r="D194" i="56"/>
  <c r="N196" i="51"/>
  <c r="E196" i="51"/>
  <c r="D199" i="53"/>
  <c r="L198" i="53"/>
  <c r="B195" i="42"/>
  <c r="O195" i="42"/>
  <c r="G197" i="51"/>
  <c r="J194" i="55"/>
  <c r="B183" i="47"/>
  <c r="N194" i="57"/>
  <c r="J194" i="57"/>
  <c r="J195" i="56"/>
  <c r="L171" i="47"/>
  <c r="I172" i="47"/>
  <c r="D207" i="57"/>
  <c r="E207" i="57" s="1"/>
  <c r="B207" i="57" s="1"/>
  <c r="O193" i="55"/>
  <c r="B193" i="55"/>
  <c r="J200" i="53"/>
  <c r="J196" i="42"/>
  <c r="E194" i="56" l="1"/>
  <c r="N194" i="56"/>
  <c r="O196" i="51"/>
  <c r="B196" i="51"/>
  <c r="E199" i="53"/>
  <c r="N199" i="53"/>
  <c r="D196" i="42"/>
  <c r="L195" i="42"/>
  <c r="D208" i="57"/>
  <c r="E208" i="57" s="1"/>
  <c r="B208" i="57" s="1"/>
  <c r="G196" i="42"/>
  <c r="I198" i="51"/>
  <c r="O194" i="57"/>
  <c r="G194" i="57"/>
  <c r="G194" i="55"/>
  <c r="G200" i="53"/>
  <c r="D194" i="55"/>
  <c r="L193" i="55"/>
  <c r="D184" i="47"/>
  <c r="N172" i="47"/>
  <c r="J172" i="47"/>
  <c r="G195" i="56"/>
  <c r="O194" i="56" l="1"/>
  <c r="B194" i="56"/>
  <c r="L196" i="51"/>
  <c r="D197" i="51"/>
  <c r="O199" i="53"/>
  <c r="B199" i="53"/>
  <c r="E196" i="42"/>
  <c r="N196" i="42"/>
  <c r="D209" i="57"/>
  <c r="E209" i="57" s="1"/>
  <c r="B209" i="57" s="1"/>
  <c r="I201" i="53"/>
  <c r="O172" i="47"/>
  <c r="G172" i="47"/>
  <c r="E184" i="47"/>
  <c r="I195" i="55"/>
  <c r="I196" i="56"/>
  <c r="J198" i="51"/>
  <c r="L194" i="57"/>
  <c r="I195" i="57"/>
  <c r="I197" i="42"/>
  <c r="E194" i="55"/>
  <c r="N194" i="55"/>
  <c r="D195" i="56" l="1"/>
  <c r="L194" i="56"/>
  <c r="E197" i="51"/>
  <c r="N197" i="51"/>
  <c r="D200" i="53"/>
  <c r="L199" i="53"/>
  <c r="B196" i="42"/>
  <c r="O196" i="42"/>
  <c r="D210" i="57"/>
  <c r="E210" i="57" s="1"/>
  <c r="B210" i="57" s="1"/>
  <c r="J201" i="53"/>
  <c r="J196" i="56"/>
  <c r="J195" i="55"/>
  <c r="N195" i="57"/>
  <c r="J195" i="57"/>
  <c r="B184" i="47"/>
  <c r="G198" i="51"/>
  <c r="B194" i="55"/>
  <c r="O194" i="55"/>
  <c r="J197" i="42"/>
  <c r="L172" i="47"/>
  <c r="I173" i="47"/>
  <c r="N195" i="56" l="1"/>
  <c r="E195" i="56"/>
  <c r="B197" i="51"/>
  <c r="O197" i="51"/>
  <c r="E200" i="53"/>
  <c r="N200" i="53"/>
  <c r="D197" i="42"/>
  <c r="L196" i="42"/>
  <c r="I199" i="51"/>
  <c r="D211" i="57"/>
  <c r="E211" i="57" s="1"/>
  <c r="B211" i="57" s="1"/>
  <c r="G201" i="53"/>
  <c r="D195" i="55"/>
  <c r="L194" i="55"/>
  <c r="N173" i="47"/>
  <c r="J173" i="47"/>
  <c r="G195" i="55"/>
  <c r="D185" i="47"/>
  <c r="G196" i="56"/>
  <c r="O195" i="57"/>
  <c r="G195" i="57"/>
  <c r="G197" i="42"/>
  <c r="O195" i="56" l="1"/>
  <c r="B195" i="56"/>
  <c r="D198" i="51"/>
  <c r="L197" i="51"/>
  <c r="O200" i="53"/>
  <c r="B200" i="53"/>
  <c r="E197" i="42"/>
  <c r="N197" i="42"/>
  <c r="D212" i="57"/>
  <c r="E212" i="57" s="1"/>
  <c r="B212" i="57" s="1"/>
  <c r="I198" i="42"/>
  <c r="E185" i="47"/>
  <c r="I196" i="55"/>
  <c r="E195" i="55"/>
  <c r="N195" i="55"/>
  <c r="L195" i="57"/>
  <c r="I196" i="57"/>
  <c r="I197" i="56"/>
  <c r="I202" i="53"/>
  <c r="O173" i="47"/>
  <c r="G173" i="47"/>
  <c r="J199" i="51"/>
  <c r="D196" i="56" l="1"/>
  <c r="L195" i="56"/>
  <c r="E198" i="51"/>
  <c r="N198" i="51"/>
  <c r="D201" i="53"/>
  <c r="L200" i="53"/>
  <c r="B197" i="42"/>
  <c r="O197" i="42"/>
  <c r="D213" i="57"/>
  <c r="L173" i="47"/>
  <c r="I174" i="47"/>
  <c r="N196" i="57"/>
  <c r="J196" i="57"/>
  <c r="O195" i="55"/>
  <c r="B195" i="55"/>
  <c r="J197" i="56"/>
  <c r="J202" i="53"/>
  <c r="B185" i="47"/>
  <c r="J196" i="55"/>
  <c r="G199" i="51"/>
  <c r="J198" i="42"/>
  <c r="E196" i="56" l="1"/>
  <c r="N196" i="56"/>
  <c r="O198" i="51"/>
  <c r="B198" i="51"/>
  <c r="E201" i="53"/>
  <c r="N201" i="53"/>
  <c r="D198" i="42"/>
  <c r="L197" i="42"/>
  <c r="D186" i="47"/>
  <c r="E186" i="47" s="1"/>
  <c r="B186" i="47" s="1"/>
  <c r="E213" i="57"/>
  <c r="S168" i="57"/>
  <c r="G202" i="53"/>
  <c r="N174" i="47"/>
  <c r="J174" i="47"/>
  <c r="D196" i="55"/>
  <c r="L195" i="55"/>
  <c r="O196" i="57"/>
  <c r="G196" i="57"/>
  <c r="I200" i="51"/>
  <c r="G196" i="55"/>
  <c r="G198" i="42"/>
  <c r="G197" i="56"/>
  <c r="O196" i="56" l="1"/>
  <c r="B196" i="56"/>
  <c r="D199" i="51"/>
  <c r="L198" i="51"/>
  <c r="B201" i="53"/>
  <c r="O201" i="53"/>
  <c r="E198" i="42"/>
  <c r="N198" i="42"/>
  <c r="D187" i="47"/>
  <c r="E187" i="47" s="1"/>
  <c r="B187" i="47" s="1"/>
  <c r="I197" i="55"/>
  <c r="O174" i="47"/>
  <c r="G174" i="47"/>
  <c r="L196" i="57"/>
  <c r="I197" i="57"/>
  <c r="E196" i="55"/>
  <c r="N196" i="55"/>
  <c r="I199" i="42"/>
  <c r="I198" i="56"/>
  <c r="J200" i="51"/>
  <c r="I203" i="53"/>
  <c r="T168" i="57"/>
  <c r="B213" i="57"/>
  <c r="L196" i="56" l="1"/>
  <c r="D197" i="56"/>
  <c r="E199" i="51"/>
  <c r="N199" i="51"/>
  <c r="D202" i="53"/>
  <c r="L201" i="53"/>
  <c r="B198" i="42"/>
  <c r="O198" i="42"/>
  <c r="D188" i="47"/>
  <c r="E188" i="47" s="1"/>
  <c r="B188" i="47" s="1"/>
  <c r="J203" i="53"/>
  <c r="J197" i="55"/>
  <c r="J198" i="56"/>
  <c r="L174" i="47"/>
  <c r="I175" i="47"/>
  <c r="Q168" i="57"/>
  <c r="D214" i="57"/>
  <c r="N197" i="57"/>
  <c r="J197" i="57"/>
  <c r="G200" i="51"/>
  <c r="J199" i="42"/>
  <c r="B196" i="55"/>
  <c r="O196" i="55"/>
  <c r="N197" i="56" l="1"/>
  <c r="E197" i="56"/>
  <c r="B199" i="51"/>
  <c r="O199" i="51"/>
  <c r="E202" i="53"/>
  <c r="N202" i="53"/>
  <c r="D199" i="42"/>
  <c r="L198" i="42"/>
  <c r="D189" i="47"/>
  <c r="E189" i="47" s="1"/>
  <c r="B189" i="47" s="1"/>
  <c r="N175" i="47"/>
  <c r="J175" i="47"/>
  <c r="D197" i="55"/>
  <c r="L196" i="55"/>
  <c r="G199" i="42"/>
  <c r="G198" i="56"/>
  <c r="I201" i="51"/>
  <c r="E214" i="57"/>
  <c r="G203" i="53"/>
  <c r="O197" i="57"/>
  <c r="G197" i="57"/>
  <c r="G197" i="55"/>
  <c r="B197" i="56" l="1"/>
  <c r="O197" i="56"/>
  <c r="D200" i="51"/>
  <c r="L199" i="51"/>
  <c r="B202" i="53"/>
  <c r="O202" i="53"/>
  <c r="E199" i="42"/>
  <c r="N199" i="42"/>
  <c r="D190" i="47"/>
  <c r="E190" i="47" s="1"/>
  <c r="B190" i="47" s="1"/>
  <c r="J201" i="51"/>
  <c r="I199" i="56"/>
  <c r="O175" i="47"/>
  <c r="G175" i="47"/>
  <c r="E197" i="55"/>
  <c r="N197" i="55"/>
  <c r="I204" i="53"/>
  <c r="I200" i="42"/>
  <c r="I198" i="55"/>
  <c r="L197" i="57"/>
  <c r="I198" i="57"/>
  <c r="B214" i="57"/>
  <c r="D198" i="56" l="1"/>
  <c r="L197" i="56"/>
  <c r="E200" i="51"/>
  <c r="N200" i="51"/>
  <c r="D203" i="53"/>
  <c r="L202" i="53"/>
  <c r="B199" i="42"/>
  <c r="O199" i="42"/>
  <c r="D191" i="47"/>
  <c r="E191" i="47" s="1"/>
  <c r="B191" i="47" s="1"/>
  <c r="J199" i="56"/>
  <c r="O197" i="55"/>
  <c r="B197" i="55"/>
  <c r="G201" i="51"/>
  <c r="D215" i="57"/>
  <c r="L175" i="47"/>
  <c r="I176" i="47"/>
  <c r="J204" i="53"/>
  <c r="J200" i="42"/>
  <c r="J198" i="55"/>
  <c r="N198" i="57"/>
  <c r="J198" i="57"/>
  <c r="E198" i="56" l="1"/>
  <c r="N198" i="56"/>
  <c r="O200" i="51"/>
  <c r="B200" i="51"/>
  <c r="E203" i="53"/>
  <c r="N203" i="53"/>
  <c r="D200" i="42"/>
  <c r="L199" i="42"/>
  <c r="D192" i="47"/>
  <c r="G199" i="56"/>
  <c r="G198" i="55"/>
  <c r="G200" i="42"/>
  <c r="E215" i="57"/>
  <c r="N176" i="47"/>
  <c r="J176" i="47"/>
  <c r="O198" i="57"/>
  <c r="G198" i="57"/>
  <c r="G204" i="53"/>
  <c r="D198" i="55"/>
  <c r="L197" i="55"/>
  <c r="I202" i="51"/>
  <c r="O198" i="56" l="1"/>
  <c r="B198" i="56"/>
  <c r="D201" i="51"/>
  <c r="L200" i="51"/>
  <c r="B203" i="53"/>
  <c r="O203" i="53"/>
  <c r="E200" i="42"/>
  <c r="N200" i="42"/>
  <c r="O176" i="47"/>
  <c r="G176" i="47"/>
  <c r="J202" i="51"/>
  <c r="I205" i="53"/>
  <c r="B215" i="57"/>
  <c r="I199" i="55"/>
  <c r="I200" i="56"/>
  <c r="I201" i="42"/>
  <c r="E192" i="47"/>
  <c r="S147" i="47"/>
  <c r="AC147" i="47" s="1"/>
  <c r="L198" i="57"/>
  <c r="I199" i="57"/>
  <c r="E198" i="55"/>
  <c r="N198" i="55"/>
  <c r="L198" i="56" l="1"/>
  <c r="D199" i="56"/>
  <c r="E201" i="51"/>
  <c r="N201" i="51"/>
  <c r="D204" i="53"/>
  <c r="L203" i="53"/>
  <c r="B200" i="42"/>
  <c r="O200" i="42"/>
  <c r="J200" i="56"/>
  <c r="G202" i="51"/>
  <c r="J205" i="53"/>
  <c r="J199" i="55"/>
  <c r="D216" i="57"/>
  <c r="T147" i="47"/>
  <c r="AD147" i="47" s="1"/>
  <c r="B192" i="47"/>
  <c r="J201" i="42"/>
  <c r="B198" i="55"/>
  <c r="O198" i="55"/>
  <c r="L176" i="47"/>
  <c r="I177" i="47"/>
  <c r="N199" i="57"/>
  <c r="J199" i="57"/>
  <c r="E199" i="56" l="1"/>
  <c r="N199" i="56"/>
  <c r="O201" i="51"/>
  <c r="B201" i="51"/>
  <c r="E204" i="53"/>
  <c r="N204" i="53"/>
  <c r="D201" i="42"/>
  <c r="L200" i="42"/>
  <c r="O199" i="57"/>
  <c r="G199" i="57"/>
  <c r="I203" i="51"/>
  <c r="G205" i="53"/>
  <c r="Q147" i="47"/>
  <c r="D193" i="47"/>
  <c r="E216" i="57"/>
  <c r="D199" i="55"/>
  <c r="L198" i="55"/>
  <c r="G201" i="42"/>
  <c r="G199" i="55"/>
  <c r="G200" i="56"/>
  <c r="N177" i="47"/>
  <c r="J177" i="47"/>
  <c r="B199" i="56" l="1"/>
  <c r="O199" i="56"/>
  <c r="L201" i="51"/>
  <c r="D202" i="51"/>
  <c r="B204" i="53"/>
  <c r="O204" i="53"/>
  <c r="E201" i="42"/>
  <c r="N201" i="42"/>
  <c r="J203" i="51"/>
  <c r="I200" i="55"/>
  <c r="B216" i="57"/>
  <c r="I201" i="56"/>
  <c r="E193" i="47"/>
  <c r="L199" i="57"/>
  <c r="I200" i="57"/>
  <c r="E199" i="55"/>
  <c r="N199" i="55"/>
  <c r="O177" i="47"/>
  <c r="G177" i="47"/>
  <c r="I202" i="42"/>
  <c r="I206" i="53"/>
  <c r="L199" i="56" l="1"/>
  <c r="D200" i="56"/>
  <c r="N202" i="51"/>
  <c r="E202" i="51"/>
  <c r="D205" i="53"/>
  <c r="L204" i="53"/>
  <c r="B201" i="42"/>
  <c r="O201" i="42"/>
  <c r="D217" i="57"/>
  <c r="J202" i="42"/>
  <c r="J200" i="55"/>
  <c r="O199" i="55"/>
  <c r="B199" i="55"/>
  <c r="N200" i="57"/>
  <c r="J200" i="57"/>
  <c r="J201" i="56"/>
  <c r="L177" i="47"/>
  <c r="I178" i="47"/>
  <c r="G203" i="51"/>
  <c r="J206" i="53"/>
  <c r="B193" i="47"/>
  <c r="E200" i="56" l="1"/>
  <c r="N200" i="56"/>
  <c r="O202" i="51"/>
  <c r="B202" i="51"/>
  <c r="E205" i="53"/>
  <c r="N205" i="53"/>
  <c r="D202" i="42"/>
  <c r="L201" i="42"/>
  <c r="D194" i="47"/>
  <c r="I204" i="51"/>
  <c r="N178" i="47"/>
  <c r="J178" i="47"/>
  <c r="G201" i="56"/>
  <c r="D200" i="55"/>
  <c r="L199" i="55"/>
  <c r="G200" i="55"/>
  <c r="G206" i="53"/>
  <c r="G202" i="42"/>
  <c r="O200" i="57"/>
  <c r="G200" i="57"/>
  <c r="E217" i="57"/>
  <c r="O200" i="56" l="1"/>
  <c r="B200" i="56"/>
  <c r="L202" i="51"/>
  <c r="D203" i="51"/>
  <c r="B205" i="53"/>
  <c r="O205" i="53"/>
  <c r="E202" i="42"/>
  <c r="N202" i="42"/>
  <c r="J204" i="51"/>
  <c r="X170" i="51"/>
  <c r="I207" i="53"/>
  <c r="O178" i="47"/>
  <c r="G178" i="47"/>
  <c r="L200" i="57"/>
  <c r="I201" i="57"/>
  <c r="E200" i="55"/>
  <c r="N200" i="55"/>
  <c r="B217" i="57"/>
  <c r="I201" i="55"/>
  <c r="E194" i="47"/>
  <c r="I203" i="42"/>
  <c r="I202" i="56"/>
  <c r="L200" i="56" l="1"/>
  <c r="D201" i="56"/>
  <c r="N203" i="51"/>
  <c r="E203" i="51"/>
  <c r="D206" i="53"/>
  <c r="L205" i="53"/>
  <c r="B202" i="42"/>
  <c r="O202" i="42"/>
  <c r="B200" i="55"/>
  <c r="O200" i="55"/>
  <c r="J207" i="53"/>
  <c r="X173" i="53"/>
  <c r="J201" i="55"/>
  <c r="X167" i="55"/>
  <c r="B194" i="47"/>
  <c r="J203" i="42"/>
  <c r="X169" i="42"/>
  <c r="D218" i="57"/>
  <c r="N201" i="57"/>
  <c r="J201" i="57"/>
  <c r="X167" i="57"/>
  <c r="AC167" i="57" s="1"/>
  <c r="L178" i="47"/>
  <c r="I179" i="47"/>
  <c r="Y170" i="51"/>
  <c r="G204" i="51"/>
  <c r="J202" i="56"/>
  <c r="X168" i="56"/>
  <c r="E201" i="56" l="1"/>
  <c r="N201" i="56"/>
  <c r="O203" i="51"/>
  <c r="B203" i="51"/>
  <c r="E206" i="53"/>
  <c r="N206" i="53"/>
  <c r="D203" i="42"/>
  <c r="L202" i="42"/>
  <c r="N179" i="47"/>
  <c r="J179" i="47"/>
  <c r="E218" i="57"/>
  <c r="V170" i="51"/>
  <c r="I205" i="51"/>
  <c r="Y169" i="42"/>
  <c r="G203" i="42"/>
  <c r="Y173" i="53"/>
  <c r="G207" i="53"/>
  <c r="Y167" i="55"/>
  <c r="G201" i="55"/>
  <c r="Y168" i="56"/>
  <c r="G202" i="56"/>
  <c r="D195" i="47"/>
  <c r="O201" i="57"/>
  <c r="Y167" i="57"/>
  <c r="AD167" i="57" s="1"/>
  <c r="G201" i="57"/>
  <c r="D201" i="55"/>
  <c r="L200" i="55"/>
  <c r="O201" i="56" l="1"/>
  <c r="B201" i="56"/>
  <c r="D204" i="51"/>
  <c r="L203" i="51"/>
  <c r="B206" i="53"/>
  <c r="O206" i="53"/>
  <c r="E203" i="42"/>
  <c r="S169" i="42"/>
  <c r="AC169" i="42" s="1"/>
  <c r="N203" i="42"/>
  <c r="V167" i="55"/>
  <c r="I202" i="55"/>
  <c r="E195" i="47"/>
  <c r="V169" i="42"/>
  <c r="I204" i="42"/>
  <c r="B218" i="57"/>
  <c r="J205" i="51"/>
  <c r="O179" i="47"/>
  <c r="G179" i="47"/>
  <c r="I208" i="53"/>
  <c r="V173" i="53"/>
  <c r="E201" i="55"/>
  <c r="S167" i="55"/>
  <c r="AC167" i="55" s="1"/>
  <c r="N201" i="55"/>
  <c r="V167" i="57"/>
  <c r="AA167" i="57" s="1"/>
  <c r="L201" i="57"/>
  <c r="I202" i="57"/>
  <c r="V168" i="56"/>
  <c r="I203" i="56"/>
  <c r="L201" i="56" l="1"/>
  <c r="D202" i="56"/>
  <c r="E204" i="51"/>
  <c r="N204" i="51"/>
  <c r="S170" i="51"/>
  <c r="AC170" i="51" s="1"/>
  <c r="D207" i="53"/>
  <c r="L206" i="53"/>
  <c r="T169" i="42"/>
  <c r="AD169" i="42" s="1"/>
  <c r="O203" i="42"/>
  <c r="B203" i="42"/>
  <c r="D219" i="57"/>
  <c r="E219" i="57" s="1"/>
  <c r="B219" i="57" s="1"/>
  <c r="T167" i="55"/>
  <c r="AD167" i="55" s="1"/>
  <c r="B201" i="55"/>
  <c r="O201" i="55"/>
  <c r="N202" i="57"/>
  <c r="J202" i="57"/>
  <c r="J204" i="42"/>
  <c r="J208" i="53"/>
  <c r="G205" i="51"/>
  <c r="J202" i="55"/>
  <c r="L179" i="47"/>
  <c r="I180" i="47"/>
  <c r="J203" i="56"/>
  <c r="B195" i="47"/>
  <c r="N202" i="56" l="1"/>
  <c r="S168" i="56"/>
  <c r="AC168" i="56" s="1"/>
  <c r="E202" i="56"/>
  <c r="T170" i="51"/>
  <c r="AD170" i="51" s="1"/>
  <c r="B204" i="51"/>
  <c r="O204" i="51"/>
  <c r="E207" i="53"/>
  <c r="S173" i="53"/>
  <c r="AC173" i="53" s="1"/>
  <c r="N207" i="53"/>
  <c r="Q169" i="42"/>
  <c r="AA169" i="42" s="1"/>
  <c r="D204" i="42"/>
  <c r="L203" i="42"/>
  <c r="D220" i="57"/>
  <c r="E220" i="57" s="1"/>
  <c r="B220" i="57" s="1"/>
  <c r="G208" i="53"/>
  <c r="G203" i="56"/>
  <c r="O202" i="57"/>
  <c r="G202" i="57"/>
  <c r="I206" i="51"/>
  <c r="G204" i="42"/>
  <c r="D202" i="55"/>
  <c r="Q167" i="55"/>
  <c r="AA167" i="55" s="1"/>
  <c r="L201" i="55"/>
  <c r="G202" i="55"/>
  <c r="D196" i="47"/>
  <c r="N180" i="47"/>
  <c r="J180" i="47"/>
  <c r="B202" i="56" l="1"/>
  <c r="O202" i="56"/>
  <c r="T168" i="56"/>
  <c r="AD168" i="56" s="1"/>
  <c r="D205" i="51"/>
  <c r="L204" i="51"/>
  <c r="Q170" i="51"/>
  <c r="AA170" i="51" s="1"/>
  <c r="T173" i="53"/>
  <c r="AD173" i="53" s="1"/>
  <c r="O207" i="53"/>
  <c r="B207" i="53"/>
  <c r="E204" i="42"/>
  <c r="N204" i="42"/>
  <c r="D221" i="57"/>
  <c r="E221" i="57" s="1"/>
  <c r="B221" i="57" s="1"/>
  <c r="I203" i="55"/>
  <c r="J206" i="51"/>
  <c r="I203" i="57"/>
  <c r="L202" i="57"/>
  <c r="I204" i="56"/>
  <c r="O180" i="47"/>
  <c r="G180" i="47"/>
  <c r="I209" i="53"/>
  <c r="I205" i="42"/>
  <c r="E196" i="47"/>
  <c r="E202" i="55"/>
  <c r="N202" i="55"/>
  <c r="Q168" i="56" l="1"/>
  <c r="AA168" i="56" s="1"/>
  <c r="D203" i="56"/>
  <c r="L202" i="56"/>
  <c r="N205" i="51"/>
  <c r="E205" i="51"/>
  <c r="Q173" i="53"/>
  <c r="AA173" i="53" s="1"/>
  <c r="D208" i="53"/>
  <c r="L207" i="53"/>
  <c r="B204" i="42"/>
  <c r="O204" i="42"/>
  <c r="D222" i="57"/>
  <c r="E222" i="57" s="1"/>
  <c r="B222" i="57" s="1"/>
  <c r="B196" i="47"/>
  <c r="J203" i="55"/>
  <c r="J204" i="56"/>
  <c r="J209" i="53"/>
  <c r="B202" i="55"/>
  <c r="O202" i="55"/>
  <c r="N203" i="57"/>
  <c r="J203" i="57"/>
  <c r="V146" i="47"/>
  <c r="AA146" i="47" s="1"/>
  <c r="L180" i="47"/>
  <c r="I181" i="47"/>
  <c r="J205" i="42"/>
  <c r="G206" i="51"/>
  <c r="E203" i="56" l="1"/>
  <c r="N203" i="56"/>
  <c r="O205" i="51"/>
  <c r="B205" i="51"/>
  <c r="E208" i="53"/>
  <c r="N208" i="53"/>
  <c r="D205" i="42"/>
  <c r="L204" i="42"/>
  <c r="D223" i="57"/>
  <c r="E223" i="57" s="1"/>
  <c r="B223" i="57" s="1"/>
  <c r="D197" i="47"/>
  <c r="D203" i="55"/>
  <c r="L202" i="55"/>
  <c r="G209" i="53"/>
  <c r="G204" i="56"/>
  <c r="N181" i="47"/>
  <c r="J181" i="47"/>
  <c r="G205" i="42"/>
  <c r="G203" i="55"/>
  <c r="I207" i="51"/>
  <c r="O203" i="57"/>
  <c r="G203" i="57"/>
  <c r="B203" i="56" l="1"/>
  <c r="O203" i="56"/>
  <c r="D206" i="51"/>
  <c r="L205" i="51"/>
  <c r="O208" i="53"/>
  <c r="B208" i="53"/>
  <c r="E205" i="42"/>
  <c r="N205" i="42"/>
  <c r="D224" i="57"/>
  <c r="E224" i="57" s="1"/>
  <c r="B224" i="57" s="1"/>
  <c r="L203" i="57"/>
  <c r="I204" i="57"/>
  <c r="I205" i="56"/>
  <c r="E197" i="47"/>
  <c r="E203" i="55"/>
  <c r="N203" i="55"/>
  <c r="O181" i="47"/>
  <c r="G181" i="47"/>
  <c r="I204" i="55"/>
  <c r="J207" i="51"/>
  <c r="I206" i="42"/>
  <c r="I210" i="53"/>
  <c r="D204" i="56" l="1"/>
  <c r="L203" i="56"/>
  <c r="N206" i="51"/>
  <c r="E206" i="51"/>
  <c r="D209" i="53"/>
  <c r="L208" i="53"/>
  <c r="O205" i="42"/>
  <c r="B205" i="42"/>
  <c r="D225" i="57"/>
  <c r="B197" i="47"/>
  <c r="L181" i="47"/>
  <c r="I182" i="47"/>
  <c r="G207" i="51"/>
  <c r="J206" i="42"/>
  <c r="O203" i="55"/>
  <c r="B203" i="55"/>
  <c r="J205" i="56"/>
  <c r="J210" i="53"/>
  <c r="J204" i="55"/>
  <c r="N204" i="57"/>
  <c r="J204" i="57"/>
  <c r="E204" i="56" l="1"/>
  <c r="N204" i="56"/>
  <c r="O206" i="51"/>
  <c r="B206" i="51"/>
  <c r="E209" i="53"/>
  <c r="N209" i="53"/>
  <c r="D206" i="42"/>
  <c r="L205" i="42"/>
  <c r="G210" i="53"/>
  <c r="I208" i="51"/>
  <c r="N182" i="47"/>
  <c r="J182" i="47"/>
  <c r="G205" i="56"/>
  <c r="E225" i="57"/>
  <c r="S169" i="57"/>
  <c r="O204" i="57"/>
  <c r="G204" i="57"/>
  <c r="G206" i="42"/>
  <c r="D198" i="47"/>
  <c r="E198" i="47" s="1"/>
  <c r="B198" i="47" s="1"/>
  <c r="G204" i="55"/>
  <c r="D204" i="55"/>
  <c r="L203" i="55"/>
  <c r="B204" i="56" l="1"/>
  <c r="O204" i="56"/>
  <c r="L206" i="51"/>
  <c r="D207" i="51"/>
  <c r="O209" i="53"/>
  <c r="B209" i="53"/>
  <c r="E206" i="42"/>
  <c r="N206" i="42"/>
  <c r="D199" i="47"/>
  <c r="E199" i="47" s="1"/>
  <c r="B199" i="47" s="1"/>
  <c r="L204" i="57"/>
  <c r="I205" i="57"/>
  <c r="J208" i="51"/>
  <c r="O182" i="47"/>
  <c r="G182" i="47"/>
  <c r="I211" i="53"/>
  <c r="E204" i="55"/>
  <c r="N204" i="55"/>
  <c r="T169" i="57"/>
  <c r="B225" i="57"/>
  <c r="I206" i="56"/>
  <c r="I207" i="42"/>
  <c r="I205" i="55"/>
  <c r="D205" i="56" l="1"/>
  <c r="L204" i="56"/>
  <c r="E207" i="51"/>
  <c r="N207" i="51"/>
  <c r="D210" i="53"/>
  <c r="L209" i="53"/>
  <c r="B206" i="42"/>
  <c r="O206" i="42"/>
  <c r="D200" i="47"/>
  <c r="E200" i="47" s="1"/>
  <c r="B200" i="47" s="1"/>
  <c r="D226" i="57"/>
  <c r="Q169" i="57"/>
  <c r="L182" i="47"/>
  <c r="I183" i="47"/>
  <c r="J207" i="42"/>
  <c r="N205" i="57"/>
  <c r="J205" i="57"/>
  <c r="B204" i="55"/>
  <c r="O204" i="55"/>
  <c r="J211" i="53"/>
  <c r="J205" i="55"/>
  <c r="J206" i="56"/>
  <c r="G208" i="51"/>
  <c r="E205" i="56" l="1"/>
  <c r="N205" i="56"/>
  <c r="O207" i="51"/>
  <c r="B207" i="51"/>
  <c r="E210" i="53"/>
  <c r="N210" i="53"/>
  <c r="D207" i="42"/>
  <c r="L206" i="42"/>
  <c r="D201" i="47"/>
  <c r="E201" i="47" s="1"/>
  <c r="B201" i="47" s="1"/>
  <c r="G207" i="42"/>
  <c r="D205" i="55"/>
  <c r="L204" i="55"/>
  <c r="G206" i="56"/>
  <c r="O205" i="57"/>
  <c r="G205" i="57"/>
  <c r="N183" i="47"/>
  <c r="J183" i="47"/>
  <c r="E226" i="57"/>
  <c r="G211" i="53"/>
  <c r="G205" i="55"/>
  <c r="I209" i="51"/>
  <c r="O205" i="56" l="1"/>
  <c r="B205" i="56"/>
  <c r="L207" i="51"/>
  <c r="D208" i="51"/>
  <c r="O210" i="53"/>
  <c r="B210" i="53"/>
  <c r="E207" i="42"/>
  <c r="N207" i="42"/>
  <c r="D202" i="47"/>
  <c r="E202" i="47" s="1"/>
  <c r="B202" i="47" s="1"/>
  <c r="I212" i="53"/>
  <c r="E205" i="55"/>
  <c r="N205" i="55"/>
  <c r="I206" i="55"/>
  <c r="I208" i="42"/>
  <c r="B226" i="57"/>
  <c r="O183" i="47"/>
  <c r="G183" i="47"/>
  <c r="L205" i="57"/>
  <c r="I206" i="57"/>
  <c r="J209" i="51"/>
  <c r="I207" i="56"/>
  <c r="L205" i="56" l="1"/>
  <c r="D206" i="56"/>
  <c r="E208" i="51"/>
  <c r="N208" i="51"/>
  <c r="D211" i="53"/>
  <c r="L210" i="53"/>
  <c r="B207" i="42"/>
  <c r="O207" i="42"/>
  <c r="D203" i="47"/>
  <c r="E203" i="47" s="1"/>
  <c r="B203" i="47" s="1"/>
  <c r="N206" i="57"/>
  <c r="J206" i="57"/>
  <c r="J207" i="56"/>
  <c r="L183" i="47"/>
  <c r="I184" i="47"/>
  <c r="D227" i="57"/>
  <c r="B205" i="55"/>
  <c r="O205" i="55"/>
  <c r="G209" i="51"/>
  <c r="J208" i="42"/>
  <c r="J206" i="55"/>
  <c r="J212" i="53"/>
  <c r="N206" i="56" l="1"/>
  <c r="E206" i="56"/>
  <c r="B208" i="51"/>
  <c r="O208" i="51"/>
  <c r="E211" i="53"/>
  <c r="N211" i="53"/>
  <c r="D208" i="42"/>
  <c r="L207" i="42"/>
  <c r="D204" i="47"/>
  <c r="G208" i="42"/>
  <c r="I210" i="51"/>
  <c r="G207" i="56"/>
  <c r="G212" i="53"/>
  <c r="N184" i="47"/>
  <c r="J184" i="47"/>
  <c r="G206" i="55"/>
  <c r="D206" i="55"/>
  <c r="L205" i="55"/>
  <c r="E227" i="57"/>
  <c r="O206" i="57"/>
  <c r="G206" i="57"/>
  <c r="O206" i="56" l="1"/>
  <c r="B206" i="56"/>
  <c r="D209" i="51"/>
  <c r="L208" i="51"/>
  <c r="O211" i="53"/>
  <c r="B211" i="53"/>
  <c r="E208" i="42"/>
  <c r="N208" i="42"/>
  <c r="O184" i="47"/>
  <c r="G184" i="47"/>
  <c r="J210" i="51"/>
  <c r="E206" i="55"/>
  <c r="N206" i="55"/>
  <c r="I208" i="56"/>
  <c r="I213" i="53"/>
  <c r="B227" i="57"/>
  <c r="I207" i="57"/>
  <c r="L206" i="57"/>
  <c r="E204" i="47"/>
  <c r="S148" i="47"/>
  <c r="AC148" i="47" s="1"/>
  <c r="I207" i="55"/>
  <c r="I209" i="42"/>
  <c r="D207" i="56" l="1"/>
  <c r="L206" i="56"/>
  <c r="N209" i="51"/>
  <c r="E209" i="51"/>
  <c r="D212" i="53"/>
  <c r="L211" i="53"/>
  <c r="B208" i="42"/>
  <c r="O208" i="42"/>
  <c r="J213" i="53"/>
  <c r="J208" i="56"/>
  <c r="G210" i="51"/>
  <c r="J209" i="42"/>
  <c r="O206" i="55"/>
  <c r="B206" i="55"/>
  <c r="D228" i="57"/>
  <c r="N207" i="57"/>
  <c r="J207" i="57"/>
  <c r="J207" i="55"/>
  <c r="L184" i="47"/>
  <c r="I185" i="47"/>
  <c r="T148" i="47"/>
  <c r="AD148" i="47" s="1"/>
  <c r="B204" i="47"/>
  <c r="E207" i="56" l="1"/>
  <c r="N207" i="56"/>
  <c r="B209" i="51"/>
  <c r="O209" i="51"/>
  <c r="E212" i="53"/>
  <c r="N212" i="53"/>
  <c r="D209" i="42"/>
  <c r="L208" i="42"/>
  <c r="N185" i="47"/>
  <c r="J185" i="47"/>
  <c r="G207" i="55"/>
  <c r="D207" i="55"/>
  <c r="L206" i="55"/>
  <c r="I211" i="51"/>
  <c r="G208" i="56"/>
  <c r="Q148" i="47"/>
  <c r="D205" i="47"/>
  <c r="G213" i="53"/>
  <c r="G209" i="42"/>
  <c r="E228" i="57"/>
  <c r="O207" i="57"/>
  <c r="G207" i="57"/>
  <c r="O207" i="56" l="1"/>
  <c r="B207" i="56"/>
  <c r="L209" i="51"/>
  <c r="D210" i="51"/>
  <c r="O212" i="53"/>
  <c r="B212" i="53"/>
  <c r="E209" i="42"/>
  <c r="N209" i="42"/>
  <c r="L207" i="57"/>
  <c r="I208" i="57"/>
  <c r="O185" i="47"/>
  <c r="G185" i="47"/>
  <c r="B228" i="57"/>
  <c r="J211" i="51"/>
  <c r="E207" i="55"/>
  <c r="N207" i="55"/>
  <c r="I208" i="55"/>
  <c r="E205" i="47"/>
  <c r="I209" i="56"/>
  <c r="I210" i="42"/>
  <c r="I214" i="53"/>
  <c r="D208" i="56" l="1"/>
  <c r="L207" i="56"/>
  <c r="N210" i="51"/>
  <c r="E210" i="51"/>
  <c r="D213" i="53"/>
  <c r="L212" i="53"/>
  <c r="B209" i="42"/>
  <c r="O209" i="42"/>
  <c r="B205" i="47"/>
  <c r="O207" i="55"/>
  <c r="B207" i="55"/>
  <c r="J209" i="56"/>
  <c r="J210" i="42"/>
  <c r="J208" i="55"/>
  <c r="N208" i="57"/>
  <c r="J208" i="57"/>
  <c r="G211" i="51"/>
  <c r="D229" i="57"/>
  <c r="J214" i="53"/>
  <c r="L185" i="47"/>
  <c r="I186" i="47"/>
  <c r="N208" i="56" l="1"/>
  <c r="E208" i="56"/>
  <c r="O210" i="51"/>
  <c r="B210" i="51"/>
  <c r="E213" i="53"/>
  <c r="N213" i="53"/>
  <c r="D210" i="42"/>
  <c r="L209" i="42"/>
  <c r="D206" i="47"/>
  <c r="G210" i="42"/>
  <c r="O208" i="57"/>
  <c r="G208" i="57"/>
  <c r="G209" i="56"/>
  <c r="I212" i="51"/>
  <c r="N186" i="47"/>
  <c r="J186" i="47"/>
  <c r="E229" i="57"/>
  <c r="G214" i="53"/>
  <c r="G208" i="55"/>
  <c r="D208" i="55"/>
  <c r="L207" i="55"/>
  <c r="B208" i="56" l="1"/>
  <c r="O208" i="56"/>
  <c r="D211" i="51"/>
  <c r="L210" i="51"/>
  <c r="B213" i="53"/>
  <c r="O213" i="53"/>
  <c r="E210" i="42"/>
  <c r="N210" i="42"/>
  <c r="I215" i="53"/>
  <c r="L208" i="57"/>
  <c r="I209" i="57"/>
  <c r="I210" i="56"/>
  <c r="J212" i="51"/>
  <c r="B229" i="57"/>
  <c r="E206" i="47"/>
  <c r="I211" i="42"/>
  <c r="E208" i="55"/>
  <c r="N208" i="55"/>
  <c r="I209" i="55"/>
  <c r="O186" i="47"/>
  <c r="G186" i="47"/>
  <c r="D209" i="56" l="1"/>
  <c r="L208" i="56"/>
  <c r="E211" i="51"/>
  <c r="N211" i="51"/>
  <c r="D214" i="53"/>
  <c r="L213" i="53"/>
  <c r="B210" i="42"/>
  <c r="O210" i="42"/>
  <c r="N209" i="57"/>
  <c r="J209" i="57"/>
  <c r="L186" i="47"/>
  <c r="I187" i="47"/>
  <c r="J210" i="56"/>
  <c r="B206" i="47"/>
  <c r="J215" i="53"/>
  <c r="J211" i="42"/>
  <c r="J209" i="55"/>
  <c r="D230" i="57"/>
  <c r="B208" i="55"/>
  <c r="O208" i="55"/>
  <c r="G212" i="51"/>
  <c r="N209" i="56" l="1"/>
  <c r="E209" i="56"/>
  <c r="O211" i="51"/>
  <c r="B211" i="51"/>
  <c r="E214" i="53"/>
  <c r="N214" i="53"/>
  <c r="D211" i="42"/>
  <c r="L210" i="42"/>
  <c r="N187" i="47"/>
  <c r="J187" i="47"/>
  <c r="D207" i="47"/>
  <c r="G215" i="53"/>
  <c r="I213" i="51"/>
  <c r="G210" i="56"/>
  <c r="E230" i="57"/>
  <c r="O209" i="57"/>
  <c r="G209" i="57"/>
  <c r="G209" i="55"/>
  <c r="D209" i="55"/>
  <c r="L208" i="55"/>
  <c r="G211" i="42"/>
  <c r="B209" i="56" l="1"/>
  <c r="O209" i="56"/>
  <c r="L211" i="51"/>
  <c r="D212" i="51"/>
  <c r="B214" i="53"/>
  <c r="O214" i="53"/>
  <c r="E211" i="42"/>
  <c r="N211" i="42"/>
  <c r="B230" i="57"/>
  <c r="E207" i="47"/>
  <c r="I212" i="42"/>
  <c r="E209" i="55"/>
  <c r="N209" i="55"/>
  <c r="L209" i="57"/>
  <c r="I210" i="57"/>
  <c r="I211" i="56"/>
  <c r="O187" i="47"/>
  <c r="G187" i="47"/>
  <c r="I216" i="53"/>
  <c r="I210" i="55"/>
  <c r="J213" i="51"/>
  <c r="D210" i="56" l="1"/>
  <c r="L209" i="56"/>
  <c r="E212" i="51"/>
  <c r="N212" i="51"/>
  <c r="D215" i="53"/>
  <c r="L214" i="53"/>
  <c r="B211" i="42"/>
  <c r="O211" i="42"/>
  <c r="J210" i="55"/>
  <c r="N210" i="57"/>
  <c r="J210" i="57"/>
  <c r="B207" i="47"/>
  <c r="L187" i="47"/>
  <c r="I188" i="47"/>
  <c r="O209" i="55"/>
  <c r="B209" i="55"/>
  <c r="D231" i="57"/>
  <c r="E231" i="57" s="1"/>
  <c r="B231" i="57" s="1"/>
  <c r="J211" i="56"/>
  <c r="G213" i="51"/>
  <c r="J216" i="53"/>
  <c r="J212" i="42"/>
  <c r="E210" i="56" l="1"/>
  <c r="N210" i="56"/>
  <c r="O212" i="51"/>
  <c r="B212" i="51"/>
  <c r="E215" i="53"/>
  <c r="N215" i="53"/>
  <c r="D212" i="42"/>
  <c r="L211" i="42"/>
  <c r="D232" i="57"/>
  <c r="E232" i="57" s="1"/>
  <c r="B232" i="57" s="1"/>
  <c r="G211" i="56"/>
  <c r="G212" i="42"/>
  <c r="N188" i="47"/>
  <c r="J188" i="47"/>
  <c r="G216" i="53"/>
  <c r="D210" i="55"/>
  <c r="L209" i="55"/>
  <c r="O210" i="57"/>
  <c r="G210" i="57"/>
  <c r="I214" i="51"/>
  <c r="G210" i="55"/>
  <c r="D208" i="47"/>
  <c r="O210" i="56" l="1"/>
  <c r="B210" i="56"/>
  <c r="L212" i="51"/>
  <c r="D213" i="51"/>
  <c r="B215" i="53"/>
  <c r="O215" i="53"/>
  <c r="E212" i="42"/>
  <c r="N212" i="42"/>
  <c r="D233" i="57"/>
  <c r="E233" i="57" s="1"/>
  <c r="B233" i="57" s="1"/>
  <c r="E208" i="47"/>
  <c r="I217" i="53"/>
  <c r="I213" i="42"/>
  <c r="E210" i="55"/>
  <c r="N210" i="55"/>
  <c r="J214" i="51"/>
  <c r="I211" i="55"/>
  <c r="L210" i="57"/>
  <c r="I211" i="57"/>
  <c r="O188" i="47"/>
  <c r="G188" i="47"/>
  <c r="I212" i="56"/>
  <c r="L210" i="56" l="1"/>
  <c r="D211" i="56"/>
  <c r="N213" i="51"/>
  <c r="E213" i="51"/>
  <c r="D216" i="53"/>
  <c r="L215" i="53"/>
  <c r="B212" i="42"/>
  <c r="O212" i="42"/>
  <c r="B208" i="47"/>
  <c r="J213" i="42"/>
  <c r="J212" i="56"/>
  <c r="N211" i="57"/>
  <c r="J211" i="57"/>
  <c r="D234" i="57"/>
  <c r="E234" i="57" s="1"/>
  <c r="B234" i="57" s="1"/>
  <c r="L188" i="47"/>
  <c r="I189" i="47"/>
  <c r="G214" i="51"/>
  <c r="J217" i="53"/>
  <c r="B210" i="55"/>
  <c r="O210" i="55"/>
  <c r="J211" i="55"/>
  <c r="E211" i="56" l="1"/>
  <c r="N211" i="56"/>
  <c r="O213" i="51"/>
  <c r="B213" i="51"/>
  <c r="E216" i="53"/>
  <c r="N216" i="53"/>
  <c r="D213" i="42"/>
  <c r="L212" i="42"/>
  <c r="D235" i="57"/>
  <c r="E235" i="57" s="1"/>
  <c r="B235" i="57" s="1"/>
  <c r="N189" i="47"/>
  <c r="J189" i="47"/>
  <c r="G212" i="56"/>
  <c r="G213" i="42"/>
  <c r="D211" i="55"/>
  <c r="L210" i="55"/>
  <c r="D209" i="47"/>
  <c r="G211" i="55"/>
  <c r="G217" i="53"/>
  <c r="I215" i="51"/>
  <c r="O211" i="57"/>
  <c r="G211" i="57"/>
  <c r="B211" i="56" l="1"/>
  <c r="O211" i="56"/>
  <c r="D214" i="51"/>
  <c r="L213" i="51"/>
  <c r="B216" i="53"/>
  <c r="O216" i="53"/>
  <c r="E213" i="42"/>
  <c r="N213" i="42"/>
  <c r="D236" i="57"/>
  <c r="E236" i="57" s="1"/>
  <c r="B236" i="57" s="1"/>
  <c r="O189" i="47"/>
  <c r="G189" i="47"/>
  <c r="I214" i="42"/>
  <c r="E211" i="55"/>
  <c r="N211" i="55"/>
  <c r="E209" i="47"/>
  <c r="I212" i="55"/>
  <c r="L211" i="57"/>
  <c r="I212" i="57"/>
  <c r="J215" i="51"/>
  <c r="I213" i="56"/>
  <c r="I218" i="53"/>
  <c r="D212" i="56" l="1"/>
  <c r="L211" i="56"/>
  <c r="E214" i="51"/>
  <c r="N214" i="51"/>
  <c r="D217" i="53"/>
  <c r="L216" i="53"/>
  <c r="B213" i="42"/>
  <c r="O213" i="42"/>
  <c r="L189" i="47"/>
  <c r="I190" i="47"/>
  <c r="N212" i="57"/>
  <c r="J212" i="57"/>
  <c r="O211" i="55"/>
  <c r="B211" i="55"/>
  <c r="J218" i="53"/>
  <c r="D237" i="57"/>
  <c r="J213" i="56"/>
  <c r="J212" i="55"/>
  <c r="J214" i="42"/>
  <c r="G215" i="51"/>
  <c r="B209" i="47"/>
  <c r="E212" i="56" l="1"/>
  <c r="N212" i="56"/>
  <c r="B214" i="51"/>
  <c r="O214" i="51"/>
  <c r="E217" i="53"/>
  <c r="N217" i="53"/>
  <c r="D214" i="42"/>
  <c r="L213" i="42"/>
  <c r="G213" i="56"/>
  <c r="G212" i="55"/>
  <c r="N190" i="47"/>
  <c r="J190" i="47"/>
  <c r="I216" i="51"/>
  <c r="G218" i="53"/>
  <c r="D210" i="47"/>
  <c r="E210" i="47" s="1"/>
  <c r="B210" i="47" s="1"/>
  <c r="D212" i="55"/>
  <c r="L211" i="55"/>
  <c r="G214" i="42"/>
  <c r="E237" i="57"/>
  <c r="S170" i="57"/>
  <c r="O212" i="57"/>
  <c r="G212" i="57"/>
  <c r="O212" i="56" l="1"/>
  <c r="B212" i="56"/>
  <c r="L214" i="51"/>
  <c r="D215" i="51"/>
  <c r="B217" i="53"/>
  <c r="O217" i="53"/>
  <c r="E214" i="42"/>
  <c r="N214" i="42"/>
  <c r="D211" i="47"/>
  <c r="E211" i="47" s="1"/>
  <c r="B211" i="47" s="1"/>
  <c r="E212" i="55"/>
  <c r="N212" i="55"/>
  <c r="I214" i="56"/>
  <c r="T170" i="57"/>
  <c r="B237" i="57"/>
  <c r="I219" i="53"/>
  <c r="L212" i="57"/>
  <c r="I213" i="57"/>
  <c r="O190" i="47"/>
  <c r="G190" i="47"/>
  <c r="I215" i="42"/>
  <c r="I213" i="55"/>
  <c r="J216" i="51"/>
  <c r="X171" i="51"/>
  <c r="D213" i="56" l="1"/>
  <c r="L212" i="56"/>
  <c r="E215" i="51"/>
  <c r="N215" i="51"/>
  <c r="D218" i="53"/>
  <c r="L217" i="53"/>
  <c r="B214" i="42"/>
  <c r="O214" i="42"/>
  <c r="D212" i="47"/>
  <c r="E212" i="47" s="1"/>
  <c r="B212" i="47" s="1"/>
  <c r="Y171" i="51"/>
  <c r="G216" i="51"/>
  <c r="O212" i="55"/>
  <c r="B212" i="55"/>
  <c r="J215" i="42"/>
  <c r="X170" i="42"/>
  <c r="J214" i="56"/>
  <c r="X169" i="56"/>
  <c r="D238" i="57"/>
  <c r="Q170" i="57"/>
  <c r="J213" i="55"/>
  <c r="X168" i="55"/>
  <c r="N213" i="57"/>
  <c r="J213" i="57"/>
  <c r="X168" i="57"/>
  <c r="AC168" i="57" s="1"/>
  <c r="L190" i="47"/>
  <c r="I191" i="47"/>
  <c r="J219" i="53"/>
  <c r="X174" i="53"/>
  <c r="E213" i="56" l="1"/>
  <c r="N213" i="56"/>
  <c r="O215" i="51"/>
  <c r="B215" i="51"/>
  <c r="E218" i="53"/>
  <c r="N218" i="53"/>
  <c r="D215" i="42"/>
  <c r="L214" i="42"/>
  <c r="D213" i="47"/>
  <c r="E213" i="47" s="1"/>
  <c r="B213" i="47" s="1"/>
  <c r="E238" i="57"/>
  <c r="O213" i="57"/>
  <c r="Y168" i="57"/>
  <c r="AD168" i="57" s="1"/>
  <c r="G213" i="57"/>
  <c r="Y174" i="53"/>
  <c r="G219" i="53"/>
  <c r="Y170" i="42"/>
  <c r="G215" i="42"/>
  <c r="Y168" i="55"/>
  <c r="G213" i="55"/>
  <c r="V171" i="51"/>
  <c r="I217" i="51"/>
  <c r="Y169" i="56"/>
  <c r="G214" i="56"/>
  <c r="N191" i="47"/>
  <c r="J191" i="47"/>
  <c r="D213" i="55"/>
  <c r="L212" i="55"/>
  <c r="O213" i="56" l="1"/>
  <c r="B213" i="56"/>
  <c r="D216" i="51"/>
  <c r="L215" i="51"/>
  <c r="B218" i="53"/>
  <c r="O218" i="53"/>
  <c r="E215" i="42"/>
  <c r="S170" i="42"/>
  <c r="AC170" i="42" s="1"/>
  <c r="N215" i="42"/>
  <c r="D214" i="47"/>
  <c r="E214" i="47" s="1"/>
  <c r="B214" i="47" s="1"/>
  <c r="I220" i="53"/>
  <c r="V174" i="53"/>
  <c r="V170" i="42"/>
  <c r="I216" i="42"/>
  <c r="J217" i="51"/>
  <c r="I215" i="56"/>
  <c r="V169" i="56"/>
  <c r="B238" i="57"/>
  <c r="V168" i="55"/>
  <c r="I214" i="55"/>
  <c r="V168" i="57"/>
  <c r="AA168" i="57" s="1"/>
  <c r="L213" i="57"/>
  <c r="I214" i="57"/>
  <c r="O191" i="47"/>
  <c r="G191" i="47"/>
  <c r="E213" i="55"/>
  <c r="S168" i="55"/>
  <c r="AC168" i="55" s="1"/>
  <c r="N213" i="55"/>
  <c r="L213" i="56" l="1"/>
  <c r="D214" i="56"/>
  <c r="E216" i="51"/>
  <c r="N216" i="51"/>
  <c r="S171" i="51"/>
  <c r="AC171" i="51" s="1"/>
  <c r="D219" i="53"/>
  <c r="L218" i="53"/>
  <c r="T170" i="42"/>
  <c r="AD170" i="42" s="1"/>
  <c r="O215" i="42"/>
  <c r="B215" i="42"/>
  <c r="D215" i="47"/>
  <c r="E215" i="47" s="1"/>
  <c r="B215" i="47" s="1"/>
  <c r="J214" i="55"/>
  <c r="J215" i="56"/>
  <c r="J220" i="53"/>
  <c r="T168" i="55"/>
  <c r="AD168" i="55" s="1"/>
  <c r="B213" i="55"/>
  <c r="O213" i="55"/>
  <c r="L191" i="47"/>
  <c r="I192" i="47"/>
  <c r="G217" i="51"/>
  <c r="J216" i="42"/>
  <c r="N214" i="57"/>
  <c r="J214" i="57"/>
  <c r="D239" i="57"/>
  <c r="S169" i="56" l="1"/>
  <c r="AC169" i="56" s="1"/>
  <c r="N214" i="56"/>
  <c r="E214" i="56"/>
  <c r="B216" i="51"/>
  <c r="O216" i="51"/>
  <c r="T171" i="51"/>
  <c r="AD171" i="51" s="1"/>
  <c r="E219" i="53"/>
  <c r="S174" i="53"/>
  <c r="AC174" i="53" s="1"/>
  <c r="N219" i="53"/>
  <c r="D216" i="42"/>
  <c r="Q170" i="42"/>
  <c r="AA170" i="42" s="1"/>
  <c r="L215" i="42"/>
  <c r="D216" i="47"/>
  <c r="Q168" i="55"/>
  <c r="AA168" i="55" s="1"/>
  <c r="D214" i="55"/>
  <c r="L213" i="55"/>
  <c r="N192" i="47"/>
  <c r="J192" i="47"/>
  <c r="G220" i="53"/>
  <c r="I218" i="51"/>
  <c r="G214" i="55"/>
  <c r="E239" i="57"/>
  <c r="G216" i="42"/>
  <c r="O214" i="57"/>
  <c r="G214" i="57"/>
  <c r="G215" i="56"/>
  <c r="B214" i="56" l="1"/>
  <c r="T169" i="56"/>
  <c r="AD169" i="56" s="1"/>
  <c r="O214" i="56"/>
  <c r="D217" i="51"/>
  <c r="Q171" i="51"/>
  <c r="AA171" i="51" s="1"/>
  <c r="L216" i="51"/>
  <c r="T174" i="53"/>
  <c r="AD174" i="53" s="1"/>
  <c r="O219" i="53"/>
  <c r="B219" i="53"/>
  <c r="E216" i="42"/>
  <c r="N216" i="42"/>
  <c r="L214" i="57"/>
  <c r="I215" i="57"/>
  <c r="I217" i="42"/>
  <c r="J218" i="51"/>
  <c r="I215" i="55"/>
  <c r="I221" i="53"/>
  <c r="E214" i="55"/>
  <c r="N214" i="55"/>
  <c r="E216" i="47"/>
  <c r="S149" i="47"/>
  <c r="AC149" i="47" s="1"/>
  <c r="O192" i="47"/>
  <c r="G192" i="47"/>
  <c r="I216" i="56"/>
  <c r="B239" i="57"/>
  <c r="D215" i="56" l="1"/>
  <c r="Q169" i="56"/>
  <c r="AA169" i="56" s="1"/>
  <c r="L214" i="56"/>
  <c r="N217" i="51"/>
  <c r="E217" i="51"/>
  <c r="D220" i="53"/>
  <c r="Q174" i="53"/>
  <c r="AA174" i="53" s="1"/>
  <c r="L219" i="53"/>
  <c r="B216" i="42"/>
  <c r="O216" i="42"/>
  <c r="O214" i="55"/>
  <c r="B214" i="55"/>
  <c r="J215" i="55"/>
  <c r="N215" i="57"/>
  <c r="J215" i="57"/>
  <c r="J217" i="42"/>
  <c r="V147" i="47"/>
  <c r="AA147" i="47" s="1"/>
  <c r="L192" i="47"/>
  <c r="I193" i="47"/>
  <c r="G218" i="51"/>
  <c r="J221" i="53"/>
  <c r="T149" i="47"/>
  <c r="AD149" i="47" s="1"/>
  <c r="B216" i="47"/>
  <c r="D240" i="57"/>
  <c r="J216" i="56"/>
  <c r="E215" i="56" l="1"/>
  <c r="N215" i="56"/>
  <c r="B217" i="51"/>
  <c r="O217" i="51"/>
  <c r="E220" i="53"/>
  <c r="N220" i="53"/>
  <c r="D217" i="42"/>
  <c r="L216" i="42"/>
  <c r="G215" i="55"/>
  <c r="G217" i="42"/>
  <c r="G216" i="56"/>
  <c r="E240" i="57"/>
  <c r="Q149" i="47"/>
  <c r="D217" i="47"/>
  <c r="D215" i="55"/>
  <c r="L214" i="55"/>
  <c r="I219" i="51"/>
  <c r="N193" i="47"/>
  <c r="J193" i="47"/>
  <c r="O215" i="57"/>
  <c r="G215" i="57"/>
  <c r="G221" i="53"/>
  <c r="B215" i="56" l="1"/>
  <c r="O215" i="56"/>
  <c r="D218" i="51"/>
  <c r="L217" i="51"/>
  <c r="O220" i="53"/>
  <c r="B220" i="53"/>
  <c r="E217" i="42"/>
  <c r="N217" i="42"/>
  <c r="J219" i="51"/>
  <c r="L215" i="57"/>
  <c r="I216" i="57"/>
  <c r="I218" i="42"/>
  <c r="I216" i="55"/>
  <c r="O193" i="47"/>
  <c r="G193" i="47"/>
  <c r="E217" i="47"/>
  <c r="B240" i="57"/>
  <c r="I222" i="53"/>
  <c r="E215" i="55"/>
  <c r="N215" i="55"/>
  <c r="I217" i="56"/>
  <c r="D216" i="56" l="1"/>
  <c r="L215" i="56"/>
  <c r="N218" i="51"/>
  <c r="E218" i="51"/>
  <c r="D221" i="53"/>
  <c r="L220" i="53"/>
  <c r="B217" i="42"/>
  <c r="O217" i="42"/>
  <c r="B217" i="47"/>
  <c r="L193" i="47"/>
  <c r="I194" i="47"/>
  <c r="J218" i="42"/>
  <c r="N216" i="57"/>
  <c r="J216" i="57"/>
  <c r="J217" i="56"/>
  <c r="D241" i="57"/>
  <c r="G219" i="51"/>
  <c r="O215" i="55"/>
  <c r="B215" i="55"/>
  <c r="J222" i="53"/>
  <c r="J216" i="55"/>
  <c r="E216" i="56" l="1"/>
  <c r="N216" i="56"/>
  <c r="B218" i="51"/>
  <c r="O218" i="51"/>
  <c r="E221" i="53"/>
  <c r="N221" i="53"/>
  <c r="D218" i="42"/>
  <c r="L217" i="42"/>
  <c r="E241" i="57"/>
  <c r="D216" i="55"/>
  <c r="L215" i="55"/>
  <c r="O216" i="57"/>
  <c r="G216" i="57"/>
  <c r="N194" i="47"/>
  <c r="J194" i="47"/>
  <c r="I220" i="51"/>
  <c r="G217" i="56"/>
  <c r="G218" i="42"/>
  <c r="D218" i="47"/>
  <c r="G222" i="53"/>
  <c r="G216" i="55"/>
  <c r="B216" i="56" l="1"/>
  <c r="O216" i="56"/>
  <c r="L218" i="51"/>
  <c r="D219" i="51"/>
  <c r="O221" i="53"/>
  <c r="B221" i="53"/>
  <c r="E218" i="42"/>
  <c r="N218" i="42"/>
  <c r="L216" i="57"/>
  <c r="I217" i="57"/>
  <c r="E216" i="55"/>
  <c r="N216" i="55"/>
  <c r="I223" i="53"/>
  <c r="E218" i="47"/>
  <c r="I219" i="42"/>
  <c r="J220" i="51"/>
  <c r="O194" i="47"/>
  <c r="G194" i="47"/>
  <c r="I218" i="56"/>
  <c r="I217" i="55"/>
  <c r="B241" i="57"/>
  <c r="L216" i="56" l="1"/>
  <c r="D217" i="56"/>
  <c r="N219" i="51"/>
  <c r="E219" i="51"/>
  <c r="D222" i="53"/>
  <c r="L221" i="53"/>
  <c r="B218" i="42"/>
  <c r="O218" i="42"/>
  <c r="J217" i="55"/>
  <c r="G220" i="51"/>
  <c r="J223" i="53"/>
  <c r="D242" i="57"/>
  <c r="J219" i="42"/>
  <c r="N217" i="57"/>
  <c r="J217" i="57"/>
  <c r="J218" i="56"/>
  <c r="L194" i="47"/>
  <c r="I195" i="47"/>
  <c r="B218" i="47"/>
  <c r="O216" i="55"/>
  <c r="B216" i="55"/>
  <c r="N217" i="56" l="1"/>
  <c r="E217" i="56"/>
  <c r="O219" i="51"/>
  <c r="B219" i="51"/>
  <c r="E222" i="53"/>
  <c r="N222" i="53"/>
  <c r="D219" i="42"/>
  <c r="L218" i="42"/>
  <c r="G223" i="53"/>
  <c r="I221" i="51"/>
  <c r="N195" i="47"/>
  <c r="J195" i="47"/>
  <c r="G218" i="56"/>
  <c r="E242" i="57"/>
  <c r="D219" i="47"/>
  <c r="D217" i="55"/>
  <c r="L216" i="55"/>
  <c r="G219" i="42"/>
  <c r="G217" i="55"/>
  <c r="O217" i="57"/>
  <c r="G217" i="57"/>
  <c r="B217" i="56" l="1"/>
  <c r="O217" i="56"/>
  <c r="L219" i="51"/>
  <c r="D220" i="51"/>
  <c r="O222" i="53"/>
  <c r="B222" i="53"/>
  <c r="E219" i="42"/>
  <c r="N219" i="42"/>
  <c r="I218" i="55"/>
  <c r="J221" i="51"/>
  <c r="E219" i="47"/>
  <c r="I219" i="56"/>
  <c r="I224" i="53"/>
  <c r="O195" i="47"/>
  <c r="G195" i="47"/>
  <c r="E217" i="55"/>
  <c r="N217" i="55"/>
  <c r="B242" i="57"/>
  <c r="L217" i="57"/>
  <c r="I218" i="57"/>
  <c r="I220" i="42"/>
  <c r="D218" i="56" l="1"/>
  <c r="L217" i="56"/>
  <c r="N220" i="51"/>
  <c r="E220" i="51"/>
  <c r="D223" i="53"/>
  <c r="L222" i="53"/>
  <c r="O219" i="42"/>
  <c r="B219" i="42"/>
  <c r="O217" i="55"/>
  <c r="B217" i="55"/>
  <c r="J224" i="53"/>
  <c r="L195" i="47"/>
  <c r="I196" i="47"/>
  <c r="J219" i="56"/>
  <c r="J218" i="55"/>
  <c r="N218" i="57"/>
  <c r="J218" i="57"/>
  <c r="G221" i="51"/>
  <c r="J220" i="42"/>
  <c r="D243" i="57"/>
  <c r="E243" i="57" s="1"/>
  <c r="B243" i="57" s="1"/>
  <c r="B219" i="47"/>
  <c r="E218" i="56" l="1"/>
  <c r="N218" i="56"/>
  <c r="O220" i="51"/>
  <c r="B220" i="51"/>
  <c r="E223" i="53"/>
  <c r="N223" i="53"/>
  <c r="D220" i="42"/>
  <c r="L219" i="42"/>
  <c r="D244" i="57"/>
  <c r="E244" i="57" s="1"/>
  <c r="B244" i="57" s="1"/>
  <c r="O218" i="57"/>
  <c r="G218" i="57"/>
  <c r="D220" i="47"/>
  <c r="G224" i="53"/>
  <c r="N196" i="47"/>
  <c r="J196" i="47"/>
  <c r="D218" i="55"/>
  <c r="L217" i="55"/>
  <c r="G218" i="55"/>
  <c r="G219" i="56"/>
  <c r="G220" i="42"/>
  <c r="I222" i="51"/>
  <c r="B218" i="56" l="1"/>
  <c r="O218" i="56"/>
  <c r="D221" i="51"/>
  <c r="L220" i="51"/>
  <c r="O223" i="53"/>
  <c r="B223" i="53"/>
  <c r="E220" i="42"/>
  <c r="N220" i="42"/>
  <c r="I219" i="57"/>
  <c r="L218" i="57"/>
  <c r="I225" i="53"/>
  <c r="D245" i="57"/>
  <c r="E245" i="57" s="1"/>
  <c r="B245" i="57" s="1"/>
  <c r="E218" i="55"/>
  <c r="N218" i="55"/>
  <c r="J222" i="51"/>
  <c r="O196" i="47"/>
  <c r="G196" i="47"/>
  <c r="I220" i="56"/>
  <c r="I221" i="42"/>
  <c r="I219" i="55"/>
  <c r="E220" i="47"/>
  <c r="L218" i="56" l="1"/>
  <c r="D219" i="56"/>
  <c r="E221" i="51"/>
  <c r="N221" i="51"/>
  <c r="D224" i="53"/>
  <c r="L223" i="53"/>
  <c r="B220" i="42"/>
  <c r="O220" i="42"/>
  <c r="D246" i="57"/>
  <c r="E246" i="57" s="1"/>
  <c r="B246" i="57" s="1"/>
  <c r="L196" i="47"/>
  <c r="I197" i="47"/>
  <c r="J221" i="42"/>
  <c r="J219" i="55"/>
  <c r="N219" i="57"/>
  <c r="J219" i="57"/>
  <c r="O218" i="55"/>
  <c r="B218" i="55"/>
  <c r="J220" i="56"/>
  <c r="B220" i="47"/>
  <c r="G222" i="51"/>
  <c r="J225" i="53"/>
  <c r="E219" i="56" l="1"/>
  <c r="N219" i="56"/>
  <c r="B221" i="51"/>
  <c r="O221" i="51"/>
  <c r="E224" i="53"/>
  <c r="N224" i="53"/>
  <c r="D221" i="42"/>
  <c r="L220" i="42"/>
  <c r="D247" i="57"/>
  <c r="E247" i="57" s="1"/>
  <c r="B247" i="57" s="1"/>
  <c r="G225" i="53"/>
  <c r="N197" i="47"/>
  <c r="J197" i="47"/>
  <c r="G219" i="55"/>
  <c r="I223" i="51"/>
  <c r="D219" i="55"/>
  <c r="L218" i="55"/>
  <c r="G221" i="42"/>
  <c r="D221" i="47"/>
  <c r="G220" i="56"/>
  <c r="O219" i="57"/>
  <c r="G219" i="57"/>
  <c r="O219" i="56" l="1"/>
  <c r="B219" i="56"/>
  <c r="D222" i="51"/>
  <c r="L221" i="51"/>
  <c r="O224" i="53"/>
  <c r="B224" i="53"/>
  <c r="E221" i="42"/>
  <c r="N221" i="42"/>
  <c r="D248" i="57"/>
  <c r="E248" i="57" s="1"/>
  <c r="B248" i="57" s="1"/>
  <c r="L219" i="57"/>
  <c r="I220" i="57"/>
  <c r="I226" i="53"/>
  <c r="J223" i="51"/>
  <c r="I220" i="55"/>
  <c r="I221" i="56"/>
  <c r="I222" i="42"/>
  <c r="O197" i="47"/>
  <c r="G197" i="47"/>
  <c r="E219" i="55"/>
  <c r="N219" i="55"/>
  <c r="E221" i="47"/>
  <c r="D220" i="56" l="1"/>
  <c r="L219" i="56"/>
  <c r="E222" i="51"/>
  <c r="N222" i="51"/>
  <c r="D225" i="53"/>
  <c r="L224" i="53"/>
  <c r="B221" i="42"/>
  <c r="O221" i="42"/>
  <c r="D249" i="57"/>
  <c r="O219" i="55"/>
  <c r="B219" i="55"/>
  <c r="L197" i="47"/>
  <c r="I198" i="47"/>
  <c r="B221" i="47"/>
  <c r="J226" i="53"/>
  <c r="N220" i="57"/>
  <c r="J220" i="57"/>
  <c r="J221" i="56"/>
  <c r="J220" i="55"/>
  <c r="G223" i="51"/>
  <c r="J222" i="42"/>
  <c r="E220" i="56" l="1"/>
  <c r="N220" i="56"/>
  <c r="B222" i="51"/>
  <c r="O222" i="51"/>
  <c r="E225" i="53"/>
  <c r="N225" i="53"/>
  <c r="D222" i="42"/>
  <c r="L221" i="42"/>
  <c r="D222" i="47"/>
  <c r="E222" i="47" s="1"/>
  <c r="B222" i="47" s="1"/>
  <c r="G220" i="55"/>
  <c r="G221" i="56"/>
  <c r="O220" i="57"/>
  <c r="G220" i="57"/>
  <c r="N198" i="47"/>
  <c r="J198" i="47"/>
  <c r="D220" i="55"/>
  <c r="L219" i="55"/>
  <c r="E249" i="57"/>
  <c r="S171" i="57"/>
  <c r="G222" i="42"/>
  <c r="I224" i="51"/>
  <c r="G226" i="53"/>
  <c r="B220" i="56" l="1"/>
  <c r="O220" i="56"/>
  <c r="L222" i="51"/>
  <c r="D223" i="51"/>
  <c r="B225" i="53"/>
  <c r="O225" i="53"/>
  <c r="E222" i="42"/>
  <c r="N222" i="42"/>
  <c r="D223" i="47"/>
  <c r="E223" i="47" s="1"/>
  <c r="B223" i="47" s="1"/>
  <c r="O198" i="47"/>
  <c r="G198" i="47"/>
  <c r="I227" i="53"/>
  <c r="I222" i="56"/>
  <c r="L220" i="57"/>
  <c r="I221" i="57"/>
  <c r="J224" i="51"/>
  <c r="I221" i="55"/>
  <c r="T171" i="57"/>
  <c r="B249" i="57"/>
  <c r="I223" i="42"/>
  <c r="E220" i="55"/>
  <c r="N220" i="55"/>
  <c r="L220" i="56" l="1"/>
  <c r="D221" i="56"/>
  <c r="E223" i="51"/>
  <c r="N223" i="51"/>
  <c r="D226" i="53"/>
  <c r="L225" i="53"/>
  <c r="B222" i="42"/>
  <c r="O222" i="42"/>
  <c r="D224" i="47"/>
  <c r="E224" i="47" s="1"/>
  <c r="B224" i="47" s="1"/>
  <c r="D250" i="57"/>
  <c r="Q171" i="57"/>
  <c r="J227" i="53"/>
  <c r="J221" i="55"/>
  <c r="G224" i="51"/>
  <c r="N221" i="57"/>
  <c r="J221" i="57"/>
  <c r="O220" i="55"/>
  <c r="B220" i="55"/>
  <c r="J222" i="56"/>
  <c r="J223" i="42"/>
  <c r="L198" i="47"/>
  <c r="I199" i="47"/>
  <c r="E221" i="56" l="1"/>
  <c r="N221" i="56"/>
  <c r="O223" i="51"/>
  <c r="B223" i="51"/>
  <c r="E226" i="53"/>
  <c r="N226" i="53"/>
  <c r="D223" i="42"/>
  <c r="L222" i="42"/>
  <c r="D225" i="47"/>
  <c r="E225" i="47" s="1"/>
  <c r="B225" i="47" s="1"/>
  <c r="G222" i="56"/>
  <c r="O221" i="57"/>
  <c r="G221" i="57"/>
  <c r="G227" i="53"/>
  <c r="G221" i="55"/>
  <c r="E250" i="57"/>
  <c r="G223" i="42"/>
  <c r="D221" i="55"/>
  <c r="L220" i="55"/>
  <c r="N199" i="47"/>
  <c r="J199" i="47"/>
  <c r="I225" i="51"/>
  <c r="O221" i="56" l="1"/>
  <c r="B221" i="56"/>
  <c r="L223" i="51"/>
  <c r="D224" i="51"/>
  <c r="B226" i="53"/>
  <c r="O226" i="53"/>
  <c r="E223" i="42"/>
  <c r="N223" i="42"/>
  <c r="D226" i="47"/>
  <c r="E226" i="47" s="1"/>
  <c r="B226" i="47" s="1"/>
  <c r="L221" i="57"/>
  <c r="I222" i="57"/>
  <c r="O199" i="47"/>
  <c r="G199" i="47"/>
  <c r="I222" i="55"/>
  <c r="I223" i="56"/>
  <c r="B250" i="57"/>
  <c r="E221" i="55"/>
  <c r="N221" i="55"/>
  <c r="J225" i="51"/>
  <c r="I224" i="42"/>
  <c r="I228" i="53"/>
  <c r="D222" i="56" l="1"/>
  <c r="L221" i="56"/>
  <c r="N224" i="51"/>
  <c r="E224" i="51"/>
  <c r="D227" i="53"/>
  <c r="L226" i="53"/>
  <c r="B223" i="42"/>
  <c r="O223" i="42"/>
  <c r="D227" i="47"/>
  <c r="E227" i="47" s="1"/>
  <c r="B227" i="47" s="1"/>
  <c r="G225" i="51"/>
  <c r="J222" i="55"/>
  <c r="N222" i="57"/>
  <c r="J222" i="57"/>
  <c r="J223" i="56"/>
  <c r="O221" i="55"/>
  <c r="B221" i="55"/>
  <c r="L199" i="47"/>
  <c r="I200" i="47"/>
  <c r="J224" i="42"/>
  <c r="J228" i="53"/>
  <c r="D251" i="57"/>
  <c r="N222" i="56" l="1"/>
  <c r="E222" i="56"/>
  <c r="O224" i="51"/>
  <c r="B224" i="51"/>
  <c r="E227" i="53"/>
  <c r="N227" i="53"/>
  <c r="D224" i="42"/>
  <c r="L223" i="42"/>
  <c r="D228" i="47"/>
  <c r="I226" i="51"/>
  <c r="O222" i="57"/>
  <c r="G222" i="57"/>
  <c r="G228" i="53"/>
  <c r="D222" i="55"/>
  <c r="L221" i="55"/>
  <c r="G222" i="55"/>
  <c r="N200" i="47"/>
  <c r="J200" i="47"/>
  <c r="G223" i="56"/>
  <c r="E251" i="57"/>
  <c r="G224" i="42"/>
  <c r="O222" i="56" l="1"/>
  <c r="B222" i="56"/>
  <c r="L224" i="51"/>
  <c r="D225" i="51"/>
  <c r="B227" i="53"/>
  <c r="O227" i="53"/>
  <c r="E224" i="42"/>
  <c r="N224" i="42"/>
  <c r="J226" i="51"/>
  <c r="O200" i="47"/>
  <c r="G200" i="47"/>
  <c r="I225" i="42"/>
  <c r="I229" i="53"/>
  <c r="E222" i="55"/>
  <c r="N222" i="55"/>
  <c r="E228" i="47"/>
  <c r="S150" i="47"/>
  <c r="AC150" i="47" s="1"/>
  <c r="I223" i="55"/>
  <c r="B251" i="57"/>
  <c r="I224" i="56"/>
  <c r="L222" i="57"/>
  <c r="I223" i="57"/>
  <c r="D223" i="56" l="1"/>
  <c r="L222" i="56"/>
  <c r="E225" i="51"/>
  <c r="N225" i="51"/>
  <c r="D228" i="53"/>
  <c r="L227" i="53"/>
  <c r="B224" i="42"/>
  <c r="O224" i="42"/>
  <c r="L200" i="47"/>
  <c r="I201" i="47"/>
  <c r="J225" i="42"/>
  <c r="T150" i="47"/>
  <c r="AD150" i="47" s="1"/>
  <c r="B228" i="47"/>
  <c r="J223" i="55"/>
  <c r="J224" i="56"/>
  <c r="G226" i="51"/>
  <c r="N223" i="57"/>
  <c r="J223" i="57"/>
  <c r="D252" i="57"/>
  <c r="O222" i="55"/>
  <c r="B222" i="55"/>
  <c r="J229" i="53"/>
  <c r="E223" i="56" l="1"/>
  <c r="N223" i="56"/>
  <c r="B225" i="51"/>
  <c r="O225" i="51"/>
  <c r="E228" i="53"/>
  <c r="N228" i="53"/>
  <c r="D225" i="42"/>
  <c r="L224" i="42"/>
  <c r="N201" i="47"/>
  <c r="J201" i="47"/>
  <c r="O223" i="57"/>
  <c r="G223" i="57"/>
  <c r="G223" i="55"/>
  <c r="D223" i="55"/>
  <c r="L222" i="55"/>
  <c r="G224" i="56"/>
  <c r="G229" i="53"/>
  <c r="I227" i="51"/>
  <c r="G225" i="42"/>
  <c r="Q150" i="47"/>
  <c r="D229" i="47"/>
  <c r="E252" i="57"/>
  <c r="O223" i="56" l="1"/>
  <c r="B223" i="56"/>
  <c r="D226" i="51"/>
  <c r="L225" i="51"/>
  <c r="B228" i="53"/>
  <c r="O228" i="53"/>
  <c r="E225" i="42"/>
  <c r="N225" i="42"/>
  <c r="B252" i="57"/>
  <c r="L223" i="57"/>
  <c r="I224" i="57"/>
  <c r="I230" i="53"/>
  <c r="I226" i="42"/>
  <c r="E223" i="55"/>
  <c r="N223" i="55"/>
  <c r="I225" i="56"/>
  <c r="O201" i="47"/>
  <c r="G201" i="47"/>
  <c r="I224" i="55"/>
  <c r="J227" i="51"/>
  <c r="E229" i="47"/>
  <c r="D224" i="56" l="1"/>
  <c r="L223" i="56"/>
  <c r="E226" i="51"/>
  <c r="N226" i="51"/>
  <c r="D229" i="53"/>
  <c r="L228" i="53"/>
  <c r="B225" i="42"/>
  <c r="O225" i="42"/>
  <c r="J226" i="42"/>
  <c r="L201" i="47"/>
  <c r="I202" i="47"/>
  <c r="J225" i="56"/>
  <c r="N224" i="57"/>
  <c r="J224" i="57"/>
  <c r="J224" i="55"/>
  <c r="G227" i="51"/>
  <c r="O223" i="55"/>
  <c r="B223" i="55"/>
  <c r="D253" i="57"/>
  <c r="B229" i="47"/>
  <c r="J230" i="53"/>
  <c r="E224" i="56" l="1"/>
  <c r="N224" i="56"/>
  <c r="O226" i="51"/>
  <c r="B226" i="51"/>
  <c r="E229" i="53"/>
  <c r="N229" i="53"/>
  <c r="D226" i="42"/>
  <c r="L225" i="42"/>
  <c r="I228" i="51"/>
  <c r="D230" i="47"/>
  <c r="G230" i="53"/>
  <c r="G225" i="56"/>
  <c r="N202" i="47"/>
  <c r="J202" i="47"/>
  <c r="O224" i="57"/>
  <c r="G224" i="57"/>
  <c r="G226" i="42"/>
  <c r="D224" i="55"/>
  <c r="L223" i="55"/>
  <c r="G224" i="55"/>
  <c r="E253" i="57"/>
  <c r="O224" i="56" l="1"/>
  <c r="B224" i="56"/>
  <c r="L226" i="51"/>
  <c r="D227" i="51"/>
  <c r="B229" i="53"/>
  <c r="O229" i="53"/>
  <c r="E226" i="42"/>
  <c r="N226" i="42"/>
  <c r="I227" i="42"/>
  <c r="I231" i="53"/>
  <c r="E224" i="55"/>
  <c r="N224" i="55"/>
  <c r="I226" i="56"/>
  <c r="L224" i="57"/>
  <c r="I225" i="57"/>
  <c r="J228" i="51"/>
  <c r="X172" i="51"/>
  <c r="E230" i="47"/>
  <c r="I225" i="55"/>
  <c r="B253" i="57"/>
  <c r="O202" i="47"/>
  <c r="G202" i="47"/>
  <c r="D225" i="56" l="1"/>
  <c r="L224" i="56"/>
  <c r="E227" i="51"/>
  <c r="N227" i="51"/>
  <c r="D230" i="53"/>
  <c r="L229" i="53"/>
  <c r="B226" i="42"/>
  <c r="O226" i="42"/>
  <c r="D254" i="57"/>
  <c r="J231" i="53"/>
  <c r="X175" i="53"/>
  <c r="J226" i="56"/>
  <c r="X170" i="56"/>
  <c r="J227" i="42"/>
  <c r="X171" i="42"/>
  <c r="N225" i="57"/>
  <c r="J225" i="57"/>
  <c r="X169" i="57"/>
  <c r="AC169" i="57" s="1"/>
  <c r="B224" i="55"/>
  <c r="O224" i="55"/>
  <c r="Y172" i="51"/>
  <c r="G228" i="51"/>
  <c r="L202" i="47"/>
  <c r="I203" i="47"/>
  <c r="J225" i="55"/>
  <c r="X169" i="55"/>
  <c r="B230" i="47"/>
  <c r="E225" i="56" l="1"/>
  <c r="N225" i="56"/>
  <c r="B227" i="51"/>
  <c r="O227" i="51"/>
  <c r="E230" i="53"/>
  <c r="N230" i="53"/>
  <c r="D227" i="42"/>
  <c r="L226" i="42"/>
  <c r="V172" i="51"/>
  <c r="I229" i="51"/>
  <c r="O225" i="57"/>
  <c r="Y169" i="57"/>
  <c r="AD169" i="57" s="1"/>
  <c r="G225" i="57"/>
  <c r="Y170" i="56"/>
  <c r="G226" i="56"/>
  <c r="Y169" i="55"/>
  <c r="G225" i="55"/>
  <c r="D225" i="55"/>
  <c r="L224" i="55"/>
  <c r="D231" i="47"/>
  <c r="N203" i="47"/>
  <c r="J203" i="47"/>
  <c r="Y171" i="42"/>
  <c r="G227" i="42"/>
  <c r="Y175" i="53"/>
  <c r="G231" i="53"/>
  <c r="E254" i="57"/>
  <c r="O225" i="56" l="1"/>
  <c r="B225" i="56"/>
  <c r="L227" i="51"/>
  <c r="D228" i="51"/>
  <c r="B230" i="53"/>
  <c r="O230" i="53"/>
  <c r="E227" i="42"/>
  <c r="S171" i="42"/>
  <c r="AC171" i="42" s="1"/>
  <c r="N227" i="42"/>
  <c r="L225" i="57"/>
  <c r="V169" i="57"/>
  <c r="AA169" i="57" s="1"/>
  <c r="I226" i="57"/>
  <c r="J229" i="51"/>
  <c r="V169" i="55"/>
  <c r="I226" i="55"/>
  <c r="I227" i="56"/>
  <c r="V170" i="56"/>
  <c r="B254" i="57"/>
  <c r="V171" i="42"/>
  <c r="I228" i="42"/>
  <c r="E231" i="47"/>
  <c r="E225" i="55"/>
  <c r="S169" i="55"/>
  <c r="AC169" i="55" s="1"/>
  <c r="N225" i="55"/>
  <c r="I232" i="53"/>
  <c r="V175" i="53"/>
  <c r="O203" i="47"/>
  <c r="G203" i="47"/>
  <c r="L225" i="56" l="1"/>
  <c r="D226" i="56"/>
  <c r="N228" i="51"/>
  <c r="S172" i="51"/>
  <c r="AC172" i="51" s="1"/>
  <c r="E228" i="51"/>
  <c r="D231" i="53"/>
  <c r="L230" i="53"/>
  <c r="T171" i="42"/>
  <c r="AD171" i="42" s="1"/>
  <c r="O227" i="42"/>
  <c r="B227" i="42"/>
  <c r="T169" i="55"/>
  <c r="AD169" i="55" s="1"/>
  <c r="O225" i="55"/>
  <c r="B225" i="55"/>
  <c r="L203" i="47"/>
  <c r="I204" i="47"/>
  <c r="J227" i="56"/>
  <c r="J226" i="55"/>
  <c r="J228" i="42"/>
  <c r="N226" i="57"/>
  <c r="J226" i="57"/>
  <c r="J232" i="53"/>
  <c r="G229" i="51"/>
  <c r="D255" i="57"/>
  <c r="E255" i="57" s="1"/>
  <c r="B255" i="57" s="1"/>
  <c r="B231" i="47"/>
  <c r="N226" i="56" l="1"/>
  <c r="S170" i="56"/>
  <c r="AC170" i="56" s="1"/>
  <c r="E226" i="56"/>
  <c r="O228" i="51"/>
  <c r="B228" i="51"/>
  <c r="T172" i="51"/>
  <c r="AD172" i="51" s="1"/>
  <c r="E231" i="53"/>
  <c r="S175" i="53"/>
  <c r="AC175" i="53" s="1"/>
  <c r="N231" i="53"/>
  <c r="Q171" i="42"/>
  <c r="AA171" i="42" s="1"/>
  <c r="D228" i="42"/>
  <c r="L227" i="42"/>
  <c r="D256" i="57"/>
  <c r="E256" i="57" s="1"/>
  <c r="B256" i="57" s="1"/>
  <c r="G232" i="53"/>
  <c r="D232" i="47"/>
  <c r="N204" i="47"/>
  <c r="J204" i="47"/>
  <c r="O226" i="57"/>
  <c r="G226" i="57"/>
  <c r="G226" i="55"/>
  <c r="Q169" i="55"/>
  <c r="AA169" i="55" s="1"/>
  <c r="D226" i="55"/>
  <c r="L225" i="55"/>
  <c r="I230" i="51"/>
  <c r="G228" i="42"/>
  <c r="G227" i="56"/>
  <c r="O226" i="56" l="1"/>
  <c r="B226" i="56"/>
  <c r="T170" i="56"/>
  <c r="AD170" i="56" s="1"/>
  <c r="D229" i="51"/>
  <c r="L228" i="51"/>
  <c r="Q172" i="51"/>
  <c r="AA172" i="51" s="1"/>
  <c r="T175" i="53"/>
  <c r="AD175" i="53" s="1"/>
  <c r="O231" i="53"/>
  <c r="B231" i="53"/>
  <c r="E228" i="42"/>
  <c r="N228" i="42"/>
  <c r="D257" i="57"/>
  <c r="E257" i="57" s="1"/>
  <c r="B257" i="57" s="1"/>
  <c r="E232" i="47"/>
  <c r="E226" i="55"/>
  <c r="N226" i="55"/>
  <c r="I228" i="56"/>
  <c r="L226" i="57"/>
  <c r="I227" i="57"/>
  <c r="I233" i="53"/>
  <c r="J230" i="51"/>
  <c r="I229" i="42"/>
  <c r="I227" i="55"/>
  <c r="O204" i="47"/>
  <c r="G204" i="47"/>
  <c r="Q170" i="56" l="1"/>
  <c r="AA170" i="56" s="1"/>
  <c r="D227" i="56"/>
  <c r="L226" i="56"/>
  <c r="E229" i="51"/>
  <c r="N229" i="51"/>
  <c r="Q175" i="53"/>
  <c r="AA175" i="53" s="1"/>
  <c r="D232" i="53"/>
  <c r="L231" i="53"/>
  <c r="B228" i="42"/>
  <c r="O228" i="42"/>
  <c r="J229" i="42"/>
  <c r="B232" i="47"/>
  <c r="J233" i="53"/>
  <c r="V148" i="47"/>
  <c r="AA148" i="47" s="1"/>
  <c r="L204" i="47"/>
  <c r="I205" i="47"/>
  <c r="N227" i="57"/>
  <c r="J227" i="57"/>
  <c r="J228" i="56"/>
  <c r="O226" i="55"/>
  <c r="B226" i="55"/>
  <c r="D258" i="57"/>
  <c r="E258" i="57" s="1"/>
  <c r="B258" i="57" s="1"/>
  <c r="J227" i="55"/>
  <c r="G230" i="51"/>
  <c r="E227" i="56" l="1"/>
  <c r="N227" i="56"/>
  <c r="B229" i="51"/>
  <c r="O229" i="51"/>
  <c r="E232" i="53"/>
  <c r="N232" i="53"/>
  <c r="D229" i="42"/>
  <c r="L228" i="42"/>
  <c r="D259" i="57"/>
  <c r="E259" i="57" s="1"/>
  <c r="B259" i="57" s="1"/>
  <c r="G229" i="42"/>
  <c r="O227" i="57"/>
  <c r="G227" i="57"/>
  <c r="D233" i="47"/>
  <c r="G228" i="56"/>
  <c r="I231" i="51"/>
  <c r="G233" i="53"/>
  <c r="G227" i="55"/>
  <c r="N205" i="47"/>
  <c r="J205" i="47"/>
  <c r="D227" i="55"/>
  <c r="L226" i="55"/>
  <c r="O227" i="56" l="1"/>
  <c r="B227" i="56"/>
  <c r="L229" i="51"/>
  <c r="D230" i="51"/>
  <c r="O232" i="53"/>
  <c r="B232" i="53"/>
  <c r="E229" i="42"/>
  <c r="N229" i="42"/>
  <c r="J231" i="51"/>
  <c r="E227" i="55"/>
  <c r="N227" i="55"/>
  <c r="O205" i="47"/>
  <c r="G205" i="47"/>
  <c r="I228" i="55"/>
  <c r="L227" i="57"/>
  <c r="I228" i="57"/>
  <c r="E233" i="47"/>
  <c r="D260" i="57"/>
  <c r="E260" i="57" s="1"/>
  <c r="B260" i="57" s="1"/>
  <c r="I234" i="53"/>
  <c r="I229" i="56"/>
  <c r="I230" i="42"/>
  <c r="L227" i="56" l="1"/>
  <c r="D228" i="56"/>
  <c r="E230" i="51"/>
  <c r="N230" i="51"/>
  <c r="D233" i="53"/>
  <c r="L232" i="53"/>
  <c r="O229" i="42"/>
  <c r="B229" i="42"/>
  <c r="D261" i="57"/>
  <c r="O227" i="55"/>
  <c r="B227" i="55"/>
  <c r="N228" i="57"/>
  <c r="J228" i="57"/>
  <c r="L205" i="47"/>
  <c r="I206" i="47"/>
  <c r="J230" i="42"/>
  <c r="J229" i="56"/>
  <c r="G231" i="51"/>
  <c r="J234" i="53"/>
  <c r="B233" i="47"/>
  <c r="J228" i="55"/>
  <c r="N228" i="56" l="1"/>
  <c r="E228" i="56"/>
  <c r="B230" i="51"/>
  <c r="O230" i="51"/>
  <c r="E233" i="53"/>
  <c r="N233" i="53"/>
  <c r="D230" i="42"/>
  <c r="L229" i="42"/>
  <c r="I232" i="51"/>
  <c r="G230" i="42"/>
  <c r="G234" i="53"/>
  <c r="O228" i="57"/>
  <c r="G228" i="57"/>
  <c r="D234" i="47"/>
  <c r="E234" i="47" s="1"/>
  <c r="B234" i="47" s="1"/>
  <c r="N206" i="47"/>
  <c r="J206" i="47"/>
  <c r="G228" i="55"/>
  <c r="G229" i="56"/>
  <c r="D228" i="55"/>
  <c r="L227" i="55"/>
  <c r="E261" i="57"/>
  <c r="S172" i="57"/>
  <c r="B228" i="56" l="1"/>
  <c r="O228" i="56"/>
  <c r="D231" i="51"/>
  <c r="L230" i="51"/>
  <c r="O233" i="53"/>
  <c r="B233" i="53"/>
  <c r="E230" i="42"/>
  <c r="N230" i="42"/>
  <c r="D235" i="47"/>
  <c r="E235" i="47" s="1"/>
  <c r="B235" i="47" s="1"/>
  <c r="I230" i="56"/>
  <c r="I229" i="55"/>
  <c r="J232" i="51"/>
  <c r="L228" i="57"/>
  <c r="I229" i="57"/>
  <c r="I231" i="42"/>
  <c r="I235" i="53"/>
  <c r="O206" i="47"/>
  <c r="G206" i="47"/>
  <c r="T172" i="57"/>
  <c r="B261" i="57"/>
  <c r="E228" i="55"/>
  <c r="N228" i="55"/>
  <c r="D229" i="56" l="1"/>
  <c r="L228" i="56"/>
  <c r="E231" i="51"/>
  <c r="N231" i="51"/>
  <c r="D234" i="53"/>
  <c r="L233" i="53"/>
  <c r="B230" i="42"/>
  <c r="O230" i="42"/>
  <c r="D236" i="47"/>
  <c r="E236" i="47" s="1"/>
  <c r="B236" i="47" s="1"/>
  <c r="J230" i="56"/>
  <c r="N229" i="57"/>
  <c r="J229" i="57"/>
  <c r="O228" i="55"/>
  <c r="B228" i="55"/>
  <c r="J235" i="53"/>
  <c r="G232" i="51"/>
  <c r="J229" i="55"/>
  <c r="D262" i="57"/>
  <c r="Q172" i="57"/>
  <c r="J231" i="42"/>
  <c r="L206" i="47"/>
  <c r="I207" i="47"/>
  <c r="N229" i="56" l="1"/>
  <c r="E229" i="56"/>
  <c r="B231" i="51"/>
  <c r="O231" i="51"/>
  <c r="E234" i="53"/>
  <c r="N234" i="53"/>
  <c r="D231" i="42"/>
  <c r="L230" i="42"/>
  <c r="D237" i="47"/>
  <c r="E237" i="47" s="1"/>
  <c r="B237" i="47" s="1"/>
  <c r="G231" i="42"/>
  <c r="D229" i="55"/>
  <c r="L228" i="55"/>
  <c r="G230" i="56"/>
  <c r="G235" i="53"/>
  <c r="G229" i="55"/>
  <c r="N207" i="47"/>
  <c r="J207" i="47"/>
  <c r="O229" i="57"/>
  <c r="G229" i="57"/>
  <c r="I233" i="51"/>
  <c r="E262" i="57"/>
  <c r="B229" i="56" l="1"/>
  <c r="O229" i="56"/>
  <c r="L231" i="51"/>
  <c r="D232" i="51"/>
  <c r="O234" i="53"/>
  <c r="B234" i="53"/>
  <c r="E231" i="42"/>
  <c r="N231" i="42"/>
  <c r="D238" i="47"/>
  <c r="E238" i="47" s="1"/>
  <c r="B238" i="47" s="1"/>
  <c r="B262" i="57"/>
  <c r="L229" i="57"/>
  <c r="I230" i="57"/>
  <c r="I230" i="55"/>
  <c r="I232" i="42"/>
  <c r="O207" i="47"/>
  <c r="G207" i="47"/>
  <c r="I231" i="56"/>
  <c r="I236" i="53"/>
  <c r="E229" i="55"/>
  <c r="N229" i="55"/>
  <c r="J233" i="51"/>
  <c r="D230" i="56" l="1"/>
  <c r="L229" i="56"/>
  <c r="E232" i="51"/>
  <c r="N232" i="51"/>
  <c r="D235" i="53"/>
  <c r="L234" i="53"/>
  <c r="B231" i="42"/>
  <c r="O231" i="42"/>
  <c r="D239" i="47"/>
  <c r="E239" i="47" s="1"/>
  <c r="B239" i="47" s="1"/>
  <c r="J232" i="42"/>
  <c r="J231" i="56"/>
  <c r="J236" i="53"/>
  <c r="D263" i="57"/>
  <c r="L207" i="47"/>
  <c r="I208" i="47"/>
  <c r="G233" i="51"/>
  <c r="N230" i="57"/>
  <c r="J230" i="57"/>
  <c r="O229" i="55"/>
  <c r="B229" i="55"/>
  <c r="J230" i="55"/>
  <c r="E230" i="56" l="1"/>
  <c r="N230" i="56"/>
  <c r="O232" i="51"/>
  <c r="B232" i="51"/>
  <c r="E235" i="53"/>
  <c r="N235" i="53"/>
  <c r="D232" i="42"/>
  <c r="L231" i="42"/>
  <c r="D240" i="47"/>
  <c r="D230" i="55"/>
  <c r="L229" i="55"/>
  <c r="N208" i="47"/>
  <c r="J208" i="47"/>
  <c r="G231" i="56"/>
  <c r="E263" i="57"/>
  <c r="G230" i="55"/>
  <c r="G236" i="53"/>
  <c r="I234" i="51"/>
  <c r="G232" i="42"/>
  <c r="O230" i="57"/>
  <c r="G230" i="57"/>
  <c r="B230" i="56" l="1"/>
  <c r="O230" i="56"/>
  <c r="L232" i="51"/>
  <c r="D233" i="51"/>
  <c r="O235" i="53"/>
  <c r="B235" i="53"/>
  <c r="E232" i="42"/>
  <c r="N232" i="42"/>
  <c r="I231" i="55"/>
  <c r="O208" i="47"/>
  <c r="G208" i="47"/>
  <c r="B263" i="57"/>
  <c r="I232" i="56"/>
  <c r="E240" i="47"/>
  <c r="S151" i="47"/>
  <c r="AC151" i="47" s="1"/>
  <c r="E230" i="55"/>
  <c r="N230" i="55"/>
  <c r="L230" i="57"/>
  <c r="I231" i="57"/>
  <c r="J234" i="51"/>
  <c r="I233" i="42"/>
  <c r="I237" i="53"/>
  <c r="D231" i="56" l="1"/>
  <c r="L230" i="56"/>
  <c r="E233" i="51"/>
  <c r="N233" i="51"/>
  <c r="D236" i="53"/>
  <c r="L235" i="53"/>
  <c r="B232" i="42"/>
  <c r="O232" i="42"/>
  <c r="D264" i="57"/>
  <c r="T151" i="47"/>
  <c r="AD151" i="47" s="1"/>
  <c r="B240" i="47"/>
  <c r="N231" i="57"/>
  <c r="J231" i="57"/>
  <c r="J231" i="55"/>
  <c r="L208" i="47"/>
  <c r="I209" i="47"/>
  <c r="J237" i="53"/>
  <c r="J233" i="42"/>
  <c r="O230" i="55"/>
  <c r="B230" i="55"/>
  <c r="G234" i="51"/>
  <c r="J232" i="56"/>
  <c r="E231" i="56" l="1"/>
  <c r="N231" i="56"/>
  <c r="B233" i="51"/>
  <c r="O233" i="51"/>
  <c r="E236" i="53"/>
  <c r="N236" i="53"/>
  <c r="D233" i="42"/>
  <c r="L232" i="42"/>
  <c r="G232" i="56"/>
  <c r="O231" i="57"/>
  <c r="G231" i="57"/>
  <c r="Q151" i="47"/>
  <c r="D241" i="47"/>
  <c r="G233" i="42"/>
  <c r="N209" i="47"/>
  <c r="J209" i="47"/>
  <c r="I235" i="51"/>
  <c r="G231" i="55"/>
  <c r="D231" i="55"/>
  <c r="L230" i="55"/>
  <c r="G237" i="53"/>
  <c r="E264" i="57"/>
  <c r="B231" i="56" l="1"/>
  <c r="O231" i="56"/>
  <c r="D234" i="51"/>
  <c r="L233" i="51"/>
  <c r="O236" i="53"/>
  <c r="B236" i="53"/>
  <c r="E233" i="42"/>
  <c r="N233" i="42"/>
  <c r="I232" i="55"/>
  <c r="I238" i="53"/>
  <c r="J235" i="51"/>
  <c r="I234" i="42"/>
  <c r="L231" i="57"/>
  <c r="I232" i="57"/>
  <c r="I233" i="56"/>
  <c r="B264" i="57"/>
  <c r="E231" i="55"/>
  <c r="N231" i="55"/>
  <c r="O209" i="47"/>
  <c r="G209" i="47"/>
  <c r="E241" i="47"/>
  <c r="L231" i="56" l="1"/>
  <c r="D232" i="56"/>
  <c r="E234" i="51"/>
  <c r="N234" i="51"/>
  <c r="D237" i="53"/>
  <c r="L236" i="53"/>
  <c r="B233" i="42"/>
  <c r="O233" i="42"/>
  <c r="G235" i="51"/>
  <c r="B231" i="55"/>
  <c r="O231" i="55"/>
  <c r="L209" i="47"/>
  <c r="I210" i="47"/>
  <c r="N232" i="57"/>
  <c r="J232" i="57"/>
  <c r="D265" i="57"/>
  <c r="J238" i="53"/>
  <c r="J234" i="42"/>
  <c r="J233" i="56"/>
  <c r="B241" i="47"/>
  <c r="J232" i="55"/>
  <c r="E232" i="56" l="1"/>
  <c r="N232" i="56"/>
  <c r="B234" i="51"/>
  <c r="O234" i="51"/>
  <c r="E237" i="53"/>
  <c r="N237" i="53"/>
  <c r="D234" i="42"/>
  <c r="L233" i="42"/>
  <c r="G232" i="55"/>
  <c r="E265" i="57"/>
  <c r="D232" i="55"/>
  <c r="L231" i="55"/>
  <c r="G238" i="53"/>
  <c r="N210" i="47"/>
  <c r="J210" i="47"/>
  <c r="D242" i="47"/>
  <c r="O232" i="57"/>
  <c r="G232" i="57"/>
  <c r="G233" i="56"/>
  <c r="I236" i="51"/>
  <c r="G234" i="42"/>
  <c r="B232" i="56" l="1"/>
  <c r="O232" i="56"/>
  <c r="D235" i="51"/>
  <c r="L234" i="51"/>
  <c r="B237" i="53"/>
  <c r="O237" i="53"/>
  <c r="E234" i="42"/>
  <c r="N234" i="42"/>
  <c r="I234" i="56"/>
  <c r="I239" i="53"/>
  <c r="B265" i="57"/>
  <c r="E242" i="47"/>
  <c r="O210" i="47"/>
  <c r="G210" i="47"/>
  <c r="I235" i="42"/>
  <c r="I233" i="55"/>
  <c r="E232" i="55"/>
  <c r="N232" i="55"/>
  <c r="J236" i="51"/>
  <c r="L232" i="57"/>
  <c r="I233" i="57"/>
  <c r="D233" i="56" l="1"/>
  <c r="L232" i="56"/>
  <c r="E235" i="51"/>
  <c r="N235" i="51"/>
  <c r="D238" i="53"/>
  <c r="L237" i="53"/>
  <c r="B234" i="42"/>
  <c r="O234" i="42"/>
  <c r="L210" i="47"/>
  <c r="I211" i="47"/>
  <c r="B242" i="47"/>
  <c r="J234" i="56"/>
  <c r="O232" i="55"/>
  <c r="B232" i="55"/>
  <c r="J235" i="42"/>
  <c r="G236" i="51"/>
  <c r="J233" i="55"/>
  <c r="D266" i="57"/>
  <c r="N233" i="57"/>
  <c r="J233" i="57"/>
  <c r="J239" i="53"/>
  <c r="E233" i="56" l="1"/>
  <c r="N233" i="56"/>
  <c r="O235" i="51"/>
  <c r="B235" i="51"/>
  <c r="E238" i="53"/>
  <c r="N238" i="53"/>
  <c r="D235" i="42"/>
  <c r="L234" i="42"/>
  <c r="E266" i="57"/>
  <c r="G233" i="55"/>
  <c r="O233" i="57"/>
  <c r="G233" i="57"/>
  <c r="G239" i="53"/>
  <c r="D243" i="47"/>
  <c r="N211" i="47"/>
  <c r="J211" i="47"/>
  <c r="G235" i="42"/>
  <c r="G234" i="56"/>
  <c r="I237" i="51"/>
  <c r="D233" i="55"/>
  <c r="L232" i="55"/>
  <c r="O233" i="56" l="1"/>
  <c r="B233" i="56"/>
  <c r="D236" i="51"/>
  <c r="L235" i="51"/>
  <c r="B238" i="53"/>
  <c r="O238" i="53"/>
  <c r="E235" i="42"/>
  <c r="N235" i="42"/>
  <c r="I236" i="42"/>
  <c r="I235" i="56"/>
  <c r="E233" i="55"/>
  <c r="N233" i="55"/>
  <c r="O211" i="47"/>
  <c r="G211" i="47"/>
  <c r="E243" i="47"/>
  <c r="I240" i="53"/>
  <c r="L233" i="57"/>
  <c r="I234" i="57"/>
  <c r="I234" i="55"/>
  <c r="J237" i="51"/>
  <c r="B266" i="57"/>
  <c r="D234" i="56" l="1"/>
  <c r="L233" i="56"/>
  <c r="E236" i="51"/>
  <c r="N236" i="51"/>
  <c r="D239" i="53"/>
  <c r="L238" i="53"/>
  <c r="B235" i="42"/>
  <c r="O235" i="42"/>
  <c r="N234" i="57"/>
  <c r="J234" i="57"/>
  <c r="G237" i="51"/>
  <c r="O233" i="55"/>
  <c r="B233" i="55"/>
  <c r="J240" i="53"/>
  <c r="L211" i="47"/>
  <c r="I212" i="47"/>
  <c r="J235" i="56"/>
  <c r="J236" i="42"/>
  <c r="J234" i="55"/>
  <c r="D267" i="57"/>
  <c r="E267" i="57" s="1"/>
  <c r="B267" i="57" s="1"/>
  <c r="B243" i="47"/>
  <c r="N234" i="56" l="1"/>
  <c r="E234" i="56"/>
  <c r="O236" i="51"/>
  <c r="B236" i="51"/>
  <c r="E239" i="53"/>
  <c r="N239" i="53"/>
  <c r="D236" i="42"/>
  <c r="L235" i="42"/>
  <c r="D244" i="47"/>
  <c r="G240" i="53"/>
  <c r="D234" i="55"/>
  <c r="L233" i="55"/>
  <c r="G236" i="42"/>
  <c r="O234" i="57"/>
  <c r="G234" i="57"/>
  <c r="G234" i="55"/>
  <c r="G235" i="56"/>
  <c r="N212" i="47"/>
  <c r="J212" i="47"/>
  <c r="D268" i="57"/>
  <c r="E268" i="57" s="1"/>
  <c r="B268" i="57" s="1"/>
  <c r="I238" i="51"/>
  <c r="B234" i="56" l="1"/>
  <c r="O234" i="56"/>
  <c r="L236" i="51"/>
  <c r="D237" i="51"/>
  <c r="B239" i="53"/>
  <c r="O239" i="53"/>
  <c r="E236" i="42"/>
  <c r="N236" i="42"/>
  <c r="D269" i="57"/>
  <c r="E269" i="57" s="1"/>
  <c r="B269" i="57" s="1"/>
  <c r="I241" i="53"/>
  <c r="J238" i="51"/>
  <c r="E244" i="47"/>
  <c r="I235" i="55"/>
  <c r="I237" i="42"/>
  <c r="I236" i="56"/>
  <c r="O212" i="47"/>
  <c r="G212" i="47"/>
  <c r="I235" i="57"/>
  <c r="L234" i="57"/>
  <c r="E234" i="55"/>
  <c r="N234" i="55"/>
  <c r="D235" i="56" l="1"/>
  <c r="L234" i="56"/>
  <c r="N237" i="51"/>
  <c r="E237" i="51"/>
  <c r="D240" i="53"/>
  <c r="L239" i="53"/>
  <c r="B236" i="42"/>
  <c r="O236" i="42"/>
  <c r="D270" i="57"/>
  <c r="E270" i="57" s="1"/>
  <c r="B270" i="57" s="1"/>
  <c r="N235" i="57"/>
  <c r="J235" i="57"/>
  <c r="L212" i="47"/>
  <c r="I213" i="47"/>
  <c r="B244" i="47"/>
  <c r="G238" i="51"/>
  <c r="J241" i="53"/>
  <c r="B234" i="55"/>
  <c r="O234" i="55"/>
  <c r="J237" i="42"/>
  <c r="J236" i="56"/>
  <c r="J235" i="55"/>
  <c r="E235" i="56" l="1"/>
  <c r="N235" i="56"/>
  <c r="B237" i="51"/>
  <c r="O237" i="51"/>
  <c r="E240" i="53"/>
  <c r="N240" i="53"/>
  <c r="D237" i="42"/>
  <c r="L236" i="42"/>
  <c r="D271" i="57"/>
  <c r="E271" i="57" s="1"/>
  <c r="B271" i="57" s="1"/>
  <c r="N213" i="47"/>
  <c r="J213" i="47"/>
  <c r="O235" i="57"/>
  <c r="G235" i="57"/>
  <c r="G241" i="53"/>
  <c r="D245" i="47"/>
  <c r="G237" i="42"/>
  <c r="D235" i="55"/>
  <c r="L234" i="55"/>
  <c r="G235" i="55"/>
  <c r="G236" i="56"/>
  <c r="I239" i="51"/>
  <c r="B235" i="56" l="1"/>
  <c r="O235" i="56"/>
  <c r="D238" i="51"/>
  <c r="L237" i="51"/>
  <c r="B240" i="53"/>
  <c r="O240" i="53"/>
  <c r="E237" i="42"/>
  <c r="N237" i="42"/>
  <c r="D272" i="57"/>
  <c r="E272" i="57" s="1"/>
  <c r="B272" i="57" s="1"/>
  <c r="O213" i="47"/>
  <c r="G213" i="47"/>
  <c r="J239" i="51"/>
  <c r="E235" i="55"/>
  <c r="N235" i="55"/>
  <c r="E245" i="47"/>
  <c r="I242" i="53"/>
  <c r="I237" i="56"/>
  <c r="I238" i="42"/>
  <c r="L235" i="57"/>
  <c r="I236" i="57"/>
  <c r="I236" i="55"/>
  <c r="L235" i="56" l="1"/>
  <c r="D236" i="56"/>
  <c r="E238" i="51"/>
  <c r="N238" i="51"/>
  <c r="D241" i="53"/>
  <c r="L240" i="53"/>
  <c r="B237" i="42"/>
  <c r="O237" i="42"/>
  <c r="D273" i="57"/>
  <c r="J238" i="42"/>
  <c r="B245" i="47"/>
  <c r="J242" i="53"/>
  <c r="L213" i="47"/>
  <c r="I214" i="47"/>
  <c r="N236" i="57"/>
  <c r="J236" i="57"/>
  <c r="J237" i="56"/>
  <c r="G239" i="51"/>
  <c r="J236" i="55"/>
  <c r="B235" i="55"/>
  <c r="O235" i="55"/>
  <c r="E236" i="56" l="1"/>
  <c r="N236" i="56"/>
  <c r="O238" i="51"/>
  <c r="B238" i="51"/>
  <c r="E241" i="53"/>
  <c r="N241" i="53"/>
  <c r="D238" i="42"/>
  <c r="L237" i="42"/>
  <c r="D236" i="55"/>
  <c r="L235" i="55"/>
  <c r="G237" i="56"/>
  <c r="O236" i="57"/>
  <c r="G236" i="57"/>
  <c r="N214" i="47"/>
  <c r="J214" i="47"/>
  <c r="G236" i="55"/>
  <c r="G238" i="42"/>
  <c r="E273" i="57"/>
  <c r="S173" i="57"/>
  <c r="D246" i="47"/>
  <c r="E246" i="47" s="1"/>
  <c r="B246" i="47" s="1"/>
  <c r="I240" i="51"/>
  <c r="G242" i="53"/>
  <c r="B236" i="56" l="1"/>
  <c r="O236" i="56"/>
  <c r="D239" i="51"/>
  <c r="L238" i="51"/>
  <c r="B241" i="53"/>
  <c r="O241" i="53"/>
  <c r="E238" i="42"/>
  <c r="N238" i="42"/>
  <c r="O214" i="47"/>
  <c r="G214" i="47"/>
  <c r="D247" i="47"/>
  <c r="E247" i="47" s="1"/>
  <c r="B247" i="47" s="1"/>
  <c r="I237" i="55"/>
  <c r="T173" i="57"/>
  <c r="B273" i="57"/>
  <c r="I239" i="42"/>
  <c r="E236" i="55"/>
  <c r="N236" i="55"/>
  <c r="I238" i="56"/>
  <c r="J240" i="51"/>
  <c r="X173" i="51"/>
  <c r="I243" i="53"/>
  <c r="L236" i="57"/>
  <c r="I237" i="57"/>
  <c r="D237" i="56" l="1"/>
  <c r="L236" i="56"/>
  <c r="E239" i="51"/>
  <c r="N239" i="51"/>
  <c r="D242" i="53"/>
  <c r="L241" i="53"/>
  <c r="B238" i="42"/>
  <c r="O238" i="42"/>
  <c r="D248" i="47"/>
  <c r="E248" i="47" s="1"/>
  <c r="B248" i="47" s="1"/>
  <c r="J243" i="53"/>
  <c r="X176" i="53"/>
  <c r="J237" i="55"/>
  <c r="X170" i="55"/>
  <c r="Q173" i="57"/>
  <c r="D274" i="57"/>
  <c r="Y173" i="51"/>
  <c r="G240" i="51"/>
  <c r="L214" i="47"/>
  <c r="I215" i="47"/>
  <c r="B236" i="55"/>
  <c r="O236" i="55"/>
  <c r="J239" i="42"/>
  <c r="X172" i="42"/>
  <c r="N237" i="57"/>
  <c r="J237" i="57"/>
  <c r="X170" i="57"/>
  <c r="AC170" i="57" s="1"/>
  <c r="J238" i="56"/>
  <c r="X171" i="56"/>
  <c r="E237" i="56" l="1"/>
  <c r="N237" i="56"/>
  <c r="O239" i="51"/>
  <c r="B239" i="51"/>
  <c r="E242" i="53"/>
  <c r="N242" i="53"/>
  <c r="D239" i="42"/>
  <c r="L238" i="42"/>
  <c r="D249" i="47"/>
  <c r="E249" i="47" s="1"/>
  <c r="B249" i="47" s="1"/>
  <c r="D237" i="55"/>
  <c r="L236" i="55"/>
  <c r="Y171" i="56"/>
  <c r="G238" i="56"/>
  <c r="Y170" i="55"/>
  <c r="G237" i="55"/>
  <c r="E274" i="57"/>
  <c r="Y172" i="42"/>
  <c r="G239" i="42"/>
  <c r="O237" i="57"/>
  <c r="Y170" i="57"/>
  <c r="AD170" i="57" s="1"/>
  <c r="G237" i="57"/>
  <c r="Y176" i="53"/>
  <c r="G243" i="53"/>
  <c r="N215" i="47"/>
  <c r="J215" i="47"/>
  <c r="V173" i="51"/>
  <c r="I241" i="51"/>
  <c r="O237" i="56" l="1"/>
  <c r="B237" i="56"/>
  <c r="D240" i="51"/>
  <c r="L239" i="51"/>
  <c r="B242" i="53"/>
  <c r="O242" i="53"/>
  <c r="E239" i="42"/>
  <c r="S172" i="42"/>
  <c r="AC172" i="42" s="1"/>
  <c r="N239" i="42"/>
  <c r="D250" i="47"/>
  <c r="E250" i="47" s="1"/>
  <c r="B250" i="47" s="1"/>
  <c r="I244" i="53"/>
  <c r="V176" i="53"/>
  <c r="V172" i="42"/>
  <c r="I240" i="42"/>
  <c r="V170" i="55"/>
  <c r="I238" i="55"/>
  <c r="B274" i="57"/>
  <c r="E237" i="55"/>
  <c r="S170" i="55"/>
  <c r="AC170" i="55" s="1"/>
  <c r="N237" i="55"/>
  <c r="O215" i="47"/>
  <c r="G215" i="47"/>
  <c r="I239" i="56"/>
  <c r="V171" i="56"/>
  <c r="L237" i="57"/>
  <c r="V170" i="57"/>
  <c r="AA170" i="57" s="1"/>
  <c r="I238" i="57"/>
  <c r="J241" i="51"/>
  <c r="L237" i="56" l="1"/>
  <c r="D238" i="56"/>
  <c r="E240" i="51"/>
  <c r="S173" i="51"/>
  <c r="AC173" i="51" s="1"/>
  <c r="N240" i="51"/>
  <c r="D243" i="53"/>
  <c r="L242" i="53"/>
  <c r="T172" i="42"/>
  <c r="AD172" i="42" s="1"/>
  <c r="O239" i="42"/>
  <c r="B239" i="42"/>
  <c r="D251" i="47"/>
  <c r="E251" i="47" s="1"/>
  <c r="B251" i="47" s="1"/>
  <c r="J240" i="42"/>
  <c r="D275" i="57"/>
  <c r="L215" i="47"/>
  <c r="I216" i="47"/>
  <c r="J239" i="56"/>
  <c r="T170" i="55"/>
  <c r="AD170" i="55" s="1"/>
  <c r="O237" i="55"/>
  <c r="B237" i="55"/>
  <c r="N238" i="57"/>
  <c r="J238" i="57"/>
  <c r="J238" i="55"/>
  <c r="J244" i="53"/>
  <c r="G241" i="51"/>
  <c r="N238" i="56" l="1"/>
  <c r="E238" i="56"/>
  <c r="S171" i="56"/>
  <c r="AC171" i="56" s="1"/>
  <c r="T173" i="51"/>
  <c r="AD173" i="51" s="1"/>
  <c r="B240" i="51"/>
  <c r="O240" i="51"/>
  <c r="E243" i="53"/>
  <c r="S176" i="53"/>
  <c r="AC176" i="53" s="1"/>
  <c r="N243" i="53"/>
  <c r="Q172" i="42"/>
  <c r="AA172" i="42" s="1"/>
  <c r="D240" i="42"/>
  <c r="L239" i="42"/>
  <c r="D252" i="47"/>
  <c r="G244" i="53"/>
  <c r="Q170" i="55"/>
  <c r="AA170" i="55" s="1"/>
  <c r="D238" i="55"/>
  <c r="L237" i="55"/>
  <c r="E275" i="57"/>
  <c r="G238" i="55"/>
  <c r="G239" i="56"/>
  <c r="N216" i="47"/>
  <c r="J216" i="47"/>
  <c r="G240" i="42"/>
  <c r="I242" i="51"/>
  <c r="O238" i="57"/>
  <c r="G238" i="57"/>
  <c r="O238" i="56" l="1"/>
  <c r="B238" i="56"/>
  <c r="T171" i="56"/>
  <c r="AD171" i="56" s="1"/>
  <c r="Q173" i="51"/>
  <c r="AA173" i="51" s="1"/>
  <c r="L240" i="51"/>
  <c r="D241" i="51"/>
  <c r="T176" i="53"/>
  <c r="AD176" i="53" s="1"/>
  <c r="O243" i="53"/>
  <c r="B243" i="53"/>
  <c r="E240" i="42"/>
  <c r="N240" i="42"/>
  <c r="J242" i="51"/>
  <c r="I241" i="42"/>
  <c r="I245" i="53"/>
  <c r="I239" i="55"/>
  <c r="B275" i="57"/>
  <c r="O216" i="47"/>
  <c r="G216" i="47"/>
  <c r="E238" i="55"/>
  <c r="N238" i="55"/>
  <c r="E252" i="47"/>
  <c r="S152" i="47"/>
  <c r="AC152" i="47" s="1"/>
  <c r="I240" i="56"/>
  <c r="L238" i="57"/>
  <c r="I239" i="57"/>
  <c r="D239" i="56" l="1"/>
  <c r="L238" i="56"/>
  <c r="Q171" i="56"/>
  <c r="AA171" i="56" s="1"/>
  <c r="E241" i="51"/>
  <c r="N241" i="51"/>
  <c r="Q176" i="53"/>
  <c r="AA176" i="53" s="1"/>
  <c r="D244" i="53"/>
  <c r="L243" i="53"/>
  <c r="B240" i="42"/>
  <c r="O240" i="42"/>
  <c r="N239" i="57"/>
  <c r="J239" i="57"/>
  <c r="J245" i="53"/>
  <c r="J240" i="56"/>
  <c r="O238" i="55"/>
  <c r="B238" i="55"/>
  <c r="D276" i="57"/>
  <c r="G242" i="51"/>
  <c r="T152" i="47"/>
  <c r="AD152" i="47" s="1"/>
  <c r="B252" i="47"/>
  <c r="V149" i="47"/>
  <c r="AA149" i="47" s="1"/>
  <c r="L216" i="47"/>
  <c r="I217" i="47"/>
  <c r="J239" i="55"/>
  <c r="J241" i="42"/>
  <c r="E239" i="56" l="1"/>
  <c r="N239" i="56"/>
  <c r="O241" i="51"/>
  <c r="B241" i="51"/>
  <c r="E244" i="53"/>
  <c r="N244" i="53"/>
  <c r="D241" i="42"/>
  <c r="L240" i="42"/>
  <c r="N217" i="47"/>
  <c r="J217" i="47"/>
  <c r="O239" i="57"/>
  <c r="G239" i="57"/>
  <c r="E276" i="57"/>
  <c r="G241" i="42"/>
  <c r="G239" i="55"/>
  <c r="I243" i="51"/>
  <c r="D239" i="55"/>
  <c r="L238" i="55"/>
  <c r="G240" i="56"/>
  <c r="Q152" i="47"/>
  <c r="D253" i="47"/>
  <c r="G245" i="53"/>
  <c r="B239" i="56" l="1"/>
  <c r="O239" i="56"/>
  <c r="D242" i="51"/>
  <c r="L241" i="51"/>
  <c r="O244" i="53"/>
  <c r="B244" i="53"/>
  <c r="E241" i="42"/>
  <c r="N241" i="42"/>
  <c r="E253" i="47"/>
  <c r="L239" i="57"/>
  <c r="I240" i="57"/>
  <c r="I242" i="42"/>
  <c r="I246" i="53"/>
  <c r="E239" i="55"/>
  <c r="N239" i="55"/>
  <c r="J243" i="51"/>
  <c r="I240" i="55"/>
  <c r="O217" i="47"/>
  <c r="G217" i="47"/>
  <c r="I241" i="56"/>
  <c r="B276" i="57"/>
  <c r="D240" i="56" l="1"/>
  <c r="L239" i="56"/>
  <c r="E242" i="51"/>
  <c r="N242" i="51"/>
  <c r="D245" i="53"/>
  <c r="L244" i="53"/>
  <c r="B241" i="42"/>
  <c r="O241" i="42"/>
  <c r="L217" i="47"/>
  <c r="I218" i="47"/>
  <c r="G243" i="51"/>
  <c r="J242" i="42"/>
  <c r="J241" i="56"/>
  <c r="J246" i="53"/>
  <c r="D277" i="57"/>
  <c r="N240" i="57"/>
  <c r="J240" i="57"/>
  <c r="B253" i="47"/>
  <c r="J240" i="55"/>
  <c r="B239" i="55"/>
  <c r="O239" i="55"/>
  <c r="E240" i="56" l="1"/>
  <c r="N240" i="56"/>
  <c r="B242" i="51"/>
  <c r="O242" i="51"/>
  <c r="E245" i="53"/>
  <c r="N245" i="53"/>
  <c r="D242" i="42"/>
  <c r="L241" i="42"/>
  <c r="G240" i="55"/>
  <c r="E277" i="57"/>
  <c r="D254" i="47"/>
  <c r="G246" i="53"/>
  <c r="G241" i="56"/>
  <c r="N218" i="47"/>
  <c r="J218" i="47"/>
  <c r="O240" i="57"/>
  <c r="G240" i="57"/>
  <c r="G242" i="42"/>
  <c r="I244" i="51"/>
  <c r="D240" i="55"/>
  <c r="L239" i="55"/>
  <c r="B240" i="56" l="1"/>
  <c r="O240" i="56"/>
  <c r="D243" i="51"/>
  <c r="L242" i="51"/>
  <c r="O245" i="53"/>
  <c r="B245" i="53"/>
  <c r="E242" i="42"/>
  <c r="N242" i="42"/>
  <c r="J244" i="51"/>
  <c r="I243" i="42"/>
  <c r="O218" i="47"/>
  <c r="G218" i="47"/>
  <c r="I241" i="55"/>
  <c r="I247" i="53"/>
  <c r="E240" i="55"/>
  <c r="N240" i="55"/>
  <c r="I242" i="56"/>
  <c r="E254" i="47"/>
  <c r="L240" i="57"/>
  <c r="I241" i="57"/>
  <c r="B277" i="57"/>
  <c r="L240" i="56" l="1"/>
  <c r="D241" i="56"/>
  <c r="E243" i="51"/>
  <c r="N243" i="51"/>
  <c r="D246" i="53"/>
  <c r="L245" i="53"/>
  <c r="B242" i="42"/>
  <c r="O242" i="42"/>
  <c r="J243" i="42"/>
  <c r="B254" i="47"/>
  <c r="O240" i="55"/>
  <c r="B240" i="55"/>
  <c r="D278" i="57"/>
  <c r="J242" i="56"/>
  <c r="J247" i="53"/>
  <c r="L218" i="47"/>
  <c r="I219" i="47"/>
  <c r="G244" i="51"/>
  <c r="N241" i="57"/>
  <c r="J241" i="57"/>
  <c r="J241" i="55"/>
  <c r="E241" i="56" l="1"/>
  <c r="N241" i="56"/>
  <c r="B243" i="51"/>
  <c r="O243" i="51"/>
  <c r="E246" i="53"/>
  <c r="N246" i="53"/>
  <c r="D243" i="42"/>
  <c r="L242" i="42"/>
  <c r="G247" i="53"/>
  <c r="D255" i="47"/>
  <c r="I245" i="51"/>
  <c r="G241" i="55"/>
  <c r="G242" i="56"/>
  <c r="N219" i="47"/>
  <c r="J219" i="47"/>
  <c r="G243" i="42"/>
  <c r="D241" i="55"/>
  <c r="L240" i="55"/>
  <c r="O241" i="57"/>
  <c r="G241" i="57"/>
  <c r="E278" i="57"/>
  <c r="B241" i="56" l="1"/>
  <c r="O241" i="56"/>
  <c r="D244" i="51"/>
  <c r="L243" i="51"/>
  <c r="O246" i="53"/>
  <c r="B246" i="53"/>
  <c r="E243" i="42"/>
  <c r="N243" i="42"/>
  <c r="I244" i="42"/>
  <c r="I243" i="56"/>
  <c r="I248" i="53"/>
  <c r="B278" i="57"/>
  <c r="E255" i="47"/>
  <c r="J245" i="51"/>
  <c r="L241" i="57"/>
  <c r="I242" i="57"/>
  <c r="I242" i="55"/>
  <c r="O219" i="47"/>
  <c r="G219" i="47"/>
  <c r="E241" i="55"/>
  <c r="N241" i="55"/>
  <c r="D242" i="56" l="1"/>
  <c r="L241" i="56"/>
  <c r="E244" i="51"/>
  <c r="N244" i="51"/>
  <c r="D247" i="53"/>
  <c r="L246" i="53"/>
  <c r="B243" i="42"/>
  <c r="O243" i="42"/>
  <c r="J242" i="55"/>
  <c r="J248" i="53"/>
  <c r="J243" i="56"/>
  <c r="D279" i="57"/>
  <c r="E279" i="57" s="1"/>
  <c r="B279" i="57" s="1"/>
  <c r="L219" i="47"/>
  <c r="I220" i="47"/>
  <c r="G245" i="51"/>
  <c r="B255" i="47"/>
  <c r="J244" i="42"/>
  <c r="O241" i="55"/>
  <c r="B241" i="55"/>
  <c r="N242" i="57"/>
  <c r="J242" i="57"/>
  <c r="E242" i="56" l="1"/>
  <c r="N242" i="56"/>
  <c r="B244" i="51"/>
  <c r="O244" i="51"/>
  <c r="E247" i="53"/>
  <c r="N247" i="53"/>
  <c r="D244" i="42"/>
  <c r="L243" i="42"/>
  <c r="D280" i="57"/>
  <c r="E280" i="57" s="1"/>
  <c r="B280" i="57" s="1"/>
  <c r="N220" i="47"/>
  <c r="J220" i="47"/>
  <c r="I246" i="51"/>
  <c r="G248" i="53"/>
  <c r="G243" i="56"/>
  <c r="G242" i="55"/>
  <c r="O242" i="57"/>
  <c r="G242" i="57"/>
  <c r="D242" i="55"/>
  <c r="L241" i="55"/>
  <c r="D256" i="47"/>
  <c r="G244" i="42"/>
  <c r="B242" i="56" l="1"/>
  <c r="O242" i="56"/>
  <c r="D245" i="51"/>
  <c r="L244" i="51"/>
  <c r="O247" i="53"/>
  <c r="B247" i="53"/>
  <c r="E244" i="42"/>
  <c r="N244" i="42"/>
  <c r="D281" i="57"/>
  <c r="E281" i="57" s="1"/>
  <c r="B281" i="57" s="1"/>
  <c r="I243" i="55"/>
  <c r="O220" i="47"/>
  <c r="G220" i="47"/>
  <c r="L242" i="57"/>
  <c r="I243" i="57"/>
  <c r="J246" i="51"/>
  <c r="E256" i="47"/>
  <c r="I245" i="42"/>
  <c r="I249" i="53"/>
  <c r="E242" i="55"/>
  <c r="N242" i="55"/>
  <c r="I244" i="56"/>
  <c r="L242" i="56" l="1"/>
  <c r="D243" i="56"/>
  <c r="E245" i="51"/>
  <c r="N245" i="51"/>
  <c r="D248" i="53"/>
  <c r="L247" i="53"/>
  <c r="B244" i="42"/>
  <c r="O244" i="42"/>
  <c r="D282" i="57"/>
  <c r="E282" i="57" s="1"/>
  <c r="B282" i="57" s="1"/>
  <c r="J244" i="56"/>
  <c r="L220" i="47"/>
  <c r="I221" i="47"/>
  <c r="O242" i="55"/>
  <c r="B242" i="55"/>
  <c r="G246" i="51"/>
  <c r="J243" i="55"/>
  <c r="J245" i="42"/>
  <c r="B256" i="47"/>
  <c r="J249" i="53"/>
  <c r="N243" i="57"/>
  <c r="J243" i="57"/>
  <c r="E243" i="56" l="1"/>
  <c r="N243" i="56"/>
  <c r="B245" i="51"/>
  <c r="O245" i="51"/>
  <c r="E248" i="53"/>
  <c r="N248" i="53"/>
  <c r="D245" i="42"/>
  <c r="L244" i="42"/>
  <c r="D283" i="57"/>
  <c r="E283" i="57" s="1"/>
  <c r="B283" i="57" s="1"/>
  <c r="O243" i="57"/>
  <c r="G243" i="57"/>
  <c r="G249" i="53"/>
  <c r="G244" i="56"/>
  <c r="D257" i="47"/>
  <c r="D243" i="55"/>
  <c r="L242" i="55"/>
  <c r="I247" i="51"/>
  <c r="G245" i="42"/>
  <c r="N221" i="47"/>
  <c r="J221" i="47"/>
  <c r="G243" i="55"/>
  <c r="O243" i="56" l="1"/>
  <c r="B243" i="56"/>
  <c r="L245" i="51"/>
  <c r="D246" i="51"/>
  <c r="O248" i="53"/>
  <c r="B248" i="53"/>
  <c r="E245" i="42"/>
  <c r="N245" i="42"/>
  <c r="D284" i="57"/>
  <c r="E284" i="57" s="1"/>
  <c r="B284" i="57" s="1"/>
  <c r="E243" i="55"/>
  <c r="N243" i="55"/>
  <c r="I244" i="55"/>
  <c r="J247" i="51"/>
  <c r="E257" i="47"/>
  <c r="I246" i="42"/>
  <c r="I250" i="53"/>
  <c r="L243" i="57"/>
  <c r="I244" i="57"/>
  <c r="O221" i="47"/>
  <c r="G221" i="47"/>
  <c r="I245" i="56"/>
  <c r="D244" i="56" l="1"/>
  <c r="L243" i="56"/>
  <c r="N246" i="51"/>
  <c r="E246" i="51"/>
  <c r="D249" i="53"/>
  <c r="L248" i="53"/>
  <c r="B245" i="42"/>
  <c r="O245" i="42"/>
  <c r="D285" i="57"/>
  <c r="J250" i="53"/>
  <c r="N244" i="57"/>
  <c r="J244" i="57"/>
  <c r="J245" i="56"/>
  <c r="J246" i="42"/>
  <c r="B243" i="55"/>
  <c r="O243" i="55"/>
  <c r="B257" i="47"/>
  <c r="J244" i="55"/>
  <c r="L221" i="47"/>
  <c r="I222" i="47"/>
  <c r="G247" i="51"/>
  <c r="E244" i="56" l="1"/>
  <c r="N244" i="56"/>
  <c r="B246" i="51"/>
  <c r="O246" i="51"/>
  <c r="E249" i="53"/>
  <c r="N249" i="53"/>
  <c r="D246" i="42"/>
  <c r="L245" i="42"/>
  <c r="G250" i="53"/>
  <c r="I248" i="51"/>
  <c r="D244" i="55"/>
  <c r="L243" i="55"/>
  <c r="G246" i="42"/>
  <c r="D258" i="47"/>
  <c r="E258" i="47" s="1"/>
  <c r="B258" i="47" s="1"/>
  <c r="N222" i="47"/>
  <c r="J222" i="47"/>
  <c r="O244" i="57"/>
  <c r="G244" i="57"/>
  <c r="G245" i="56"/>
  <c r="G244" i="55"/>
  <c r="E285" i="57"/>
  <c r="S174" i="57"/>
  <c r="O244" i="56" l="1"/>
  <c r="B244" i="56"/>
  <c r="L246" i="51"/>
  <c r="D247" i="51"/>
  <c r="B249" i="53"/>
  <c r="O249" i="53"/>
  <c r="E246" i="42"/>
  <c r="N246" i="42"/>
  <c r="D259" i="47"/>
  <c r="E259" i="47" s="1"/>
  <c r="B259" i="47" s="1"/>
  <c r="L244" i="57"/>
  <c r="I245" i="57"/>
  <c r="T174" i="57"/>
  <c r="B285" i="57"/>
  <c r="J248" i="51"/>
  <c r="O222" i="47"/>
  <c r="G222" i="47"/>
  <c r="I245" i="55"/>
  <c r="I247" i="42"/>
  <c r="I251" i="53"/>
  <c r="E244" i="55"/>
  <c r="N244" i="55"/>
  <c r="I246" i="56"/>
  <c r="D245" i="56" l="1"/>
  <c r="L244" i="56"/>
  <c r="E247" i="51"/>
  <c r="N247" i="51"/>
  <c r="D250" i="53"/>
  <c r="L249" i="53"/>
  <c r="B246" i="42"/>
  <c r="O246" i="42"/>
  <c r="D260" i="47"/>
  <c r="E260" i="47" s="1"/>
  <c r="B260" i="47" s="1"/>
  <c r="J245" i="55"/>
  <c r="N245" i="57"/>
  <c r="J245" i="57"/>
  <c r="L222" i="47"/>
  <c r="I223" i="47"/>
  <c r="J246" i="56"/>
  <c r="O244" i="55"/>
  <c r="B244" i="55"/>
  <c r="D286" i="57"/>
  <c r="Q174" i="57"/>
  <c r="J251" i="53"/>
  <c r="J247" i="42"/>
  <c r="G248" i="51"/>
  <c r="E245" i="56" l="1"/>
  <c r="N245" i="56"/>
  <c r="O247" i="51"/>
  <c r="B247" i="51"/>
  <c r="E250" i="53"/>
  <c r="N250" i="53"/>
  <c r="D247" i="42"/>
  <c r="L246" i="42"/>
  <c r="D261" i="47"/>
  <c r="E261" i="47" s="1"/>
  <c r="B261" i="47" s="1"/>
  <c r="G247" i="42"/>
  <c r="E286" i="57"/>
  <c r="I249" i="51"/>
  <c r="N223" i="47"/>
  <c r="J223" i="47"/>
  <c r="G251" i="53"/>
  <c r="G246" i="56"/>
  <c r="D245" i="55"/>
  <c r="L244" i="55"/>
  <c r="G245" i="55"/>
  <c r="O245" i="57"/>
  <c r="G245" i="57"/>
  <c r="B245" i="56" l="1"/>
  <c r="O245" i="56"/>
  <c r="L247" i="51"/>
  <c r="D248" i="51"/>
  <c r="B250" i="53"/>
  <c r="O250" i="53"/>
  <c r="E247" i="42"/>
  <c r="N247" i="42"/>
  <c r="D262" i="47"/>
  <c r="E262" i="47" s="1"/>
  <c r="B262" i="47" s="1"/>
  <c r="I252" i="53"/>
  <c r="E245" i="55"/>
  <c r="N245" i="55"/>
  <c r="B286" i="57"/>
  <c r="I246" i="55"/>
  <c r="I248" i="42"/>
  <c r="O223" i="47"/>
  <c r="G223" i="47"/>
  <c r="J249" i="51"/>
  <c r="L245" i="57"/>
  <c r="I246" i="57"/>
  <c r="I247" i="56"/>
  <c r="D246" i="56" l="1"/>
  <c r="L245" i="56"/>
  <c r="E248" i="51"/>
  <c r="N248" i="51"/>
  <c r="D251" i="53"/>
  <c r="L250" i="53"/>
  <c r="B247" i="42"/>
  <c r="O247" i="42"/>
  <c r="D263" i="47"/>
  <c r="E263" i="47" s="1"/>
  <c r="B263" i="47" s="1"/>
  <c r="G249" i="51"/>
  <c r="N246" i="57"/>
  <c r="J246" i="57"/>
  <c r="J246" i="55"/>
  <c r="L223" i="47"/>
  <c r="I224" i="47"/>
  <c r="D287" i="57"/>
  <c r="O245" i="55"/>
  <c r="B245" i="55"/>
  <c r="J252" i="53"/>
  <c r="J247" i="56"/>
  <c r="J248" i="42"/>
  <c r="E246" i="56" l="1"/>
  <c r="N246" i="56"/>
  <c r="B248" i="51"/>
  <c r="O248" i="51"/>
  <c r="E251" i="53"/>
  <c r="N251" i="53"/>
  <c r="D248" i="42"/>
  <c r="L247" i="42"/>
  <c r="D264" i="47"/>
  <c r="G248" i="42"/>
  <c r="O246" i="57"/>
  <c r="G246" i="57"/>
  <c r="D246" i="55"/>
  <c r="L245" i="55"/>
  <c r="G246" i="55"/>
  <c r="E287" i="57"/>
  <c r="N224" i="47"/>
  <c r="J224" i="47"/>
  <c r="I250" i="51"/>
  <c r="G247" i="56"/>
  <c r="G252" i="53"/>
  <c r="O246" i="56" l="1"/>
  <c r="B246" i="56"/>
  <c r="L248" i="51"/>
  <c r="D249" i="51"/>
  <c r="B251" i="53"/>
  <c r="O251" i="53"/>
  <c r="E248" i="42"/>
  <c r="N248" i="42"/>
  <c r="E246" i="55"/>
  <c r="N246" i="55"/>
  <c r="I248" i="56"/>
  <c r="I249" i="42"/>
  <c r="O224" i="47"/>
  <c r="G224" i="47"/>
  <c r="I253" i="53"/>
  <c r="I247" i="55"/>
  <c r="B287" i="57"/>
  <c r="E264" i="47"/>
  <c r="S153" i="47"/>
  <c r="AC153" i="47" s="1"/>
  <c r="L246" i="57"/>
  <c r="I247" i="57"/>
  <c r="J250" i="51"/>
  <c r="D247" i="56" l="1"/>
  <c r="L246" i="56"/>
  <c r="N249" i="51"/>
  <c r="E249" i="51"/>
  <c r="D252" i="53"/>
  <c r="L251" i="53"/>
  <c r="B248" i="42"/>
  <c r="O248" i="42"/>
  <c r="D288" i="57"/>
  <c r="J248" i="56"/>
  <c r="N247" i="57"/>
  <c r="J247" i="57"/>
  <c r="J253" i="53"/>
  <c r="L224" i="47"/>
  <c r="I225" i="47"/>
  <c r="J249" i="42"/>
  <c r="G250" i="51"/>
  <c r="T153" i="47"/>
  <c r="AD153" i="47" s="1"/>
  <c r="B264" i="47"/>
  <c r="J247" i="55"/>
  <c r="O246" i="55"/>
  <c r="B246" i="55"/>
  <c r="N247" i="56" l="1"/>
  <c r="E247" i="56"/>
  <c r="B249" i="51"/>
  <c r="O249" i="51"/>
  <c r="E252" i="53"/>
  <c r="N252" i="53"/>
  <c r="D249" i="42"/>
  <c r="L248" i="42"/>
  <c r="D247" i="55"/>
  <c r="L246" i="55"/>
  <c r="O247" i="57"/>
  <c r="G247" i="57"/>
  <c r="G249" i="42"/>
  <c r="G248" i="56"/>
  <c r="E288" i="57"/>
  <c r="G247" i="55"/>
  <c r="Q153" i="47"/>
  <c r="D265" i="47"/>
  <c r="N225" i="47"/>
  <c r="J225" i="47"/>
  <c r="I251" i="51"/>
  <c r="G253" i="53"/>
  <c r="B247" i="56" l="1"/>
  <c r="O247" i="56"/>
  <c r="D250" i="51"/>
  <c r="L249" i="51"/>
  <c r="B252" i="53"/>
  <c r="O252" i="53"/>
  <c r="E249" i="42"/>
  <c r="N249" i="42"/>
  <c r="O225" i="47"/>
  <c r="G225" i="47"/>
  <c r="I248" i="55"/>
  <c r="L247" i="57"/>
  <c r="I248" i="57"/>
  <c r="I250" i="42"/>
  <c r="B288" i="57"/>
  <c r="E265" i="47"/>
  <c r="J251" i="51"/>
  <c r="I254" i="53"/>
  <c r="I249" i="56"/>
  <c r="E247" i="55"/>
  <c r="N247" i="55"/>
  <c r="D248" i="56" l="1"/>
  <c r="L247" i="56"/>
  <c r="N250" i="51"/>
  <c r="E250" i="51"/>
  <c r="D253" i="53"/>
  <c r="L252" i="53"/>
  <c r="B249" i="42"/>
  <c r="O249" i="42"/>
  <c r="J249" i="56"/>
  <c r="J248" i="55"/>
  <c r="J254" i="53"/>
  <c r="B265" i="47"/>
  <c r="J250" i="42"/>
  <c r="N248" i="57"/>
  <c r="J248" i="57"/>
  <c r="G251" i="51"/>
  <c r="L225" i="47"/>
  <c r="I226" i="47"/>
  <c r="B247" i="55"/>
  <c r="O247" i="55"/>
  <c r="D289" i="57"/>
  <c r="N248" i="56" l="1"/>
  <c r="E248" i="56"/>
  <c r="B250" i="51"/>
  <c r="O250" i="51"/>
  <c r="E253" i="53"/>
  <c r="N253" i="53"/>
  <c r="D250" i="42"/>
  <c r="L249" i="42"/>
  <c r="G250" i="42"/>
  <c r="I252" i="51"/>
  <c r="D266" i="47"/>
  <c r="D248" i="55"/>
  <c r="L247" i="55"/>
  <c r="N226" i="47"/>
  <c r="J226" i="47"/>
  <c r="G248" i="55"/>
  <c r="G249" i="56"/>
  <c r="E289" i="57"/>
  <c r="O248" i="57"/>
  <c r="G248" i="57"/>
  <c r="G254" i="53"/>
  <c r="B248" i="56" l="1"/>
  <c r="O248" i="56"/>
  <c r="D251" i="51"/>
  <c r="L250" i="51"/>
  <c r="B253" i="53"/>
  <c r="O253" i="53"/>
  <c r="E250" i="42"/>
  <c r="N250" i="42"/>
  <c r="O226" i="47"/>
  <c r="G226" i="47"/>
  <c r="I251" i="42"/>
  <c r="I249" i="57"/>
  <c r="L248" i="57"/>
  <c r="B289" i="57"/>
  <c r="I250" i="56"/>
  <c r="E266" i="47"/>
  <c r="I255" i="53"/>
  <c r="I249" i="55"/>
  <c r="J252" i="51"/>
  <c r="X174" i="51"/>
  <c r="E248" i="55"/>
  <c r="N248" i="55"/>
  <c r="D249" i="56" l="1"/>
  <c r="L248" i="56"/>
  <c r="E251" i="51"/>
  <c r="N251" i="51"/>
  <c r="D254" i="53"/>
  <c r="L253" i="53"/>
  <c r="B250" i="42"/>
  <c r="O250" i="42"/>
  <c r="J249" i="55"/>
  <c r="X171" i="55"/>
  <c r="Y174" i="51"/>
  <c r="G252" i="51"/>
  <c r="J251" i="42"/>
  <c r="X173" i="42"/>
  <c r="J255" i="53"/>
  <c r="X177" i="53"/>
  <c r="J250" i="56"/>
  <c r="X172" i="56"/>
  <c r="N249" i="57"/>
  <c r="J249" i="57"/>
  <c r="X171" i="57"/>
  <c r="AC171" i="57" s="1"/>
  <c r="B266" i="47"/>
  <c r="D290" i="57"/>
  <c r="L226" i="47"/>
  <c r="I227" i="47"/>
  <c r="B248" i="55"/>
  <c r="O248" i="55"/>
  <c r="E249" i="56" l="1"/>
  <c r="N249" i="56"/>
  <c r="B251" i="51"/>
  <c r="O251" i="51"/>
  <c r="E254" i="53"/>
  <c r="N254" i="53"/>
  <c r="D251" i="42"/>
  <c r="L250" i="42"/>
  <c r="N227" i="47"/>
  <c r="J227" i="47"/>
  <c r="Y171" i="55"/>
  <c r="G249" i="55"/>
  <c r="Y173" i="42"/>
  <c r="G251" i="42"/>
  <c r="D267" i="47"/>
  <c r="Y177" i="53"/>
  <c r="G255" i="53"/>
  <c r="E290" i="57"/>
  <c r="O249" i="57"/>
  <c r="Y171" i="57"/>
  <c r="AD171" i="57" s="1"/>
  <c r="G249" i="57"/>
  <c r="D249" i="55"/>
  <c r="L248" i="55"/>
  <c r="Y172" i="56"/>
  <c r="G250" i="56"/>
  <c r="V174" i="51"/>
  <c r="I253" i="51"/>
  <c r="O249" i="56" l="1"/>
  <c r="B249" i="56"/>
  <c r="D252" i="51"/>
  <c r="L251" i="51"/>
  <c r="B254" i="53"/>
  <c r="O254" i="53"/>
  <c r="E251" i="42"/>
  <c r="S173" i="42"/>
  <c r="AC173" i="42" s="1"/>
  <c r="N251" i="42"/>
  <c r="I256" i="53"/>
  <c r="V177" i="53"/>
  <c r="O227" i="47"/>
  <c r="G227" i="47"/>
  <c r="E249" i="55"/>
  <c r="S171" i="55"/>
  <c r="AC171" i="55" s="1"/>
  <c r="N249" i="55"/>
  <c r="V172" i="56"/>
  <c r="I251" i="56"/>
  <c r="J253" i="51"/>
  <c r="B290" i="57"/>
  <c r="V173" i="42"/>
  <c r="I252" i="42"/>
  <c r="V171" i="55"/>
  <c r="I250" i="55"/>
  <c r="I250" i="57"/>
  <c r="L249" i="57"/>
  <c r="V171" i="57"/>
  <c r="AA171" i="57" s="1"/>
  <c r="E267" i="47"/>
  <c r="D250" i="56" l="1"/>
  <c r="L249" i="56"/>
  <c r="S174" i="51"/>
  <c r="AC174" i="51" s="1"/>
  <c r="E252" i="51"/>
  <c r="N252" i="51"/>
  <c r="D255" i="53"/>
  <c r="L254" i="53"/>
  <c r="T173" i="42"/>
  <c r="AD173" i="42" s="1"/>
  <c r="B251" i="42"/>
  <c r="O251" i="42"/>
  <c r="J252" i="42"/>
  <c r="J250" i="55"/>
  <c r="T171" i="55"/>
  <c r="AD171" i="55" s="1"/>
  <c r="B249" i="55"/>
  <c r="O249" i="55"/>
  <c r="J256" i="53"/>
  <c r="L227" i="47"/>
  <c r="I228" i="47"/>
  <c r="G253" i="51"/>
  <c r="B267" i="47"/>
  <c r="N250" i="57"/>
  <c r="J250" i="57"/>
  <c r="D291" i="57"/>
  <c r="E291" i="57" s="1"/>
  <c r="B291" i="57" s="1"/>
  <c r="J251" i="56"/>
  <c r="N250" i="56" l="1"/>
  <c r="S172" i="56"/>
  <c r="AC172" i="56" s="1"/>
  <c r="E250" i="56"/>
  <c r="B252" i="51"/>
  <c r="O252" i="51"/>
  <c r="T174" i="51"/>
  <c r="AD174" i="51" s="1"/>
  <c r="E255" i="53"/>
  <c r="S177" i="53"/>
  <c r="AC177" i="53" s="1"/>
  <c r="N255" i="53"/>
  <c r="D252" i="42"/>
  <c r="Q173" i="42"/>
  <c r="AA173" i="42" s="1"/>
  <c r="L251" i="42"/>
  <c r="D292" i="57"/>
  <c r="E292" i="57" s="1"/>
  <c r="B292" i="57" s="1"/>
  <c r="D268" i="47"/>
  <c r="I254" i="51"/>
  <c r="O250" i="57"/>
  <c r="G250" i="57"/>
  <c r="G252" i="42"/>
  <c r="G250" i="55"/>
  <c r="G256" i="53"/>
  <c r="D250" i="55"/>
  <c r="Q171" i="55"/>
  <c r="AA171" i="55" s="1"/>
  <c r="L249" i="55"/>
  <c r="G251" i="56"/>
  <c r="N228" i="47"/>
  <c r="J228" i="47"/>
  <c r="O250" i="56" l="1"/>
  <c r="B250" i="56"/>
  <c r="T172" i="56"/>
  <c r="AD172" i="56" s="1"/>
  <c r="Q174" i="51"/>
  <c r="AA174" i="51" s="1"/>
  <c r="L252" i="51"/>
  <c r="D253" i="51"/>
  <c r="T177" i="53"/>
  <c r="AD177" i="53" s="1"/>
  <c r="O255" i="53"/>
  <c r="B255" i="53"/>
  <c r="E252" i="42"/>
  <c r="N252" i="42"/>
  <c r="D293" i="57"/>
  <c r="E293" i="57" s="1"/>
  <c r="B293" i="57" s="1"/>
  <c r="I257" i="53"/>
  <c r="E268" i="47"/>
  <c r="L250" i="57"/>
  <c r="I251" i="57"/>
  <c r="I253" i="42"/>
  <c r="J254" i="51"/>
  <c r="O228" i="47"/>
  <c r="G228" i="47"/>
  <c r="I252" i="56"/>
  <c r="I251" i="55"/>
  <c r="E250" i="55"/>
  <c r="N250" i="55"/>
  <c r="D251" i="56" l="1"/>
  <c r="Q172" i="56"/>
  <c r="AA172" i="56" s="1"/>
  <c r="L250" i="56"/>
  <c r="N253" i="51"/>
  <c r="E253" i="51"/>
  <c r="Q177" i="53"/>
  <c r="AA177" i="53" s="1"/>
  <c r="D256" i="53"/>
  <c r="L255" i="53"/>
  <c r="B252" i="42"/>
  <c r="O252" i="42"/>
  <c r="D294" i="57"/>
  <c r="E294" i="57" s="1"/>
  <c r="B294" i="57" s="1"/>
  <c r="J257" i="53"/>
  <c r="J253" i="42"/>
  <c r="N251" i="57"/>
  <c r="J251" i="57"/>
  <c r="J251" i="55"/>
  <c r="B268" i="47"/>
  <c r="J252" i="56"/>
  <c r="O250" i="55"/>
  <c r="B250" i="55"/>
  <c r="V150" i="47"/>
  <c r="AA150" i="47" s="1"/>
  <c r="L228" i="47"/>
  <c r="I229" i="47"/>
  <c r="G254" i="51"/>
  <c r="E251" i="56" l="1"/>
  <c r="N251" i="56"/>
  <c r="B253" i="51"/>
  <c r="O253" i="51"/>
  <c r="E256" i="53"/>
  <c r="N256" i="53"/>
  <c r="D253" i="42"/>
  <c r="L252" i="42"/>
  <c r="D295" i="57"/>
  <c r="E295" i="57" s="1"/>
  <c r="B295" i="57" s="1"/>
  <c r="G252" i="56"/>
  <c r="O251" i="57"/>
  <c r="G251" i="57"/>
  <c r="D269" i="47"/>
  <c r="G253" i="42"/>
  <c r="G251" i="55"/>
  <c r="I255" i="51"/>
  <c r="N229" i="47"/>
  <c r="J229" i="47"/>
  <c r="G257" i="53"/>
  <c r="D251" i="55"/>
  <c r="L250" i="55"/>
  <c r="O251" i="56" l="1"/>
  <c r="B251" i="56"/>
  <c r="D254" i="51"/>
  <c r="L253" i="51"/>
  <c r="O256" i="53"/>
  <c r="B256" i="53"/>
  <c r="E253" i="42"/>
  <c r="N253" i="42"/>
  <c r="D296" i="57"/>
  <c r="E296" i="57" s="1"/>
  <c r="B296" i="57" s="1"/>
  <c r="I252" i="55"/>
  <c r="I258" i="53"/>
  <c r="I253" i="56"/>
  <c r="O229" i="47"/>
  <c r="G229" i="47"/>
  <c r="I254" i="42"/>
  <c r="E251" i="55"/>
  <c r="N251" i="55"/>
  <c r="J255" i="51"/>
  <c r="L251" i="57"/>
  <c r="I252" i="57"/>
  <c r="E269" i="47"/>
  <c r="D252" i="56" l="1"/>
  <c r="L251" i="56"/>
  <c r="E254" i="51"/>
  <c r="N254" i="51"/>
  <c r="D257" i="53"/>
  <c r="L256" i="53"/>
  <c r="B253" i="42"/>
  <c r="O253" i="42"/>
  <c r="D297" i="57"/>
  <c r="J252" i="55"/>
  <c r="J253" i="56"/>
  <c r="N252" i="57"/>
  <c r="J252" i="57"/>
  <c r="B251" i="55"/>
  <c r="O251" i="55"/>
  <c r="J258" i="53"/>
  <c r="G255" i="51"/>
  <c r="L229" i="47"/>
  <c r="I230" i="47"/>
  <c r="B269" i="47"/>
  <c r="J254" i="42"/>
  <c r="N252" i="56" l="1"/>
  <c r="E252" i="56"/>
  <c r="O254" i="51"/>
  <c r="B254" i="51"/>
  <c r="E257" i="53"/>
  <c r="N257" i="53"/>
  <c r="D254" i="42"/>
  <c r="L253" i="42"/>
  <c r="N230" i="47"/>
  <c r="J230" i="47"/>
  <c r="I256" i="51"/>
  <c r="G253" i="56"/>
  <c r="E297" i="57"/>
  <c r="S175" i="57"/>
  <c r="O252" i="57"/>
  <c r="G252" i="57"/>
  <c r="D270" i="47"/>
  <c r="E270" i="47" s="1"/>
  <c r="B270" i="47" s="1"/>
  <c r="G252" i="55"/>
  <c r="D252" i="55"/>
  <c r="L251" i="55"/>
  <c r="G254" i="42"/>
  <c r="G258" i="53"/>
  <c r="O252" i="56" l="1"/>
  <c r="B252" i="56"/>
  <c r="D255" i="51"/>
  <c r="L254" i="51"/>
  <c r="O257" i="53"/>
  <c r="B257" i="53"/>
  <c r="E254" i="42"/>
  <c r="N254" i="42"/>
  <c r="D271" i="47"/>
  <c r="E271" i="47" s="1"/>
  <c r="B271" i="47" s="1"/>
  <c r="I253" i="57"/>
  <c r="L252" i="57"/>
  <c r="J256" i="51"/>
  <c r="I259" i="53"/>
  <c r="T175" i="57"/>
  <c r="B297" i="57"/>
  <c r="E252" i="55"/>
  <c r="N252" i="55"/>
  <c r="I254" i="56"/>
  <c r="O230" i="47"/>
  <c r="G230" i="47"/>
  <c r="I253" i="55"/>
  <c r="I255" i="42"/>
  <c r="D253" i="56" l="1"/>
  <c r="L252" i="56"/>
  <c r="N255" i="51"/>
  <c r="E255" i="51"/>
  <c r="D258" i="53"/>
  <c r="L257" i="53"/>
  <c r="O254" i="42"/>
  <c r="B254" i="42"/>
  <c r="D272" i="47"/>
  <c r="E272" i="47" s="1"/>
  <c r="B272" i="47" s="1"/>
  <c r="J254" i="56"/>
  <c r="J253" i="55"/>
  <c r="L230" i="47"/>
  <c r="I231" i="47"/>
  <c r="G256" i="51"/>
  <c r="N253" i="57"/>
  <c r="J253" i="57"/>
  <c r="J259" i="53"/>
  <c r="O252" i="55"/>
  <c r="B252" i="55"/>
  <c r="J255" i="42"/>
  <c r="Q175" i="57"/>
  <c r="D298" i="57"/>
  <c r="E253" i="56" l="1"/>
  <c r="N253" i="56"/>
  <c r="O255" i="51"/>
  <c r="B255" i="51"/>
  <c r="E258" i="53"/>
  <c r="N258" i="53"/>
  <c r="D255" i="42"/>
  <c r="L254" i="42"/>
  <c r="D273" i="47"/>
  <c r="E273" i="47" s="1"/>
  <c r="B273" i="47" s="1"/>
  <c r="G255" i="42"/>
  <c r="G259" i="53"/>
  <c r="G254" i="56"/>
  <c r="G253" i="55"/>
  <c r="I257" i="51"/>
  <c r="O253" i="57"/>
  <c r="G253" i="57"/>
  <c r="N231" i="47"/>
  <c r="J231" i="47"/>
  <c r="D253" i="55"/>
  <c r="L252" i="55"/>
  <c r="E298" i="57"/>
  <c r="B253" i="56" l="1"/>
  <c r="O253" i="56"/>
  <c r="D256" i="51"/>
  <c r="L255" i="51"/>
  <c r="O258" i="53"/>
  <c r="B258" i="53"/>
  <c r="E255" i="42"/>
  <c r="N255" i="42"/>
  <c r="D274" i="47"/>
  <c r="E274" i="47" s="1"/>
  <c r="B274" i="47" s="1"/>
  <c r="J257" i="51"/>
  <c r="I260" i="53"/>
  <c r="L253" i="57"/>
  <c r="I254" i="57"/>
  <c r="B298" i="57"/>
  <c r="I254" i="55"/>
  <c r="E253" i="55"/>
  <c r="N253" i="55"/>
  <c r="O231" i="47"/>
  <c r="G231" i="47"/>
  <c r="I255" i="56"/>
  <c r="I256" i="42"/>
  <c r="L253" i="56" l="1"/>
  <c r="D254" i="56"/>
  <c r="E256" i="51"/>
  <c r="N256" i="51"/>
  <c r="D259" i="53"/>
  <c r="L258" i="53"/>
  <c r="B255" i="42"/>
  <c r="O255" i="42"/>
  <c r="D275" i="47"/>
  <c r="E275" i="47" s="1"/>
  <c r="B275" i="47" s="1"/>
  <c r="D299" i="57"/>
  <c r="N254" i="57"/>
  <c r="J254" i="57"/>
  <c r="J255" i="56"/>
  <c r="O253" i="55"/>
  <c r="B253" i="55"/>
  <c r="L231" i="47"/>
  <c r="I232" i="47"/>
  <c r="J260" i="53"/>
  <c r="J256" i="42"/>
  <c r="G257" i="51"/>
  <c r="J254" i="55"/>
  <c r="E254" i="56" l="1"/>
  <c r="N254" i="56"/>
  <c r="B256" i="51"/>
  <c r="O256" i="51"/>
  <c r="E259" i="53"/>
  <c r="N259" i="53"/>
  <c r="D256" i="42"/>
  <c r="L255" i="42"/>
  <c r="D276" i="47"/>
  <c r="G255" i="56"/>
  <c r="G260" i="53"/>
  <c r="I258" i="51"/>
  <c r="O254" i="57"/>
  <c r="G254" i="57"/>
  <c r="G256" i="42"/>
  <c r="N232" i="47"/>
  <c r="J232" i="47"/>
  <c r="E299" i="57"/>
  <c r="D254" i="55"/>
  <c r="L253" i="55"/>
  <c r="G254" i="55"/>
  <c r="B254" i="56" l="1"/>
  <c r="O254" i="56"/>
  <c r="D257" i="51"/>
  <c r="L256" i="51"/>
  <c r="O259" i="53"/>
  <c r="B259" i="53"/>
  <c r="E256" i="42"/>
  <c r="N256" i="42"/>
  <c r="I257" i="42"/>
  <c r="E254" i="55"/>
  <c r="N254" i="55"/>
  <c r="J258" i="51"/>
  <c r="I256" i="56"/>
  <c r="B299" i="57"/>
  <c r="L254" i="57"/>
  <c r="I255" i="57"/>
  <c r="I261" i="53"/>
  <c r="I255" i="55"/>
  <c r="E276" i="47"/>
  <c r="S154" i="47"/>
  <c r="O232" i="47"/>
  <c r="G232" i="47"/>
  <c r="D255" i="56" l="1"/>
  <c r="L254" i="56"/>
  <c r="E257" i="51"/>
  <c r="N257" i="51"/>
  <c r="D260" i="53"/>
  <c r="L259" i="53"/>
  <c r="B256" i="42"/>
  <c r="O256" i="42"/>
  <c r="O254" i="55"/>
  <c r="B254" i="55"/>
  <c r="J256" i="56"/>
  <c r="D300" i="57"/>
  <c r="T154" i="47"/>
  <c r="B276" i="47"/>
  <c r="N255" i="57"/>
  <c r="J255" i="57"/>
  <c r="G258" i="51"/>
  <c r="J257" i="42"/>
  <c r="J261" i="53"/>
  <c r="J255" i="55"/>
  <c r="L232" i="47"/>
  <c r="I233" i="47"/>
  <c r="E255" i="56" l="1"/>
  <c r="N255" i="56"/>
  <c r="O257" i="51"/>
  <c r="B257" i="51"/>
  <c r="E260" i="53"/>
  <c r="N260" i="53"/>
  <c r="D257" i="42"/>
  <c r="L256" i="42"/>
  <c r="E300" i="57"/>
  <c r="Q154" i="47"/>
  <c r="D277" i="47"/>
  <c r="G257" i="42"/>
  <c r="G255" i="55"/>
  <c r="I259" i="51"/>
  <c r="N233" i="47"/>
  <c r="J233" i="47"/>
  <c r="D255" i="55"/>
  <c r="L254" i="55"/>
  <c r="O255" i="57"/>
  <c r="G255" i="57"/>
  <c r="G256" i="56"/>
  <c r="G261" i="53"/>
  <c r="O255" i="56" l="1"/>
  <c r="B255" i="56"/>
  <c r="L257" i="51"/>
  <c r="D258" i="51"/>
  <c r="O260" i="53"/>
  <c r="B260" i="53"/>
  <c r="E257" i="42"/>
  <c r="N257" i="42"/>
  <c r="J259" i="51"/>
  <c r="E277" i="47"/>
  <c r="I256" i="55"/>
  <c r="L255" i="57"/>
  <c r="I256" i="57"/>
  <c r="I257" i="56"/>
  <c r="E255" i="55"/>
  <c r="N255" i="55"/>
  <c r="O233" i="47"/>
  <c r="G233" i="47"/>
  <c r="I262" i="53"/>
  <c r="I258" i="42"/>
  <c r="B300" i="57"/>
  <c r="D256" i="56" l="1"/>
  <c r="L255" i="56"/>
  <c r="E258" i="51"/>
  <c r="N258" i="51"/>
  <c r="D261" i="53"/>
  <c r="L260" i="53"/>
  <c r="B257" i="42"/>
  <c r="O257" i="42"/>
  <c r="O255" i="55"/>
  <c r="B255" i="55"/>
  <c r="G259" i="51"/>
  <c r="B277" i="47"/>
  <c r="J257" i="56"/>
  <c r="J258" i="42"/>
  <c r="J262" i="53"/>
  <c r="J256" i="55"/>
  <c r="L233" i="47"/>
  <c r="I234" i="47"/>
  <c r="D301" i="57"/>
  <c r="N256" i="57"/>
  <c r="J256" i="57"/>
  <c r="E256" i="56" l="1"/>
  <c r="N256" i="56"/>
  <c r="B258" i="51"/>
  <c r="O258" i="51"/>
  <c r="E261" i="53"/>
  <c r="N261" i="53"/>
  <c r="D258" i="42"/>
  <c r="L257" i="42"/>
  <c r="I260" i="51"/>
  <c r="D256" i="55"/>
  <c r="L255" i="55"/>
  <c r="O256" i="57"/>
  <c r="G256" i="57"/>
  <c r="G258" i="42"/>
  <c r="G257" i="56"/>
  <c r="G262" i="53"/>
  <c r="D278" i="47"/>
  <c r="N234" i="47"/>
  <c r="J234" i="47"/>
  <c r="G256" i="55"/>
  <c r="E301" i="57"/>
  <c r="B256" i="56" l="1"/>
  <c r="O256" i="56"/>
  <c r="D259" i="51"/>
  <c r="L258" i="51"/>
  <c r="B261" i="53"/>
  <c r="O261" i="53"/>
  <c r="E258" i="42"/>
  <c r="N258" i="42"/>
  <c r="I257" i="55"/>
  <c r="I263" i="53"/>
  <c r="E256" i="55"/>
  <c r="N256" i="55"/>
  <c r="O234" i="47"/>
  <c r="G234" i="47"/>
  <c r="I258" i="56"/>
  <c r="L256" i="57"/>
  <c r="I257" i="57"/>
  <c r="E278" i="47"/>
  <c r="B301" i="57"/>
  <c r="I259" i="42"/>
  <c r="J260" i="51"/>
  <c r="D257" i="56" l="1"/>
  <c r="L256" i="56"/>
  <c r="E259" i="51"/>
  <c r="N259" i="51"/>
  <c r="D262" i="53"/>
  <c r="L261" i="53"/>
  <c r="B258" i="42"/>
  <c r="O258" i="42"/>
  <c r="L234" i="47"/>
  <c r="I235" i="47"/>
  <c r="J259" i="42"/>
  <c r="J257" i="55"/>
  <c r="D302" i="57"/>
  <c r="J258" i="56"/>
  <c r="O256" i="55"/>
  <c r="B256" i="55"/>
  <c r="N257" i="57"/>
  <c r="J257" i="57"/>
  <c r="G260" i="51"/>
  <c r="B278" i="47"/>
  <c r="J263" i="53"/>
  <c r="E257" i="56" l="1"/>
  <c r="N257" i="56"/>
  <c r="O259" i="51"/>
  <c r="B259" i="51"/>
  <c r="E262" i="53"/>
  <c r="N262" i="53"/>
  <c r="D259" i="42"/>
  <c r="L258" i="42"/>
  <c r="D257" i="55"/>
  <c r="L256" i="55"/>
  <c r="G259" i="42"/>
  <c r="G258" i="56"/>
  <c r="N235" i="47"/>
  <c r="J235" i="47"/>
  <c r="E302" i="57"/>
  <c r="G263" i="53"/>
  <c r="D279" i="47"/>
  <c r="G257" i="55"/>
  <c r="I261" i="51"/>
  <c r="O257" i="57"/>
  <c r="G257" i="57"/>
  <c r="B257" i="56" l="1"/>
  <c r="O257" i="56"/>
  <c r="L259" i="51"/>
  <c r="D260" i="51"/>
  <c r="B262" i="53"/>
  <c r="O262" i="53"/>
  <c r="E259" i="42"/>
  <c r="N259" i="42"/>
  <c r="E279" i="47"/>
  <c r="I259" i="56"/>
  <c r="O235" i="47"/>
  <c r="G235" i="47"/>
  <c r="I264" i="53"/>
  <c r="I258" i="57"/>
  <c r="L257" i="57"/>
  <c r="J261" i="51"/>
  <c r="B302" i="57"/>
  <c r="I260" i="42"/>
  <c r="E257" i="55"/>
  <c r="N257" i="55"/>
  <c r="I258" i="55"/>
  <c r="D258" i="56" l="1"/>
  <c r="L257" i="56"/>
  <c r="E260" i="51"/>
  <c r="N260" i="51"/>
  <c r="D263" i="53"/>
  <c r="L262" i="53"/>
  <c r="B259" i="42"/>
  <c r="O259" i="42"/>
  <c r="N258" i="57"/>
  <c r="J258" i="57"/>
  <c r="J259" i="56"/>
  <c r="G261" i="51"/>
  <c r="J264" i="53"/>
  <c r="B279" i="47"/>
  <c r="D303" i="57"/>
  <c r="E303" i="57" s="1"/>
  <c r="B303" i="57" s="1"/>
  <c r="B257" i="55"/>
  <c r="O257" i="55"/>
  <c r="J258" i="55"/>
  <c r="J260" i="42"/>
  <c r="L235" i="47"/>
  <c r="I236" i="47"/>
  <c r="E258" i="56" l="1"/>
  <c r="N258" i="56"/>
  <c r="O260" i="51"/>
  <c r="B260" i="51"/>
  <c r="E263" i="53"/>
  <c r="N263" i="53"/>
  <c r="D260" i="42"/>
  <c r="L259" i="42"/>
  <c r="D304" i="57"/>
  <c r="E304" i="57" s="1"/>
  <c r="B304" i="57" s="1"/>
  <c r="D280" i="47"/>
  <c r="G258" i="55"/>
  <c r="N236" i="47"/>
  <c r="J236" i="47"/>
  <c r="O258" i="57"/>
  <c r="G258" i="57"/>
  <c r="G260" i="42"/>
  <c r="G264" i="53"/>
  <c r="I262" i="51"/>
  <c r="G259" i="56"/>
  <c r="D258" i="55"/>
  <c r="L257" i="55"/>
  <c r="O258" i="56" l="1"/>
  <c r="B258" i="56"/>
  <c r="D261" i="51"/>
  <c r="L260" i="51"/>
  <c r="B263" i="53"/>
  <c r="O263" i="53"/>
  <c r="E260" i="42"/>
  <c r="N260" i="42"/>
  <c r="D305" i="57"/>
  <c r="E305" i="57" s="1"/>
  <c r="B305" i="57" s="1"/>
  <c r="J262" i="51"/>
  <c r="I265" i="53"/>
  <c r="L258" i="57"/>
  <c r="I259" i="57"/>
  <c r="O236" i="47"/>
  <c r="G236" i="47"/>
  <c r="I259" i="55"/>
  <c r="E280" i="47"/>
  <c r="E258" i="55"/>
  <c r="N258" i="55"/>
  <c r="I260" i="56"/>
  <c r="I261" i="42"/>
  <c r="D259" i="56" l="1"/>
  <c r="L258" i="56"/>
  <c r="N261" i="51"/>
  <c r="E261" i="51"/>
  <c r="D264" i="53"/>
  <c r="L263" i="53"/>
  <c r="B260" i="42"/>
  <c r="O260" i="42"/>
  <c r="D306" i="57"/>
  <c r="E306" i="57" s="1"/>
  <c r="B306" i="57" s="1"/>
  <c r="B258" i="55"/>
  <c r="O258" i="55"/>
  <c r="J261" i="42"/>
  <c r="J265" i="53"/>
  <c r="G262" i="51"/>
  <c r="J259" i="55"/>
  <c r="J260" i="56"/>
  <c r="L236" i="47"/>
  <c r="I237" i="47"/>
  <c r="N259" i="57"/>
  <c r="J259" i="57"/>
  <c r="B280" i="47"/>
  <c r="E259" i="56" l="1"/>
  <c r="N259" i="56"/>
  <c r="B261" i="51"/>
  <c r="O261" i="51"/>
  <c r="E264" i="53"/>
  <c r="N264" i="53"/>
  <c r="D261" i="42"/>
  <c r="L260" i="42"/>
  <c r="D307" i="57"/>
  <c r="E307" i="57" s="1"/>
  <c r="B307" i="57" s="1"/>
  <c r="D281" i="47"/>
  <c r="D259" i="55"/>
  <c r="L258" i="55"/>
  <c r="G259" i="55"/>
  <c r="G261" i="42"/>
  <c r="I263" i="51"/>
  <c r="G260" i="56"/>
  <c r="O259" i="57"/>
  <c r="G259" i="57"/>
  <c r="N237" i="47"/>
  <c r="J237" i="47"/>
  <c r="G265" i="53"/>
  <c r="B259" i="56" l="1"/>
  <c r="O259" i="56"/>
  <c r="D262" i="51"/>
  <c r="L261" i="51"/>
  <c r="B264" i="53"/>
  <c r="O264" i="53"/>
  <c r="E261" i="42"/>
  <c r="N261" i="42"/>
  <c r="D308" i="57"/>
  <c r="E308" i="57" s="1"/>
  <c r="B308" i="57" s="1"/>
  <c r="J263" i="51"/>
  <c r="I261" i="56"/>
  <c r="E281" i="47"/>
  <c r="I260" i="55"/>
  <c r="I266" i="53"/>
  <c r="O237" i="47"/>
  <c r="G237" i="47"/>
  <c r="E259" i="55"/>
  <c r="N259" i="55"/>
  <c r="L259" i="57"/>
  <c r="I260" i="57"/>
  <c r="I262" i="42"/>
  <c r="D260" i="56" l="1"/>
  <c r="L259" i="56"/>
  <c r="N262" i="51"/>
  <c r="E262" i="51"/>
  <c r="D265" i="53"/>
  <c r="L264" i="53"/>
  <c r="B261" i="42"/>
  <c r="O261" i="42"/>
  <c r="J260" i="55"/>
  <c r="N260" i="57"/>
  <c r="J260" i="57"/>
  <c r="B281" i="47"/>
  <c r="D309" i="57"/>
  <c r="J262" i="42"/>
  <c r="G263" i="51"/>
  <c r="L237" i="47"/>
  <c r="I238" i="47"/>
  <c r="J266" i="53"/>
  <c r="B259" i="55"/>
  <c r="O259" i="55"/>
  <c r="J261" i="56"/>
  <c r="E260" i="56" l="1"/>
  <c r="N260" i="56"/>
  <c r="B262" i="51"/>
  <c r="O262" i="51"/>
  <c r="E265" i="53"/>
  <c r="N265" i="53"/>
  <c r="D262" i="42"/>
  <c r="L261" i="42"/>
  <c r="G266" i="53"/>
  <c r="G261" i="56"/>
  <c r="N238" i="47"/>
  <c r="J238" i="47"/>
  <c r="D260" i="55"/>
  <c r="L259" i="55"/>
  <c r="E309" i="57"/>
  <c r="S176" i="57"/>
  <c r="D282" i="47"/>
  <c r="E282" i="47" s="1"/>
  <c r="B282" i="47" s="1"/>
  <c r="I264" i="51"/>
  <c r="O260" i="57"/>
  <c r="G260" i="57"/>
  <c r="G262" i="42"/>
  <c r="G260" i="55"/>
  <c r="B260" i="56" l="1"/>
  <c r="O260" i="56"/>
  <c r="L262" i="51"/>
  <c r="D263" i="51"/>
  <c r="B265" i="53"/>
  <c r="O265" i="53"/>
  <c r="E262" i="42"/>
  <c r="N262" i="42"/>
  <c r="D283" i="47"/>
  <c r="E283" i="47" s="1"/>
  <c r="B283" i="47" s="1"/>
  <c r="I261" i="57"/>
  <c r="L260" i="57"/>
  <c r="I262" i="56"/>
  <c r="I267" i="53"/>
  <c r="O238" i="47"/>
  <c r="G238" i="47"/>
  <c r="T176" i="57"/>
  <c r="B309" i="57"/>
  <c r="I261" i="55"/>
  <c r="I263" i="42"/>
  <c r="E260" i="55"/>
  <c r="N260" i="55"/>
  <c r="J264" i="51"/>
  <c r="X175" i="51"/>
  <c r="D261" i="56" l="1"/>
  <c r="L260" i="56"/>
  <c r="N263" i="51"/>
  <c r="E263" i="51"/>
  <c r="D266" i="53"/>
  <c r="L265" i="53"/>
  <c r="B262" i="42"/>
  <c r="O262" i="42"/>
  <c r="D284" i="47"/>
  <c r="E284" i="47" s="1"/>
  <c r="B284" i="47" s="1"/>
  <c r="L238" i="47"/>
  <c r="I239" i="47"/>
  <c r="J267" i="53"/>
  <c r="X178" i="53"/>
  <c r="N261" i="57"/>
  <c r="J261" i="57"/>
  <c r="X172" i="57"/>
  <c r="AC172" i="57" s="1"/>
  <c r="Y175" i="51"/>
  <c r="G264" i="51"/>
  <c r="J261" i="55"/>
  <c r="X172" i="55"/>
  <c r="B260" i="55"/>
  <c r="O260" i="55"/>
  <c r="J263" i="42"/>
  <c r="X174" i="42"/>
  <c r="Q176" i="57"/>
  <c r="D310" i="57"/>
  <c r="J262" i="56"/>
  <c r="X173" i="56"/>
  <c r="N261" i="56" l="1"/>
  <c r="E261" i="56"/>
  <c r="B263" i="51"/>
  <c r="O263" i="51"/>
  <c r="E266" i="53"/>
  <c r="N266" i="53"/>
  <c r="D263" i="42"/>
  <c r="L262" i="42"/>
  <c r="D285" i="47"/>
  <c r="E285" i="47" s="1"/>
  <c r="B285" i="47" s="1"/>
  <c r="N239" i="47"/>
  <c r="J239" i="47"/>
  <c r="Y173" i="56"/>
  <c r="G262" i="56"/>
  <c r="D261" i="55"/>
  <c r="L260" i="55"/>
  <c r="O261" i="57"/>
  <c r="Y172" i="57"/>
  <c r="AD172" i="57" s="1"/>
  <c r="G261" i="57"/>
  <c r="V175" i="51"/>
  <c r="I265" i="51"/>
  <c r="Y174" i="42"/>
  <c r="G263" i="42"/>
  <c r="Y178" i="53"/>
  <c r="G267" i="53"/>
  <c r="E310" i="57"/>
  <c r="Y172" i="55"/>
  <c r="G261" i="55"/>
  <c r="O261" i="56" l="1"/>
  <c r="B261" i="56"/>
  <c r="D264" i="51"/>
  <c r="L263" i="51"/>
  <c r="B266" i="53"/>
  <c r="O266" i="53"/>
  <c r="E263" i="42"/>
  <c r="S174" i="42"/>
  <c r="AC174" i="42" s="1"/>
  <c r="N263" i="42"/>
  <c r="D286" i="47"/>
  <c r="E286" i="47" s="1"/>
  <c r="B286" i="47" s="1"/>
  <c r="O239" i="47"/>
  <c r="G239" i="47"/>
  <c r="I262" i="57"/>
  <c r="V172" i="57"/>
  <c r="AA172" i="57" s="1"/>
  <c r="L261" i="57"/>
  <c r="E261" i="55"/>
  <c r="S172" i="55"/>
  <c r="AC172" i="55" s="1"/>
  <c r="N261" i="55"/>
  <c r="B310" i="57"/>
  <c r="V174" i="42"/>
  <c r="I264" i="42"/>
  <c r="J265" i="51"/>
  <c r="I263" i="56"/>
  <c r="V173" i="56"/>
  <c r="I268" i="53"/>
  <c r="V178" i="53"/>
  <c r="V172" i="55"/>
  <c r="I262" i="55"/>
  <c r="L261" i="56" l="1"/>
  <c r="D262" i="56"/>
  <c r="E264" i="51"/>
  <c r="S175" i="51"/>
  <c r="AC175" i="51" s="1"/>
  <c r="N264" i="51"/>
  <c r="D267" i="53"/>
  <c r="L266" i="53"/>
  <c r="T174" i="42"/>
  <c r="AD174" i="42" s="1"/>
  <c r="B263" i="42"/>
  <c r="O263" i="42"/>
  <c r="D287" i="47"/>
  <c r="E287" i="47" s="1"/>
  <c r="B287" i="47" s="1"/>
  <c r="N262" i="57"/>
  <c r="J262" i="57"/>
  <c r="T172" i="55"/>
  <c r="AD172" i="55" s="1"/>
  <c r="B261" i="55"/>
  <c r="O261" i="55"/>
  <c r="J268" i="53"/>
  <c r="D311" i="57"/>
  <c r="G265" i="51"/>
  <c r="L239" i="47"/>
  <c r="I240" i="47"/>
  <c r="J264" i="42"/>
  <c r="J263" i="56"/>
  <c r="J262" i="55"/>
  <c r="N262" i="56" l="1"/>
  <c r="E262" i="56"/>
  <c r="S173" i="56"/>
  <c r="AC173" i="56" s="1"/>
  <c r="O264" i="51"/>
  <c r="B264" i="51"/>
  <c r="T175" i="51"/>
  <c r="AD175" i="51" s="1"/>
  <c r="E267" i="53"/>
  <c r="S178" i="53"/>
  <c r="AC178" i="53" s="1"/>
  <c r="N267" i="53"/>
  <c r="Q174" i="42"/>
  <c r="AA174" i="42" s="1"/>
  <c r="D264" i="42"/>
  <c r="L263" i="42"/>
  <c r="D288" i="47"/>
  <c r="G268" i="53"/>
  <c r="O262" i="57"/>
  <c r="G262" i="57"/>
  <c r="G263" i="56"/>
  <c r="Q172" i="55"/>
  <c r="AA172" i="55" s="1"/>
  <c r="D262" i="55"/>
  <c r="L261" i="55"/>
  <c r="G262" i="55"/>
  <c r="I266" i="51"/>
  <c r="E311" i="57"/>
  <c r="G264" i="42"/>
  <c r="N240" i="47"/>
  <c r="J240" i="47"/>
  <c r="O262" i="56" l="1"/>
  <c r="B262" i="56"/>
  <c r="T173" i="56"/>
  <c r="AD173" i="56" s="1"/>
  <c r="D265" i="51"/>
  <c r="Q175" i="51"/>
  <c r="AA175" i="51" s="1"/>
  <c r="L264" i="51"/>
  <c r="T178" i="53"/>
  <c r="AD178" i="53" s="1"/>
  <c r="O267" i="53"/>
  <c r="B267" i="53"/>
  <c r="E264" i="42"/>
  <c r="N264" i="42"/>
  <c r="I263" i="55"/>
  <c r="I269" i="53"/>
  <c r="E262" i="55"/>
  <c r="N262" i="55"/>
  <c r="O240" i="47"/>
  <c r="G240" i="47"/>
  <c r="I264" i="56"/>
  <c r="L262" i="57"/>
  <c r="I263" i="57"/>
  <c r="E288" i="47"/>
  <c r="S155" i="47"/>
  <c r="J266" i="51"/>
  <c r="B311" i="57"/>
  <c r="I265" i="42"/>
  <c r="Q173" i="56" l="1"/>
  <c r="AA173" i="56" s="1"/>
  <c r="D263" i="56"/>
  <c r="L262" i="56"/>
  <c r="E265" i="51"/>
  <c r="N265" i="51"/>
  <c r="D268" i="53"/>
  <c r="Q178" i="53"/>
  <c r="AA178" i="53" s="1"/>
  <c r="L267" i="53"/>
  <c r="B264" i="42"/>
  <c r="O264" i="42"/>
  <c r="D312" i="57"/>
  <c r="G266" i="51"/>
  <c r="J264" i="56"/>
  <c r="J269" i="53"/>
  <c r="N263" i="57"/>
  <c r="J263" i="57"/>
  <c r="V151" i="47"/>
  <c r="AA151" i="47" s="1"/>
  <c r="L240" i="47"/>
  <c r="I241" i="47"/>
  <c r="T155" i="47"/>
  <c r="B288" i="47"/>
  <c r="B262" i="55"/>
  <c r="O262" i="55"/>
  <c r="J263" i="55"/>
  <c r="J265" i="42"/>
  <c r="E263" i="56" l="1"/>
  <c r="N263" i="56"/>
  <c r="B265" i="51"/>
  <c r="O265" i="51"/>
  <c r="E268" i="53"/>
  <c r="N268" i="53"/>
  <c r="D265" i="42"/>
  <c r="L264" i="42"/>
  <c r="O263" i="57"/>
  <c r="G263" i="57"/>
  <c r="I267" i="51"/>
  <c r="G264" i="56"/>
  <c r="Q155" i="47"/>
  <c r="D289" i="47"/>
  <c r="D263" i="55"/>
  <c r="L262" i="55"/>
  <c r="G265" i="42"/>
  <c r="N241" i="47"/>
  <c r="J241" i="47"/>
  <c r="G269" i="53"/>
  <c r="E312" i="57"/>
  <c r="G263" i="55"/>
  <c r="O263" i="56" l="1"/>
  <c r="B263" i="56"/>
  <c r="L265" i="51"/>
  <c r="D266" i="51"/>
  <c r="O268" i="53"/>
  <c r="B268" i="53"/>
  <c r="E265" i="42"/>
  <c r="N265" i="42"/>
  <c r="I265" i="56"/>
  <c r="I264" i="55"/>
  <c r="E263" i="55"/>
  <c r="N263" i="55"/>
  <c r="L263" i="57"/>
  <c r="I264" i="57"/>
  <c r="B312" i="57"/>
  <c r="I270" i="53"/>
  <c r="O241" i="47"/>
  <c r="G241" i="47"/>
  <c r="I266" i="42"/>
  <c r="J267" i="51"/>
  <c r="E289" i="47"/>
  <c r="L263" i="56" l="1"/>
  <c r="D264" i="56"/>
  <c r="E266" i="51"/>
  <c r="N266" i="51"/>
  <c r="D269" i="53"/>
  <c r="L268" i="53"/>
  <c r="B265" i="42"/>
  <c r="O265" i="42"/>
  <c r="L241" i="47"/>
  <c r="I242" i="47"/>
  <c r="J265" i="56"/>
  <c r="N264" i="57"/>
  <c r="J264" i="57"/>
  <c r="J264" i="55"/>
  <c r="J266" i="42"/>
  <c r="B289" i="47"/>
  <c r="G267" i="51"/>
  <c r="D313" i="57"/>
  <c r="B263" i="55"/>
  <c r="O263" i="55"/>
  <c r="J270" i="53"/>
  <c r="E264" i="56" l="1"/>
  <c r="N264" i="56"/>
  <c r="B266" i="51"/>
  <c r="O266" i="51"/>
  <c r="E269" i="53"/>
  <c r="N269" i="53"/>
  <c r="D266" i="42"/>
  <c r="L265" i="42"/>
  <c r="G270" i="53"/>
  <c r="E313" i="57"/>
  <c r="N242" i="47"/>
  <c r="J242" i="47"/>
  <c r="G266" i="42"/>
  <c r="G264" i="55"/>
  <c r="D290" i="47"/>
  <c r="G265" i="56"/>
  <c r="O264" i="57"/>
  <c r="G264" i="57"/>
  <c r="I268" i="51"/>
  <c r="D264" i="55"/>
  <c r="L263" i="55"/>
  <c r="B264" i="56" l="1"/>
  <c r="O264" i="56"/>
  <c r="D267" i="51"/>
  <c r="L266" i="51"/>
  <c r="O269" i="53"/>
  <c r="B269" i="53"/>
  <c r="E266" i="42"/>
  <c r="N266" i="42"/>
  <c r="B313" i="57"/>
  <c r="E290" i="47"/>
  <c r="J268" i="51"/>
  <c r="I267" i="42"/>
  <c r="I271" i="53"/>
  <c r="O242" i="47"/>
  <c r="G242" i="47"/>
  <c r="I265" i="55"/>
  <c r="L264" i="57"/>
  <c r="I265" i="57"/>
  <c r="E264" i="55"/>
  <c r="N264" i="55"/>
  <c r="I266" i="56"/>
  <c r="D265" i="56" l="1"/>
  <c r="L264" i="56"/>
  <c r="E267" i="51"/>
  <c r="N267" i="51"/>
  <c r="D270" i="53"/>
  <c r="L269" i="53"/>
  <c r="B266" i="42"/>
  <c r="O266" i="42"/>
  <c r="G268" i="51"/>
  <c r="J266" i="56"/>
  <c r="J267" i="42"/>
  <c r="J271" i="53"/>
  <c r="B290" i="47"/>
  <c r="J265" i="55"/>
  <c r="B264" i="55"/>
  <c r="O264" i="55"/>
  <c r="D314" i="57"/>
  <c r="N265" i="57"/>
  <c r="J265" i="57"/>
  <c r="L242" i="47"/>
  <c r="I243" i="47"/>
  <c r="E265" i="56" l="1"/>
  <c r="N265" i="56"/>
  <c r="B267" i="51"/>
  <c r="O267" i="51"/>
  <c r="E270" i="53"/>
  <c r="N270" i="53"/>
  <c r="D267" i="42"/>
  <c r="L266" i="42"/>
  <c r="D291" i="47"/>
  <c r="E314" i="57"/>
  <c r="G266" i="56"/>
  <c r="G265" i="55"/>
  <c r="G271" i="53"/>
  <c r="I269" i="51"/>
  <c r="D265" i="55"/>
  <c r="L264" i="55"/>
  <c r="G267" i="42"/>
  <c r="N243" i="47"/>
  <c r="J243" i="47"/>
  <c r="O265" i="57"/>
  <c r="G265" i="57"/>
  <c r="B265" i="56" l="1"/>
  <c r="O265" i="56"/>
  <c r="L267" i="51"/>
  <c r="D268" i="51"/>
  <c r="O270" i="53"/>
  <c r="B270" i="53"/>
  <c r="E267" i="42"/>
  <c r="N267" i="42"/>
  <c r="J269" i="51"/>
  <c r="B314" i="57"/>
  <c r="I267" i="56"/>
  <c r="I266" i="57"/>
  <c r="L265" i="57"/>
  <c r="I266" i="55"/>
  <c r="E291" i="47"/>
  <c r="E265" i="55"/>
  <c r="N265" i="55"/>
  <c r="I268" i="42"/>
  <c r="I272" i="53"/>
  <c r="O243" i="47"/>
  <c r="G243" i="47"/>
  <c r="D266" i="56" l="1"/>
  <c r="L265" i="56"/>
  <c r="N268" i="51"/>
  <c r="E268" i="51"/>
  <c r="D271" i="53"/>
  <c r="L270" i="53"/>
  <c r="O267" i="42"/>
  <c r="B267" i="42"/>
  <c r="J267" i="56"/>
  <c r="B265" i="55"/>
  <c r="O265" i="55"/>
  <c r="D315" i="57"/>
  <c r="E315" i="57" s="1"/>
  <c r="B315" i="57" s="1"/>
  <c r="J272" i="53"/>
  <c r="J266" i="55"/>
  <c r="N266" i="57"/>
  <c r="J266" i="57"/>
  <c r="G269" i="51"/>
  <c r="L243" i="47"/>
  <c r="I244" i="47"/>
  <c r="J268" i="42"/>
  <c r="B291" i="47"/>
  <c r="E266" i="56" l="1"/>
  <c r="N266" i="56"/>
  <c r="O268" i="51"/>
  <c r="B268" i="51"/>
  <c r="E271" i="53"/>
  <c r="N271" i="53"/>
  <c r="D268" i="42"/>
  <c r="L267" i="42"/>
  <c r="D316" i="57"/>
  <c r="E316" i="57" s="1"/>
  <c r="B316" i="57" s="1"/>
  <c r="N244" i="47"/>
  <c r="J244" i="47"/>
  <c r="O266" i="57"/>
  <c r="G266" i="57"/>
  <c r="G272" i="53"/>
  <c r="I270" i="51"/>
  <c r="G268" i="42"/>
  <c r="G267" i="56"/>
  <c r="D292" i="47"/>
  <c r="D266" i="55"/>
  <c r="L265" i="55"/>
  <c r="G266" i="55"/>
  <c r="B266" i="56" l="1"/>
  <c r="O266" i="56"/>
  <c r="D269" i="51"/>
  <c r="L268" i="51"/>
  <c r="O271" i="53"/>
  <c r="B271" i="53"/>
  <c r="E268" i="42"/>
  <c r="N268" i="42"/>
  <c r="D317" i="57"/>
  <c r="E317" i="57" s="1"/>
  <c r="B317" i="57" s="1"/>
  <c r="J270" i="51"/>
  <c r="E266" i="55"/>
  <c r="N266" i="55"/>
  <c r="I267" i="55"/>
  <c r="I269" i="42"/>
  <c r="L266" i="57"/>
  <c r="I267" i="57"/>
  <c r="I268" i="56"/>
  <c r="I273" i="53"/>
  <c r="E292" i="47"/>
  <c r="O244" i="47"/>
  <c r="G244" i="47"/>
  <c r="D267" i="56" l="1"/>
  <c r="L266" i="56"/>
  <c r="N269" i="51"/>
  <c r="E269" i="51"/>
  <c r="D272" i="53"/>
  <c r="L271" i="53"/>
  <c r="B268" i="42"/>
  <c r="O268" i="42"/>
  <c r="J269" i="42"/>
  <c r="G270" i="51"/>
  <c r="J268" i="56"/>
  <c r="J267" i="55"/>
  <c r="D318" i="57"/>
  <c r="E318" i="57" s="1"/>
  <c r="B318" i="57" s="1"/>
  <c r="J273" i="53"/>
  <c r="N267" i="57"/>
  <c r="J267" i="57"/>
  <c r="O266" i="55"/>
  <c r="B266" i="55"/>
  <c r="B292" i="47"/>
  <c r="L244" i="47"/>
  <c r="I245" i="47"/>
  <c r="E267" i="56" l="1"/>
  <c r="N267" i="56"/>
  <c r="O269" i="51"/>
  <c r="B269" i="51"/>
  <c r="E272" i="53"/>
  <c r="N272" i="53"/>
  <c r="D269" i="42"/>
  <c r="L268" i="42"/>
  <c r="I271" i="51"/>
  <c r="G267" i="55"/>
  <c r="G269" i="42"/>
  <c r="D319" i="57"/>
  <c r="E319" i="57" s="1"/>
  <c r="B319" i="57" s="1"/>
  <c r="O267" i="57"/>
  <c r="G267" i="57"/>
  <c r="G273" i="53"/>
  <c r="D267" i="55"/>
  <c r="L266" i="55"/>
  <c r="G268" i="56"/>
  <c r="D293" i="47"/>
  <c r="N245" i="47"/>
  <c r="J245" i="47"/>
  <c r="B267" i="56" l="1"/>
  <c r="O267" i="56"/>
  <c r="L269" i="51"/>
  <c r="D270" i="51"/>
  <c r="O272" i="53"/>
  <c r="B272" i="53"/>
  <c r="E269" i="42"/>
  <c r="N269" i="42"/>
  <c r="D320" i="57"/>
  <c r="E320" i="57" s="1"/>
  <c r="B320" i="57" s="1"/>
  <c r="J271" i="51"/>
  <c r="O245" i="47"/>
  <c r="G245" i="47"/>
  <c r="I274" i="53"/>
  <c r="I270" i="42"/>
  <c r="E267" i="55"/>
  <c r="N267" i="55"/>
  <c r="I269" i="56"/>
  <c r="L267" i="57"/>
  <c r="I268" i="57"/>
  <c r="E293" i="47"/>
  <c r="I268" i="55"/>
  <c r="D268" i="56" l="1"/>
  <c r="L267" i="56"/>
  <c r="E270" i="51"/>
  <c r="N270" i="51"/>
  <c r="D273" i="53"/>
  <c r="L272" i="53"/>
  <c r="B269" i="42"/>
  <c r="O269" i="42"/>
  <c r="D321" i="57"/>
  <c r="J274" i="53"/>
  <c r="J269" i="56"/>
  <c r="L245" i="47"/>
  <c r="I246" i="47"/>
  <c r="O267" i="55"/>
  <c r="B267" i="55"/>
  <c r="B293" i="47"/>
  <c r="N268" i="57"/>
  <c r="J268" i="57"/>
  <c r="J270" i="42"/>
  <c r="G271" i="51"/>
  <c r="J268" i="55"/>
  <c r="E268" i="56" l="1"/>
  <c r="N268" i="56"/>
  <c r="O270" i="51"/>
  <c r="B270" i="51"/>
  <c r="E273" i="53"/>
  <c r="N273" i="53"/>
  <c r="D270" i="42"/>
  <c r="L269" i="42"/>
  <c r="O268" i="57"/>
  <c r="G268" i="57"/>
  <c r="G268" i="55"/>
  <c r="D294" i="47"/>
  <c r="E294" i="47" s="1"/>
  <c r="B294" i="47" s="1"/>
  <c r="E321" i="57"/>
  <c r="S177" i="57"/>
  <c r="I272" i="51"/>
  <c r="G269" i="56"/>
  <c r="D268" i="55"/>
  <c r="L267" i="55"/>
  <c r="N246" i="47"/>
  <c r="J246" i="47"/>
  <c r="G274" i="53"/>
  <c r="G270" i="42"/>
  <c r="B268" i="56" l="1"/>
  <c r="O268" i="56"/>
  <c r="D271" i="51"/>
  <c r="L270" i="51"/>
  <c r="B273" i="53"/>
  <c r="O273" i="53"/>
  <c r="E270" i="42"/>
  <c r="N270" i="42"/>
  <c r="D295" i="47"/>
  <c r="E295" i="47" s="1"/>
  <c r="B295" i="47" s="1"/>
  <c r="O246" i="47"/>
  <c r="G246" i="47"/>
  <c r="J272" i="51"/>
  <c r="I271" i="42"/>
  <c r="I269" i="57"/>
  <c r="L268" i="57"/>
  <c r="I270" i="56"/>
  <c r="I269" i="55"/>
  <c r="E268" i="55"/>
  <c r="N268" i="55"/>
  <c r="T177" i="57"/>
  <c r="B321" i="57"/>
  <c r="I275" i="53"/>
  <c r="D269" i="56" l="1"/>
  <c r="L268" i="56"/>
  <c r="E271" i="51"/>
  <c r="N271" i="51"/>
  <c r="D274" i="53"/>
  <c r="L273" i="53"/>
  <c r="B270" i="42"/>
  <c r="O270" i="42"/>
  <c r="D296" i="47"/>
  <c r="E296" i="47" s="1"/>
  <c r="B296" i="47" s="1"/>
  <c r="J269" i="55"/>
  <c r="G272" i="51"/>
  <c r="O268" i="55"/>
  <c r="B268" i="55"/>
  <c r="J270" i="56"/>
  <c r="J271" i="42"/>
  <c r="J275" i="53"/>
  <c r="N269" i="57"/>
  <c r="J269" i="57"/>
  <c r="D322" i="57"/>
  <c r="Q177" i="57"/>
  <c r="L246" i="47"/>
  <c r="I247" i="47"/>
  <c r="E269" i="56" l="1"/>
  <c r="N269" i="56"/>
  <c r="O271" i="51"/>
  <c r="B271" i="51"/>
  <c r="E274" i="53"/>
  <c r="N274" i="53"/>
  <c r="D271" i="42"/>
  <c r="L270" i="42"/>
  <c r="D297" i="47"/>
  <c r="E297" i="47" s="1"/>
  <c r="B297" i="47" s="1"/>
  <c r="I273" i="51"/>
  <c r="D269" i="55"/>
  <c r="L268" i="55"/>
  <c r="G269" i="55"/>
  <c r="N247" i="47"/>
  <c r="J247" i="47"/>
  <c r="G271" i="42"/>
  <c r="G270" i="56"/>
  <c r="G275" i="53"/>
  <c r="O269" i="57"/>
  <c r="G269" i="57"/>
  <c r="E322" i="57"/>
  <c r="B269" i="56" l="1"/>
  <c r="O269" i="56"/>
  <c r="D272" i="51"/>
  <c r="L271" i="51"/>
  <c r="B274" i="53"/>
  <c r="O274" i="53"/>
  <c r="E271" i="42"/>
  <c r="N271" i="42"/>
  <c r="D298" i="47"/>
  <c r="E298" i="47" s="1"/>
  <c r="B298" i="47" s="1"/>
  <c r="I271" i="56"/>
  <c r="I276" i="53"/>
  <c r="I272" i="42"/>
  <c r="I270" i="55"/>
  <c r="E269" i="55"/>
  <c r="N269" i="55"/>
  <c r="O247" i="47"/>
  <c r="G247" i="47"/>
  <c r="J273" i="51"/>
  <c r="L269" i="57"/>
  <c r="I270" i="57"/>
  <c r="B322" i="57"/>
  <c r="D270" i="56" l="1"/>
  <c r="L269" i="56"/>
  <c r="N272" i="51"/>
  <c r="E272" i="51"/>
  <c r="D275" i="53"/>
  <c r="L274" i="53"/>
  <c r="B271" i="42"/>
  <c r="O271" i="42"/>
  <c r="D299" i="47"/>
  <c r="E299" i="47" s="1"/>
  <c r="B299" i="47" s="1"/>
  <c r="L247" i="47"/>
  <c r="I248" i="47"/>
  <c r="J270" i="55"/>
  <c r="J276" i="53"/>
  <c r="O269" i="55"/>
  <c r="B269" i="55"/>
  <c r="D323" i="57"/>
  <c r="N270" i="57"/>
  <c r="J270" i="57"/>
  <c r="J272" i="42"/>
  <c r="G273" i="51"/>
  <c r="J271" i="56"/>
  <c r="E270" i="56" l="1"/>
  <c r="N270" i="56"/>
  <c r="O272" i="51"/>
  <c r="B272" i="51"/>
  <c r="E275" i="53"/>
  <c r="N275" i="53"/>
  <c r="D272" i="42"/>
  <c r="L271" i="42"/>
  <c r="D300" i="47"/>
  <c r="G271" i="56"/>
  <c r="I274" i="51"/>
  <c r="G272" i="42"/>
  <c r="E323" i="57"/>
  <c r="D270" i="55"/>
  <c r="L269" i="55"/>
  <c r="O270" i="57"/>
  <c r="G270" i="57"/>
  <c r="G276" i="53"/>
  <c r="G270" i="55"/>
  <c r="N248" i="47"/>
  <c r="J248" i="47"/>
  <c r="B270" i="56" l="1"/>
  <c r="O270" i="56"/>
  <c r="L272" i="51"/>
  <c r="D273" i="51"/>
  <c r="B275" i="53"/>
  <c r="O275" i="53"/>
  <c r="E272" i="42"/>
  <c r="N272" i="42"/>
  <c r="I277" i="53"/>
  <c r="O248" i="47"/>
  <c r="G248" i="47"/>
  <c r="I272" i="56"/>
  <c r="L270" i="57"/>
  <c r="I271" i="57"/>
  <c r="E270" i="55"/>
  <c r="N270" i="55"/>
  <c r="I271" i="55"/>
  <c r="E300" i="47"/>
  <c r="S156" i="47"/>
  <c r="J274" i="51"/>
  <c r="B323" i="57"/>
  <c r="I273" i="42"/>
  <c r="D271" i="56" l="1"/>
  <c r="L270" i="56"/>
  <c r="E273" i="51"/>
  <c r="N273" i="51"/>
  <c r="D276" i="53"/>
  <c r="L275" i="53"/>
  <c r="B272" i="42"/>
  <c r="O272" i="42"/>
  <c r="B270" i="55"/>
  <c r="O270" i="55"/>
  <c r="J271" i="55"/>
  <c r="L248" i="47"/>
  <c r="I249" i="47"/>
  <c r="N271" i="57"/>
  <c r="J271" i="57"/>
  <c r="J273" i="42"/>
  <c r="D324" i="57"/>
  <c r="J277" i="53"/>
  <c r="T156" i="47"/>
  <c r="B300" i="47"/>
  <c r="J272" i="56"/>
  <c r="G274" i="51"/>
  <c r="E271" i="56" l="1"/>
  <c r="N271" i="56"/>
  <c r="B273" i="51"/>
  <c r="O273" i="51"/>
  <c r="E276" i="53"/>
  <c r="N276" i="53"/>
  <c r="D273" i="42"/>
  <c r="L272" i="42"/>
  <c r="G271" i="55"/>
  <c r="G277" i="53"/>
  <c r="G273" i="42"/>
  <c r="Q156" i="47"/>
  <c r="D301" i="47"/>
  <c r="O271" i="57"/>
  <c r="G271" i="57"/>
  <c r="G272" i="56"/>
  <c r="E324" i="57"/>
  <c r="I275" i="51"/>
  <c r="N249" i="47"/>
  <c r="J249" i="47"/>
  <c r="D271" i="55"/>
  <c r="L270" i="55"/>
  <c r="B271" i="56" l="1"/>
  <c r="O271" i="56"/>
  <c r="L273" i="51"/>
  <c r="D274" i="51"/>
  <c r="B276" i="53"/>
  <c r="O276" i="53"/>
  <c r="E273" i="42"/>
  <c r="N273" i="42"/>
  <c r="L271" i="57"/>
  <c r="I272" i="57"/>
  <c r="E271" i="55"/>
  <c r="N271" i="55"/>
  <c r="J275" i="51"/>
  <c r="O249" i="47"/>
  <c r="G249" i="47"/>
  <c r="E301" i="47"/>
  <c r="I273" i="56"/>
  <c r="I274" i="42"/>
  <c r="I278" i="53"/>
  <c r="B324" i="57"/>
  <c r="I272" i="55"/>
  <c r="D272" i="56" l="1"/>
  <c r="L271" i="56"/>
  <c r="N274" i="51"/>
  <c r="E274" i="51"/>
  <c r="D277" i="53"/>
  <c r="L276" i="53"/>
  <c r="B273" i="42"/>
  <c r="O273" i="42"/>
  <c r="O271" i="55"/>
  <c r="B271" i="55"/>
  <c r="D325" i="57"/>
  <c r="J273" i="56"/>
  <c r="B301" i="47"/>
  <c r="J274" i="42"/>
  <c r="L249" i="47"/>
  <c r="I250" i="47"/>
  <c r="N272" i="57"/>
  <c r="J272" i="57"/>
  <c r="J278" i="53"/>
  <c r="J272" i="55"/>
  <c r="G275" i="51"/>
  <c r="E272" i="56" l="1"/>
  <c r="N272" i="56"/>
  <c r="O274" i="51"/>
  <c r="B274" i="51"/>
  <c r="E277" i="53"/>
  <c r="N277" i="53"/>
  <c r="D274" i="42"/>
  <c r="L273" i="42"/>
  <c r="I276" i="51"/>
  <c r="G273" i="56"/>
  <c r="O272" i="57"/>
  <c r="G272" i="57"/>
  <c r="E325" i="57"/>
  <c r="G272" i="55"/>
  <c r="D302" i="47"/>
  <c r="D272" i="55"/>
  <c r="L271" i="55"/>
  <c r="G278" i="53"/>
  <c r="N250" i="47"/>
  <c r="J250" i="47"/>
  <c r="G274" i="42"/>
  <c r="B272" i="56" l="1"/>
  <c r="O272" i="56"/>
  <c r="D275" i="51"/>
  <c r="L274" i="51"/>
  <c r="B277" i="53"/>
  <c r="O277" i="53"/>
  <c r="E274" i="42"/>
  <c r="N274" i="42"/>
  <c r="I273" i="55"/>
  <c r="I274" i="56"/>
  <c r="E272" i="55"/>
  <c r="N272" i="55"/>
  <c r="O250" i="47"/>
  <c r="G250" i="47"/>
  <c r="B325" i="57"/>
  <c r="J276" i="51"/>
  <c r="X176" i="51"/>
  <c r="I279" i="53"/>
  <c r="I275" i="42"/>
  <c r="E302" i="47"/>
  <c r="L272" i="57"/>
  <c r="I273" i="57"/>
  <c r="D273" i="56" l="1"/>
  <c r="L272" i="56"/>
  <c r="N275" i="51"/>
  <c r="E275" i="51"/>
  <c r="D278" i="53"/>
  <c r="L277" i="53"/>
  <c r="B274" i="42"/>
  <c r="O274" i="42"/>
  <c r="L250" i="47"/>
  <c r="I251" i="47"/>
  <c r="B302" i="47"/>
  <c r="J279" i="53"/>
  <c r="X179" i="53"/>
  <c r="Y176" i="51"/>
  <c r="G276" i="51"/>
  <c r="J275" i="42"/>
  <c r="X175" i="42"/>
  <c r="B272" i="55"/>
  <c r="O272" i="55"/>
  <c r="D326" i="57"/>
  <c r="J274" i="56"/>
  <c r="X174" i="56"/>
  <c r="J273" i="55"/>
  <c r="X173" i="55"/>
  <c r="N273" i="57"/>
  <c r="J273" i="57"/>
  <c r="X173" i="57"/>
  <c r="AC173" i="57" s="1"/>
  <c r="E273" i="56" l="1"/>
  <c r="N273" i="56"/>
  <c r="B275" i="51"/>
  <c r="O275" i="51"/>
  <c r="E278" i="53"/>
  <c r="N278" i="53"/>
  <c r="D275" i="42"/>
  <c r="L274" i="42"/>
  <c r="Y174" i="56"/>
  <c r="G274" i="56"/>
  <c r="D303" i="47"/>
  <c r="N251" i="47"/>
  <c r="J251" i="47"/>
  <c r="Y173" i="55"/>
  <c r="G273" i="55"/>
  <c r="Y175" i="42"/>
  <c r="G275" i="42"/>
  <c r="V176" i="51"/>
  <c r="I277" i="51"/>
  <c r="E326" i="57"/>
  <c r="O273" i="57"/>
  <c r="Y173" i="57"/>
  <c r="AD173" i="57" s="1"/>
  <c r="G273" i="57"/>
  <c r="D273" i="55"/>
  <c r="L272" i="55"/>
  <c r="Y179" i="53"/>
  <c r="G279" i="53"/>
  <c r="B273" i="56" l="1"/>
  <c r="O273" i="56"/>
  <c r="L275" i="51"/>
  <c r="D276" i="51"/>
  <c r="B278" i="53"/>
  <c r="O278" i="53"/>
  <c r="E275" i="42"/>
  <c r="S175" i="42"/>
  <c r="AC175" i="42" s="1"/>
  <c r="N275" i="42"/>
  <c r="I274" i="57"/>
  <c r="V173" i="57"/>
  <c r="AA173" i="57" s="1"/>
  <c r="L273" i="57"/>
  <c r="V175" i="42"/>
  <c r="I276" i="42"/>
  <c r="J277" i="51"/>
  <c r="E303" i="47"/>
  <c r="E273" i="55"/>
  <c r="S173" i="55"/>
  <c r="AC173" i="55" s="1"/>
  <c r="N273" i="55"/>
  <c r="I280" i="53"/>
  <c r="V179" i="53"/>
  <c r="V173" i="55"/>
  <c r="I274" i="55"/>
  <c r="I275" i="56"/>
  <c r="V174" i="56"/>
  <c r="B326" i="57"/>
  <c r="O251" i="47"/>
  <c r="G251" i="47"/>
  <c r="L273" i="56" l="1"/>
  <c r="D274" i="56"/>
  <c r="N276" i="51"/>
  <c r="E276" i="51"/>
  <c r="S176" i="51"/>
  <c r="AC176" i="51" s="1"/>
  <c r="D279" i="53"/>
  <c r="L278" i="53"/>
  <c r="T175" i="42"/>
  <c r="AD175" i="42" s="1"/>
  <c r="B275" i="42"/>
  <c r="O275" i="42"/>
  <c r="J276" i="42"/>
  <c r="G277" i="51"/>
  <c r="J280" i="53"/>
  <c r="J275" i="56"/>
  <c r="D327" i="57"/>
  <c r="E327" i="57" s="1"/>
  <c r="B327" i="57" s="1"/>
  <c r="J274" i="55"/>
  <c r="N274" i="57"/>
  <c r="J274" i="57"/>
  <c r="B303" i="47"/>
  <c r="L251" i="47"/>
  <c r="I252" i="47"/>
  <c r="T173" i="55"/>
  <c r="AD173" i="55" s="1"/>
  <c r="B273" i="55"/>
  <c r="O273" i="55"/>
  <c r="N274" i="56" l="1"/>
  <c r="S174" i="56"/>
  <c r="AC174" i="56" s="1"/>
  <c r="E274" i="56"/>
  <c r="O276" i="51"/>
  <c r="T176" i="51"/>
  <c r="AD176" i="51" s="1"/>
  <c r="B276" i="51"/>
  <c r="E279" i="53"/>
  <c r="S179" i="53"/>
  <c r="AC179" i="53" s="1"/>
  <c r="N279" i="53"/>
  <c r="D276" i="42"/>
  <c r="Q175" i="42"/>
  <c r="AA175" i="42" s="1"/>
  <c r="L275" i="42"/>
  <c r="G275" i="56"/>
  <c r="D274" i="55"/>
  <c r="Q173" i="55"/>
  <c r="AA173" i="55" s="1"/>
  <c r="L273" i="55"/>
  <c r="D304" i="47"/>
  <c r="N252" i="47"/>
  <c r="J252" i="47"/>
  <c r="G276" i="42"/>
  <c r="G274" i="55"/>
  <c r="O274" i="57"/>
  <c r="G274" i="57"/>
  <c r="I278" i="51"/>
  <c r="D328" i="57"/>
  <c r="E328" i="57" s="1"/>
  <c r="B328" i="57" s="1"/>
  <c r="G280" i="53"/>
  <c r="B274" i="56" l="1"/>
  <c r="O274" i="56"/>
  <c r="T174" i="56"/>
  <c r="AD174" i="56" s="1"/>
  <c r="Q176" i="51"/>
  <c r="AA176" i="51" s="1"/>
  <c r="D277" i="51"/>
  <c r="L276" i="51"/>
  <c r="T179" i="53"/>
  <c r="AD179" i="53" s="1"/>
  <c r="O279" i="53"/>
  <c r="B279" i="53"/>
  <c r="E276" i="42"/>
  <c r="N276" i="42"/>
  <c r="D329" i="57"/>
  <c r="E329" i="57" s="1"/>
  <c r="B329" i="57" s="1"/>
  <c r="I276" i="56"/>
  <c r="I281" i="53"/>
  <c r="I277" i="42"/>
  <c r="O252" i="47"/>
  <c r="G252" i="47"/>
  <c r="E274" i="55"/>
  <c r="N274" i="55"/>
  <c r="I275" i="55"/>
  <c r="E304" i="47"/>
  <c r="J278" i="51"/>
  <c r="L274" i="57"/>
  <c r="I275" i="57"/>
  <c r="D275" i="56" l="1"/>
  <c r="Q174" i="56"/>
  <c r="AA174" i="56" s="1"/>
  <c r="L274" i="56"/>
  <c r="E277" i="51"/>
  <c r="N277" i="51"/>
  <c r="Q179" i="53"/>
  <c r="AA179" i="53" s="1"/>
  <c r="D280" i="53"/>
  <c r="L279" i="53"/>
  <c r="O276" i="42"/>
  <c r="B276" i="42"/>
  <c r="D330" i="57"/>
  <c r="E330" i="57" s="1"/>
  <c r="B330" i="57" s="1"/>
  <c r="J275" i="55"/>
  <c r="G278" i="51"/>
  <c r="B274" i="55"/>
  <c r="O274" i="55"/>
  <c r="J277" i="42"/>
  <c r="J276" i="56"/>
  <c r="V152" i="47"/>
  <c r="AA152" i="47" s="1"/>
  <c r="L252" i="47"/>
  <c r="I253" i="47"/>
  <c r="B304" i="47"/>
  <c r="N275" i="57"/>
  <c r="J275" i="57"/>
  <c r="J281" i="53"/>
  <c r="E275" i="56" l="1"/>
  <c r="N275" i="56"/>
  <c r="O277" i="51"/>
  <c r="B277" i="51"/>
  <c r="E280" i="53"/>
  <c r="N280" i="53"/>
  <c r="D277" i="42"/>
  <c r="L276" i="42"/>
  <c r="D331" i="57"/>
  <c r="E331" i="57" s="1"/>
  <c r="B331" i="57" s="1"/>
  <c r="G276" i="56"/>
  <c r="I279" i="51"/>
  <c r="D275" i="55"/>
  <c r="L274" i="55"/>
  <c r="N253" i="47"/>
  <c r="J253" i="47"/>
  <c r="G281" i="53"/>
  <c r="D305" i="47"/>
  <c r="G275" i="55"/>
  <c r="O275" i="57"/>
  <c r="G275" i="57"/>
  <c r="G277" i="42"/>
  <c r="O275" i="56" l="1"/>
  <c r="B275" i="56"/>
  <c r="D278" i="51"/>
  <c r="L277" i="51"/>
  <c r="O280" i="53"/>
  <c r="B280" i="53"/>
  <c r="E277" i="42"/>
  <c r="N277" i="42"/>
  <c r="E305" i="47"/>
  <c r="L275" i="57"/>
  <c r="I276" i="57"/>
  <c r="I278" i="42"/>
  <c r="I276" i="55"/>
  <c r="O253" i="47"/>
  <c r="G253" i="47"/>
  <c r="J279" i="51"/>
  <c r="E275" i="55"/>
  <c r="N275" i="55"/>
  <c r="I282" i="53"/>
  <c r="D332" i="57"/>
  <c r="E332" i="57" s="1"/>
  <c r="B332" i="57" s="1"/>
  <c r="I277" i="56"/>
  <c r="D276" i="56" l="1"/>
  <c r="L275" i="56"/>
  <c r="N278" i="51"/>
  <c r="E278" i="51"/>
  <c r="D281" i="53"/>
  <c r="L280" i="53"/>
  <c r="B277" i="42"/>
  <c r="O277" i="42"/>
  <c r="J282" i="53"/>
  <c r="D333" i="57"/>
  <c r="G279" i="51"/>
  <c r="L253" i="47"/>
  <c r="I254" i="47"/>
  <c r="N276" i="57"/>
  <c r="J276" i="57"/>
  <c r="J278" i="42"/>
  <c r="J277" i="56"/>
  <c r="O275" i="55"/>
  <c r="B275" i="55"/>
  <c r="B305" i="47"/>
  <c r="J276" i="55"/>
  <c r="E276" i="56" l="1"/>
  <c r="N276" i="56"/>
  <c r="B278" i="51"/>
  <c r="O278" i="51"/>
  <c r="E281" i="53"/>
  <c r="N281" i="53"/>
  <c r="D278" i="42"/>
  <c r="L277" i="42"/>
  <c r="G278" i="42"/>
  <c r="I280" i="51"/>
  <c r="G282" i="53"/>
  <c r="D276" i="55"/>
  <c r="L275" i="55"/>
  <c r="D306" i="47"/>
  <c r="E306" i="47" s="1"/>
  <c r="B306" i="47" s="1"/>
  <c r="G277" i="56"/>
  <c r="N254" i="47"/>
  <c r="J254" i="47"/>
  <c r="G276" i="55"/>
  <c r="O276" i="57"/>
  <c r="G276" i="57"/>
  <c r="E333" i="57"/>
  <c r="S178" i="57"/>
  <c r="B276" i="56" l="1"/>
  <c r="O276" i="56"/>
  <c r="L278" i="51"/>
  <c r="D279" i="51"/>
  <c r="O281" i="53"/>
  <c r="B281" i="53"/>
  <c r="E278" i="42"/>
  <c r="N278" i="42"/>
  <c r="D307" i="47"/>
  <c r="E307" i="47" s="1"/>
  <c r="B307" i="47" s="1"/>
  <c r="I283" i="53"/>
  <c r="I279" i="42"/>
  <c r="T178" i="57"/>
  <c r="B333" i="57"/>
  <c r="J280" i="51"/>
  <c r="E276" i="55"/>
  <c r="N276" i="55"/>
  <c r="I277" i="57"/>
  <c r="L276" i="57"/>
  <c r="I278" i="56"/>
  <c r="I277" i="55"/>
  <c r="O254" i="47"/>
  <c r="G254" i="47"/>
  <c r="D277" i="56" l="1"/>
  <c r="L276" i="56"/>
  <c r="E279" i="51"/>
  <c r="N279" i="51"/>
  <c r="D282" i="53"/>
  <c r="L281" i="53"/>
  <c r="B278" i="42"/>
  <c r="O278" i="42"/>
  <c r="D308" i="47"/>
  <c r="E308" i="47" s="1"/>
  <c r="B308" i="47" s="1"/>
  <c r="D334" i="57"/>
  <c r="Q178" i="57"/>
  <c r="B276" i="55"/>
  <c r="O276" i="55"/>
  <c r="N277" i="57"/>
  <c r="J277" i="57"/>
  <c r="L254" i="47"/>
  <c r="I255" i="47"/>
  <c r="J277" i="55"/>
  <c r="G280" i="51"/>
  <c r="J279" i="42"/>
  <c r="J278" i="56"/>
  <c r="J283" i="53"/>
  <c r="E277" i="56" l="1"/>
  <c r="N277" i="56"/>
  <c r="O279" i="51"/>
  <c r="B279" i="51"/>
  <c r="E282" i="53"/>
  <c r="N282" i="53"/>
  <c r="D279" i="42"/>
  <c r="L278" i="42"/>
  <c r="D309" i="47"/>
  <c r="E309" i="47" s="1"/>
  <c r="B309" i="47" s="1"/>
  <c r="I281" i="51"/>
  <c r="G279" i="42"/>
  <c r="O277" i="57"/>
  <c r="G277" i="57"/>
  <c r="G277" i="55"/>
  <c r="N255" i="47"/>
  <c r="J255" i="47"/>
  <c r="G278" i="56"/>
  <c r="E334" i="57"/>
  <c r="G283" i="53"/>
  <c r="D277" i="55"/>
  <c r="L276" i="55"/>
  <c r="O277" i="56" l="1"/>
  <c r="B277" i="56"/>
  <c r="D280" i="51"/>
  <c r="L279" i="51"/>
  <c r="O282" i="53"/>
  <c r="B282" i="53"/>
  <c r="E279" i="42"/>
  <c r="N279" i="42"/>
  <c r="D310" i="47"/>
  <c r="E310" i="47" s="1"/>
  <c r="B310" i="47" s="1"/>
  <c r="I279" i="56"/>
  <c r="J281" i="51"/>
  <c r="O255" i="47"/>
  <c r="G255" i="47"/>
  <c r="I278" i="57"/>
  <c r="L277" i="57"/>
  <c r="I280" i="42"/>
  <c r="E277" i="55"/>
  <c r="N277" i="55"/>
  <c r="I284" i="53"/>
  <c r="B334" i="57"/>
  <c r="I278" i="55"/>
  <c r="D278" i="56" l="1"/>
  <c r="L277" i="56"/>
  <c r="N280" i="51"/>
  <c r="E280" i="51"/>
  <c r="D283" i="53"/>
  <c r="L282" i="53"/>
  <c r="B279" i="42"/>
  <c r="O279" i="42"/>
  <c r="D311" i="47"/>
  <c r="E311" i="47" s="1"/>
  <c r="B311" i="47" s="1"/>
  <c r="J280" i="42"/>
  <c r="J284" i="53"/>
  <c r="G281" i="51"/>
  <c r="D335" i="57"/>
  <c r="J279" i="56"/>
  <c r="N278" i="57"/>
  <c r="J278" i="57"/>
  <c r="L255" i="47"/>
  <c r="I256" i="47"/>
  <c r="J278" i="55"/>
  <c r="O277" i="55"/>
  <c r="B277" i="55"/>
  <c r="E278" i="56" l="1"/>
  <c r="N278" i="56"/>
  <c r="B280" i="51"/>
  <c r="O280" i="51"/>
  <c r="E283" i="53"/>
  <c r="N283" i="53"/>
  <c r="D280" i="42"/>
  <c r="L279" i="42"/>
  <c r="D312" i="47"/>
  <c r="E335" i="57"/>
  <c r="G278" i="55"/>
  <c r="G280" i="42"/>
  <c r="G279" i="56"/>
  <c r="I282" i="51"/>
  <c r="G284" i="53"/>
  <c r="O278" i="57"/>
  <c r="G278" i="57"/>
  <c r="N256" i="47"/>
  <c r="J256" i="47"/>
  <c r="D278" i="55"/>
  <c r="L277" i="55"/>
  <c r="B278" i="56" l="1"/>
  <c r="O278" i="56"/>
  <c r="L280" i="51"/>
  <c r="D281" i="51"/>
  <c r="O283" i="53"/>
  <c r="B283" i="53"/>
  <c r="E280" i="42"/>
  <c r="N280" i="42"/>
  <c r="I279" i="55"/>
  <c r="I285" i="53"/>
  <c r="O256" i="47"/>
  <c r="G256" i="47"/>
  <c r="B335" i="57"/>
  <c r="I280" i="56"/>
  <c r="E278" i="55"/>
  <c r="N278" i="55"/>
  <c r="I281" i="42"/>
  <c r="E312" i="47"/>
  <c r="S157" i="47"/>
  <c r="L278" i="57"/>
  <c r="I279" i="57"/>
  <c r="J282" i="51"/>
  <c r="D279" i="56" l="1"/>
  <c r="L278" i="56"/>
  <c r="E281" i="51"/>
  <c r="N281" i="51"/>
  <c r="D284" i="53"/>
  <c r="L283" i="53"/>
  <c r="B280" i="42"/>
  <c r="O280" i="42"/>
  <c r="N279" i="57"/>
  <c r="J279" i="57"/>
  <c r="J285" i="53"/>
  <c r="G282" i="51"/>
  <c r="J280" i="56"/>
  <c r="B278" i="55"/>
  <c r="O278" i="55"/>
  <c r="L256" i="47"/>
  <c r="I257" i="47"/>
  <c r="J279" i="55"/>
  <c r="T157" i="47"/>
  <c r="B312" i="47"/>
  <c r="J281" i="42"/>
  <c r="D336" i="57"/>
  <c r="N279" i="56" l="1"/>
  <c r="E279" i="56"/>
  <c r="O281" i="51"/>
  <c r="B281" i="51"/>
  <c r="E284" i="53"/>
  <c r="N284" i="53"/>
  <c r="D281" i="42"/>
  <c r="L280" i="42"/>
  <c r="D279" i="55"/>
  <c r="L278" i="55"/>
  <c r="G279" i="55"/>
  <c r="N257" i="47"/>
  <c r="J257" i="47"/>
  <c r="G285" i="53"/>
  <c r="I283" i="51"/>
  <c r="O279" i="57"/>
  <c r="G279" i="57"/>
  <c r="Q157" i="47"/>
  <c r="D313" i="47"/>
  <c r="G280" i="56"/>
  <c r="E336" i="57"/>
  <c r="G281" i="42"/>
  <c r="B279" i="56" l="1"/>
  <c r="O279" i="56"/>
  <c r="D282" i="51"/>
  <c r="L281" i="51"/>
  <c r="O284" i="53"/>
  <c r="B284" i="53"/>
  <c r="E281" i="42"/>
  <c r="N281" i="42"/>
  <c r="I286" i="53"/>
  <c r="O257" i="47"/>
  <c r="G257" i="47"/>
  <c r="L279" i="57"/>
  <c r="I280" i="57"/>
  <c r="B336" i="57"/>
  <c r="I280" i="55"/>
  <c r="E279" i="55"/>
  <c r="N279" i="55"/>
  <c r="I282" i="42"/>
  <c r="J283" i="51"/>
  <c r="I281" i="56"/>
  <c r="E313" i="47"/>
  <c r="D280" i="56" l="1"/>
  <c r="L279" i="56"/>
  <c r="E282" i="51"/>
  <c r="N282" i="51"/>
  <c r="D285" i="53"/>
  <c r="L284" i="53"/>
  <c r="B281" i="42"/>
  <c r="O281" i="42"/>
  <c r="J282" i="42"/>
  <c r="G283" i="51"/>
  <c r="B313" i="47"/>
  <c r="J286" i="53"/>
  <c r="B279" i="55"/>
  <c r="O279" i="55"/>
  <c r="D337" i="57"/>
  <c r="N280" i="57"/>
  <c r="J280" i="57"/>
  <c r="J281" i="56"/>
  <c r="J280" i="55"/>
  <c r="L257" i="47"/>
  <c r="I258" i="47"/>
  <c r="E280" i="56" l="1"/>
  <c r="N280" i="56"/>
  <c r="O282" i="51"/>
  <c r="B282" i="51"/>
  <c r="E285" i="53"/>
  <c r="N285" i="53"/>
  <c r="D282" i="42"/>
  <c r="L281" i="42"/>
  <c r="G281" i="56"/>
  <c r="N258" i="47"/>
  <c r="J258" i="47"/>
  <c r="G282" i="42"/>
  <c r="E337" i="57"/>
  <c r="D314" i="47"/>
  <c r="I284" i="51"/>
  <c r="D280" i="55"/>
  <c r="L279" i="55"/>
  <c r="O280" i="57"/>
  <c r="G280" i="57"/>
  <c r="G286" i="53"/>
  <c r="G280" i="55"/>
  <c r="B280" i="56" l="1"/>
  <c r="O280" i="56"/>
  <c r="L282" i="51"/>
  <c r="D283" i="51"/>
  <c r="B285" i="53"/>
  <c r="O285" i="53"/>
  <c r="E282" i="42"/>
  <c r="N282" i="42"/>
  <c r="J284" i="51"/>
  <c r="L280" i="57"/>
  <c r="I281" i="57"/>
  <c r="E314" i="47"/>
  <c r="O258" i="47"/>
  <c r="G258" i="47"/>
  <c r="E280" i="55"/>
  <c r="N280" i="55"/>
  <c r="I282" i="56"/>
  <c r="B337" i="57"/>
  <c r="I283" i="42"/>
  <c r="I281" i="55"/>
  <c r="I287" i="53"/>
  <c r="L280" i="56" l="1"/>
  <c r="D281" i="56"/>
  <c r="N283" i="51"/>
  <c r="E283" i="51"/>
  <c r="D286" i="53"/>
  <c r="L285" i="53"/>
  <c r="B282" i="42"/>
  <c r="O282" i="42"/>
  <c r="J281" i="55"/>
  <c r="B314" i="47"/>
  <c r="G284" i="51"/>
  <c r="D338" i="57"/>
  <c r="J287" i="53"/>
  <c r="L258" i="47"/>
  <c r="I259" i="47"/>
  <c r="J282" i="56"/>
  <c r="O280" i="55"/>
  <c r="B280" i="55"/>
  <c r="N281" i="57"/>
  <c r="J281" i="57"/>
  <c r="J283" i="42"/>
  <c r="E281" i="56" l="1"/>
  <c r="N281" i="56"/>
  <c r="B283" i="51"/>
  <c r="O283" i="51"/>
  <c r="E286" i="53"/>
  <c r="N286" i="53"/>
  <c r="D283" i="42"/>
  <c r="L282" i="42"/>
  <c r="D315" i="47"/>
  <c r="G281" i="55"/>
  <c r="G283" i="42"/>
  <c r="G282" i="56"/>
  <c r="N259" i="47"/>
  <c r="J259" i="47"/>
  <c r="E338" i="57"/>
  <c r="G287" i="53"/>
  <c r="O281" i="57"/>
  <c r="G281" i="57"/>
  <c r="D281" i="55"/>
  <c r="L280" i="55"/>
  <c r="I285" i="51"/>
  <c r="B281" i="56" l="1"/>
  <c r="O281" i="56"/>
  <c r="D284" i="51"/>
  <c r="L283" i="51"/>
  <c r="B286" i="53"/>
  <c r="O286" i="53"/>
  <c r="E283" i="42"/>
  <c r="N283" i="42"/>
  <c r="I283" i="56"/>
  <c r="O259" i="47"/>
  <c r="G259" i="47"/>
  <c r="I284" i="42"/>
  <c r="E281" i="55"/>
  <c r="N281" i="55"/>
  <c r="J285" i="51"/>
  <c r="I288" i="53"/>
  <c r="E315" i="47"/>
  <c r="L281" i="57"/>
  <c r="I282" i="57"/>
  <c r="I282" i="55"/>
  <c r="B338" i="57"/>
  <c r="D282" i="56" l="1"/>
  <c r="L281" i="56"/>
  <c r="N284" i="51"/>
  <c r="E284" i="51"/>
  <c r="D287" i="53"/>
  <c r="L286" i="53"/>
  <c r="B283" i="42"/>
  <c r="O283" i="42"/>
  <c r="J282" i="55"/>
  <c r="B315" i="47"/>
  <c r="B281" i="55"/>
  <c r="O281" i="55"/>
  <c r="J283" i="56"/>
  <c r="G285" i="51"/>
  <c r="L259" i="47"/>
  <c r="I260" i="47"/>
  <c r="J288" i="53"/>
  <c r="J284" i="42"/>
  <c r="N282" i="57"/>
  <c r="J282" i="57"/>
  <c r="D339" i="57"/>
  <c r="E339" i="57" s="1"/>
  <c r="B339" i="57" s="1"/>
  <c r="N282" i="56" l="1"/>
  <c r="E282" i="56"/>
  <c r="B284" i="51"/>
  <c r="O284" i="51"/>
  <c r="E287" i="53"/>
  <c r="N287" i="53"/>
  <c r="D284" i="42"/>
  <c r="L283" i="42"/>
  <c r="D340" i="57"/>
  <c r="E340" i="57" s="1"/>
  <c r="B340" i="57" s="1"/>
  <c r="G283" i="56"/>
  <c r="D316" i="47"/>
  <c r="I286" i="51"/>
  <c r="D282" i="55"/>
  <c r="L281" i="55"/>
  <c r="O282" i="57"/>
  <c r="G282" i="57"/>
  <c r="G284" i="42"/>
  <c r="G282" i="55"/>
  <c r="G288" i="53"/>
  <c r="N260" i="47"/>
  <c r="J260" i="47"/>
  <c r="B282" i="56" l="1"/>
  <c r="O282" i="56"/>
  <c r="D285" i="51"/>
  <c r="L284" i="51"/>
  <c r="B287" i="53"/>
  <c r="O287" i="53"/>
  <c r="E284" i="42"/>
  <c r="N284" i="42"/>
  <c r="D341" i="57"/>
  <c r="E341" i="57" s="1"/>
  <c r="B341" i="57" s="1"/>
  <c r="O260" i="47"/>
  <c r="G260" i="47"/>
  <c r="E316" i="47"/>
  <c r="I283" i="55"/>
  <c r="I284" i="56"/>
  <c r="E282" i="55"/>
  <c r="N282" i="55"/>
  <c r="I289" i="53"/>
  <c r="I285" i="42"/>
  <c r="L282" i="57"/>
  <c r="I283" i="57"/>
  <c r="J286" i="51"/>
  <c r="D283" i="56" l="1"/>
  <c r="L282" i="56"/>
  <c r="E285" i="51"/>
  <c r="N285" i="51"/>
  <c r="D288" i="53"/>
  <c r="L287" i="53"/>
  <c r="B284" i="42"/>
  <c r="O284" i="42"/>
  <c r="B282" i="55"/>
  <c r="O282" i="55"/>
  <c r="J285" i="42"/>
  <c r="J284" i="56"/>
  <c r="D342" i="57"/>
  <c r="E342" i="57" s="1"/>
  <c r="B342" i="57" s="1"/>
  <c r="N283" i="57"/>
  <c r="J283" i="57"/>
  <c r="L260" i="47"/>
  <c r="I261" i="47"/>
  <c r="J289" i="53"/>
  <c r="J283" i="55"/>
  <c r="B316" i="47"/>
  <c r="G286" i="51"/>
  <c r="N283" i="56" l="1"/>
  <c r="E283" i="56"/>
  <c r="B285" i="51"/>
  <c r="O285" i="51"/>
  <c r="E288" i="53"/>
  <c r="N288" i="53"/>
  <c r="D285" i="42"/>
  <c r="L284" i="42"/>
  <c r="D343" i="57"/>
  <c r="E343" i="57" s="1"/>
  <c r="B343" i="57" s="1"/>
  <c r="I287" i="51"/>
  <c r="G285" i="42"/>
  <c r="G289" i="53"/>
  <c r="D317" i="47"/>
  <c r="G283" i="55"/>
  <c r="D283" i="55"/>
  <c r="L282" i="55"/>
  <c r="N261" i="47"/>
  <c r="J261" i="47"/>
  <c r="G284" i="56"/>
  <c r="O283" i="57"/>
  <c r="G283" i="57"/>
  <c r="B283" i="56" l="1"/>
  <c r="O283" i="56"/>
  <c r="D286" i="51"/>
  <c r="L285" i="51"/>
  <c r="B288" i="53"/>
  <c r="O288" i="53"/>
  <c r="E285" i="42"/>
  <c r="N285" i="42"/>
  <c r="L283" i="57"/>
  <c r="I284" i="57"/>
  <c r="I290" i="53"/>
  <c r="I286" i="42"/>
  <c r="E283" i="55"/>
  <c r="N283" i="55"/>
  <c r="D344" i="57"/>
  <c r="E344" i="57" s="1"/>
  <c r="B344" i="57" s="1"/>
  <c r="O261" i="47"/>
  <c r="G261" i="47"/>
  <c r="I284" i="55"/>
  <c r="I285" i="56"/>
  <c r="E317" i="47"/>
  <c r="J287" i="51"/>
  <c r="D284" i="56" l="1"/>
  <c r="L283" i="56"/>
  <c r="E286" i="51"/>
  <c r="N286" i="51"/>
  <c r="D289" i="53"/>
  <c r="L288" i="53"/>
  <c r="B285" i="42"/>
  <c r="O285" i="42"/>
  <c r="D345" i="57"/>
  <c r="B317" i="47"/>
  <c r="B283" i="55"/>
  <c r="O283" i="55"/>
  <c r="N284" i="57"/>
  <c r="J284" i="57"/>
  <c r="J286" i="42"/>
  <c r="J285" i="56"/>
  <c r="J284" i="55"/>
  <c r="L261" i="47"/>
  <c r="I262" i="47"/>
  <c r="G287" i="51"/>
  <c r="J290" i="53"/>
  <c r="E284" i="56" l="1"/>
  <c r="N284" i="56"/>
  <c r="O286" i="51"/>
  <c r="B286" i="51"/>
  <c r="E289" i="53"/>
  <c r="N289" i="53"/>
  <c r="D286" i="42"/>
  <c r="L285" i="42"/>
  <c r="G290" i="53"/>
  <c r="O284" i="57"/>
  <c r="G284" i="57"/>
  <c r="G285" i="56"/>
  <c r="D318" i="47"/>
  <c r="E318" i="47" s="1"/>
  <c r="B318" i="47" s="1"/>
  <c r="I288" i="51"/>
  <c r="N262" i="47"/>
  <c r="J262" i="47"/>
  <c r="E345" i="57"/>
  <c r="S179" i="57"/>
  <c r="G284" i="55"/>
  <c r="G286" i="42"/>
  <c r="D284" i="55"/>
  <c r="L283" i="55"/>
  <c r="B284" i="56" l="1"/>
  <c r="O284" i="56"/>
  <c r="L286" i="51"/>
  <c r="D287" i="51"/>
  <c r="B289" i="53"/>
  <c r="O289" i="53"/>
  <c r="E286" i="42"/>
  <c r="N286" i="42"/>
  <c r="D319" i="47"/>
  <c r="E319" i="47" s="1"/>
  <c r="B319" i="47" s="1"/>
  <c r="I285" i="55"/>
  <c r="J288" i="51"/>
  <c r="X177" i="51"/>
  <c r="I291" i="53"/>
  <c r="T179" i="57"/>
  <c r="B345" i="57"/>
  <c r="O262" i="47"/>
  <c r="G262" i="47"/>
  <c r="E284" i="55"/>
  <c r="N284" i="55"/>
  <c r="I285" i="57"/>
  <c r="L284" i="57"/>
  <c r="I286" i="56"/>
  <c r="I287" i="42"/>
  <c r="D285" i="56" l="1"/>
  <c r="L284" i="56"/>
  <c r="E287" i="51"/>
  <c r="N287" i="51"/>
  <c r="D290" i="53"/>
  <c r="L289" i="53"/>
  <c r="B286" i="42"/>
  <c r="O286" i="42"/>
  <c r="D320" i="47"/>
  <c r="E320" i="47" s="1"/>
  <c r="B320" i="47" s="1"/>
  <c r="J287" i="42"/>
  <c r="X176" i="42"/>
  <c r="J286" i="56"/>
  <c r="X175" i="56"/>
  <c r="L262" i="47"/>
  <c r="I263" i="47"/>
  <c r="Y177" i="51"/>
  <c r="G288" i="51"/>
  <c r="J285" i="55"/>
  <c r="X174" i="55"/>
  <c r="J291" i="53"/>
  <c r="X180" i="53"/>
  <c r="N285" i="57"/>
  <c r="J285" i="57"/>
  <c r="X174" i="57"/>
  <c r="AC174" i="57" s="1"/>
  <c r="D346" i="57"/>
  <c r="Q179" i="57"/>
  <c r="B284" i="55"/>
  <c r="O284" i="55"/>
  <c r="E285" i="56" l="1"/>
  <c r="N285" i="56"/>
  <c r="B287" i="51"/>
  <c r="O287" i="51"/>
  <c r="E290" i="53"/>
  <c r="N290" i="53"/>
  <c r="D287" i="42"/>
  <c r="L286" i="42"/>
  <c r="D321" i="47"/>
  <c r="E321" i="47" s="1"/>
  <c r="B321" i="47" s="1"/>
  <c r="Y175" i="56"/>
  <c r="G286" i="56"/>
  <c r="Y180" i="53"/>
  <c r="G291" i="53"/>
  <c r="Y174" i="55"/>
  <c r="G285" i="55"/>
  <c r="E346" i="57"/>
  <c r="N263" i="47"/>
  <c r="J263" i="47"/>
  <c r="D285" i="55"/>
  <c r="L284" i="55"/>
  <c r="I289" i="51"/>
  <c r="V177" i="51"/>
  <c r="N159" i="51" s="1"/>
  <c r="Y176" i="42"/>
  <c r="G287" i="42"/>
  <c r="O285" i="57"/>
  <c r="Y174" i="57"/>
  <c r="AD174" i="57" s="1"/>
  <c r="G285" i="57"/>
  <c r="B285" i="56" l="1"/>
  <c r="O285" i="56"/>
  <c r="D288" i="51"/>
  <c r="L287" i="51"/>
  <c r="B290" i="53"/>
  <c r="O290" i="53"/>
  <c r="E287" i="42"/>
  <c r="S176" i="42"/>
  <c r="AC176" i="42" s="1"/>
  <c r="N287" i="42"/>
  <c r="D322" i="47"/>
  <c r="E322" i="47" s="1"/>
  <c r="B322" i="47" s="1"/>
  <c r="B346" i="57"/>
  <c r="I287" i="56"/>
  <c r="V175" i="56"/>
  <c r="N157" i="56" s="1"/>
  <c r="I292" i="53"/>
  <c r="V180" i="53"/>
  <c r="O263" i="47"/>
  <c r="G263" i="47"/>
  <c r="J289" i="51"/>
  <c r="I286" i="57"/>
  <c r="L285" i="57"/>
  <c r="V174" i="57"/>
  <c r="E285" i="55"/>
  <c r="S174" i="55"/>
  <c r="AC174" i="55" s="1"/>
  <c r="N285" i="55"/>
  <c r="V174" i="55"/>
  <c r="N156" i="55" s="1"/>
  <c r="I286" i="55"/>
  <c r="V176" i="42"/>
  <c r="I288" i="42"/>
  <c r="AA174" i="57" l="1"/>
  <c r="N129" i="57" s="1"/>
  <c r="N130" i="57" s="1"/>
  <c r="N143" i="57" s="1"/>
  <c r="N156" i="57"/>
  <c r="L285" i="56"/>
  <c r="D286" i="56"/>
  <c r="S177" i="51"/>
  <c r="AC177" i="51" s="1"/>
  <c r="N288" i="51"/>
  <c r="E288" i="51"/>
  <c r="D291" i="53"/>
  <c r="L290" i="53"/>
  <c r="T176" i="42"/>
  <c r="AD176" i="42" s="1"/>
  <c r="O287" i="42"/>
  <c r="B287" i="42"/>
  <c r="D323" i="47"/>
  <c r="E323" i="47" s="1"/>
  <c r="B323" i="47" s="1"/>
  <c r="T174" i="55"/>
  <c r="AD174" i="55" s="1"/>
  <c r="B285" i="55"/>
  <c r="O285" i="55"/>
  <c r="J286" i="55"/>
  <c r="L263" i="47"/>
  <c r="I264" i="47"/>
  <c r="J287" i="56"/>
  <c r="N286" i="57"/>
  <c r="J286" i="57"/>
  <c r="N162" i="53"/>
  <c r="D347" i="57"/>
  <c r="J288" i="42"/>
  <c r="J292" i="53"/>
  <c r="N158" i="42"/>
  <c r="G289" i="51"/>
  <c r="N286" i="56" l="1"/>
  <c r="E286" i="56"/>
  <c r="S175" i="56"/>
  <c r="AC175" i="56" s="1"/>
  <c r="N155" i="57"/>
  <c r="N157" i="57" s="1"/>
  <c r="N144" i="57"/>
  <c r="T177" i="51"/>
  <c r="AD177" i="51" s="1"/>
  <c r="O288" i="51"/>
  <c r="B288" i="51"/>
  <c r="E291" i="53"/>
  <c r="S180" i="53"/>
  <c r="AC180" i="53" s="1"/>
  <c r="N291" i="53"/>
  <c r="D288" i="42"/>
  <c r="Q176" i="42"/>
  <c r="AA176" i="42" s="1"/>
  <c r="N131" i="42" s="1"/>
  <c r="N132" i="42" s="1"/>
  <c r="N145" i="42" s="1"/>
  <c r="N146" i="42" s="1"/>
  <c r="L287" i="42"/>
  <c r="D324" i="47"/>
  <c r="E347" i="57"/>
  <c r="G286" i="55"/>
  <c r="N264" i="47"/>
  <c r="J264" i="47"/>
  <c r="I290" i="51"/>
  <c r="O286" i="57"/>
  <c r="G286" i="57"/>
  <c r="G287" i="56"/>
  <c r="G292" i="53"/>
  <c r="G288" i="42"/>
  <c r="D286" i="55"/>
  <c r="Q174" i="55"/>
  <c r="AA174" i="55" s="1"/>
  <c r="N129" i="55" s="1"/>
  <c r="N130" i="55" s="1"/>
  <c r="N143" i="55" s="1"/>
  <c r="L285" i="55"/>
  <c r="N158" i="57" l="1"/>
  <c r="N159" i="57"/>
  <c r="O286" i="56"/>
  <c r="T175" i="56"/>
  <c r="AD175" i="56" s="1"/>
  <c r="B286" i="56"/>
  <c r="N146" i="57"/>
  <c r="N145" i="57"/>
  <c r="D289" i="51"/>
  <c r="L288" i="51"/>
  <c r="Q177" i="51"/>
  <c r="AA177" i="51" s="1"/>
  <c r="N132" i="51" s="1"/>
  <c r="N133" i="51" s="1"/>
  <c r="N146" i="51" s="1"/>
  <c r="T180" i="53"/>
  <c r="AD180" i="53" s="1"/>
  <c r="O291" i="53"/>
  <c r="B291" i="53"/>
  <c r="N147" i="42"/>
  <c r="S147" i="42"/>
  <c r="S148" i="42"/>
  <c r="N157" i="42"/>
  <c r="N159" i="42" s="1"/>
  <c r="E288" i="42"/>
  <c r="N288" i="42"/>
  <c r="I293" i="53"/>
  <c r="L286" i="57"/>
  <c r="I287" i="57"/>
  <c r="J290" i="51"/>
  <c r="N155" i="55"/>
  <c r="N157" i="55" s="1"/>
  <c r="N144" i="55"/>
  <c r="I288" i="56"/>
  <c r="I287" i="55"/>
  <c r="B347" i="57"/>
  <c r="N148" i="42"/>
  <c r="F7" i="42" s="1"/>
  <c r="O264" i="47"/>
  <c r="G264" i="47"/>
  <c r="E324" i="47"/>
  <c r="S158" i="47"/>
  <c r="E286" i="55"/>
  <c r="N286" i="55"/>
  <c r="I289" i="42"/>
  <c r="Q175" i="56" l="1"/>
  <c r="AA175" i="56" s="1"/>
  <c r="N130" i="56" s="1"/>
  <c r="N131" i="56" s="1"/>
  <c r="N144" i="56" s="1"/>
  <c r="D287" i="56"/>
  <c r="L286" i="56"/>
  <c r="N158" i="51"/>
  <c r="N160" i="51" s="1"/>
  <c r="N147" i="51"/>
  <c r="N289" i="51"/>
  <c r="E289" i="51"/>
  <c r="D292" i="53"/>
  <c r="Q180" i="53"/>
  <c r="AA180" i="53" s="1"/>
  <c r="N135" i="53" s="1"/>
  <c r="N136" i="53" s="1"/>
  <c r="N149" i="53" s="1"/>
  <c r="L291" i="53"/>
  <c r="E7" i="42"/>
  <c r="C8" i="47" s="1"/>
  <c r="N160" i="42"/>
  <c r="S161" i="42"/>
  <c r="S160" i="42"/>
  <c r="N161" i="42"/>
  <c r="F9" i="42" s="1"/>
  <c r="B288" i="42"/>
  <c r="O288" i="42"/>
  <c r="V153" i="47"/>
  <c r="AA153" i="47" s="1"/>
  <c r="L107" i="47" s="1"/>
  <c r="L108" i="47" s="1"/>
  <c r="L264" i="47"/>
  <c r="I265" i="47"/>
  <c r="N159" i="55"/>
  <c r="F9" i="55" s="1"/>
  <c r="N158" i="55"/>
  <c r="E9" i="55" s="1"/>
  <c r="E10" i="47" s="1"/>
  <c r="J287" i="55"/>
  <c r="J293" i="53"/>
  <c r="J289" i="42"/>
  <c r="T158" i="47"/>
  <c r="B324" i="47"/>
  <c r="G290" i="51"/>
  <c r="O286" i="55"/>
  <c r="B286" i="55"/>
  <c r="J288" i="56"/>
  <c r="N287" i="57"/>
  <c r="J287" i="57"/>
  <c r="D348" i="57"/>
  <c r="N146" i="55"/>
  <c r="F7" i="55" s="1"/>
  <c r="N145" i="55"/>
  <c r="E7" i="55" s="1"/>
  <c r="E8" i="47" s="1"/>
  <c r="E287" i="56" l="1"/>
  <c r="N287" i="56"/>
  <c r="N145" i="56"/>
  <c r="N156" i="56"/>
  <c r="N158" i="56" s="1"/>
  <c r="N149" i="51"/>
  <c r="N148" i="51"/>
  <c r="N161" i="51"/>
  <c r="N162" i="51"/>
  <c r="O289" i="51"/>
  <c r="B289" i="51"/>
  <c r="N161" i="53"/>
  <c r="N163" i="53" s="1"/>
  <c r="N150" i="53"/>
  <c r="E292" i="53"/>
  <c r="N292" i="53"/>
  <c r="E9" i="42"/>
  <c r="C10" i="47" s="1"/>
  <c r="D289" i="42"/>
  <c r="L288" i="42"/>
  <c r="G288" i="56"/>
  <c r="Q158" i="47"/>
  <c r="D325" i="47"/>
  <c r="N265" i="47"/>
  <c r="J265" i="47"/>
  <c r="O287" i="57"/>
  <c r="G287" i="57"/>
  <c r="L115" i="47"/>
  <c r="O7" i="47" s="1"/>
  <c r="L134" i="47"/>
  <c r="L116" i="47"/>
  <c r="O6" i="47"/>
  <c r="L121" i="47"/>
  <c r="E348" i="57"/>
  <c r="G293" i="53"/>
  <c r="D287" i="55"/>
  <c r="L286" i="55"/>
  <c r="G287" i="55"/>
  <c r="G289" i="42"/>
  <c r="I291" i="51"/>
  <c r="N160" i="56" l="1"/>
  <c r="N159" i="56"/>
  <c r="N147" i="56"/>
  <c r="N146" i="56"/>
  <c r="O287" i="56"/>
  <c r="B287" i="56"/>
  <c r="D290" i="51"/>
  <c r="L289" i="51"/>
  <c r="O292" i="53"/>
  <c r="B292" i="53"/>
  <c r="N151" i="53"/>
  <c r="E7" i="53" s="1"/>
  <c r="G8" i="47" s="1"/>
  <c r="N152" i="53"/>
  <c r="F7" i="53" s="1"/>
  <c r="N164" i="53"/>
  <c r="E9" i="53" s="1"/>
  <c r="G10" i="47" s="1"/>
  <c r="N165" i="53"/>
  <c r="F9" i="53" s="1"/>
  <c r="E289" i="42"/>
  <c r="N289" i="42"/>
  <c r="I288" i="55"/>
  <c r="E325" i="47"/>
  <c r="J291" i="51"/>
  <c r="E287" i="55"/>
  <c r="N287" i="55"/>
  <c r="L133" i="47"/>
  <c r="L135" i="47" s="1"/>
  <c r="L122" i="47"/>
  <c r="I289" i="56"/>
  <c r="I290" i="42"/>
  <c r="O265" i="47"/>
  <c r="G265" i="47"/>
  <c r="I294" i="53"/>
  <c r="L287" i="57"/>
  <c r="I288" i="57"/>
  <c r="B348" i="57"/>
  <c r="L287" i="56" l="1"/>
  <c r="D288" i="56"/>
  <c r="N290" i="51"/>
  <c r="E290" i="51"/>
  <c r="D293" i="53"/>
  <c r="L292" i="53"/>
  <c r="Q136" i="47"/>
  <c r="P10" i="47" s="1"/>
  <c r="Q137" i="47"/>
  <c r="Q123" i="47"/>
  <c r="P8" i="47" s="1"/>
  <c r="Q124" i="47"/>
  <c r="O289" i="42"/>
  <c r="B289" i="42"/>
  <c r="J289" i="56"/>
  <c r="L136" i="47"/>
  <c r="O10" i="47" s="1"/>
  <c r="L137" i="47"/>
  <c r="J288" i="55"/>
  <c r="D349" i="57"/>
  <c r="G291" i="51"/>
  <c r="N288" i="57"/>
  <c r="J288" i="57"/>
  <c r="L123" i="47"/>
  <c r="O8" i="47" s="1"/>
  <c r="L124" i="47"/>
  <c r="J290" i="42"/>
  <c r="O287" i="55"/>
  <c r="B287" i="55"/>
  <c r="J294" i="53"/>
  <c r="B325" i="47"/>
  <c r="L265" i="47"/>
  <c r="I266" i="47"/>
  <c r="N288" i="56" l="1"/>
  <c r="E288" i="56"/>
  <c r="O290" i="51"/>
  <c r="B290" i="51"/>
  <c r="E293" i="53"/>
  <c r="N293" i="53"/>
  <c r="D290" i="42"/>
  <c r="L289" i="42"/>
  <c r="D288" i="55"/>
  <c r="L287" i="55"/>
  <c r="G290" i="42"/>
  <c r="E349" i="57"/>
  <c r="D326" i="47"/>
  <c r="O288" i="57"/>
  <c r="G288" i="57"/>
  <c r="I292" i="51"/>
  <c r="G294" i="53"/>
  <c r="G288" i="55"/>
  <c r="G289" i="56"/>
  <c r="N266" i="47"/>
  <c r="J266" i="47"/>
  <c r="B288" i="56" l="1"/>
  <c r="O288" i="56"/>
  <c r="L290" i="51"/>
  <c r="D291" i="51"/>
  <c r="O293" i="53"/>
  <c r="B293" i="53"/>
  <c r="E290" i="42"/>
  <c r="N290" i="42"/>
  <c r="I295" i="53"/>
  <c r="E326" i="47"/>
  <c r="I291" i="42"/>
  <c r="O266" i="47"/>
  <c r="G266" i="47"/>
  <c r="J292" i="51"/>
  <c r="I289" i="55"/>
  <c r="I290" i="56"/>
  <c r="L288" i="57"/>
  <c r="I289" i="57"/>
  <c r="B349" i="57"/>
  <c r="E288" i="55"/>
  <c r="N288" i="55"/>
  <c r="D289" i="56" l="1"/>
  <c r="L288" i="56"/>
  <c r="E291" i="51"/>
  <c r="N291" i="51"/>
  <c r="D294" i="53"/>
  <c r="L293" i="53"/>
  <c r="B290" i="42"/>
  <c r="O290" i="42"/>
  <c r="J291" i="42"/>
  <c r="J290" i="56"/>
  <c r="B326" i="47"/>
  <c r="L266" i="47"/>
  <c r="I267" i="47"/>
  <c r="J295" i="53"/>
  <c r="N289" i="57"/>
  <c r="J289" i="57"/>
  <c r="G292" i="51"/>
  <c r="B288" i="55"/>
  <c r="O288" i="55"/>
  <c r="D350" i="57"/>
  <c r="J289" i="55"/>
  <c r="N289" i="56" l="1"/>
  <c r="E289" i="56"/>
  <c r="B291" i="51"/>
  <c r="O291" i="51"/>
  <c r="E294" i="53"/>
  <c r="N294" i="53"/>
  <c r="D291" i="42"/>
  <c r="L290" i="42"/>
  <c r="G289" i="55"/>
  <c r="G290" i="56"/>
  <c r="D289" i="55"/>
  <c r="L288" i="55"/>
  <c r="D327" i="47"/>
  <c r="I293" i="51"/>
  <c r="G291" i="42"/>
  <c r="G295" i="53"/>
  <c r="E350" i="57"/>
  <c r="O289" i="57"/>
  <c r="G289" i="57"/>
  <c r="N267" i="47"/>
  <c r="J267" i="47"/>
  <c r="O289" i="56" l="1"/>
  <c r="B289" i="56"/>
  <c r="D292" i="51"/>
  <c r="L291" i="51"/>
  <c r="O294" i="53"/>
  <c r="B294" i="53"/>
  <c r="E291" i="42"/>
  <c r="N291" i="42"/>
  <c r="B350" i="57"/>
  <c r="E289" i="55"/>
  <c r="N289" i="55"/>
  <c r="J293" i="51"/>
  <c r="I291" i="56"/>
  <c r="O267" i="47"/>
  <c r="G267" i="47"/>
  <c r="E327" i="47"/>
  <c r="I296" i="53"/>
  <c r="I290" i="55"/>
  <c r="L289" i="57"/>
  <c r="I290" i="57"/>
  <c r="I292" i="42"/>
  <c r="D290" i="56" l="1"/>
  <c r="L289" i="56"/>
  <c r="N292" i="51"/>
  <c r="E292" i="51"/>
  <c r="D295" i="53"/>
  <c r="L294" i="53"/>
  <c r="B291" i="42"/>
  <c r="O291" i="42"/>
  <c r="B327" i="47"/>
  <c r="G293" i="51"/>
  <c r="J296" i="53"/>
  <c r="N290" i="57"/>
  <c r="J290" i="57"/>
  <c r="B289" i="55"/>
  <c r="O289" i="55"/>
  <c r="J292" i="42"/>
  <c r="L267" i="47"/>
  <c r="I268" i="47"/>
  <c r="J290" i="55"/>
  <c r="J291" i="56"/>
  <c r="D351" i="57"/>
  <c r="E351" i="57" s="1"/>
  <c r="B351" i="57" s="1"/>
  <c r="E290" i="56" l="1"/>
  <c r="N290" i="56"/>
  <c r="O292" i="51"/>
  <c r="B292" i="51"/>
  <c r="E295" i="53"/>
  <c r="N295" i="53"/>
  <c r="D292" i="42"/>
  <c r="L291" i="42"/>
  <c r="D352" i="57"/>
  <c r="E352" i="57" s="1"/>
  <c r="B352" i="57" s="1"/>
  <c r="D290" i="55"/>
  <c r="L289" i="55"/>
  <c r="G290" i="55"/>
  <c r="G296" i="53"/>
  <c r="N268" i="47"/>
  <c r="J268" i="47"/>
  <c r="I294" i="51"/>
  <c r="G292" i="42"/>
  <c r="O290" i="57"/>
  <c r="G290" i="57"/>
  <c r="D328" i="47"/>
  <c r="G291" i="56"/>
  <c r="O290" i="56" l="1"/>
  <c r="B290" i="56"/>
  <c r="L292" i="51"/>
  <c r="D293" i="51"/>
  <c r="O295" i="53"/>
  <c r="B295" i="53"/>
  <c r="E292" i="42"/>
  <c r="N292" i="42"/>
  <c r="D353" i="57"/>
  <c r="E353" i="57" s="1"/>
  <c r="B353" i="57" s="1"/>
  <c r="E328" i="47"/>
  <c r="L290" i="57"/>
  <c r="I291" i="57"/>
  <c r="I292" i="56"/>
  <c r="I293" i="42"/>
  <c r="J294" i="51"/>
  <c r="I297" i="53"/>
  <c r="E290" i="55"/>
  <c r="N290" i="55"/>
  <c r="I291" i="55"/>
  <c r="O268" i="47"/>
  <c r="G268" i="47"/>
  <c r="L290" i="56" l="1"/>
  <c r="D291" i="56"/>
  <c r="E293" i="51"/>
  <c r="N293" i="51"/>
  <c r="D296" i="53"/>
  <c r="L295" i="53"/>
  <c r="B292" i="42"/>
  <c r="O292" i="42"/>
  <c r="D354" i="57"/>
  <c r="E354" i="57" s="1"/>
  <c r="B354" i="57" s="1"/>
  <c r="J291" i="55"/>
  <c r="J292" i="56"/>
  <c r="B328" i="47"/>
  <c r="J297" i="53"/>
  <c r="L268" i="47"/>
  <c r="I269" i="47"/>
  <c r="G294" i="51"/>
  <c r="N291" i="57"/>
  <c r="J291" i="57"/>
  <c r="O290" i="55"/>
  <c r="B290" i="55"/>
  <c r="J293" i="42"/>
  <c r="E291" i="56" l="1"/>
  <c r="N291" i="56"/>
  <c r="B293" i="51"/>
  <c r="O293" i="51"/>
  <c r="E296" i="53"/>
  <c r="N296" i="53"/>
  <c r="D293" i="42"/>
  <c r="L292" i="42"/>
  <c r="D355" i="57"/>
  <c r="E355" i="57" s="1"/>
  <c r="B355" i="57" s="1"/>
  <c r="N269" i="47"/>
  <c r="J269" i="47"/>
  <c r="G291" i="55"/>
  <c r="D329" i="47"/>
  <c r="G292" i="56"/>
  <c r="G297" i="53"/>
  <c r="O291" i="57"/>
  <c r="G291" i="57"/>
  <c r="I295" i="51"/>
  <c r="G293" i="42"/>
  <c r="D291" i="55"/>
  <c r="L290" i="55"/>
  <c r="B291" i="56" l="1"/>
  <c r="O291" i="56"/>
  <c r="D294" i="51"/>
  <c r="L293" i="51"/>
  <c r="O296" i="53"/>
  <c r="B296" i="53"/>
  <c r="E293" i="42"/>
  <c r="N293" i="42"/>
  <c r="D356" i="57"/>
  <c r="E356" i="57" s="1"/>
  <c r="B356" i="57" s="1"/>
  <c r="E291" i="55"/>
  <c r="N291" i="55"/>
  <c r="I293" i="56"/>
  <c r="J295" i="51"/>
  <c r="E329" i="47"/>
  <c r="I298" i="53"/>
  <c r="I292" i="55"/>
  <c r="O269" i="47"/>
  <c r="G269" i="47"/>
  <c r="L291" i="57"/>
  <c r="I292" i="57"/>
  <c r="I294" i="42"/>
  <c r="D292" i="56" l="1"/>
  <c r="L291" i="56"/>
  <c r="E294" i="51"/>
  <c r="N294" i="51"/>
  <c r="D297" i="53"/>
  <c r="L296" i="53"/>
  <c r="B293" i="42"/>
  <c r="O293" i="42"/>
  <c r="D357" i="57"/>
  <c r="N292" i="57"/>
  <c r="J292" i="57"/>
  <c r="B329" i="47"/>
  <c r="J292" i="55"/>
  <c r="O291" i="55"/>
  <c r="B291" i="55"/>
  <c r="J298" i="53"/>
  <c r="G295" i="51"/>
  <c r="J294" i="42"/>
  <c r="L269" i="47"/>
  <c r="I270" i="47"/>
  <c r="J293" i="56"/>
  <c r="N292" i="56" l="1"/>
  <c r="E292" i="56"/>
  <c r="O294" i="51"/>
  <c r="B294" i="51"/>
  <c r="E297" i="53"/>
  <c r="N297" i="53"/>
  <c r="D294" i="42"/>
  <c r="L293" i="42"/>
  <c r="O292" i="57"/>
  <c r="G292" i="57"/>
  <c r="G293" i="56"/>
  <c r="N270" i="47"/>
  <c r="J270" i="47"/>
  <c r="I296" i="51"/>
  <c r="E357" i="57"/>
  <c r="S180" i="57"/>
  <c r="G298" i="53"/>
  <c r="D292" i="55"/>
  <c r="L291" i="55"/>
  <c r="D330" i="47"/>
  <c r="E330" i="47" s="1"/>
  <c r="B330" i="47" s="1"/>
  <c r="G292" i="55"/>
  <c r="G294" i="42"/>
  <c r="O292" i="56" l="1"/>
  <c r="B292" i="56"/>
  <c r="D295" i="51"/>
  <c r="L294" i="51"/>
  <c r="B297" i="53"/>
  <c r="O297" i="53"/>
  <c r="E294" i="42"/>
  <c r="N294" i="42"/>
  <c r="D331" i="47"/>
  <c r="E331" i="47" s="1"/>
  <c r="B331" i="47" s="1"/>
  <c r="I295" i="42"/>
  <c r="I293" i="57"/>
  <c r="L292" i="57"/>
  <c r="I294" i="56"/>
  <c r="I293" i="55"/>
  <c r="J296" i="51"/>
  <c r="T180" i="57"/>
  <c r="B357" i="57"/>
  <c r="I299" i="53"/>
  <c r="E292" i="55"/>
  <c r="N292" i="55"/>
  <c r="O270" i="47"/>
  <c r="G270" i="47"/>
  <c r="D293" i="56" l="1"/>
  <c r="L292" i="56"/>
  <c r="E295" i="51"/>
  <c r="N295" i="51"/>
  <c r="D298" i="53"/>
  <c r="L297" i="53"/>
  <c r="B294" i="42"/>
  <c r="O294" i="42"/>
  <c r="J295" i="42"/>
  <c r="J294" i="56"/>
  <c r="L270" i="47"/>
  <c r="I271" i="47"/>
  <c r="N293" i="57"/>
  <c r="J293" i="57"/>
  <c r="Q180" i="57"/>
  <c r="D358" i="57"/>
  <c r="G296" i="51"/>
  <c r="O292" i="55"/>
  <c r="B292" i="55"/>
  <c r="J293" i="55"/>
  <c r="D332" i="47"/>
  <c r="E332" i="47" s="1"/>
  <c r="B332" i="47" s="1"/>
  <c r="J299" i="53"/>
  <c r="N293" i="56" l="1"/>
  <c r="E293" i="56"/>
  <c r="O295" i="51"/>
  <c r="B295" i="51"/>
  <c r="E298" i="53"/>
  <c r="N298" i="53"/>
  <c r="D295" i="42"/>
  <c r="L294" i="42"/>
  <c r="D333" i="47"/>
  <c r="E333" i="47" s="1"/>
  <c r="B333" i="47" s="1"/>
  <c r="G299" i="53"/>
  <c r="G293" i="55"/>
  <c r="O293" i="57"/>
  <c r="G293" i="57"/>
  <c r="D293" i="55"/>
  <c r="L292" i="55"/>
  <c r="N271" i="47"/>
  <c r="J271" i="47"/>
  <c r="G294" i="56"/>
  <c r="E358" i="57"/>
  <c r="I297" i="51"/>
  <c r="G295" i="42"/>
  <c r="B293" i="56" l="1"/>
  <c r="O293" i="56"/>
  <c r="D296" i="51"/>
  <c r="L295" i="51"/>
  <c r="B298" i="53"/>
  <c r="O298" i="53"/>
  <c r="E295" i="42"/>
  <c r="N295" i="42"/>
  <c r="D334" i="47"/>
  <c r="E334" i="47" s="1"/>
  <c r="B334" i="47" s="1"/>
  <c r="I294" i="57"/>
  <c r="L293" i="57"/>
  <c r="I300" i="53"/>
  <c r="O271" i="47"/>
  <c r="G271" i="47"/>
  <c r="I295" i="56"/>
  <c r="E293" i="55"/>
  <c r="N293" i="55"/>
  <c r="J297" i="51"/>
  <c r="I296" i="42"/>
  <c r="B358" i="57"/>
  <c r="I294" i="55"/>
  <c r="D294" i="56" l="1"/>
  <c r="L293" i="56"/>
  <c r="E296" i="51"/>
  <c r="N296" i="51"/>
  <c r="D299" i="53"/>
  <c r="L298" i="53"/>
  <c r="B295" i="42"/>
  <c r="O295" i="42"/>
  <c r="D335" i="47"/>
  <c r="E335" i="47" s="1"/>
  <c r="B335" i="47" s="1"/>
  <c r="O293" i="55"/>
  <c r="B293" i="55"/>
  <c r="N294" i="57"/>
  <c r="J294" i="57"/>
  <c r="J296" i="42"/>
  <c r="G297" i="51"/>
  <c r="L271" i="47"/>
  <c r="I272" i="47"/>
  <c r="J294" i="55"/>
  <c r="J295" i="56"/>
  <c r="D359" i="57"/>
  <c r="J300" i="53"/>
  <c r="E294" i="56" l="1"/>
  <c r="N294" i="56"/>
  <c r="B296" i="51"/>
  <c r="O296" i="51"/>
  <c r="E299" i="53"/>
  <c r="N299" i="53"/>
  <c r="D296" i="42"/>
  <c r="L295" i="42"/>
  <c r="D336" i="47"/>
  <c r="O294" i="57"/>
  <c r="G294" i="57"/>
  <c r="G296" i="42"/>
  <c r="G295" i="56"/>
  <c r="G300" i="53"/>
  <c r="G294" i="55"/>
  <c r="I298" i="51"/>
  <c r="D294" i="55"/>
  <c r="L293" i="55"/>
  <c r="N272" i="47"/>
  <c r="J272" i="47"/>
  <c r="E359" i="57"/>
  <c r="B294" i="56" l="1"/>
  <c r="O294" i="56"/>
  <c r="L296" i="51"/>
  <c r="D297" i="51"/>
  <c r="B299" i="53"/>
  <c r="O299" i="53"/>
  <c r="E296" i="42"/>
  <c r="N296" i="42"/>
  <c r="I301" i="53"/>
  <c r="I297" i="42"/>
  <c r="I295" i="55"/>
  <c r="I296" i="56"/>
  <c r="L294" i="57"/>
  <c r="I295" i="57"/>
  <c r="J298" i="51"/>
  <c r="O272" i="47"/>
  <c r="G272" i="47"/>
  <c r="B359" i="57"/>
  <c r="E336" i="47"/>
  <c r="S159" i="47"/>
  <c r="E294" i="55"/>
  <c r="N294" i="55"/>
  <c r="D295" i="56" l="1"/>
  <c r="L294" i="56"/>
  <c r="N297" i="51"/>
  <c r="E297" i="51"/>
  <c r="D300" i="53"/>
  <c r="L299" i="53"/>
  <c r="B296" i="42"/>
  <c r="O296" i="42"/>
  <c r="L272" i="47"/>
  <c r="I273" i="47"/>
  <c r="T159" i="47"/>
  <c r="B336" i="47"/>
  <c r="J296" i="56"/>
  <c r="J301" i="53"/>
  <c r="J297" i="42"/>
  <c r="G298" i="51"/>
  <c r="J295" i="55"/>
  <c r="B294" i="55"/>
  <c r="O294" i="55"/>
  <c r="D360" i="57"/>
  <c r="N295" i="57"/>
  <c r="J295" i="57"/>
  <c r="E295" i="56" l="1"/>
  <c r="N295" i="56"/>
  <c r="B297" i="51"/>
  <c r="O297" i="51"/>
  <c r="E300" i="53"/>
  <c r="N300" i="53"/>
  <c r="D297" i="42"/>
  <c r="L296" i="42"/>
  <c r="G296" i="56"/>
  <c r="D295" i="55"/>
  <c r="L294" i="55"/>
  <c r="I299" i="51"/>
  <c r="N273" i="47"/>
  <c r="J273" i="47"/>
  <c r="G295" i="55"/>
  <c r="Q159" i="47"/>
  <c r="D337" i="47"/>
  <c r="G297" i="42"/>
  <c r="O295" i="57"/>
  <c r="G295" i="57"/>
  <c r="E360" i="57"/>
  <c r="G301" i="53"/>
  <c r="B295" i="56" l="1"/>
  <c r="O295" i="56"/>
  <c r="D298" i="51"/>
  <c r="L297" i="51"/>
  <c r="B300" i="53"/>
  <c r="O300" i="53"/>
  <c r="E297" i="42"/>
  <c r="N297" i="42"/>
  <c r="I298" i="42"/>
  <c r="E295" i="55"/>
  <c r="N295" i="55"/>
  <c r="I302" i="53"/>
  <c r="L295" i="57"/>
  <c r="I296" i="57"/>
  <c r="O273" i="47"/>
  <c r="G273" i="47"/>
  <c r="E337" i="47"/>
  <c r="B360" i="57"/>
  <c r="I297" i="56"/>
  <c r="I296" i="55"/>
  <c r="J299" i="51"/>
  <c r="L295" i="56" l="1"/>
  <c r="D296" i="56"/>
  <c r="N298" i="51"/>
  <c r="E298" i="51"/>
  <c r="D301" i="53"/>
  <c r="L300" i="53"/>
  <c r="B297" i="42"/>
  <c r="O297" i="42"/>
  <c r="D361" i="57"/>
  <c r="B337" i="47"/>
  <c r="J302" i="53"/>
  <c r="J296" i="55"/>
  <c r="J298" i="42"/>
  <c r="O295" i="55"/>
  <c r="B295" i="55"/>
  <c r="N296" i="57"/>
  <c r="J296" i="57"/>
  <c r="J297" i="56"/>
  <c r="L273" i="47"/>
  <c r="I274" i="47"/>
  <c r="G299" i="51"/>
  <c r="E296" i="56" l="1"/>
  <c r="N296" i="56"/>
  <c r="B298" i="51"/>
  <c r="O298" i="51"/>
  <c r="E301" i="53"/>
  <c r="N301" i="53"/>
  <c r="D298" i="42"/>
  <c r="L297" i="42"/>
  <c r="G298" i="42"/>
  <c r="D296" i="55"/>
  <c r="L295" i="55"/>
  <c r="D338" i="47"/>
  <c r="O296" i="57"/>
  <c r="G296" i="57"/>
  <c r="G302" i="53"/>
  <c r="I300" i="51"/>
  <c r="N274" i="47"/>
  <c r="J274" i="47"/>
  <c r="G296" i="55"/>
  <c r="G297" i="56"/>
  <c r="E361" i="57"/>
  <c r="O296" i="56" l="1"/>
  <c r="B296" i="56"/>
  <c r="D299" i="51"/>
  <c r="L298" i="51"/>
  <c r="B301" i="53"/>
  <c r="O301" i="53"/>
  <c r="E298" i="42"/>
  <c r="N298" i="42"/>
  <c r="O274" i="47"/>
  <c r="G274" i="47"/>
  <c r="J300" i="51"/>
  <c r="X178" i="51"/>
  <c r="E338" i="47"/>
  <c r="E296" i="55"/>
  <c r="N296" i="55"/>
  <c r="B361" i="57"/>
  <c r="I303" i="53"/>
  <c r="I297" i="55"/>
  <c r="I299" i="42"/>
  <c r="I298" i="56"/>
  <c r="I297" i="57"/>
  <c r="L296" i="57"/>
  <c r="D297" i="56" l="1"/>
  <c r="L296" i="56"/>
  <c r="N299" i="51"/>
  <c r="E299" i="51"/>
  <c r="D302" i="53"/>
  <c r="L301" i="53"/>
  <c r="B298" i="42"/>
  <c r="O298" i="42"/>
  <c r="J297" i="55"/>
  <c r="X175" i="55"/>
  <c r="O296" i="55"/>
  <c r="B296" i="55"/>
  <c r="D362" i="57"/>
  <c r="B338" i="47"/>
  <c r="L274" i="47"/>
  <c r="I275" i="47"/>
  <c r="J299" i="42"/>
  <c r="X177" i="42"/>
  <c r="Y178" i="51"/>
  <c r="G300" i="51"/>
  <c r="J298" i="56"/>
  <c r="X176" i="56"/>
  <c r="N297" i="57"/>
  <c r="J297" i="57"/>
  <c r="X175" i="57"/>
  <c r="AC175" i="57" s="1"/>
  <c r="J303" i="53"/>
  <c r="X181" i="53"/>
  <c r="E297" i="56" l="1"/>
  <c r="N297" i="56"/>
  <c r="B299" i="51"/>
  <c r="O299" i="51"/>
  <c r="E302" i="53"/>
  <c r="N302" i="53"/>
  <c r="D299" i="42"/>
  <c r="L298" i="42"/>
  <c r="D339" i="47"/>
  <c r="D297" i="55"/>
  <c r="L296" i="55"/>
  <c r="N275" i="47"/>
  <c r="J275" i="47"/>
  <c r="O297" i="57"/>
  <c r="Y175" i="57"/>
  <c r="AD175" i="57" s="1"/>
  <c r="G297" i="57"/>
  <c r="Y177" i="42"/>
  <c r="G299" i="42"/>
  <c r="E362" i="57"/>
  <c r="Y175" i="55"/>
  <c r="G297" i="55"/>
  <c r="Y176" i="56"/>
  <c r="G298" i="56"/>
  <c r="Y181" i="53"/>
  <c r="G303" i="53"/>
  <c r="I301" i="51"/>
  <c r="V178" i="51"/>
  <c r="B297" i="56" l="1"/>
  <c r="O297" i="56"/>
  <c r="D300" i="51"/>
  <c r="L299" i="51"/>
  <c r="B302" i="53"/>
  <c r="O302" i="53"/>
  <c r="E299" i="42"/>
  <c r="S177" i="42"/>
  <c r="AC177" i="42" s="1"/>
  <c r="N299" i="42"/>
  <c r="E297" i="55"/>
  <c r="S175" i="55"/>
  <c r="AC175" i="55" s="1"/>
  <c r="N297" i="55"/>
  <c r="I299" i="56"/>
  <c r="V176" i="56"/>
  <c r="O275" i="47"/>
  <c r="G275" i="47"/>
  <c r="E339" i="47"/>
  <c r="V175" i="55"/>
  <c r="I298" i="55"/>
  <c r="B362" i="57"/>
  <c r="V177" i="42"/>
  <c r="I300" i="42"/>
  <c r="L297" i="57"/>
  <c r="V175" i="57"/>
  <c r="AA175" i="57" s="1"/>
  <c r="I298" i="57"/>
  <c r="J301" i="51"/>
  <c r="I304" i="53"/>
  <c r="V181" i="53"/>
  <c r="L297" i="56" l="1"/>
  <c r="D298" i="56"/>
  <c r="S178" i="51"/>
  <c r="AC178" i="51" s="1"/>
  <c r="E300" i="51"/>
  <c r="N300" i="51"/>
  <c r="D303" i="53"/>
  <c r="L302" i="53"/>
  <c r="T177" i="42"/>
  <c r="AD177" i="42" s="1"/>
  <c r="O299" i="42"/>
  <c r="B299" i="42"/>
  <c r="J300" i="42"/>
  <c r="N298" i="57"/>
  <c r="J298" i="57"/>
  <c r="J299" i="56"/>
  <c r="J304" i="53"/>
  <c r="J298" i="55"/>
  <c r="B339" i="47"/>
  <c r="G301" i="51"/>
  <c r="D363" i="57"/>
  <c r="E363" i="57" s="1"/>
  <c r="B363" i="57" s="1"/>
  <c r="L275" i="47"/>
  <c r="I276" i="47"/>
  <c r="T175" i="55"/>
  <c r="AD175" i="55" s="1"/>
  <c r="B297" i="55"/>
  <c r="O297" i="55"/>
  <c r="N298" i="56" l="1"/>
  <c r="E298" i="56"/>
  <c r="S176" i="56"/>
  <c r="AC176" i="56" s="1"/>
  <c r="O300" i="51"/>
  <c r="T178" i="51"/>
  <c r="AD178" i="51" s="1"/>
  <c r="B300" i="51"/>
  <c r="E303" i="53"/>
  <c r="S181" i="53"/>
  <c r="AC181" i="53" s="1"/>
  <c r="N303" i="53"/>
  <c r="D300" i="42"/>
  <c r="Q177" i="42"/>
  <c r="AA177" i="42" s="1"/>
  <c r="L299" i="42"/>
  <c r="D340" i="47"/>
  <c r="G304" i="53"/>
  <c r="N276" i="47"/>
  <c r="J276" i="47"/>
  <c r="X154" i="47"/>
  <c r="AC154" i="47" s="1"/>
  <c r="G298" i="55"/>
  <c r="G300" i="42"/>
  <c r="O298" i="57"/>
  <c r="G298" i="57"/>
  <c r="D364" i="57"/>
  <c r="E364" i="57" s="1"/>
  <c r="B364" i="57" s="1"/>
  <c r="D298" i="55"/>
  <c r="Q175" i="55"/>
  <c r="AA175" i="55" s="1"/>
  <c r="L297" i="55"/>
  <c r="I302" i="51"/>
  <c r="G299" i="56"/>
  <c r="O298" i="56" l="1"/>
  <c r="B298" i="56"/>
  <c r="T176" i="56"/>
  <c r="AD176" i="56" s="1"/>
  <c r="Q178" i="51"/>
  <c r="AA178" i="51" s="1"/>
  <c r="L300" i="51"/>
  <c r="D301" i="51"/>
  <c r="T181" i="53"/>
  <c r="AD181" i="53" s="1"/>
  <c r="O303" i="53"/>
  <c r="B303" i="53"/>
  <c r="E300" i="42"/>
  <c r="N300" i="42"/>
  <c r="D365" i="57"/>
  <c r="E365" i="57" s="1"/>
  <c r="B365" i="57" s="1"/>
  <c r="L298" i="57"/>
  <c r="I299" i="57"/>
  <c r="E340" i="47"/>
  <c r="E298" i="55"/>
  <c r="N298" i="55"/>
  <c r="O276" i="47"/>
  <c r="Y154" i="47"/>
  <c r="AD154" i="47" s="1"/>
  <c r="G276" i="47"/>
  <c r="I300" i="56"/>
  <c r="I301" i="42"/>
  <c r="I305" i="53"/>
  <c r="J302" i="51"/>
  <c r="I299" i="55"/>
  <c r="D299" i="56" l="1"/>
  <c r="Q176" i="56"/>
  <c r="AA176" i="56" s="1"/>
  <c r="L298" i="56"/>
  <c r="E301" i="51"/>
  <c r="N301" i="51"/>
  <c r="D304" i="53"/>
  <c r="Q181" i="53"/>
  <c r="AA181" i="53" s="1"/>
  <c r="L303" i="53"/>
  <c r="O300" i="42"/>
  <c r="B300" i="42"/>
  <c r="D366" i="57"/>
  <c r="E366" i="57" s="1"/>
  <c r="B366" i="57" s="1"/>
  <c r="J305" i="53"/>
  <c r="J300" i="56"/>
  <c r="B340" i="47"/>
  <c r="J301" i="42"/>
  <c r="B298" i="55"/>
  <c r="O298" i="55"/>
  <c r="J299" i="55"/>
  <c r="G302" i="51"/>
  <c r="L276" i="47"/>
  <c r="V154" i="47"/>
  <c r="AA154" i="47" s="1"/>
  <c r="I277" i="47"/>
  <c r="N299" i="57"/>
  <c r="J299" i="57"/>
  <c r="E299" i="56" l="1"/>
  <c r="N299" i="56"/>
  <c r="B301" i="51"/>
  <c r="O301" i="51"/>
  <c r="E304" i="53"/>
  <c r="N304" i="53"/>
  <c r="D301" i="42"/>
  <c r="L300" i="42"/>
  <c r="D367" i="57"/>
  <c r="E367" i="57" s="1"/>
  <c r="B367" i="57" s="1"/>
  <c r="I303" i="51"/>
  <c r="D299" i="55"/>
  <c r="L298" i="55"/>
  <c r="O299" i="57"/>
  <c r="G299" i="57"/>
  <c r="G301" i="42"/>
  <c r="G300" i="56"/>
  <c r="N277" i="47"/>
  <c r="J277" i="47"/>
  <c r="G305" i="53"/>
  <c r="G299" i="55"/>
  <c r="D341" i="47"/>
  <c r="B299" i="56" l="1"/>
  <c r="O299" i="56"/>
  <c r="L301" i="51"/>
  <c r="D302" i="51"/>
  <c r="O304" i="53"/>
  <c r="B304" i="53"/>
  <c r="E301" i="42"/>
  <c r="N301" i="42"/>
  <c r="D368" i="57"/>
  <c r="E368" i="57" s="1"/>
  <c r="B368" i="57" s="1"/>
  <c r="E341" i="47"/>
  <c r="O277" i="47"/>
  <c r="G277" i="47"/>
  <c r="L299" i="57"/>
  <c r="I300" i="57"/>
  <c r="I300" i="55"/>
  <c r="I306" i="53"/>
  <c r="J303" i="51"/>
  <c r="I301" i="56"/>
  <c r="I302" i="42"/>
  <c r="E299" i="55"/>
  <c r="N299" i="55"/>
  <c r="L299" i="56" l="1"/>
  <c r="D300" i="56"/>
  <c r="N302" i="51"/>
  <c r="E302" i="51"/>
  <c r="D305" i="53"/>
  <c r="L304" i="53"/>
  <c r="B301" i="42"/>
  <c r="O301" i="42"/>
  <c r="D369" i="57"/>
  <c r="O299" i="55"/>
  <c r="B299" i="55"/>
  <c r="J300" i="55"/>
  <c r="J306" i="53"/>
  <c r="J301" i="56"/>
  <c r="J302" i="42"/>
  <c r="N300" i="57"/>
  <c r="J300" i="57"/>
  <c r="L277" i="47"/>
  <c r="I278" i="47"/>
  <c r="G303" i="51"/>
  <c r="B341" i="47"/>
  <c r="E300" i="56" l="1"/>
  <c r="N300" i="56"/>
  <c r="B302" i="51"/>
  <c r="O302" i="51"/>
  <c r="E305" i="53"/>
  <c r="N305" i="53"/>
  <c r="D302" i="42"/>
  <c r="L301" i="42"/>
  <c r="G306" i="53"/>
  <c r="E369" i="57"/>
  <c r="S181" i="57"/>
  <c r="I304" i="51"/>
  <c r="G301" i="56"/>
  <c r="D300" i="55"/>
  <c r="L299" i="55"/>
  <c r="G302" i="42"/>
  <c r="G300" i="55"/>
  <c r="N278" i="47"/>
  <c r="J278" i="47"/>
  <c r="D342" i="47"/>
  <c r="E342" i="47" s="1"/>
  <c r="B342" i="47" s="1"/>
  <c r="O300" i="57"/>
  <c r="G300" i="57"/>
  <c r="O300" i="56" l="1"/>
  <c r="B300" i="56"/>
  <c r="L302" i="51"/>
  <c r="D303" i="51"/>
  <c r="O305" i="53"/>
  <c r="B305" i="53"/>
  <c r="E302" i="42"/>
  <c r="N302" i="42"/>
  <c r="D343" i="47"/>
  <c r="E343" i="47" s="1"/>
  <c r="B343" i="47" s="1"/>
  <c r="J304" i="51"/>
  <c r="I301" i="57"/>
  <c r="L300" i="57"/>
  <c r="O278" i="47"/>
  <c r="G278" i="47"/>
  <c r="E300" i="55"/>
  <c r="N300" i="55"/>
  <c r="I303" i="42"/>
  <c r="I301" i="55"/>
  <c r="T181" i="57"/>
  <c r="B369" i="57"/>
  <c r="I302" i="56"/>
  <c r="I307" i="53"/>
  <c r="L300" i="56" l="1"/>
  <c r="D301" i="56"/>
  <c r="E303" i="51"/>
  <c r="N303" i="51"/>
  <c r="D306" i="53"/>
  <c r="L305" i="53"/>
  <c r="B302" i="42"/>
  <c r="O302" i="42"/>
  <c r="D344" i="47"/>
  <c r="E344" i="47" s="1"/>
  <c r="B344" i="47" s="1"/>
  <c r="N301" i="57"/>
  <c r="J301" i="57"/>
  <c r="B300" i="55"/>
  <c r="O300" i="55"/>
  <c r="G304" i="51"/>
  <c r="J303" i="42"/>
  <c r="L278" i="47"/>
  <c r="I279" i="47"/>
  <c r="J301" i="55"/>
  <c r="J307" i="53"/>
  <c r="D370" i="57"/>
  <c r="Q181" i="57"/>
  <c r="J302" i="56"/>
  <c r="N301" i="56" l="1"/>
  <c r="E301" i="56"/>
  <c r="O303" i="51"/>
  <c r="B303" i="51"/>
  <c r="E306" i="53"/>
  <c r="N306" i="53"/>
  <c r="D303" i="42"/>
  <c r="L302" i="42"/>
  <c r="D345" i="47"/>
  <c r="E345" i="47" s="1"/>
  <c r="B345" i="47" s="1"/>
  <c r="G307" i="53"/>
  <c r="O301" i="57"/>
  <c r="G301" i="57"/>
  <c r="G302" i="56"/>
  <c r="I305" i="51"/>
  <c r="N279" i="47"/>
  <c r="J279" i="47"/>
  <c r="G303" i="42"/>
  <c r="E370" i="57"/>
  <c r="G301" i="55"/>
  <c r="D301" i="55"/>
  <c r="L300" i="55"/>
  <c r="O301" i="56" l="1"/>
  <c r="B301" i="56"/>
  <c r="L303" i="51"/>
  <c r="D304" i="51"/>
  <c r="O306" i="53"/>
  <c r="B306" i="53"/>
  <c r="E303" i="42"/>
  <c r="N303" i="42"/>
  <c r="D346" i="47"/>
  <c r="E346" i="47" s="1"/>
  <c r="B346" i="47" s="1"/>
  <c r="I302" i="57"/>
  <c r="L301" i="57"/>
  <c r="I302" i="55"/>
  <c r="I304" i="42"/>
  <c r="B370" i="57"/>
  <c r="I303" i="56"/>
  <c r="I308" i="53"/>
  <c r="J305" i="51"/>
  <c r="E301" i="55"/>
  <c r="N301" i="55"/>
  <c r="O279" i="47"/>
  <c r="G279" i="47"/>
  <c r="L301" i="56" l="1"/>
  <c r="D302" i="56"/>
  <c r="N304" i="51"/>
  <c r="E304" i="51"/>
  <c r="D307" i="53"/>
  <c r="L306" i="53"/>
  <c r="B303" i="42"/>
  <c r="O303" i="42"/>
  <c r="D347" i="47"/>
  <c r="E347" i="47" s="1"/>
  <c r="B347" i="47" s="1"/>
  <c r="L279" i="47"/>
  <c r="I280" i="47"/>
  <c r="J303" i="56"/>
  <c r="D371" i="57"/>
  <c r="N302" i="57"/>
  <c r="J302" i="57"/>
  <c r="J308" i="53"/>
  <c r="J304" i="42"/>
  <c r="O301" i="55"/>
  <c r="B301" i="55"/>
  <c r="G305" i="51"/>
  <c r="J302" i="55"/>
  <c r="E302" i="56" l="1"/>
  <c r="N302" i="56"/>
  <c r="O304" i="51"/>
  <c r="B304" i="51"/>
  <c r="E307" i="53"/>
  <c r="N307" i="53"/>
  <c r="D304" i="42"/>
  <c r="L303" i="42"/>
  <c r="D348" i="47"/>
  <c r="E371" i="57"/>
  <c r="G308" i="53"/>
  <c r="G302" i="55"/>
  <c r="G303" i="56"/>
  <c r="O302" i="57"/>
  <c r="G302" i="57"/>
  <c r="N280" i="47"/>
  <c r="J280" i="47"/>
  <c r="G304" i="42"/>
  <c r="D302" i="55"/>
  <c r="L301" i="55"/>
  <c r="I306" i="51"/>
  <c r="B302" i="56" l="1"/>
  <c r="O302" i="56"/>
  <c r="L304" i="51"/>
  <c r="D305" i="51"/>
  <c r="O307" i="53"/>
  <c r="B307" i="53"/>
  <c r="E304" i="42"/>
  <c r="N304" i="42"/>
  <c r="I304" i="56"/>
  <c r="E302" i="55"/>
  <c r="N302" i="55"/>
  <c r="L302" i="57"/>
  <c r="I303" i="57"/>
  <c r="B371" i="57"/>
  <c r="I303" i="55"/>
  <c r="E348" i="47"/>
  <c r="S160" i="47"/>
  <c r="I309" i="53"/>
  <c r="O280" i="47"/>
  <c r="G280" i="47"/>
  <c r="J306" i="51"/>
  <c r="I305" i="42"/>
  <c r="L302" i="56" l="1"/>
  <c r="D303" i="56"/>
  <c r="E305" i="51"/>
  <c r="N305" i="51"/>
  <c r="D308" i="53"/>
  <c r="L307" i="53"/>
  <c r="O304" i="42"/>
  <c r="B304" i="42"/>
  <c r="L280" i="47"/>
  <c r="I281" i="47"/>
  <c r="N303" i="57"/>
  <c r="J303" i="57"/>
  <c r="O302" i="55"/>
  <c r="B302" i="55"/>
  <c r="D372" i="57"/>
  <c r="T160" i="47"/>
  <c r="B348" i="47"/>
  <c r="J305" i="42"/>
  <c r="J303" i="55"/>
  <c r="G306" i="51"/>
  <c r="J309" i="53"/>
  <c r="J304" i="56"/>
  <c r="E303" i="56" l="1"/>
  <c r="N303" i="56"/>
  <c r="O305" i="51"/>
  <c r="B305" i="51"/>
  <c r="E308" i="53"/>
  <c r="N308" i="53"/>
  <c r="D305" i="42"/>
  <c r="L304" i="42"/>
  <c r="G303" i="55"/>
  <c r="G305" i="42"/>
  <c r="D303" i="55"/>
  <c r="L302" i="55"/>
  <c r="N281" i="47"/>
  <c r="J281" i="47"/>
  <c r="G304" i="56"/>
  <c r="Q160" i="47"/>
  <c r="D349" i="47"/>
  <c r="I307" i="51"/>
  <c r="E372" i="57"/>
  <c r="G309" i="53"/>
  <c r="O303" i="57"/>
  <c r="G303" i="57"/>
  <c r="O303" i="56" l="1"/>
  <c r="B303" i="56"/>
  <c r="D306" i="51"/>
  <c r="L305" i="51"/>
  <c r="O308" i="53"/>
  <c r="B308" i="53"/>
  <c r="E305" i="42"/>
  <c r="N305" i="42"/>
  <c r="O281" i="47"/>
  <c r="G281" i="47"/>
  <c r="J307" i="51"/>
  <c r="L303" i="57"/>
  <c r="I304" i="57"/>
  <c r="I306" i="42"/>
  <c r="B372" i="57"/>
  <c r="I304" i="55"/>
  <c r="E303" i="55"/>
  <c r="N303" i="55"/>
  <c r="E349" i="47"/>
  <c r="I310" i="53"/>
  <c r="I305" i="56"/>
  <c r="D304" i="56" l="1"/>
  <c r="L303" i="56"/>
  <c r="N306" i="51"/>
  <c r="E306" i="51"/>
  <c r="D309" i="53"/>
  <c r="L308" i="53"/>
  <c r="B305" i="42"/>
  <c r="O305" i="42"/>
  <c r="G307" i="51"/>
  <c r="D373" i="57"/>
  <c r="L281" i="47"/>
  <c r="I282" i="47"/>
  <c r="J310" i="53"/>
  <c r="O303" i="55"/>
  <c r="B303" i="55"/>
  <c r="J304" i="55"/>
  <c r="J305" i="56"/>
  <c r="J306" i="42"/>
  <c r="N304" i="57"/>
  <c r="J304" i="57"/>
  <c r="B349" i="47"/>
  <c r="E304" i="56" l="1"/>
  <c r="N304" i="56"/>
  <c r="B306" i="51"/>
  <c r="O306" i="51"/>
  <c r="E309" i="53"/>
  <c r="N309" i="53"/>
  <c r="D306" i="42"/>
  <c r="L305" i="42"/>
  <c r="G310" i="53"/>
  <c r="D350" i="47"/>
  <c r="G304" i="55"/>
  <c r="G306" i="42"/>
  <c r="E373" i="57"/>
  <c r="O304" i="57"/>
  <c r="G304" i="57"/>
  <c r="D304" i="55"/>
  <c r="L303" i="55"/>
  <c r="I308" i="51"/>
  <c r="G305" i="56"/>
  <c r="N282" i="47"/>
  <c r="J282" i="47"/>
  <c r="B304" i="56" l="1"/>
  <c r="O304" i="56"/>
  <c r="D307" i="51"/>
  <c r="L306" i="51"/>
  <c r="B309" i="53"/>
  <c r="O309" i="53"/>
  <c r="E306" i="42"/>
  <c r="N306" i="42"/>
  <c r="E350" i="47"/>
  <c r="J308" i="51"/>
  <c r="O282" i="47"/>
  <c r="G282" i="47"/>
  <c r="I311" i="53"/>
  <c r="B373" i="57"/>
  <c r="E304" i="55"/>
  <c r="N304" i="55"/>
  <c r="L304" i="57"/>
  <c r="I305" i="57"/>
  <c r="I305" i="55"/>
  <c r="I307" i="42"/>
  <c r="I306" i="56"/>
  <c r="D305" i="56" l="1"/>
  <c r="L304" i="56"/>
  <c r="N307" i="51"/>
  <c r="E307" i="51"/>
  <c r="D310" i="53"/>
  <c r="L309" i="53"/>
  <c r="B306" i="42"/>
  <c r="O306" i="42"/>
  <c r="J305" i="55"/>
  <c r="O304" i="55"/>
  <c r="B304" i="55"/>
  <c r="D374" i="57"/>
  <c r="L282" i="47"/>
  <c r="I283" i="47"/>
  <c r="N305" i="57"/>
  <c r="J305" i="57"/>
  <c r="J306" i="56"/>
  <c r="J307" i="42"/>
  <c r="J311" i="53"/>
  <c r="G308" i="51"/>
  <c r="B350" i="47"/>
  <c r="N305" i="56" l="1"/>
  <c r="E305" i="56"/>
  <c r="B307" i="51"/>
  <c r="O307" i="51"/>
  <c r="E310" i="53"/>
  <c r="N310" i="53"/>
  <c r="D307" i="42"/>
  <c r="L306" i="42"/>
  <c r="G307" i="42"/>
  <c r="G305" i="55"/>
  <c r="G311" i="53"/>
  <c r="I309" i="51"/>
  <c r="N283" i="47"/>
  <c r="J283" i="47"/>
  <c r="E374" i="57"/>
  <c r="D351" i="47"/>
  <c r="G306" i="56"/>
  <c r="D305" i="55"/>
  <c r="L304" i="55"/>
  <c r="O305" i="57"/>
  <c r="G305" i="57"/>
  <c r="O305" i="56" l="1"/>
  <c r="B305" i="56"/>
  <c r="D308" i="51"/>
  <c r="L307" i="51"/>
  <c r="B310" i="53"/>
  <c r="O310" i="53"/>
  <c r="E307" i="42"/>
  <c r="N307" i="42"/>
  <c r="I312" i="53"/>
  <c r="O283" i="47"/>
  <c r="G283" i="47"/>
  <c r="I306" i="55"/>
  <c r="I307" i="56"/>
  <c r="B374" i="57"/>
  <c r="I306" i="57"/>
  <c r="L305" i="57"/>
  <c r="I308" i="42"/>
  <c r="E305" i="55"/>
  <c r="N305" i="55"/>
  <c r="E351" i="47"/>
  <c r="J309" i="51"/>
  <c r="D306" i="56" l="1"/>
  <c r="L305" i="56"/>
  <c r="E308" i="51"/>
  <c r="N308" i="51"/>
  <c r="D311" i="53"/>
  <c r="L310" i="53"/>
  <c r="B307" i="42"/>
  <c r="O307" i="42"/>
  <c r="G309" i="51"/>
  <c r="D375" i="57"/>
  <c r="E375" i="57" s="1"/>
  <c r="B375" i="57" s="1"/>
  <c r="J308" i="42"/>
  <c r="L283" i="47"/>
  <c r="I284" i="47"/>
  <c r="B351" i="47"/>
  <c r="O305" i="55"/>
  <c r="B305" i="55"/>
  <c r="J306" i="55"/>
  <c r="J312" i="53"/>
  <c r="J307" i="56"/>
  <c r="N306" i="57"/>
  <c r="J306" i="57"/>
  <c r="E306" i="56" l="1"/>
  <c r="N306" i="56"/>
  <c r="O308" i="51"/>
  <c r="B308" i="51"/>
  <c r="E311" i="53"/>
  <c r="N311" i="53"/>
  <c r="D308" i="42"/>
  <c r="L307" i="42"/>
  <c r="D306" i="55"/>
  <c r="L305" i="55"/>
  <c r="D376" i="57"/>
  <c r="E376" i="57" s="1"/>
  <c r="B376" i="57" s="1"/>
  <c r="G308" i="42"/>
  <c r="O306" i="57"/>
  <c r="G306" i="57"/>
  <c r="G312" i="53"/>
  <c r="N284" i="47"/>
  <c r="J284" i="47"/>
  <c r="D352" i="47"/>
  <c r="I310" i="51"/>
  <c r="G307" i="56"/>
  <c r="G306" i="55"/>
  <c r="B306" i="56" l="1"/>
  <c r="O306" i="56"/>
  <c r="D309" i="51"/>
  <c r="L308" i="51"/>
  <c r="B311" i="53"/>
  <c r="O311" i="53"/>
  <c r="E308" i="42"/>
  <c r="N308" i="42"/>
  <c r="D377" i="57"/>
  <c r="E377" i="57" s="1"/>
  <c r="B377" i="57" s="1"/>
  <c r="J310" i="51"/>
  <c r="I313" i="53"/>
  <c r="O284" i="47"/>
  <c r="G284" i="47"/>
  <c r="I308" i="56"/>
  <c r="E352" i="47"/>
  <c r="L306" i="57"/>
  <c r="I307" i="57"/>
  <c r="I307" i="55"/>
  <c r="E306" i="55"/>
  <c r="N306" i="55"/>
  <c r="I309" i="42"/>
  <c r="L306" i="56" l="1"/>
  <c r="D307" i="56"/>
  <c r="E309" i="51"/>
  <c r="N309" i="51"/>
  <c r="D312" i="53"/>
  <c r="L311" i="53"/>
  <c r="B308" i="42"/>
  <c r="O308" i="42"/>
  <c r="D378" i="57"/>
  <c r="E378" i="57" s="1"/>
  <c r="B378" i="57" s="1"/>
  <c r="J309" i="42"/>
  <c r="G310" i="51"/>
  <c r="N307" i="57"/>
  <c r="J307" i="57"/>
  <c r="L284" i="47"/>
  <c r="I285" i="47"/>
  <c r="J307" i="55"/>
  <c r="J313" i="53"/>
  <c r="J308" i="56"/>
  <c r="O306" i="55"/>
  <c r="B306" i="55"/>
  <c r="B352" i="47"/>
  <c r="E307" i="56" l="1"/>
  <c r="N307" i="56"/>
  <c r="B309" i="51"/>
  <c r="O309" i="51"/>
  <c r="E312" i="53"/>
  <c r="N312" i="53"/>
  <c r="D309" i="42"/>
  <c r="L308" i="42"/>
  <c r="D379" i="57"/>
  <c r="E379" i="57" s="1"/>
  <c r="B379" i="57" s="1"/>
  <c r="D353" i="47"/>
  <c r="D307" i="55"/>
  <c r="L306" i="55"/>
  <c r="G309" i="42"/>
  <c r="O307" i="57"/>
  <c r="G307" i="57"/>
  <c r="G308" i="56"/>
  <c r="I311" i="51"/>
  <c r="G313" i="53"/>
  <c r="N285" i="47"/>
  <c r="J285" i="47"/>
  <c r="G307" i="55"/>
  <c r="O307" i="56" l="1"/>
  <c r="B307" i="56"/>
  <c r="D310" i="51"/>
  <c r="L309" i="51"/>
  <c r="B312" i="53"/>
  <c r="O312" i="53"/>
  <c r="E309" i="42"/>
  <c r="N309" i="42"/>
  <c r="D380" i="57"/>
  <c r="E380" i="57" s="1"/>
  <c r="B380" i="57" s="1"/>
  <c r="I308" i="55"/>
  <c r="J311" i="51"/>
  <c r="I314" i="53"/>
  <c r="I309" i="56"/>
  <c r="O285" i="47"/>
  <c r="G285" i="47"/>
  <c r="E307" i="55"/>
  <c r="N307" i="55"/>
  <c r="E353" i="47"/>
  <c r="I310" i="42"/>
  <c r="L307" i="57"/>
  <c r="I308" i="57"/>
  <c r="L307" i="56" l="1"/>
  <c r="D308" i="56"/>
  <c r="E310" i="51"/>
  <c r="N310" i="51"/>
  <c r="D313" i="53"/>
  <c r="L312" i="53"/>
  <c r="B309" i="42"/>
  <c r="O309" i="42"/>
  <c r="B307" i="55"/>
  <c r="O307" i="55"/>
  <c r="J310" i="42"/>
  <c r="D381" i="57"/>
  <c r="G311" i="51"/>
  <c r="L285" i="47"/>
  <c r="I286" i="47"/>
  <c r="B353" i="47"/>
  <c r="J314" i="53"/>
  <c r="N308" i="57"/>
  <c r="J308" i="57"/>
  <c r="J309" i="56"/>
  <c r="J308" i="55"/>
  <c r="E308" i="56" l="1"/>
  <c r="N308" i="56"/>
  <c r="O310" i="51"/>
  <c r="B310" i="51"/>
  <c r="E313" i="53"/>
  <c r="N313" i="53"/>
  <c r="D310" i="42"/>
  <c r="L309" i="42"/>
  <c r="D354" i="47"/>
  <c r="E354" i="47" s="1"/>
  <c r="B354" i="47" s="1"/>
  <c r="G314" i="53"/>
  <c r="D308" i="55"/>
  <c r="L307" i="55"/>
  <c r="E381" i="57"/>
  <c r="S182" i="57"/>
  <c r="G310" i="42"/>
  <c r="G308" i="55"/>
  <c r="N286" i="47"/>
  <c r="J286" i="47"/>
  <c r="O308" i="57"/>
  <c r="G308" i="57"/>
  <c r="G309" i="56"/>
  <c r="I312" i="51"/>
  <c r="O308" i="56" l="1"/>
  <c r="B308" i="56"/>
  <c r="D311" i="51"/>
  <c r="L310" i="51"/>
  <c r="B313" i="53"/>
  <c r="O313" i="53"/>
  <c r="E310" i="42"/>
  <c r="N310" i="42"/>
  <c r="D355" i="47"/>
  <c r="E355" i="47" s="1"/>
  <c r="B355" i="47" s="1"/>
  <c r="J312" i="51"/>
  <c r="X179" i="51"/>
  <c r="I315" i="53"/>
  <c r="T182" i="57"/>
  <c r="B381" i="57"/>
  <c r="I309" i="55"/>
  <c r="I309" i="57"/>
  <c r="L308" i="57"/>
  <c r="I311" i="42"/>
  <c r="E308" i="55"/>
  <c r="N308" i="55"/>
  <c r="I310" i="56"/>
  <c r="O286" i="47"/>
  <c r="G286" i="47"/>
  <c r="D309" i="56" l="1"/>
  <c r="L308" i="56"/>
  <c r="E311" i="51"/>
  <c r="N311" i="51"/>
  <c r="D314" i="53"/>
  <c r="L313" i="53"/>
  <c r="B310" i="42"/>
  <c r="O310" i="42"/>
  <c r="D356" i="47"/>
  <c r="E356" i="47" s="1"/>
  <c r="B356" i="47" s="1"/>
  <c r="J311" i="42"/>
  <c r="X178" i="42"/>
  <c r="J310" i="56"/>
  <c r="X177" i="56"/>
  <c r="J315" i="53"/>
  <c r="X182" i="53"/>
  <c r="J309" i="55"/>
  <c r="X176" i="55"/>
  <c r="N309" i="57"/>
  <c r="J309" i="57"/>
  <c r="X176" i="57"/>
  <c r="AC176" i="57" s="1"/>
  <c r="Q182" i="57"/>
  <c r="D382" i="57"/>
  <c r="Y179" i="51"/>
  <c r="G312" i="51"/>
  <c r="L286" i="47"/>
  <c r="I287" i="47"/>
  <c r="B308" i="55"/>
  <c r="O308" i="55"/>
  <c r="N309" i="56" l="1"/>
  <c r="E309" i="56"/>
  <c r="O311" i="51"/>
  <c r="B311" i="51"/>
  <c r="E314" i="53"/>
  <c r="N314" i="53"/>
  <c r="D311" i="42"/>
  <c r="L310" i="42"/>
  <c r="D357" i="47"/>
  <c r="E357" i="47" s="1"/>
  <c r="B357" i="47" s="1"/>
  <c r="Y182" i="53"/>
  <c r="G315" i="53"/>
  <c r="E382" i="57"/>
  <c r="Y177" i="56"/>
  <c r="G310" i="56"/>
  <c r="I313" i="51"/>
  <c r="V179" i="51"/>
  <c r="N287" i="47"/>
  <c r="J287" i="47"/>
  <c r="Y176" i="55"/>
  <c r="G309" i="55"/>
  <c r="D309" i="55"/>
  <c r="L308" i="55"/>
  <c r="O309" i="57"/>
  <c r="Y176" i="57"/>
  <c r="AD176" i="57" s="1"/>
  <c r="G309" i="57"/>
  <c r="Y178" i="42"/>
  <c r="G311" i="42"/>
  <c r="O309" i="56" l="1"/>
  <c r="B309" i="56"/>
  <c r="D312" i="51"/>
  <c r="L311" i="51"/>
  <c r="B314" i="53"/>
  <c r="O314" i="53"/>
  <c r="E311" i="42"/>
  <c r="S178" i="42"/>
  <c r="AC178" i="42" s="1"/>
  <c r="N311" i="42"/>
  <c r="D358" i="47"/>
  <c r="E358" i="47" s="1"/>
  <c r="B358" i="47" s="1"/>
  <c r="J313" i="51"/>
  <c r="V176" i="55"/>
  <c r="I310" i="55"/>
  <c r="E309" i="55"/>
  <c r="S176" i="55"/>
  <c r="AC176" i="55" s="1"/>
  <c r="N309" i="55"/>
  <c r="I310" i="57"/>
  <c r="V176" i="57"/>
  <c r="AA176" i="57" s="1"/>
  <c r="L309" i="57"/>
  <c r="I311" i="56"/>
  <c r="V177" i="56"/>
  <c r="B382" i="57"/>
  <c r="I316" i="53"/>
  <c r="V182" i="53"/>
  <c r="V178" i="42"/>
  <c r="I312" i="42"/>
  <c r="O287" i="47"/>
  <c r="G287" i="47"/>
  <c r="L309" i="56" l="1"/>
  <c r="D310" i="56"/>
  <c r="E312" i="51"/>
  <c r="S179" i="51"/>
  <c r="AC179" i="51" s="1"/>
  <c r="N312" i="51"/>
  <c r="D315" i="53"/>
  <c r="L314" i="53"/>
  <c r="T178" i="42"/>
  <c r="AD178" i="42" s="1"/>
  <c r="O311" i="42"/>
  <c r="B311" i="42"/>
  <c r="D359" i="47"/>
  <c r="E359" i="47" s="1"/>
  <c r="B359" i="47" s="1"/>
  <c r="J311" i="56"/>
  <c r="G313" i="51"/>
  <c r="L287" i="47"/>
  <c r="I288" i="47"/>
  <c r="J312" i="42"/>
  <c r="T176" i="55"/>
  <c r="AD176" i="55" s="1"/>
  <c r="B309" i="55"/>
  <c r="O309" i="55"/>
  <c r="N310" i="57"/>
  <c r="J310" i="57"/>
  <c r="J316" i="53"/>
  <c r="D383" i="57"/>
  <c r="J310" i="55"/>
  <c r="N310" i="56" l="1"/>
  <c r="E310" i="56"/>
  <c r="S177" i="56"/>
  <c r="AC177" i="56" s="1"/>
  <c r="B312" i="51"/>
  <c r="O312" i="51"/>
  <c r="T179" i="51"/>
  <c r="AD179" i="51" s="1"/>
  <c r="E315" i="53"/>
  <c r="S182" i="53"/>
  <c r="AC182" i="53" s="1"/>
  <c r="N315" i="53"/>
  <c r="Q178" i="42"/>
  <c r="AA178" i="42" s="1"/>
  <c r="D312" i="42"/>
  <c r="L311" i="42"/>
  <c r="D360" i="47"/>
  <c r="G312" i="42"/>
  <c r="G311" i="56"/>
  <c r="O310" i="57"/>
  <c r="G310" i="57"/>
  <c r="G316" i="53"/>
  <c r="G310" i="55"/>
  <c r="I314" i="51"/>
  <c r="N288" i="47"/>
  <c r="J288" i="47"/>
  <c r="X155" i="47"/>
  <c r="AC155" i="47" s="1"/>
  <c r="E383" i="57"/>
  <c r="Q176" i="55"/>
  <c r="AA176" i="55" s="1"/>
  <c r="D310" i="55"/>
  <c r="L309" i="55"/>
  <c r="O310" i="56" l="1"/>
  <c r="B310" i="56"/>
  <c r="T177" i="56"/>
  <c r="AD177" i="56" s="1"/>
  <c r="D313" i="51"/>
  <c r="Q179" i="51"/>
  <c r="AA179" i="51" s="1"/>
  <c r="L312" i="51"/>
  <c r="T182" i="53"/>
  <c r="AD182" i="53" s="1"/>
  <c r="O315" i="53"/>
  <c r="B315" i="53"/>
  <c r="E312" i="42"/>
  <c r="N312" i="42"/>
  <c r="I312" i="56"/>
  <c r="I311" i="55"/>
  <c r="L310" i="57"/>
  <c r="I311" i="57"/>
  <c r="I317" i="53"/>
  <c r="O288" i="47"/>
  <c r="Y155" i="47"/>
  <c r="AD155" i="47" s="1"/>
  <c r="G288" i="47"/>
  <c r="I313" i="42"/>
  <c r="E360" i="47"/>
  <c r="S161" i="47"/>
  <c r="E310" i="55"/>
  <c r="N310" i="55"/>
  <c r="B383" i="57"/>
  <c r="J314" i="51"/>
  <c r="Q177" i="56" l="1"/>
  <c r="AA177" i="56" s="1"/>
  <c r="D311" i="56"/>
  <c r="L310" i="56"/>
  <c r="N313" i="51"/>
  <c r="E313" i="51"/>
  <c r="Q182" i="53"/>
  <c r="AA182" i="53" s="1"/>
  <c r="D316" i="53"/>
  <c r="L315" i="53"/>
  <c r="O312" i="42"/>
  <c r="B312" i="42"/>
  <c r="O310" i="55"/>
  <c r="B310" i="55"/>
  <c r="J313" i="42"/>
  <c r="V155" i="47"/>
  <c r="AA155" i="47" s="1"/>
  <c r="L288" i="47"/>
  <c r="I289" i="47"/>
  <c r="J317" i="53"/>
  <c r="G314" i="51"/>
  <c r="D384" i="57"/>
  <c r="T161" i="47"/>
  <c r="B360" i="47"/>
  <c r="J311" i="55"/>
  <c r="N311" i="57"/>
  <c r="J311" i="57"/>
  <c r="J312" i="56"/>
  <c r="E311" i="56" l="1"/>
  <c r="N311" i="56"/>
  <c r="O313" i="51"/>
  <c r="B313" i="51"/>
  <c r="E316" i="53"/>
  <c r="N316" i="53"/>
  <c r="D313" i="42"/>
  <c r="L312" i="42"/>
  <c r="G317" i="53"/>
  <c r="G313" i="42"/>
  <c r="E384" i="57"/>
  <c r="G311" i="55"/>
  <c r="I315" i="51"/>
  <c r="N289" i="47"/>
  <c r="J289" i="47"/>
  <c r="D311" i="55"/>
  <c r="L310" i="55"/>
  <c r="Q161" i="47"/>
  <c r="D361" i="47"/>
  <c r="G312" i="56"/>
  <c r="O311" i="57"/>
  <c r="G311" i="57"/>
  <c r="O311" i="56" l="1"/>
  <c r="B311" i="56"/>
  <c r="L313" i="51"/>
  <c r="D314" i="51"/>
  <c r="O316" i="53"/>
  <c r="B316" i="53"/>
  <c r="E313" i="42"/>
  <c r="N313" i="42"/>
  <c r="I314" i="42"/>
  <c r="I318" i="53"/>
  <c r="J315" i="51"/>
  <c r="O289" i="47"/>
  <c r="G289" i="47"/>
  <c r="B384" i="57"/>
  <c r="I313" i="56"/>
  <c r="I312" i="55"/>
  <c r="L311" i="57"/>
  <c r="I312" i="57"/>
  <c r="E311" i="55"/>
  <c r="N311" i="55"/>
  <c r="E361" i="47"/>
  <c r="D312" i="56" l="1"/>
  <c r="L311" i="56"/>
  <c r="N314" i="51"/>
  <c r="E314" i="51"/>
  <c r="D317" i="53"/>
  <c r="L316" i="53"/>
  <c r="B313" i="42"/>
  <c r="O313" i="42"/>
  <c r="J318" i="53"/>
  <c r="B311" i="55"/>
  <c r="O311" i="55"/>
  <c r="B361" i="47"/>
  <c r="D385" i="57"/>
  <c r="L289" i="47"/>
  <c r="I290" i="47"/>
  <c r="J313" i="56"/>
  <c r="J314" i="42"/>
  <c r="G315" i="51"/>
  <c r="J312" i="55"/>
  <c r="N312" i="57"/>
  <c r="J312" i="57"/>
  <c r="N312" i="56" l="1"/>
  <c r="E312" i="56"/>
  <c r="O314" i="51"/>
  <c r="B314" i="51"/>
  <c r="E317" i="53"/>
  <c r="N317" i="53"/>
  <c r="D314" i="42"/>
  <c r="L313" i="42"/>
  <c r="G318" i="53"/>
  <c r="O312" i="57"/>
  <c r="G312" i="57"/>
  <c r="D312" i="55"/>
  <c r="L311" i="55"/>
  <c r="G313" i="56"/>
  <c r="I316" i="51"/>
  <c r="N290" i="47"/>
  <c r="J290" i="47"/>
  <c r="E385" i="57"/>
  <c r="G314" i="42"/>
  <c r="G312" i="55"/>
  <c r="D362" i="47"/>
  <c r="O312" i="56" l="1"/>
  <c r="B312" i="56"/>
  <c r="D315" i="51"/>
  <c r="L314" i="51"/>
  <c r="O317" i="53"/>
  <c r="B317" i="53"/>
  <c r="E314" i="42"/>
  <c r="N314" i="42"/>
  <c r="J316" i="51"/>
  <c r="B385" i="57"/>
  <c r="I319" i="53"/>
  <c r="E312" i="55"/>
  <c r="N312" i="55"/>
  <c r="I315" i="42"/>
  <c r="L312" i="57"/>
  <c r="I313" i="57"/>
  <c r="I314" i="56"/>
  <c r="E362" i="47"/>
  <c r="I313" i="55"/>
  <c r="O290" i="47"/>
  <c r="G290" i="47"/>
  <c r="D313" i="56" l="1"/>
  <c r="L312" i="56"/>
  <c r="E315" i="51"/>
  <c r="N315" i="51"/>
  <c r="D318" i="53"/>
  <c r="L317" i="53"/>
  <c r="B314" i="42"/>
  <c r="O314" i="42"/>
  <c r="J319" i="53"/>
  <c r="D386" i="57"/>
  <c r="G316" i="51"/>
  <c r="J315" i="42"/>
  <c r="J314" i="56"/>
  <c r="N313" i="57"/>
  <c r="J313" i="57"/>
  <c r="O312" i="55"/>
  <c r="B312" i="55"/>
  <c r="B362" i="47"/>
  <c r="L290" i="47"/>
  <c r="I291" i="47"/>
  <c r="J313" i="55"/>
  <c r="E313" i="56" l="1"/>
  <c r="N313" i="56"/>
  <c r="B315" i="51"/>
  <c r="O315" i="51"/>
  <c r="E318" i="53"/>
  <c r="N318" i="53"/>
  <c r="D315" i="42"/>
  <c r="L314" i="42"/>
  <c r="N291" i="47"/>
  <c r="J291" i="47"/>
  <c r="D363" i="47"/>
  <c r="O313" i="57"/>
  <c r="G313" i="57"/>
  <c r="I317" i="51"/>
  <c r="E386" i="57"/>
  <c r="G315" i="42"/>
  <c r="G319" i="53"/>
  <c r="G314" i="56"/>
  <c r="D313" i="55"/>
  <c r="L312" i="55"/>
  <c r="G313" i="55"/>
  <c r="B313" i="56" l="1"/>
  <c r="O313" i="56"/>
  <c r="D316" i="51"/>
  <c r="L315" i="51"/>
  <c r="O318" i="53"/>
  <c r="B318" i="53"/>
  <c r="E315" i="42"/>
  <c r="N315" i="42"/>
  <c r="E313" i="55"/>
  <c r="N313" i="55"/>
  <c r="I315" i="56"/>
  <c r="E363" i="47"/>
  <c r="I316" i="42"/>
  <c r="J317" i="51"/>
  <c r="L313" i="57"/>
  <c r="I314" i="57"/>
  <c r="O291" i="47"/>
  <c r="G291" i="47"/>
  <c r="I314" i="55"/>
  <c r="I320" i="53"/>
  <c r="B386" i="57"/>
  <c r="D314" i="56" l="1"/>
  <c r="L313" i="56"/>
  <c r="E316" i="51"/>
  <c r="N316" i="51"/>
  <c r="D319" i="53"/>
  <c r="L318" i="53"/>
  <c r="B315" i="42"/>
  <c r="O315" i="42"/>
  <c r="J320" i="53"/>
  <c r="J314" i="55"/>
  <c r="J316" i="42"/>
  <c r="N314" i="57"/>
  <c r="J314" i="57"/>
  <c r="J315" i="56"/>
  <c r="G317" i="51"/>
  <c r="L291" i="47"/>
  <c r="I292" i="47"/>
  <c r="D387" i="57"/>
  <c r="E387" i="57" s="1"/>
  <c r="B387" i="57" s="1"/>
  <c r="B363" i="47"/>
  <c r="O313" i="55"/>
  <c r="B313" i="55"/>
  <c r="E314" i="56" l="1"/>
  <c r="N314" i="56"/>
  <c r="B316" i="51"/>
  <c r="O316" i="51"/>
  <c r="E319" i="53"/>
  <c r="N319" i="53"/>
  <c r="D316" i="42"/>
  <c r="L315" i="42"/>
  <c r="G316" i="42"/>
  <c r="I318" i="51"/>
  <c r="G314" i="55"/>
  <c r="G315" i="56"/>
  <c r="D388" i="57"/>
  <c r="E388" i="57" s="1"/>
  <c r="B388" i="57" s="1"/>
  <c r="O314" i="57"/>
  <c r="G314" i="57"/>
  <c r="N292" i="47"/>
  <c r="J292" i="47"/>
  <c r="G320" i="53"/>
  <c r="D314" i="55"/>
  <c r="L313" i="55"/>
  <c r="D364" i="47"/>
  <c r="O314" i="56" l="1"/>
  <c r="B314" i="56"/>
  <c r="D317" i="51"/>
  <c r="L316" i="51"/>
  <c r="O319" i="53"/>
  <c r="B319" i="53"/>
  <c r="E316" i="42"/>
  <c r="N316" i="42"/>
  <c r="D389" i="57"/>
  <c r="E389" i="57" s="1"/>
  <c r="B389" i="57" s="1"/>
  <c r="I321" i="53"/>
  <c r="I317" i="42"/>
  <c r="L314" i="57"/>
  <c r="I315" i="57"/>
  <c r="J318" i="51"/>
  <c r="I315" i="55"/>
  <c r="I316" i="56"/>
  <c r="E364" i="47"/>
  <c r="E314" i="55"/>
  <c r="N314" i="55"/>
  <c r="O292" i="47"/>
  <c r="G292" i="47"/>
  <c r="D315" i="56" l="1"/>
  <c r="L314" i="56"/>
  <c r="N317" i="51"/>
  <c r="E317" i="51"/>
  <c r="D320" i="53"/>
  <c r="L319" i="53"/>
  <c r="B316" i="42"/>
  <c r="O316" i="42"/>
  <c r="N315" i="57"/>
  <c r="J315" i="57"/>
  <c r="B364" i="47"/>
  <c r="J316" i="56"/>
  <c r="J321" i="53"/>
  <c r="J315" i="55"/>
  <c r="J317" i="42"/>
  <c r="O314" i="55"/>
  <c r="B314" i="55"/>
  <c r="D390" i="57"/>
  <c r="E390" i="57" s="1"/>
  <c r="B390" i="57" s="1"/>
  <c r="L292" i="47"/>
  <c r="I293" i="47"/>
  <c r="G318" i="51"/>
  <c r="N315" i="56" l="1"/>
  <c r="E315" i="56"/>
  <c r="O317" i="51"/>
  <c r="B317" i="51"/>
  <c r="E320" i="53"/>
  <c r="N320" i="53"/>
  <c r="D317" i="42"/>
  <c r="L316" i="42"/>
  <c r="D391" i="57"/>
  <c r="E391" i="57" s="1"/>
  <c r="B391" i="57" s="1"/>
  <c r="O315" i="57"/>
  <c r="G315" i="57"/>
  <c r="G321" i="53"/>
  <c r="N293" i="47"/>
  <c r="J293" i="47"/>
  <c r="G315" i="55"/>
  <c r="D315" i="55"/>
  <c r="L314" i="55"/>
  <c r="G316" i="56"/>
  <c r="G317" i="42"/>
  <c r="D365" i="47"/>
  <c r="I319" i="51"/>
  <c r="O315" i="56" l="1"/>
  <c r="B315" i="56"/>
  <c r="L317" i="51"/>
  <c r="D318" i="51"/>
  <c r="O320" i="53"/>
  <c r="B320" i="53"/>
  <c r="E317" i="42"/>
  <c r="N317" i="42"/>
  <c r="D392" i="57"/>
  <c r="E392" i="57" s="1"/>
  <c r="B392" i="57" s="1"/>
  <c r="L315" i="57"/>
  <c r="I316" i="57"/>
  <c r="J319" i="51"/>
  <c r="E315" i="55"/>
  <c r="N315" i="55"/>
  <c r="I316" i="55"/>
  <c r="I317" i="56"/>
  <c r="O293" i="47"/>
  <c r="G293" i="47"/>
  <c r="E365" i="47"/>
  <c r="I322" i="53"/>
  <c r="I318" i="42"/>
  <c r="D316" i="56" l="1"/>
  <c r="L315" i="56"/>
  <c r="E318" i="51"/>
  <c r="N318" i="51"/>
  <c r="D321" i="53"/>
  <c r="L320" i="53"/>
  <c r="B317" i="42"/>
  <c r="O317" i="42"/>
  <c r="D393" i="57"/>
  <c r="L293" i="47"/>
  <c r="I294" i="47"/>
  <c r="J322" i="53"/>
  <c r="O315" i="55"/>
  <c r="B315" i="55"/>
  <c r="J317" i="56"/>
  <c r="N316" i="57"/>
  <c r="J316" i="57"/>
  <c r="J318" i="42"/>
  <c r="J316" i="55"/>
  <c r="G319" i="51"/>
  <c r="B365" i="47"/>
  <c r="E316" i="56" l="1"/>
  <c r="N316" i="56"/>
  <c r="O318" i="51"/>
  <c r="B318" i="51"/>
  <c r="E321" i="53"/>
  <c r="N321" i="53"/>
  <c r="D318" i="42"/>
  <c r="L317" i="42"/>
  <c r="D366" i="47"/>
  <c r="E366" i="47" s="1"/>
  <c r="B366" i="47" s="1"/>
  <c r="G318" i="42"/>
  <c r="D316" i="55"/>
  <c r="L315" i="55"/>
  <c r="O316" i="57"/>
  <c r="G316" i="57"/>
  <c r="G322" i="53"/>
  <c r="E393" i="57"/>
  <c r="S183" i="57"/>
  <c r="G316" i="55"/>
  <c r="I320" i="51"/>
  <c r="G317" i="56"/>
  <c r="N294" i="47"/>
  <c r="J294" i="47"/>
  <c r="B316" i="56" l="1"/>
  <c r="O316" i="56"/>
  <c r="L318" i="51"/>
  <c r="D319" i="51"/>
  <c r="B321" i="53"/>
  <c r="O321" i="53"/>
  <c r="E318" i="42"/>
  <c r="N318" i="42"/>
  <c r="D367" i="47"/>
  <c r="E367" i="47" s="1"/>
  <c r="B367" i="47" s="1"/>
  <c r="I323" i="53"/>
  <c r="I317" i="57"/>
  <c r="L316" i="57"/>
  <c r="E316" i="55"/>
  <c r="N316" i="55"/>
  <c r="I319" i="42"/>
  <c r="O294" i="47"/>
  <c r="G294" i="47"/>
  <c r="T183" i="57"/>
  <c r="B393" i="57"/>
  <c r="I318" i="56"/>
  <c r="J320" i="51"/>
  <c r="I317" i="55"/>
  <c r="L316" i="56" l="1"/>
  <c r="D317" i="56"/>
  <c r="N319" i="51"/>
  <c r="E319" i="51"/>
  <c r="D322" i="53"/>
  <c r="L321" i="53"/>
  <c r="B318" i="42"/>
  <c r="O318" i="42"/>
  <c r="D368" i="47"/>
  <c r="E368" i="47" s="1"/>
  <c r="B368" i="47" s="1"/>
  <c r="G320" i="51"/>
  <c r="B316" i="55"/>
  <c r="O316" i="55"/>
  <c r="J323" i="53"/>
  <c r="J318" i="56"/>
  <c r="Q183" i="57"/>
  <c r="D394" i="57"/>
  <c r="J319" i="42"/>
  <c r="J317" i="55"/>
  <c r="N317" i="57"/>
  <c r="J317" i="57"/>
  <c r="L294" i="47"/>
  <c r="I295" i="47"/>
  <c r="E317" i="56" l="1"/>
  <c r="N317" i="56"/>
  <c r="O319" i="51"/>
  <c r="B319" i="51"/>
  <c r="E322" i="53"/>
  <c r="N322" i="53"/>
  <c r="D319" i="42"/>
  <c r="L318" i="42"/>
  <c r="D369" i="47"/>
  <c r="E369" i="47" s="1"/>
  <c r="B369" i="47" s="1"/>
  <c r="G317" i="55"/>
  <c r="G318" i="56"/>
  <c r="D317" i="55"/>
  <c r="L316" i="55"/>
  <c r="N295" i="47"/>
  <c r="J295" i="47"/>
  <c r="I321" i="51"/>
  <c r="G319" i="42"/>
  <c r="G323" i="53"/>
  <c r="E394" i="57"/>
  <c r="O317" i="57"/>
  <c r="G317" i="57"/>
  <c r="B317" i="56" l="1"/>
  <c r="O317" i="56"/>
  <c r="L319" i="51"/>
  <c r="D320" i="51"/>
  <c r="B322" i="53"/>
  <c r="O322" i="53"/>
  <c r="E319" i="42"/>
  <c r="N319" i="42"/>
  <c r="D370" i="47"/>
  <c r="E370" i="47" s="1"/>
  <c r="B370" i="47" s="1"/>
  <c r="I324" i="53"/>
  <c r="O295" i="47"/>
  <c r="G295" i="47"/>
  <c r="I318" i="55"/>
  <c r="L317" i="57"/>
  <c r="I318" i="57"/>
  <c r="I319" i="56"/>
  <c r="I320" i="42"/>
  <c r="B394" i="57"/>
  <c r="J321" i="51"/>
  <c r="E317" i="55"/>
  <c r="N317" i="55"/>
  <c r="D318" i="56" l="1"/>
  <c r="L317" i="56"/>
  <c r="N320" i="51"/>
  <c r="E320" i="51"/>
  <c r="D323" i="53"/>
  <c r="L322" i="53"/>
  <c r="B319" i="42"/>
  <c r="O319" i="42"/>
  <c r="D371" i="47"/>
  <c r="E371" i="47" s="1"/>
  <c r="B371" i="47" s="1"/>
  <c r="J320" i="42"/>
  <c r="B317" i="55"/>
  <c r="O317" i="55"/>
  <c r="J319" i="56"/>
  <c r="D395" i="57"/>
  <c r="G321" i="51"/>
  <c r="N318" i="57"/>
  <c r="J318" i="57"/>
  <c r="J318" i="55"/>
  <c r="L295" i="47"/>
  <c r="I296" i="47"/>
  <c r="J324" i="53"/>
  <c r="E318" i="56" l="1"/>
  <c r="N318" i="56"/>
  <c r="B320" i="51"/>
  <c r="O320" i="51"/>
  <c r="E323" i="53"/>
  <c r="N323" i="53"/>
  <c r="D320" i="42"/>
  <c r="L319" i="42"/>
  <c r="D372" i="47"/>
  <c r="G320" i="42"/>
  <c r="G318" i="55"/>
  <c r="O318" i="57"/>
  <c r="G318" i="57"/>
  <c r="E395" i="57"/>
  <c r="I322" i="51"/>
  <c r="G324" i="53"/>
  <c r="G319" i="56"/>
  <c r="N296" i="47"/>
  <c r="J296" i="47"/>
  <c r="D318" i="55"/>
  <c r="L317" i="55"/>
  <c r="B318" i="56" l="1"/>
  <c r="O318" i="56"/>
  <c r="D321" i="51"/>
  <c r="L320" i="51"/>
  <c r="B323" i="53"/>
  <c r="O323" i="53"/>
  <c r="E320" i="42"/>
  <c r="N320" i="42"/>
  <c r="I320" i="56"/>
  <c r="I319" i="55"/>
  <c r="I321" i="42"/>
  <c r="I325" i="53"/>
  <c r="B395" i="57"/>
  <c r="J322" i="51"/>
  <c r="L318" i="57"/>
  <c r="I319" i="57"/>
  <c r="E372" i="47"/>
  <c r="S162" i="47"/>
  <c r="E318" i="55"/>
  <c r="N318" i="55"/>
  <c r="O296" i="47"/>
  <c r="G296" i="47"/>
  <c r="D319" i="56" l="1"/>
  <c r="L318" i="56"/>
  <c r="E321" i="51"/>
  <c r="N321" i="51"/>
  <c r="D324" i="53"/>
  <c r="L323" i="53"/>
  <c r="B320" i="42"/>
  <c r="O320" i="42"/>
  <c r="D396" i="57"/>
  <c r="T162" i="47"/>
  <c r="B372" i="47"/>
  <c r="N319" i="57"/>
  <c r="J319" i="57"/>
  <c r="J325" i="53"/>
  <c r="J321" i="42"/>
  <c r="J320" i="56"/>
  <c r="J319" i="55"/>
  <c r="G322" i="51"/>
  <c r="B318" i="55"/>
  <c r="O318" i="55"/>
  <c r="L296" i="47"/>
  <c r="I297" i="47"/>
  <c r="E319" i="56" l="1"/>
  <c r="N319" i="56"/>
  <c r="B321" i="51"/>
  <c r="O321" i="51"/>
  <c r="E324" i="53"/>
  <c r="N324" i="53"/>
  <c r="D321" i="42"/>
  <c r="L320" i="42"/>
  <c r="N297" i="47"/>
  <c r="J297" i="47"/>
  <c r="I323" i="51"/>
  <c r="G319" i="55"/>
  <c r="G325" i="53"/>
  <c r="Q162" i="47"/>
  <c r="D373" i="47"/>
  <c r="E396" i="57"/>
  <c r="G321" i="42"/>
  <c r="D319" i="55"/>
  <c r="L318" i="55"/>
  <c r="G320" i="56"/>
  <c r="O319" i="57"/>
  <c r="G319" i="57"/>
  <c r="B319" i="56" l="1"/>
  <c r="O319" i="56"/>
  <c r="D322" i="51"/>
  <c r="L321" i="51"/>
  <c r="B324" i="53"/>
  <c r="O324" i="53"/>
  <c r="E321" i="42"/>
  <c r="N321" i="42"/>
  <c r="I322" i="42"/>
  <c r="E373" i="47"/>
  <c r="I320" i="55"/>
  <c r="J323" i="51"/>
  <c r="E319" i="55"/>
  <c r="N319" i="55"/>
  <c r="B396" i="57"/>
  <c r="I326" i="53"/>
  <c r="O297" i="47"/>
  <c r="G297" i="47"/>
  <c r="L319" i="57"/>
  <c r="I320" i="57"/>
  <c r="I321" i="56"/>
  <c r="D320" i="56" l="1"/>
  <c r="L319" i="56"/>
  <c r="N322" i="51"/>
  <c r="E322" i="51"/>
  <c r="D325" i="53"/>
  <c r="L324" i="53"/>
  <c r="B321" i="42"/>
  <c r="O321" i="42"/>
  <c r="J320" i="55"/>
  <c r="G323" i="51"/>
  <c r="J321" i="56"/>
  <c r="B373" i="47"/>
  <c r="J322" i="42"/>
  <c r="J326" i="53"/>
  <c r="D397" i="57"/>
  <c r="B319" i="55"/>
  <c r="O319" i="55"/>
  <c r="N320" i="57"/>
  <c r="J320" i="57"/>
  <c r="L297" i="47"/>
  <c r="I298" i="47"/>
  <c r="E320" i="56" l="1"/>
  <c r="N320" i="56"/>
  <c r="B322" i="51"/>
  <c r="O322" i="51"/>
  <c r="E325" i="53"/>
  <c r="N325" i="53"/>
  <c r="D322" i="42"/>
  <c r="L321" i="42"/>
  <c r="O320" i="57"/>
  <c r="G320" i="57"/>
  <c r="I324" i="51"/>
  <c r="N298" i="47"/>
  <c r="J298" i="47"/>
  <c r="E397" i="57"/>
  <c r="G326" i="53"/>
  <c r="G322" i="42"/>
  <c r="D374" i="47"/>
  <c r="G320" i="55"/>
  <c r="G321" i="56"/>
  <c r="D320" i="55"/>
  <c r="L319" i="55"/>
  <c r="B320" i="56" l="1"/>
  <c r="O320" i="56"/>
  <c r="L322" i="51"/>
  <c r="D323" i="51"/>
  <c r="B325" i="53"/>
  <c r="O325" i="53"/>
  <c r="E322" i="42"/>
  <c r="N322" i="42"/>
  <c r="J324" i="51"/>
  <c r="X180" i="51"/>
  <c r="I322" i="56"/>
  <c r="I321" i="55"/>
  <c r="O298" i="47"/>
  <c r="G298" i="47"/>
  <c r="B397" i="57"/>
  <c r="E320" i="55"/>
  <c r="N320" i="55"/>
  <c r="L320" i="57"/>
  <c r="I321" i="57"/>
  <c r="I327" i="53"/>
  <c r="E374" i="47"/>
  <c r="I323" i="42"/>
  <c r="L320" i="56" l="1"/>
  <c r="D321" i="56"/>
  <c r="E323" i="51"/>
  <c r="N323" i="51"/>
  <c r="D326" i="53"/>
  <c r="L325" i="53"/>
  <c r="B322" i="42"/>
  <c r="O322" i="42"/>
  <c r="J327" i="53"/>
  <c r="X183" i="53"/>
  <c r="D398" i="57"/>
  <c r="N321" i="57"/>
  <c r="J321" i="57"/>
  <c r="X177" i="57"/>
  <c r="AC177" i="57" s="1"/>
  <c r="B320" i="55"/>
  <c r="O320" i="55"/>
  <c r="J322" i="56"/>
  <c r="X178" i="56"/>
  <c r="L298" i="47"/>
  <c r="I299" i="47"/>
  <c r="J323" i="42"/>
  <c r="X179" i="42"/>
  <c r="J321" i="55"/>
  <c r="X177" i="55"/>
  <c r="B374" i="47"/>
  <c r="Y180" i="51"/>
  <c r="G324" i="51"/>
  <c r="E321" i="56" l="1"/>
  <c r="N321" i="56"/>
  <c r="B323" i="51"/>
  <c r="O323" i="51"/>
  <c r="E326" i="53"/>
  <c r="N326" i="53"/>
  <c r="D323" i="42"/>
  <c r="L322" i="42"/>
  <c r="E398" i="57"/>
  <c r="Y179" i="42"/>
  <c r="G323" i="42"/>
  <c r="D321" i="55"/>
  <c r="L320" i="55"/>
  <c r="D375" i="47"/>
  <c r="Y177" i="55"/>
  <c r="G321" i="55"/>
  <c r="N299" i="47"/>
  <c r="J299" i="47"/>
  <c r="Y183" i="53"/>
  <c r="G327" i="53"/>
  <c r="Y178" i="56"/>
  <c r="G322" i="56"/>
  <c r="I325" i="51"/>
  <c r="V180" i="51"/>
  <c r="O321" i="57"/>
  <c r="Y177" i="57"/>
  <c r="AD177" i="57" s="1"/>
  <c r="G321" i="57"/>
  <c r="O321" i="56" l="1"/>
  <c r="B321" i="56"/>
  <c r="L323" i="51"/>
  <c r="D324" i="51"/>
  <c r="B326" i="53"/>
  <c r="O326" i="53"/>
  <c r="E323" i="42"/>
  <c r="S179" i="42"/>
  <c r="AC179" i="42" s="1"/>
  <c r="N323" i="42"/>
  <c r="J325" i="51"/>
  <c r="I323" i="56"/>
  <c r="V178" i="56"/>
  <c r="E321" i="55"/>
  <c r="S177" i="55"/>
  <c r="AC177" i="55" s="1"/>
  <c r="N321" i="55"/>
  <c r="B398" i="57"/>
  <c r="V177" i="55"/>
  <c r="I322" i="55"/>
  <c r="V177" i="57"/>
  <c r="AA177" i="57" s="1"/>
  <c r="L321" i="57"/>
  <c r="I322" i="57"/>
  <c r="O299" i="47"/>
  <c r="G299" i="47"/>
  <c r="I328" i="53"/>
  <c r="V183" i="53"/>
  <c r="E375" i="47"/>
  <c r="V179" i="42"/>
  <c r="I324" i="42"/>
  <c r="L321" i="56" l="1"/>
  <c r="D322" i="56"/>
  <c r="N324" i="51"/>
  <c r="E324" i="51"/>
  <c r="S180" i="51"/>
  <c r="AC180" i="51" s="1"/>
  <c r="D327" i="53"/>
  <c r="L326" i="53"/>
  <c r="T179" i="42"/>
  <c r="AD179" i="42" s="1"/>
  <c r="B323" i="42"/>
  <c r="O323" i="42"/>
  <c r="L299" i="47"/>
  <c r="I300" i="47"/>
  <c r="J322" i="55"/>
  <c r="B375" i="47"/>
  <c r="G325" i="51"/>
  <c r="T177" i="55"/>
  <c r="AD177" i="55" s="1"/>
  <c r="B321" i="55"/>
  <c r="O321" i="55"/>
  <c r="J323" i="56"/>
  <c r="J324" i="42"/>
  <c r="J328" i="53"/>
  <c r="N322" i="57"/>
  <c r="J322" i="57"/>
  <c r="D399" i="57"/>
  <c r="E399" i="57" s="1"/>
  <c r="B399" i="57" s="1"/>
  <c r="N322" i="56" l="1"/>
  <c r="E322" i="56"/>
  <c r="S178" i="56"/>
  <c r="AC178" i="56" s="1"/>
  <c r="B324" i="51"/>
  <c r="O324" i="51"/>
  <c r="T180" i="51"/>
  <c r="AD180" i="51" s="1"/>
  <c r="E327" i="53"/>
  <c r="S183" i="53"/>
  <c r="AC183" i="53" s="1"/>
  <c r="N327" i="53"/>
  <c r="D324" i="42"/>
  <c r="Q179" i="42"/>
  <c r="AA179" i="42" s="1"/>
  <c r="L323" i="42"/>
  <c r="D400" i="57"/>
  <c r="E400" i="57" s="1"/>
  <c r="B400" i="57" s="1"/>
  <c r="N300" i="47"/>
  <c r="J300" i="47"/>
  <c r="X156" i="47"/>
  <c r="AC156" i="47" s="1"/>
  <c r="G323" i="56"/>
  <c r="Q177" i="55"/>
  <c r="AA177" i="55" s="1"/>
  <c r="D322" i="55"/>
  <c r="L321" i="55"/>
  <c r="G322" i="55"/>
  <c r="D376" i="47"/>
  <c r="G324" i="42"/>
  <c r="O322" i="57"/>
  <c r="G322" i="57"/>
  <c r="G328" i="53"/>
  <c r="I326" i="51"/>
  <c r="O322" i="56" l="1"/>
  <c r="B322" i="56"/>
  <c r="T178" i="56"/>
  <c r="AD178" i="56" s="1"/>
  <c r="D325" i="51"/>
  <c r="Q180" i="51"/>
  <c r="AA180" i="51" s="1"/>
  <c r="L324" i="51"/>
  <c r="T183" i="53"/>
  <c r="AD183" i="53" s="1"/>
  <c r="O327" i="53"/>
  <c r="B327" i="53"/>
  <c r="E324" i="42"/>
  <c r="N324" i="42"/>
  <c r="I323" i="55"/>
  <c r="D401" i="57"/>
  <c r="E401" i="57" s="1"/>
  <c r="B401" i="57" s="1"/>
  <c r="E376" i="47"/>
  <c r="L322" i="57"/>
  <c r="I323" i="57"/>
  <c r="J326" i="51"/>
  <c r="I324" i="56"/>
  <c r="I325" i="42"/>
  <c r="I329" i="53"/>
  <c r="E322" i="55"/>
  <c r="N322" i="55"/>
  <c r="O300" i="47"/>
  <c r="Y156" i="47"/>
  <c r="AD156" i="47" s="1"/>
  <c r="G300" i="47"/>
  <c r="D323" i="56" l="1"/>
  <c r="L322" i="56"/>
  <c r="Q178" i="56"/>
  <c r="AA178" i="56" s="1"/>
  <c r="E325" i="51"/>
  <c r="N325" i="51"/>
  <c r="Q183" i="53"/>
  <c r="AA183" i="53" s="1"/>
  <c r="D328" i="53"/>
  <c r="L327" i="53"/>
  <c r="O324" i="42"/>
  <c r="B324" i="42"/>
  <c r="D402" i="57"/>
  <c r="E402" i="57" s="1"/>
  <c r="B402" i="57" s="1"/>
  <c r="J329" i="53"/>
  <c r="V156" i="47"/>
  <c r="AA156" i="47" s="1"/>
  <c r="L300" i="47"/>
  <c r="I301" i="47"/>
  <c r="N323" i="57"/>
  <c r="J323" i="57"/>
  <c r="G326" i="51"/>
  <c r="J325" i="42"/>
  <c r="B376" i="47"/>
  <c r="J324" i="56"/>
  <c r="J323" i="55"/>
  <c r="B322" i="55"/>
  <c r="O322" i="55"/>
  <c r="E323" i="56" l="1"/>
  <c r="N323" i="56"/>
  <c r="O325" i="51"/>
  <c r="B325" i="51"/>
  <c r="E328" i="53"/>
  <c r="N328" i="53"/>
  <c r="D325" i="42"/>
  <c r="L324" i="42"/>
  <c r="D403" i="57"/>
  <c r="E403" i="57" s="1"/>
  <c r="B403" i="57" s="1"/>
  <c r="G329" i="53"/>
  <c r="D323" i="55"/>
  <c r="L322" i="55"/>
  <c r="G325" i="42"/>
  <c r="D377" i="47"/>
  <c r="I327" i="51"/>
  <c r="G324" i="56"/>
  <c r="O323" i="57"/>
  <c r="G323" i="57"/>
  <c r="N301" i="47"/>
  <c r="J301" i="47"/>
  <c r="G323" i="55"/>
  <c r="O323" i="56" l="1"/>
  <c r="B323" i="56"/>
  <c r="L325" i="51"/>
  <c r="D326" i="51"/>
  <c r="O328" i="53"/>
  <c r="B328" i="53"/>
  <c r="E325" i="42"/>
  <c r="N325" i="42"/>
  <c r="I324" i="55"/>
  <c r="D404" i="57"/>
  <c r="E404" i="57" s="1"/>
  <c r="B404" i="57" s="1"/>
  <c r="J327" i="51"/>
  <c r="E377" i="47"/>
  <c r="I330" i="53"/>
  <c r="L323" i="57"/>
  <c r="I324" i="57"/>
  <c r="E323" i="55"/>
  <c r="N323" i="55"/>
  <c r="I325" i="56"/>
  <c r="O301" i="47"/>
  <c r="G301" i="47"/>
  <c r="I326" i="42"/>
  <c r="L323" i="56" l="1"/>
  <c r="D324" i="56"/>
  <c r="N326" i="51"/>
  <c r="E326" i="51"/>
  <c r="D329" i="53"/>
  <c r="L328" i="53"/>
  <c r="B325" i="42"/>
  <c r="O325" i="42"/>
  <c r="N324" i="57"/>
  <c r="J324" i="57"/>
  <c r="J325" i="56"/>
  <c r="G327" i="51"/>
  <c r="J324" i="55"/>
  <c r="J326" i="42"/>
  <c r="L301" i="47"/>
  <c r="I302" i="47"/>
  <c r="O323" i="55"/>
  <c r="B323" i="55"/>
  <c r="J330" i="53"/>
  <c r="D405" i="57"/>
  <c r="B377" i="47"/>
  <c r="N324" i="56" l="1"/>
  <c r="E324" i="56"/>
  <c r="B326" i="51"/>
  <c r="O326" i="51"/>
  <c r="E329" i="53"/>
  <c r="N329" i="53"/>
  <c r="D326" i="42"/>
  <c r="L325" i="42"/>
  <c r="N302" i="47"/>
  <c r="J302" i="47"/>
  <c r="G330" i="53"/>
  <c r="E405" i="57"/>
  <c r="S184" i="57"/>
  <c r="D324" i="55"/>
  <c r="L323" i="55"/>
  <c r="G325" i="56"/>
  <c r="I328" i="51"/>
  <c r="G326" i="42"/>
  <c r="O324" i="57"/>
  <c r="G324" i="57"/>
  <c r="D378" i="47"/>
  <c r="E378" i="47" s="1"/>
  <c r="B378" i="47" s="1"/>
  <c r="G324" i="55"/>
  <c r="B324" i="56" l="1"/>
  <c r="O324" i="56"/>
  <c r="L326" i="51"/>
  <c r="D327" i="51"/>
  <c r="O329" i="53"/>
  <c r="B329" i="53"/>
  <c r="E326" i="42"/>
  <c r="N326" i="42"/>
  <c r="D379" i="47"/>
  <c r="E379" i="47" s="1"/>
  <c r="B379" i="47" s="1"/>
  <c r="E324" i="55"/>
  <c r="N324" i="55"/>
  <c r="J328" i="51"/>
  <c r="I325" i="57"/>
  <c r="L324" i="57"/>
  <c r="I327" i="42"/>
  <c r="I326" i="56"/>
  <c r="I331" i="53"/>
  <c r="O302" i="47"/>
  <c r="G302" i="47"/>
  <c r="I325" i="55"/>
  <c r="T184" i="57"/>
  <c r="B405" i="57"/>
  <c r="D325" i="56" l="1"/>
  <c r="L324" i="56"/>
  <c r="E327" i="51"/>
  <c r="N327" i="51"/>
  <c r="D330" i="53"/>
  <c r="L329" i="53"/>
  <c r="B326" i="42"/>
  <c r="O326" i="42"/>
  <c r="D380" i="47"/>
  <c r="E380" i="47" s="1"/>
  <c r="B380" i="47" s="1"/>
  <c r="J325" i="55"/>
  <c r="G328" i="51"/>
  <c r="D406" i="57"/>
  <c r="Q184" i="57"/>
  <c r="J327" i="42"/>
  <c r="B324" i="55"/>
  <c r="O324" i="55"/>
  <c r="J326" i="56"/>
  <c r="N325" i="57"/>
  <c r="J325" i="57"/>
  <c r="J331" i="53"/>
  <c r="L302" i="47"/>
  <c r="I303" i="47"/>
  <c r="N325" i="56" l="1"/>
  <c r="E325" i="56"/>
  <c r="O327" i="51"/>
  <c r="B327" i="51"/>
  <c r="E330" i="53"/>
  <c r="N330" i="53"/>
  <c r="D327" i="42"/>
  <c r="L326" i="42"/>
  <c r="D381" i="47"/>
  <c r="E381" i="47" s="1"/>
  <c r="B381" i="47" s="1"/>
  <c r="D325" i="55"/>
  <c r="L324" i="55"/>
  <c r="G325" i="55"/>
  <c r="G327" i="42"/>
  <c r="O325" i="57"/>
  <c r="G325" i="57"/>
  <c r="G326" i="56"/>
  <c r="N303" i="47"/>
  <c r="J303" i="47"/>
  <c r="E406" i="57"/>
  <c r="G331" i="53"/>
  <c r="I329" i="51"/>
  <c r="O325" i="56" l="1"/>
  <c r="B325" i="56"/>
  <c r="D328" i="51"/>
  <c r="L327" i="51"/>
  <c r="O330" i="53"/>
  <c r="B330" i="53"/>
  <c r="E327" i="42"/>
  <c r="N327" i="42"/>
  <c r="D382" i="47"/>
  <c r="E382" i="47" s="1"/>
  <c r="B382" i="47" s="1"/>
  <c r="I328" i="42"/>
  <c r="E325" i="55"/>
  <c r="N325" i="55"/>
  <c r="I327" i="56"/>
  <c r="I326" i="55"/>
  <c r="I326" i="57"/>
  <c r="L325" i="57"/>
  <c r="O303" i="47"/>
  <c r="G303" i="47"/>
  <c r="B406" i="57"/>
  <c r="I332" i="53"/>
  <c r="J329" i="51"/>
  <c r="D326" i="56" l="1"/>
  <c r="L325" i="56"/>
  <c r="E328" i="51"/>
  <c r="N328" i="51"/>
  <c r="D331" i="53"/>
  <c r="L330" i="53"/>
  <c r="B327" i="42"/>
  <c r="O327" i="42"/>
  <c r="D383" i="47"/>
  <c r="E383" i="47" s="1"/>
  <c r="B383" i="47" s="1"/>
  <c r="G329" i="51"/>
  <c r="J328" i="42"/>
  <c r="L303" i="47"/>
  <c r="I304" i="47"/>
  <c r="J327" i="56"/>
  <c r="O325" i="55"/>
  <c r="B325" i="55"/>
  <c r="N326" i="57"/>
  <c r="J326" i="57"/>
  <c r="J332" i="53"/>
  <c r="D407" i="57"/>
  <c r="J326" i="55"/>
  <c r="E326" i="56" l="1"/>
  <c r="N326" i="56"/>
  <c r="B328" i="51"/>
  <c r="O328" i="51"/>
  <c r="E331" i="53"/>
  <c r="N331" i="53"/>
  <c r="D328" i="42"/>
  <c r="L327" i="42"/>
  <c r="D384" i="47"/>
  <c r="E407" i="57"/>
  <c r="G327" i="56"/>
  <c r="I330" i="51"/>
  <c r="G332" i="53"/>
  <c r="N304" i="47"/>
  <c r="J304" i="47"/>
  <c r="O326" i="57"/>
  <c r="G326" i="57"/>
  <c r="G326" i="55"/>
  <c r="D326" i="55"/>
  <c r="L325" i="55"/>
  <c r="G328" i="42"/>
  <c r="O326" i="56" l="1"/>
  <c r="B326" i="56"/>
  <c r="L328" i="51"/>
  <c r="D329" i="51"/>
  <c r="O331" i="53"/>
  <c r="B331" i="53"/>
  <c r="E328" i="42"/>
  <c r="N328" i="42"/>
  <c r="E326" i="55"/>
  <c r="N326" i="55"/>
  <c r="O304" i="47"/>
  <c r="G304" i="47"/>
  <c r="I327" i="55"/>
  <c r="J330" i="51"/>
  <c r="I333" i="53"/>
  <c r="I328" i="56"/>
  <c r="B407" i="57"/>
  <c r="E384" i="47"/>
  <c r="S163" i="47"/>
  <c r="I329" i="42"/>
  <c r="L326" i="57"/>
  <c r="I327" i="57"/>
  <c r="D327" i="56" l="1"/>
  <c r="L326" i="56"/>
  <c r="N329" i="51"/>
  <c r="E329" i="51"/>
  <c r="D332" i="53"/>
  <c r="L331" i="53"/>
  <c r="B328" i="42"/>
  <c r="O328" i="42"/>
  <c r="T163" i="47"/>
  <c r="B384" i="47"/>
  <c r="D408" i="57"/>
  <c r="J327" i="55"/>
  <c r="N327" i="57"/>
  <c r="J327" i="57"/>
  <c r="J328" i="56"/>
  <c r="G330" i="51"/>
  <c r="J329" i="42"/>
  <c r="L304" i="47"/>
  <c r="I305" i="47"/>
  <c r="J333" i="53"/>
  <c r="O326" i="55"/>
  <c r="B326" i="55"/>
  <c r="N327" i="56" l="1"/>
  <c r="E327" i="56"/>
  <c r="O329" i="51"/>
  <c r="B329" i="51"/>
  <c r="E332" i="53"/>
  <c r="N332" i="53"/>
  <c r="D329" i="42"/>
  <c r="L328" i="42"/>
  <c r="N305" i="47"/>
  <c r="J305" i="47"/>
  <c r="G329" i="42"/>
  <c r="G328" i="56"/>
  <c r="O327" i="57"/>
  <c r="G327" i="57"/>
  <c r="Q163" i="47"/>
  <c r="D385" i="47"/>
  <c r="D327" i="55"/>
  <c r="L326" i="55"/>
  <c r="I331" i="51"/>
  <c r="G333" i="53"/>
  <c r="E408" i="57"/>
  <c r="G327" i="55"/>
  <c r="O327" i="56" l="1"/>
  <c r="B327" i="56"/>
  <c r="D330" i="51"/>
  <c r="L329" i="51"/>
  <c r="O332" i="53"/>
  <c r="B332" i="53"/>
  <c r="E329" i="42"/>
  <c r="N329" i="42"/>
  <c r="I328" i="55"/>
  <c r="L327" i="57"/>
  <c r="I328" i="57"/>
  <c r="J331" i="51"/>
  <c r="B408" i="57"/>
  <c r="I334" i="53"/>
  <c r="E385" i="47"/>
  <c r="O305" i="47"/>
  <c r="G305" i="47"/>
  <c r="I329" i="56"/>
  <c r="I330" i="42"/>
  <c r="E327" i="55"/>
  <c r="N327" i="55"/>
  <c r="D328" i="56" l="1"/>
  <c r="L327" i="56"/>
  <c r="E330" i="51"/>
  <c r="N330" i="51"/>
  <c r="D333" i="53"/>
  <c r="L332" i="53"/>
  <c r="B329" i="42"/>
  <c r="O329" i="42"/>
  <c r="L305" i="47"/>
  <c r="I306" i="47"/>
  <c r="J330" i="42"/>
  <c r="B385" i="47"/>
  <c r="J328" i="55"/>
  <c r="N328" i="57"/>
  <c r="J328" i="57"/>
  <c r="G331" i="51"/>
  <c r="J334" i="53"/>
  <c r="D409" i="57"/>
  <c r="J329" i="56"/>
  <c r="B327" i="55"/>
  <c r="O327" i="55"/>
  <c r="E328" i="56" l="1"/>
  <c r="N328" i="56"/>
  <c r="B330" i="51"/>
  <c r="O330" i="51"/>
  <c r="E333" i="53"/>
  <c r="N333" i="53"/>
  <c r="D330" i="42"/>
  <c r="L329" i="42"/>
  <c r="O328" i="57"/>
  <c r="G328" i="57"/>
  <c r="G330" i="42"/>
  <c r="I332" i="51"/>
  <c r="N306" i="47"/>
  <c r="J306" i="47"/>
  <c r="G328" i="55"/>
  <c r="G329" i="56"/>
  <c r="D386" i="47"/>
  <c r="G334" i="53"/>
  <c r="D328" i="55"/>
  <c r="L327" i="55"/>
  <c r="E409" i="57"/>
  <c r="B328" i="56" l="1"/>
  <c r="O328" i="56"/>
  <c r="L330" i="51"/>
  <c r="D331" i="51"/>
  <c r="B333" i="53"/>
  <c r="O333" i="53"/>
  <c r="E330" i="42"/>
  <c r="N330" i="42"/>
  <c r="I329" i="55"/>
  <c r="B409" i="57"/>
  <c r="O306" i="47"/>
  <c r="G306" i="47"/>
  <c r="I335" i="53"/>
  <c r="E386" i="47"/>
  <c r="I329" i="57"/>
  <c r="L328" i="57"/>
  <c r="I331" i="42"/>
  <c r="E328" i="55"/>
  <c r="N328" i="55"/>
  <c r="I330" i="56"/>
  <c r="J332" i="51"/>
  <c r="D329" i="56" l="1"/>
  <c r="L328" i="56"/>
  <c r="N331" i="51"/>
  <c r="E331" i="51"/>
  <c r="D334" i="53"/>
  <c r="L333" i="53"/>
  <c r="B330" i="42"/>
  <c r="O330" i="42"/>
  <c r="L306" i="47"/>
  <c r="I307" i="47"/>
  <c r="B386" i="47"/>
  <c r="J330" i="56"/>
  <c r="D410" i="57"/>
  <c r="N329" i="57"/>
  <c r="J329" i="57"/>
  <c r="J329" i="55"/>
  <c r="J331" i="42"/>
  <c r="O328" i="55"/>
  <c r="B328" i="55"/>
  <c r="G332" i="51"/>
  <c r="J335" i="53"/>
  <c r="N329" i="56" l="1"/>
  <c r="E329" i="56"/>
  <c r="O331" i="51"/>
  <c r="B331" i="51"/>
  <c r="E334" i="53"/>
  <c r="N334" i="53"/>
  <c r="D331" i="42"/>
  <c r="L330" i="42"/>
  <c r="G335" i="53"/>
  <c r="E410" i="57"/>
  <c r="N307" i="47"/>
  <c r="J307" i="47"/>
  <c r="O329" i="57"/>
  <c r="G329" i="57"/>
  <c r="G331" i="42"/>
  <c r="G330" i="56"/>
  <c r="I333" i="51"/>
  <c r="G329" i="55"/>
  <c r="D387" i="47"/>
  <c r="D329" i="55"/>
  <c r="L328" i="55"/>
  <c r="B329" i="56" l="1"/>
  <c r="O329" i="56"/>
  <c r="D332" i="51"/>
  <c r="L331" i="51"/>
  <c r="B334" i="53"/>
  <c r="O334" i="53"/>
  <c r="E331" i="42"/>
  <c r="N331" i="42"/>
  <c r="E329" i="55"/>
  <c r="N329" i="55"/>
  <c r="L329" i="57"/>
  <c r="I330" i="57"/>
  <c r="I330" i="55"/>
  <c r="B410" i="57"/>
  <c r="J333" i="51"/>
  <c r="I331" i="56"/>
  <c r="E387" i="47"/>
  <c r="I332" i="42"/>
  <c r="I336" i="53"/>
  <c r="O307" i="47"/>
  <c r="G307" i="47"/>
  <c r="L329" i="56" l="1"/>
  <c r="D330" i="56"/>
  <c r="E332" i="51"/>
  <c r="N332" i="51"/>
  <c r="D335" i="53"/>
  <c r="L334" i="53"/>
  <c r="B331" i="42"/>
  <c r="O331" i="42"/>
  <c r="L307" i="47"/>
  <c r="I308" i="47"/>
  <c r="D411" i="57"/>
  <c r="E411" i="57" s="1"/>
  <c r="B411" i="57" s="1"/>
  <c r="G333" i="51"/>
  <c r="J336" i="53"/>
  <c r="J332" i="42"/>
  <c r="B387" i="47"/>
  <c r="J330" i="55"/>
  <c r="J331" i="56"/>
  <c r="N330" i="57"/>
  <c r="J330" i="57"/>
  <c r="O329" i="55"/>
  <c r="B329" i="55"/>
  <c r="E330" i="56" l="1"/>
  <c r="N330" i="56"/>
  <c r="B332" i="51"/>
  <c r="O332" i="51"/>
  <c r="E335" i="53"/>
  <c r="N335" i="53"/>
  <c r="D332" i="42"/>
  <c r="L331" i="42"/>
  <c r="O330" i="57"/>
  <c r="G330" i="57"/>
  <c r="D388" i="47"/>
  <c r="D330" i="55"/>
  <c r="L329" i="55"/>
  <c r="G332" i="42"/>
  <c r="G336" i="53"/>
  <c r="N308" i="47"/>
  <c r="J308" i="47"/>
  <c r="D412" i="57"/>
  <c r="E412" i="57" s="1"/>
  <c r="B412" i="57" s="1"/>
  <c r="G331" i="56"/>
  <c r="G330" i="55"/>
  <c r="I334" i="51"/>
  <c r="B330" i="56" l="1"/>
  <c r="O330" i="56"/>
  <c r="L332" i="51"/>
  <c r="D333" i="51"/>
  <c r="B335" i="53"/>
  <c r="O335" i="53"/>
  <c r="E332" i="42"/>
  <c r="N332" i="42"/>
  <c r="D413" i="57"/>
  <c r="E413" i="57" s="1"/>
  <c r="B413" i="57" s="1"/>
  <c r="L330" i="57"/>
  <c r="I331" i="57"/>
  <c r="I332" i="56"/>
  <c r="J334" i="51"/>
  <c r="I331" i="55"/>
  <c r="I333" i="42"/>
  <c r="I337" i="53"/>
  <c r="E330" i="55"/>
  <c r="N330" i="55"/>
  <c r="E388" i="47"/>
  <c r="O308" i="47"/>
  <c r="G308" i="47"/>
  <c r="D331" i="56" l="1"/>
  <c r="L330" i="56"/>
  <c r="N333" i="51"/>
  <c r="E333" i="51"/>
  <c r="D336" i="53"/>
  <c r="L335" i="53"/>
  <c r="B332" i="42"/>
  <c r="O332" i="42"/>
  <c r="D414" i="57"/>
  <c r="E414" i="57" s="1"/>
  <c r="B414" i="57" s="1"/>
  <c r="J337" i="53"/>
  <c r="O330" i="55"/>
  <c r="B330" i="55"/>
  <c r="J332" i="56"/>
  <c r="J331" i="55"/>
  <c r="G334" i="51"/>
  <c r="B388" i="47"/>
  <c r="J333" i="42"/>
  <c r="L308" i="47"/>
  <c r="I309" i="47"/>
  <c r="N331" i="57"/>
  <c r="J331" i="57"/>
  <c r="E331" i="56" l="1"/>
  <c r="N331" i="56"/>
  <c r="B333" i="51"/>
  <c r="O333" i="51"/>
  <c r="E336" i="53"/>
  <c r="N336" i="53"/>
  <c r="D333" i="42"/>
  <c r="L332" i="42"/>
  <c r="D415" i="57"/>
  <c r="E415" i="57" s="1"/>
  <c r="B415" i="57" s="1"/>
  <c r="G337" i="53"/>
  <c r="O331" i="57"/>
  <c r="G331" i="57"/>
  <c r="I335" i="51"/>
  <c r="D389" i="47"/>
  <c r="N309" i="47"/>
  <c r="J309" i="47"/>
  <c r="D331" i="55"/>
  <c r="L330" i="55"/>
  <c r="G333" i="42"/>
  <c r="G332" i="56"/>
  <c r="G331" i="55"/>
  <c r="B331" i="56" l="1"/>
  <c r="O331" i="56"/>
  <c r="D334" i="51"/>
  <c r="L333" i="51"/>
  <c r="B336" i="53"/>
  <c r="O336" i="53"/>
  <c r="E333" i="42"/>
  <c r="N333" i="42"/>
  <c r="D416" i="57"/>
  <c r="E416" i="57" s="1"/>
  <c r="B416" i="57" s="1"/>
  <c r="I338" i="53"/>
  <c r="I333" i="56"/>
  <c r="I332" i="55"/>
  <c r="J335" i="51"/>
  <c r="I332" i="57"/>
  <c r="L331" i="57"/>
  <c r="I334" i="42"/>
  <c r="E389" i="47"/>
  <c r="E331" i="55"/>
  <c r="N331" i="55"/>
  <c r="O309" i="47"/>
  <c r="G309" i="47"/>
  <c r="D332" i="56" l="1"/>
  <c r="L331" i="56"/>
  <c r="N334" i="51"/>
  <c r="E334" i="51"/>
  <c r="D337" i="53"/>
  <c r="L336" i="53"/>
  <c r="B333" i="42"/>
  <c r="O333" i="42"/>
  <c r="D417" i="57"/>
  <c r="O331" i="55"/>
  <c r="B331" i="55"/>
  <c r="B389" i="47"/>
  <c r="J332" i="55"/>
  <c r="N332" i="57"/>
  <c r="J332" i="57"/>
  <c r="J333" i="56"/>
  <c r="J338" i="53"/>
  <c r="J334" i="42"/>
  <c r="L309" i="47"/>
  <c r="I310" i="47"/>
  <c r="G335" i="51"/>
  <c r="E332" i="56" l="1"/>
  <c r="N332" i="56"/>
  <c r="B334" i="51"/>
  <c r="O334" i="51"/>
  <c r="E337" i="53"/>
  <c r="N337" i="53"/>
  <c r="D334" i="42"/>
  <c r="L333" i="42"/>
  <c r="O332" i="57"/>
  <c r="G332" i="57"/>
  <c r="G332" i="55"/>
  <c r="G338" i="53"/>
  <c r="G333" i="56"/>
  <c r="D332" i="55"/>
  <c r="L331" i="55"/>
  <c r="I336" i="51"/>
  <c r="N310" i="47"/>
  <c r="J310" i="47"/>
  <c r="D390" i="47"/>
  <c r="E390" i="47" s="1"/>
  <c r="B390" i="47" s="1"/>
  <c r="G334" i="42"/>
  <c r="E417" i="57"/>
  <c r="S185" i="57"/>
  <c r="B332" i="56" l="1"/>
  <c r="O332" i="56"/>
  <c r="D335" i="51"/>
  <c r="L334" i="51"/>
  <c r="B337" i="53"/>
  <c r="O337" i="53"/>
  <c r="E334" i="42"/>
  <c r="N334" i="42"/>
  <c r="D391" i="47"/>
  <c r="E391" i="47" s="1"/>
  <c r="B391" i="47" s="1"/>
  <c r="O310" i="47"/>
  <c r="G310" i="47"/>
  <c r="L332" i="57"/>
  <c r="I333" i="57"/>
  <c r="I333" i="55"/>
  <c r="J336" i="51"/>
  <c r="X181" i="51"/>
  <c r="I335" i="42"/>
  <c r="T185" i="57"/>
  <c r="B417" i="57"/>
  <c r="E332" i="55"/>
  <c r="N332" i="55"/>
  <c r="I339" i="53"/>
  <c r="I334" i="56"/>
  <c r="D333" i="56" l="1"/>
  <c r="L332" i="56"/>
  <c r="N335" i="51"/>
  <c r="E335" i="51"/>
  <c r="D338" i="53"/>
  <c r="L337" i="53"/>
  <c r="B334" i="42"/>
  <c r="O334" i="42"/>
  <c r="D392" i="47"/>
  <c r="E392" i="47" s="1"/>
  <c r="B392" i="47" s="1"/>
  <c r="J334" i="56"/>
  <c r="X179" i="56"/>
  <c r="L310" i="47"/>
  <c r="I311" i="47"/>
  <c r="B332" i="55"/>
  <c r="O332" i="55"/>
  <c r="J335" i="42"/>
  <c r="X180" i="42"/>
  <c r="Q185" i="57"/>
  <c r="D418" i="57"/>
  <c r="J339" i="53"/>
  <c r="X184" i="53"/>
  <c r="J333" i="55"/>
  <c r="X178" i="55"/>
  <c r="N333" i="57"/>
  <c r="J333" i="57"/>
  <c r="X178" i="57"/>
  <c r="AC178" i="57" s="1"/>
  <c r="Y181" i="51"/>
  <c r="G336" i="51"/>
  <c r="E333" i="56" l="1"/>
  <c r="N333" i="56"/>
  <c r="O335" i="51"/>
  <c r="B335" i="51"/>
  <c r="E338" i="53"/>
  <c r="N338" i="53"/>
  <c r="D335" i="42"/>
  <c r="L334" i="42"/>
  <c r="D393" i="47"/>
  <c r="E393" i="47" s="1"/>
  <c r="B393" i="47" s="1"/>
  <c r="Y178" i="55"/>
  <c r="G333" i="55"/>
  <c r="N311" i="47"/>
  <c r="J311" i="47"/>
  <c r="D333" i="55"/>
  <c r="L332" i="55"/>
  <c r="O333" i="57"/>
  <c r="Y178" i="57"/>
  <c r="AD178" i="57" s="1"/>
  <c r="G333" i="57"/>
  <c r="I337" i="51"/>
  <c r="V181" i="51"/>
  <c r="Y180" i="42"/>
  <c r="G335" i="42"/>
  <c r="Y184" i="53"/>
  <c r="G339" i="53"/>
  <c r="E418" i="57"/>
  <c r="Y179" i="56"/>
  <c r="G334" i="56"/>
  <c r="O333" i="56" l="1"/>
  <c r="B333" i="56"/>
  <c r="D336" i="51"/>
  <c r="L335" i="51"/>
  <c r="B338" i="53"/>
  <c r="O338" i="53"/>
  <c r="E335" i="42"/>
  <c r="S180" i="42"/>
  <c r="AC180" i="42" s="1"/>
  <c r="N335" i="42"/>
  <c r="D394" i="47"/>
  <c r="E394" i="47" s="1"/>
  <c r="B394" i="47" s="1"/>
  <c r="I336" i="42"/>
  <c r="V180" i="42"/>
  <c r="J337" i="51"/>
  <c r="V178" i="57"/>
  <c r="AA178" i="57" s="1"/>
  <c r="L333" i="57"/>
  <c r="I334" i="57"/>
  <c r="I335" i="56"/>
  <c r="V179" i="56"/>
  <c r="V178" i="55"/>
  <c r="I334" i="55"/>
  <c r="B418" i="57"/>
  <c r="E333" i="55"/>
  <c r="S178" i="55"/>
  <c r="AC178" i="55" s="1"/>
  <c r="N333" i="55"/>
  <c r="I340" i="53"/>
  <c r="V184" i="53"/>
  <c r="O311" i="47"/>
  <c r="G311" i="47"/>
  <c r="D334" i="56" l="1"/>
  <c r="L333" i="56"/>
  <c r="N336" i="51"/>
  <c r="E336" i="51"/>
  <c r="S181" i="51"/>
  <c r="AC181" i="51" s="1"/>
  <c r="D339" i="53"/>
  <c r="L338" i="53"/>
  <c r="T180" i="42"/>
  <c r="AD180" i="42" s="1"/>
  <c r="O335" i="42"/>
  <c r="B335" i="42"/>
  <c r="D395" i="47"/>
  <c r="E395" i="47" s="1"/>
  <c r="B395" i="47" s="1"/>
  <c r="J340" i="53"/>
  <c r="J336" i="42"/>
  <c r="D419" i="57"/>
  <c r="T178" i="55"/>
  <c r="AD178" i="55" s="1"/>
  <c r="O333" i="55"/>
  <c r="B333" i="55"/>
  <c r="L311" i="47"/>
  <c r="I312" i="47"/>
  <c r="J335" i="56"/>
  <c r="G337" i="51"/>
  <c r="J334" i="55"/>
  <c r="N334" i="57"/>
  <c r="J334" i="57"/>
  <c r="N334" i="56" l="1"/>
  <c r="E334" i="56"/>
  <c r="S179" i="56"/>
  <c r="AC179" i="56" s="1"/>
  <c r="B336" i="51"/>
  <c r="O336" i="51"/>
  <c r="T181" i="51"/>
  <c r="AD181" i="51" s="1"/>
  <c r="E339" i="53"/>
  <c r="S184" i="53"/>
  <c r="AC184" i="53" s="1"/>
  <c r="N339" i="53"/>
  <c r="Q180" i="42"/>
  <c r="AA180" i="42" s="1"/>
  <c r="D336" i="42"/>
  <c r="L335" i="42"/>
  <c r="D396" i="47"/>
  <c r="O334" i="57"/>
  <c r="G334" i="57"/>
  <c r="G340" i="53"/>
  <c r="G335" i="56"/>
  <c r="E419" i="57"/>
  <c r="N312" i="47"/>
  <c r="J312" i="47"/>
  <c r="X157" i="47"/>
  <c r="AC157" i="47" s="1"/>
  <c r="I338" i="51"/>
  <c r="G336" i="42"/>
  <c r="G334" i="55"/>
  <c r="Q178" i="55"/>
  <c r="AA178" i="55" s="1"/>
  <c r="D334" i="55"/>
  <c r="L333" i="55"/>
  <c r="O334" i="56" l="1"/>
  <c r="B334" i="56"/>
  <c r="T179" i="56"/>
  <c r="AD179" i="56" s="1"/>
  <c r="Q181" i="51"/>
  <c r="AA181" i="51" s="1"/>
  <c r="D337" i="51"/>
  <c r="L336" i="51"/>
  <c r="T184" i="53"/>
  <c r="AD184" i="53" s="1"/>
  <c r="O339" i="53"/>
  <c r="B339" i="53"/>
  <c r="E336" i="42"/>
  <c r="N336" i="42"/>
  <c r="E334" i="55"/>
  <c r="N334" i="55"/>
  <c r="B419" i="57"/>
  <c r="L334" i="57"/>
  <c r="I335" i="57"/>
  <c r="I335" i="55"/>
  <c r="I336" i="56"/>
  <c r="I337" i="42"/>
  <c r="J338" i="51"/>
  <c r="E396" i="47"/>
  <c r="S164" i="47"/>
  <c r="I341" i="53"/>
  <c r="O312" i="47"/>
  <c r="Y157" i="47"/>
  <c r="AD157" i="47" s="1"/>
  <c r="G312" i="47"/>
  <c r="D335" i="56" l="1"/>
  <c r="L334" i="56"/>
  <c r="Q179" i="56"/>
  <c r="AA179" i="56" s="1"/>
  <c r="E337" i="51"/>
  <c r="N337" i="51"/>
  <c r="D340" i="53"/>
  <c r="Q184" i="53"/>
  <c r="AA184" i="53" s="1"/>
  <c r="L339" i="53"/>
  <c r="O336" i="42"/>
  <c r="B336" i="42"/>
  <c r="N335" i="57"/>
  <c r="J335" i="57"/>
  <c r="J336" i="56"/>
  <c r="J341" i="53"/>
  <c r="D420" i="57"/>
  <c r="T164" i="47"/>
  <c r="B396" i="47"/>
  <c r="V157" i="47"/>
  <c r="AA157" i="47" s="1"/>
  <c r="L312" i="47"/>
  <c r="I313" i="47"/>
  <c r="J335" i="55"/>
  <c r="O334" i="55"/>
  <c r="B334" i="55"/>
  <c r="G338" i="51"/>
  <c r="J337" i="42"/>
  <c r="E335" i="56" l="1"/>
  <c r="N335" i="56"/>
  <c r="B337" i="51"/>
  <c r="O337" i="51"/>
  <c r="E340" i="53"/>
  <c r="N340" i="53"/>
  <c r="D337" i="42"/>
  <c r="L336" i="42"/>
  <c r="G337" i="42"/>
  <c r="D335" i="55"/>
  <c r="L334" i="55"/>
  <c r="N313" i="47"/>
  <c r="J313" i="47"/>
  <c r="E420" i="57"/>
  <c r="G336" i="56"/>
  <c r="Q164" i="47"/>
  <c r="D397" i="47"/>
  <c r="I339" i="51"/>
  <c r="G341" i="53"/>
  <c r="O335" i="57"/>
  <c r="G335" i="57"/>
  <c r="G335" i="55"/>
  <c r="O335" i="56" l="1"/>
  <c r="B335" i="56"/>
  <c r="L337" i="51"/>
  <c r="D338" i="51"/>
  <c r="O340" i="53"/>
  <c r="B340" i="53"/>
  <c r="E337" i="42"/>
  <c r="N337" i="42"/>
  <c r="I342" i="53"/>
  <c r="I336" i="57"/>
  <c r="L335" i="57"/>
  <c r="I338" i="42"/>
  <c r="J339" i="51"/>
  <c r="O313" i="47"/>
  <c r="G313" i="47"/>
  <c r="I337" i="56"/>
  <c r="I336" i="55"/>
  <c r="B420" i="57"/>
  <c r="E397" i="47"/>
  <c r="E335" i="55"/>
  <c r="N335" i="55"/>
  <c r="D336" i="56" l="1"/>
  <c r="L335" i="56"/>
  <c r="N338" i="51"/>
  <c r="E338" i="51"/>
  <c r="D341" i="53"/>
  <c r="L340" i="53"/>
  <c r="B337" i="42"/>
  <c r="O337" i="42"/>
  <c r="J336" i="55"/>
  <c r="J337" i="56"/>
  <c r="G339" i="51"/>
  <c r="N336" i="57"/>
  <c r="J336" i="57"/>
  <c r="D421" i="57"/>
  <c r="O335" i="55"/>
  <c r="B335" i="55"/>
  <c r="B397" i="47"/>
  <c r="J342" i="53"/>
  <c r="L313" i="47"/>
  <c r="I314" i="47"/>
  <c r="J338" i="42"/>
  <c r="N336" i="56" l="1"/>
  <c r="E336" i="56"/>
  <c r="B338" i="51"/>
  <c r="O338" i="51"/>
  <c r="E341" i="53"/>
  <c r="N341" i="53"/>
  <c r="D338" i="42"/>
  <c r="L337" i="42"/>
  <c r="D398" i="47"/>
  <c r="E421" i="57"/>
  <c r="G337" i="56"/>
  <c r="D336" i="55"/>
  <c r="L335" i="55"/>
  <c r="O336" i="57"/>
  <c r="G336" i="57"/>
  <c r="G336" i="55"/>
  <c r="G338" i="42"/>
  <c r="G342" i="53"/>
  <c r="N314" i="47"/>
  <c r="J314" i="47"/>
  <c r="I340" i="51"/>
  <c r="O336" i="56" l="1"/>
  <c r="B336" i="56"/>
  <c r="D339" i="51"/>
  <c r="L338" i="51"/>
  <c r="O341" i="53"/>
  <c r="B341" i="53"/>
  <c r="E338" i="42"/>
  <c r="N338" i="42"/>
  <c r="B421" i="57"/>
  <c r="L336" i="57"/>
  <c r="I337" i="57"/>
  <c r="I337" i="55"/>
  <c r="I339" i="42"/>
  <c r="J340" i="51"/>
  <c r="I343" i="53"/>
  <c r="E336" i="55"/>
  <c r="N336" i="55"/>
  <c r="E398" i="47"/>
  <c r="O314" i="47"/>
  <c r="G314" i="47"/>
  <c r="I338" i="56"/>
  <c r="D337" i="56" l="1"/>
  <c r="L336" i="56"/>
  <c r="E339" i="51"/>
  <c r="N339" i="51"/>
  <c r="D342" i="53"/>
  <c r="L341" i="53"/>
  <c r="O338" i="42"/>
  <c r="B338" i="42"/>
  <c r="L314" i="47"/>
  <c r="I315" i="47"/>
  <c r="J343" i="53"/>
  <c r="O336" i="55"/>
  <c r="B336" i="55"/>
  <c r="J338" i="56"/>
  <c r="J339" i="42"/>
  <c r="J337" i="55"/>
  <c r="G340" i="51"/>
  <c r="D422" i="57"/>
  <c r="N337" i="57"/>
  <c r="J337" i="57"/>
  <c r="B398" i="47"/>
  <c r="E337" i="56" l="1"/>
  <c r="N337" i="56"/>
  <c r="B339" i="51"/>
  <c r="O339" i="51"/>
  <c r="E342" i="53"/>
  <c r="N342" i="53"/>
  <c r="D339" i="42"/>
  <c r="L338" i="42"/>
  <c r="G343" i="53"/>
  <c r="I341" i="51"/>
  <c r="G338" i="56"/>
  <c r="G337" i="55"/>
  <c r="E422" i="57"/>
  <c r="N315" i="47"/>
  <c r="J315" i="47"/>
  <c r="D399" i="47"/>
  <c r="O337" i="57"/>
  <c r="G337" i="57"/>
  <c r="G339" i="42"/>
  <c r="D337" i="55"/>
  <c r="L336" i="55"/>
  <c r="B337" i="56" l="1"/>
  <c r="O337" i="56"/>
  <c r="L339" i="51"/>
  <c r="D340" i="51"/>
  <c r="O342" i="53"/>
  <c r="B342" i="53"/>
  <c r="E339" i="42"/>
  <c r="N339" i="42"/>
  <c r="E399" i="47"/>
  <c r="J341" i="51"/>
  <c r="L337" i="57"/>
  <c r="I338" i="57"/>
  <c r="I344" i="53"/>
  <c r="O315" i="47"/>
  <c r="G315" i="47"/>
  <c r="E337" i="55"/>
  <c r="N337" i="55"/>
  <c r="I338" i="55"/>
  <c r="B422" i="57"/>
  <c r="I340" i="42"/>
  <c r="I339" i="56"/>
  <c r="L337" i="56" l="1"/>
  <c r="D338" i="56"/>
  <c r="E340" i="51"/>
  <c r="N340" i="51"/>
  <c r="D343" i="53"/>
  <c r="L342" i="53"/>
  <c r="B339" i="42"/>
  <c r="O339" i="42"/>
  <c r="D423" i="57"/>
  <c r="E423" i="57" s="1"/>
  <c r="B423" i="57" s="1"/>
  <c r="J344" i="53"/>
  <c r="J339" i="56"/>
  <c r="B337" i="55"/>
  <c r="O337" i="55"/>
  <c r="L315" i="47"/>
  <c r="I316" i="47"/>
  <c r="N338" i="57"/>
  <c r="J338" i="57"/>
  <c r="J338" i="55"/>
  <c r="G341" i="51"/>
  <c r="J340" i="42"/>
  <c r="B399" i="47"/>
  <c r="E338" i="56" l="1"/>
  <c r="N338" i="56"/>
  <c r="O340" i="51"/>
  <c r="B340" i="51"/>
  <c r="E343" i="53"/>
  <c r="N343" i="53"/>
  <c r="D340" i="42"/>
  <c r="L339" i="42"/>
  <c r="D424" i="57"/>
  <c r="E424" i="57" s="1"/>
  <c r="B424" i="57" s="1"/>
  <c r="O338" i="57"/>
  <c r="G338" i="57"/>
  <c r="G344" i="53"/>
  <c r="G339" i="56"/>
  <c r="I342" i="51"/>
  <c r="D400" i="47"/>
  <c r="G338" i="55"/>
  <c r="D338" i="55"/>
  <c r="L337" i="55"/>
  <c r="N316" i="47"/>
  <c r="J316" i="47"/>
  <c r="G340" i="42"/>
  <c r="B338" i="56" l="1"/>
  <c r="O338" i="56"/>
  <c r="D341" i="51"/>
  <c r="L340" i="51"/>
  <c r="O343" i="53"/>
  <c r="B343" i="53"/>
  <c r="E340" i="42"/>
  <c r="N340" i="42"/>
  <c r="D425" i="57"/>
  <c r="E425" i="57" s="1"/>
  <c r="B425" i="57" s="1"/>
  <c r="O316" i="47"/>
  <c r="G316" i="47"/>
  <c r="I340" i="56"/>
  <c r="I339" i="57"/>
  <c r="L338" i="57"/>
  <c r="E338" i="55"/>
  <c r="N338" i="55"/>
  <c r="I341" i="42"/>
  <c r="E400" i="47"/>
  <c r="I345" i="53"/>
  <c r="J342" i="51"/>
  <c r="I339" i="55"/>
  <c r="D339" i="56" l="1"/>
  <c r="L338" i="56"/>
  <c r="N341" i="51"/>
  <c r="E341" i="51"/>
  <c r="D344" i="53"/>
  <c r="L343" i="53"/>
  <c r="B340" i="42"/>
  <c r="O340" i="42"/>
  <c r="D426" i="57"/>
  <c r="E426" i="57" s="1"/>
  <c r="B426" i="57" s="1"/>
  <c r="J340" i="56"/>
  <c r="G342" i="51"/>
  <c r="B338" i="55"/>
  <c r="O338" i="55"/>
  <c r="J345" i="53"/>
  <c r="J339" i="55"/>
  <c r="J341" i="42"/>
  <c r="L316" i="47"/>
  <c r="I317" i="47"/>
  <c r="N339" i="57"/>
  <c r="J339" i="57"/>
  <c r="B400" i="47"/>
  <c r="E339" i="56" l="1"/>
  <c r="N339" i="56"/>
  <c r="O341" i="51"/>
  <c r="B341" i="51"/>
  <c r="E344" i="53"/>
  <c r="N344" i="53"/>
  <c r="D341" i="42"/>
  <c r="L340" i="42"/>
  <c r="D427" i="57"/>
  <c r="E427" i="57" s="1"/>
  <c r="B427" i="57" s="1"/>
  <c r="G340" i="56"/>
  <c r="G339" i="55"/>
  <c r="O339" i="57"/>
  <c r="G339" i="57"/>
  <c r="G345" i="53"/>
  <c r="N317" i="47"/>
  <c r="J317" i="47"/>
  <c r="I343" i="51"/>
  <c r="G341" i="42"/>
  <c r="D401" i="47"/>
  <c r="D339" i="55"/>
  <c r="L338" i="55"/>
  <c r="B339" i="56" l="1"/>
  <c r="O339" i="56"/>
  <c r="D342" i="51"/>
  <c r="L341" i="51"/>
  <c r="O344" i="53"/>
  <c r="B344" i="53"/>
  <c r="E341" i="42"/>
  <c r="N341" i="42"/>
  <c r="D428" i="57"/>
  <c r="E428" i="57" s="1"/>
  <c r="B428" i="57" s="1"/>
  <c r="O317" i="47"/>
  <c r="G317" i="47"/>
  <c r="E339" i="55"/>
  <c r="N339" i="55"/>
  <c r="L339" i="57"/>
  <c r="I340" i="57"/>
  <c r="J343" i="51"/>
  <c r="I346" i="53"/>
  <c r="I342" i="42"/>
  <c r="I340" i="55"/>
  <c r="I341" i="56"/>
  <c r="E401" i="47"/>
  <c r="L339" i="56" l="1"/>
  <c r="D340" i="56"/>
  <c r="E342" i="51"/>
  <c r="N342" i="51"/>
  <c r="D345" i="53"/>
  <c r="L344" i="53"/>
  <c r="B341" i="42"/>
  <c r="O341" i="42"/>
  <c r="J346" i="53"/>
  <c r="D429" i="57"/>
  <c r="L317" i="47"/>
  <c r="I318" i="47"/>
  <c r="J341" i="56"/>
  <c r="J340" i="55"/>
  <c r="O339" i="55"/>
  <c r="B339" i="55"/>
  <c r="N340" i="57"/>
  <c r="J340" i="57"/>
  <c r="G343" i="51"/>
  <c r="B401" i="47"/>
  <c r="J342" i="42"/>
  <c r="E340" i="56" l="1"/>
  <c r="N340" i="56"/>
  <c r="B342" i="51"/>
  <c r="O342" i="51"/>
  <c r="E345" i="53"/>
  <c r="N345" i="53"/>
  <c r="D342" i="42"/>
  <c r="L341" i="42"/>
  <c r="G341" i="56"/>
  <c r="G342" i="42"/>
  <c r="N318" i="47"/>
  <c r="J318" i="47"/>
  <c r="D340" i="55"/>
  <c r="L339" i="55"/>
  <c r="G346" i="53"/>
  <c r="E429" i="57"/>
  <c r="S186" i="57"/>
  <c r="O340" i="57"/>
  <c r="G340" i="57"/>
  <c r="D402" i="47"/>
  <c r="E402" i="47" s="1"/>
  <c r="B402" i="47" s="1"/>
  <c r="I344" i="51"/>
  <c r="G340" i="55"/>
  <c r="B340" i="56" l="1"/>
  <c r="O340" i="56"/>
  <c r="D343" i="51"/>
  <c r="L342" i="51"/>
  <c r="B345" i="53"/>
  <c r="O345" i="53"/>
  <c r="E342" i="42"/>
  <c r="N342" i="42"/>
  <c r="T186" i="57"/>
  <c r="B429" i="57"/>
  <c r="I341" i="57"/>
  <c r="L340" i="57"/>
  <c r="D403" i="47"/>
  <c r="E403" i="47" s="1"/>
  <c r="B403" i="47" s="1"/>
  <c r="I342" i="56"/>
  <c r="E340" i="55"/>
  <c r="N340" i="55"/>
  <c r="I347" i="53"/>
  <c r="J344" i="51"/>
  <c r="O318" i="47"/>
  <c r="G318" i="47"/>
  <c r="I343" i="42"/>
  <c r="I341" i="55"/>
  <c r="L340" i="56" l="1"/>
  <c r="D341" i="56"/>
  <c r="N343" i="51"/>
  <c r="E343" i="51"/>
  <c r="D346" i="53"/>
  <c r="L345" i="53"/>
  <c r="B342" i="42"/>
  <c r="O342" i="42"/>
  <c r="D404" i="47"/>
  <c r="E404" i="47" s="1"/>
  <c r="B404" i="47" s="1"/>
  <c r="L318" i="47"/>
  <c r="I319" i="47"/>
  <c r="J341" i="55"/>
  <c r="B340" i="55"/>
  <c r="O340" i="55"/>
  <c r="N341" i="57"/>
  <c r="J341" i="57"/>
  <c r="G344" i="51"/>
  <c r="J347" i="53"/>
  <c r="D430" i="57"/>
  <c r="Q186" i="57"/>
  <c r="J343" i="42"/>
  <c r="J342" i="56"/>
  <c r="E341" i="56" l="1"/>
  <c r="N341" i="56"/>
  <c r="O343" i="51"/>
  <c r="B343" i="51"/>
  <c r="E346" i="53"/>
  <c r="N346" i="53"/>
  <c r="D343" i="42"/>
  <c r="L342" i="42"/>
  <c r="D405" i="47"/>
  <c r="E405" i="47" s="1"/>
  <c r="B405" i="47" s="1"/>
  <c r="G341" i="55"/>
  <c r="N319" i="47"/>
  <c r="J319" i="47"/>
  <c r="D341" i="55"/>
  <c r="L340" i="55"/>
  <c r="G347" i="53"/>
  <c r="O341" i="57"/>
  <c r="G341" i="57"/>
  <c r="E430" i="57"/>
  <c r="G342" i="56"/>
  <c r="G343" i="42"/>
  <c r="I345" i="51"/>
  <c r="O341" i="56" l="1"/>
  <c r="B341" i="56"/>
  <c r="L343" i="51"/>
  <c r="D344" i="51"/>
  <c r="B346" i="53"/>
  <c r="O346" i="53"/>
  <c r="E343" i="42"/>
  <c r="N343" i="42"/>
  <c r="D406" i="47"/>
  <c r="E406" i="47" s="1"/>
  <c r="B406" i="47" s="1"/>
  <c r="E341" i="55"/>
  <c r="N341" i="55"/>
  <c r="I342" i="55"/>
  <c r="B430" i="57"/>
  <c r="J345" i="51"/>
  <c r="I348" i="53"/>
  <c r="O319" i="47"/>
  <c r="G319" i="47"/>
  <c r="I344" i="42"/>
  <c r="I342" i="57"/>
  <c r="L341" i="57"/>
  <c r="I343" i="56"/>
  <c r="D342" i="56" l="1"/>
  <c r="L341" i="56"/>
  <c r="N344" i="51"/>
  <c r="E344" i="51"/>
  <c r="D347" i="53"/>
  <c r="L346" i="53"/>
  <c r="B343" i="42"/>
  <c r="O343" i="42"/>
  <c r="D407" i="47"/>
  <c r="E407" i="47" s="1"/>
  <c r="B407" i="47" s="1"/>
  <c r="O341" i="55"/>
  <c r="B341" i="55"/>
  <c r="J348" i="53"/>
  <c r="J342" i="55"/>
  <c r="J343" i="56"/>
  <c r="D431" i="57"/>
  <c r="N342" i="57"/>
  <c r="J342" i="57"/>
  <c r="G345" i="51"/>
  <c r="L319" i="47"/>
  <c r="I320" i="47"/>
  <c r="J344" i="42"/>
  <c r="N342" i="56" l="1"/>
  <c r="E342" i="56"/>
  <c r="B344" i="51"/>
  <c r="O344" i="51"/>
  <c r="E347" i="53"/>
  <c r="N347" i="53"/>
  <c r="D344" i="42"/>
  <c r="L343" i="42"/>
  <c r="D408" i="47"/>
  <c r="E431" i="57"/>
  <c r="G344" i="42"/>
  <c r="O342" i="57"/>
  <c r="G342" i="57"/>
  <c r="G348" i="53"/>
  <c r="G343" i="56"/>
  <c r="D342" i="55"/>
  <c r="L341" i="55"/>
  <c r="I346" i="51"/>
  <c r="G342" i="55"/>
  <c r="N320" i="47"/>
  <c r="J320" i="47"/>
  <c r="O342" i="56" l="1"/>
  <c r="B342" i="56"/>
  <c r="D345" i="51"/>
  <c r="L344" i="51"/>
  <c r="B347" i="53"/>
  <c r="O347" i="53"/>
  <c r="E344" i="42"/>
  <c r="N344" i="42"/>
  <c r="I343" i="55"/>
  <c r="O320" i="47"/>
  <c r="G320" i="47"/>
  <c r="I349" i="53"/>
  <c r="B431" i="57"/>
  <c r="I344" i="56"/>
  <c r="I343" i="57"/>
  <c r="L342" i="57"/>
  <c r="E408" i="47"/>
  <c r="S165" i="47"/>
  <c r="I345" i="42"/>
  <c r="J346" i="51"/>
  <c r="E342" i="55"/>
  <c r="N342" i="55"/>
  <c r="D343" i="56" l="1"/>
  <c r="L342" i="56"/>
  <c r="N345" i="51"/>
  <c r="E345" i="51"/>
  <c r="D348" i="53"/>
  <c r="L347" i="53"/>
  <c r="B344" i="42"/>
  <c r="O344" i="42"/>
  <c r="O342" i="55"/>
  <c r="B342" i="55"/>
  <c r="G346" i="51"/>
  <c r="D432" i="57"/>
  <c r="L320" i="47"/>
  <c r="I321" i="47"/>
  <c r="N343" i="57"/>
  <c r="J343" i="57"/>
  <c r="J345" i="42"/>
  <c r="J343" i="55"/>
  <c r="J349" i="53"/>
  <c r="T165" i="47"/>
  <c r="B408" i="47"/>
  <c r="J344" i="56"/>
  <c r="N343" i="56" l="1"/>
  <c r="E343" i="56"/>
  <c r="O345" i="51"/>
  <c r="B345" i="51"/>
  <c r="E348" i="53"/>
  <c r="N348" i="53"/>
  <c r="D345" i="42"/>
  <c r="L344" i="42"/>
  <c r="Q165" i="47"/>
  <c r="D409" i="47"/>
  <c r="G349" i="53"/>
  <c r="G344" i="56"/>
  <c r="E432" i="57"/>
  <c r="I347" i="51"/>
  <c r="G345" i="42"/>
  <c r="D343" i="55"/>
  <c r="L342" i="55"/>
  <c r="O343" i="57"/>
  <c r="G343" i="57"/>
  <c r="G343" i="55"/>
  <c r="N321" i="47"/>
  <c r="J321" i="47"/>
  <c r="B343" i="56" l="1"/>
  <c r="O343" i="56"/>
  <c r="L345" i="51"/>
  <c r="D346" i="51"/>
  <c r="B348" i="53"/>
  <c r="O348" i="53"/>
  <c r="E345" i="42"/>
  <c r="N345" i="42"/>
  <c r="L343" i="57"/>
  <c r="I344" i="57"/>
  <c r="J347" i="51"/>
  <c r="O321" i="47"/>
  <c r="G321" i="47"/>
  <c r="B432" i="57"/>
  <c r="E409" i="47"/>
  <c r="I345" i="56"/>
  <c r="I350" i="53"/>
  <c r="E343" i="55"/>
  <c r="N343" i="55"/>
  <c r="I344" i="55"/>
  <c r="I346" i="42"/>
  <c r="D344" i="56" l="1"/>
  <c r="L343" i="56"/>
  <c r="E346" i="51"/>
  <c r="N346" i="51"/>
  <c r="D349" i="53"/>
  <c r="L348" i="53"/>
  <c r="B345" i="42"/>
  <c r="O345" i="42"/>
  <c r="N344" i="57"/>
  <c r="J344" i="57"/>
  <c r="D433" i="57"/>
  <c r="J344" i="55"/>
  <c r="J345" i="56"/>
  <c r="J346" i="42"/>
  <c r="B409" i="47"/>
  <c r="G347" i="51"/>
  <c r="J350" i="53"/>
  <c r="L321" i="47"/>
  <c r="I322" i="47"/>
  <c r="O343" i="55"/>
  <c r="B343" i="55"/>
  <c r="E344" i="56" l="1"/>
  <c r="N344" i="56"/>
  <c r="O346" i="51"/>
  <c r="B346" i="51"/>
  <c r="E349" i="53"/>
  <c r="N349" i="53"/>
  <c r="D346" i="42"/>
  <c r="L345" i="42"/>
  <c r="G345" i="56"/>
  <c r="E433" i="57"/>
  <c r="D410" i="47"/>
  <c r="G344" i="55"/>
  <c r="D344" i="55"/>
  <c r="L343" i="55"/>
  <c r="N322" i="47"/>
  <c r="J322" i="47"/>
  <c r="G350" i="53"/>
  <c r="I348" i="51"/>
  <c r="G346" i="42"/>
  <c r="O344" i="57"/>
  <c r="G344" i="57"/>
  <c r="B344" i="56" l="1"/>
  <c r="O344" i="56"/>
  <c r="D347" i="51"/>
  <c r="L346" i="51"/>
  <c r="B349" i="53"/>
  <c r="O349" i="53"/>
  <c r="E346" i="42"/>
  <c r="N346" i="42"/>
  <c r="B433" i="57"/>
  <c r="E410" i="47"/>
  <c r="E344" i="55"/>
  <c r="N344" i="55"/>
  <c r="I347" i="42"/>
  <c r="J348" i="51"/>
  <c r="X182" i="51"/>
  <c r="I345" i="55"/>
  <c r="I346" i="56"/>
  <c r="I351" i="53"/>
  <c r="I345" i="57"/>
  <c r="L344" i="57"/>
  <c r="O322" i="47"/>
  <c r="G322" i="47"/>
  <c r="D345" i="56" l="1"/>
  <c r="L344" i="56"/>
  <c r="N347" i="51"/>
  <c r="E347" i="51"/>
  <c r="D350" i="53"/>
  <c r="L349" i="53"/>
  <c r="B346" i="42"/>
  <c r="O346" i="42"/>
  <c r="D434" i="57"/>
  <c r="N345" i="57"/>
  <c r="J345" i="57"/>
  <c r="X179" i="57"/>
  <c r="AC179" i="57" s="1"/>
  <c r="J345" i="55"/>
  <c r="X179" i="55"/>
  <c r="J351" i="53"/>
  <c r="X185" i="53"/>
  <c r="Y182" i="51"/>
  <c r="G348" i="51"/>
  <c r="J347" i="42"/>
  <c r="X181" i="42"/>
  <c r="B410" i="47"/>
  <c r="L322" i="47"/>
  <c r="I323" i="47"/>
  <c r="J346" i="56"/>
  <c r="X180" i="56"/>
  <c r="O344" i="55"/>
  <c r="B344" i="55"/>
  <c r="E345" i="56" l="1"/>
  <c r="N345" i="56"/>
  <c r="O347" i="51"/>
  <c r="B347" i="51"/>
  <c r="E350" i="53"/>
  <c r="N350" i="53"/>
  <c r="D347" i="42"/>
  <c r="L346" i="42"/>
  <c r="Y180" i="56"/>
  <c r="G346" i="56"/>
  <c r="D345" i="55"/>
  <c r="L344" i="55"/>
  <c r="Y181" i="42"/>
  <c r="G347" i="42"/>
  <c r="E434" i="57"/>
  <c r="I349" i="51"/>
  <c r="V182" i="51"/>
  <c r="N323" i="47"/>
  <c r="J323" i="47"/>
  <c r="Y185" i="53"/>
  <c r="G351" i="53"/>
  <c r="D411" i="47"/>
  <c r="O345" i="57"/>
  <c r="Y179" i="57"/>
  <c r="AD179" i="57" s="1"/>
  <c r="G345" i="57"/>
  <c r="Y179" i="55"/>
  <c r="G345" i="55"/>
  <c r="B345" i="56" l="1"/>
  <c r="O345" i="56"/>
  <c r="L347" i="51"/>
  <c r="D348" i="51"/>
  <c r="B350" i="53"/>
  <c r="O350" i="53"/>
  <c r="E347" i="42"/>
  <c r="S181" i="42"/>
  <c r="AC181" i="42" s="1"/>
  <c r="N347" i="42"/>
  <c r="O323" i="47"/>
  <c r="G323" i="47"/>
  <c r="J349" i="51"/>
  <c r="E345" i="55"/>
  <c r="S179" i="55"/>
  <c r="AC179" i="55" s="1"/>
  <c r="N345" i="55"/>
  <c r="V179" i="55"/>
  <c r="I346" i="55"/>
  <c r="I347" i="56"/>
  <c r="V180" i="56"/>
  <c r="B434" i="57"/>
  <c r="I352" i="53"/>
  <c r="V185" i="53"/>
  <c r="V179" i="57"/>
  <c r="AA179" i="57" s="1"/>
  <c r="L345" i="57"/>
  <c r="I346" i="57"/>
  <c r="E411" i="47"/>
  <c r="V181" i="42"/>
  <c r="I348" i="42"/>
  <c r="L345" i="56" l="1"/>
  <c r="D346" i="56"/>
  <c r="N348" i="51"/>
  <c r="E348" i="51"/>
  <c r="S182" i="51"/>
  <c r="AC182" i="51" s="1"/>
  <c r="D351" i="53"/>
  <c r="L350" i="53"/>
  <c r="T181" i="42"/>
  <c r="AD181" i="42" s="1"/>
  <c r="O347" i="42"/>
  <c r="B347" i="42"/>
  <c r="N346" i="57"/>
  <c r="J346" i="57"/>
  <c r="G349" i="51"/>
  <c r="T179" i="55"/>
  <c r="AD179" i="55" s="1"/>
  <c r="O345" i="55"/>
  <c r="B345" i="55"/>
  <c r="J347" i="56"/>
  <c r="J346" i="55"/>
  <c r="B411" i="47"/>
  <c r="L323" i="47"/>
  <c r="I324" i="47"/>
  <c r="D435" i="57"/>
  <c r="E435" i="57" s="1"/>
  <c r="B435" i="57" s="1"/>
  <c r="J348" i="42"/>
  <c r="J352" i="53"/>
  <c r="N346" i="56" l="1"/>
  <c r="E346" i="56"/>
  <c r="S180" i="56"/>
  <c r="AC180" i="56" s="1"/>
  <c r="T182" i="51"/>
  <c r="AD182" i="51" s="1"/>
  <c r="B348" i="51"/>
  <c r="O348" i="51"/>
  <c r="E351" i="53"/>
  <c r="S185" i="53"/>
  <c r="AC185" i="53" s="1"/>
  <c r="N351" i="53"/>
  <c r="Q181" i="42"/>
  <c r="AA181" i="42" s="1"/>
  <c r="D348" i="42"/>
  <c r="L347" i="42"/>
  <c r="D436" i="57"/>
  <c r="E436" i="57" s="1"/>
  <c r="B436" i="57" s="1"/>
  <c r="G346" i="55"/>
  <c r="G352" i="53"/>
  <c r="I350" i="51"/>
  <c r="O346" i="57"/>
  <c r="G346" i="57"/>
  <c r="N324" i="47"/>
  <c r="J324" i="47"/>
  <c r="X158" i="47"/>
  <c r="AC158" i="47" s="1"/>
  <c r="G347" i="56"/>
  <c r="G348" i="42"/>
  <c r="D412" i="47"/>
  <c r="D346" i="55"/>
  <c r="Q179" i="55"/>
  <c r="AA179" i="55" s="1"/>
  <c r="L345" i="55"/>
  <c r="B346" i="56" l="1"/>
  <c r="O346" i="56"/>
  <c r="T180" i="56"/>
  <c r="AD180" i="56" s="1"/>
  <c r="D349" i="51"/>
  <c r="Q182" i="51"/>
  <c r="AA182" i="51" s="1"/>
  <c r="L348" i="51"/>
  <c r="T185" i="53"/>
  <c r="AD185" i="53" s="1"/>
  <c r="O351" i="53"/>
  <c r="B351" i="53"/>
  <c r="E348" i="42"/>
  <c r="N348" i="42"/>
  <c r="I349" i="42"/>
  <c r="O324" i="47"/>
  <c r="Y158" i="47"/>
  <c r="AD158" i="47" s="1"/>
  <c r="G324" i="47"/>
  <c r="I348" i="56"/>
  <c r="L346" i="57"/>
  <c r="I347" i="57"/>
  <c r="J350" i="51"/>
  <c r="I347" i="55"/>
  <c r="E346" i="55"/>
  <c r="N346" i="55"/>
  <c r="I353" i="53"/>
  <c r="D437" i="57"/>
  <c r="E437" i="57" s="1"/>
  <c r="B437" i="57" s="1"/>
  <c r="E412" i="47"/>
  <c r="Q180" i="56" l="1"/>
  <c r="AA180" i="56" s="1"/>
  <c r="L346" i="56"/>
  <c r="D347" i="56"/>
  <c r="E349" i="51"/>
  <c r="N349" i="51"/>
  <c r="D352" i="53"/>
  <c r="Q185" i="53"/>
  <c r="AA185" i="53" s="1"/>
  <c r="L351" i="53"/>
  <c r="O348" i="42"/>
  <c r="B348" i="42"/>
  <c r="D438" i="57"/>
  <c r="E438" i="57" s="1"/>
  <c r="B438" i="57" s="1"/>
  <c r="G350" i="51"/>
  <c r="J349" i="42"/>
  <c r="L324" i="47"/>
  <c r="V158" i="47"/>
  <c r="AA158" i="47" s="1"/>
  <c r="I325" i="47"/>
  <c r="J353" i="53"/>
  <c r="J347" i="55"/>
  <c r="B346" i="55"/>
  <c r="O346" i="55"/>
  <c r="N347" i="57"/>
  <c r="J347" i="57"/>
  <c r="B412" i="47"/>
  <c r="J348" i="56"/>
  <c r="E347" i="56" l="1"/>
  <c r="N347" i="56"/>
  <c r="B349" i="51"/>
  <c r="O349" i="51"/>
  <c r="E352" i="53"/>
  <c r="N352" i="53"/>
  <c r="D349" i="42"/>
  <c r="L348" i="42"/>
  <c r="D439" i="57"/>
  <c r="E439" i="57" s="1"/>
  <c r="B439" i="57" s="1"/>
  <c r="N325" i="47"/>
  <c r="J325" i="47"/>
  <c r="D413" i="47"/>
  <c r="G349" i="42"/>
  <c r="G348" i="56"/>
  <c r="G353" i="53"/>
  <c r="D347" i="55"/>
  <c r="L346" i="55"/>
  <c r="G347" i="55"/>
  <c r="O347" i="57"/>
  <c r="G347" i="57"/>
  <c r="I351" i="51"/>
  <c r="O347" i="56" l="1"/>
  <c r="B347" i="56"/>
  <c r="D350" i="51"/>
  <c r="L349" i="51"/>
  <c r="O352" i="53"/>
  <c r="B352" i="53"/>
  <c r="E349" i="42"/>
  <c r="N349" i="42"/>
  <c r="D440" i="57"/>
  <c r="E440" i="57" s="1"/>
  <c r="B440" i="57" s="1"/>
  <c r="E413" i="47"/>
  <c r="I350" i="42"/>
  <c r="I348" i="55"/>
  <c r="I349" i="56"/>
  <c r="O325" i="47"/>
  <c r="G325" i="47"/>
  <c r="E347" i="55"/>
  <c r="N347" i="55"/>
  <c r="I348" i="57"/>
  <c r="L347" i="57"/>
  <c r="I354" i="53"/>
  <c r="J351" i="51"/>
  <c r="D348" i="56" l="1"/>
  <c r="L347" i="56"/>
  <c r="N350" i="51"/>
  <c r="E350" i="51"/>
  <c r="D353" i="53"/>
  <c r="L352" i="53"/>
  <c r="B349" i="42"/>
  <c r="O349" i="42"/>
  <c r="D441" i="57"/>
  <c r="L325" i="47"/>
  <c r="I326" i="47"/>
  <c r="J348" i="55"/>
  <c r="J349" i="56"/>
  <c r="B413" i="47"/>
  <c r="G351" i="51"/>
  <c r="B347" i="55"/>
  <c r="O347" i="55"/>
  <c r="J354" i="53"/>
  <c r="N348" i="57"/>
  <c r="J348" i="57"/>
  <c r="J350" i="42"/>
  <c r="E348" i="56" l="1"/>
  <c r="N348" i="56"/>
  <c r="O350" i="51"/>
  <c r="B350" i="51"/>
  <c r="E353" i="53"/>
  <c r="N353" i="53"/>
  <c r="D350" i="42"/>
  <c r="L349" i="42"/>
  <c r="G354" i="53"/>
  <c r="G350" i="42"/>
  <c r="D348" i="55"/>
  <c r="L347" i="55"/>
  <c r="N326" i="47"/>
  <c r="J326" i="47"/>
  <c r="E441" i="57"/>
  <c r="S187" i="57"/>
  <c r="I352" i="51"/>
  <c r="G349" i="56"/>
  <c r="D414" i="47"/>
  <c r="E414" i="47" s="1"/>
  <c r="B414" i="47" s="1"/>
  <c r="O348" i="57"/>
  <c r="G348" i="57"/>
  <c r="G348" i="55"/>
  <c r="O348" i="56" l="1"/>
  <c r="B348" i="56"/>
  <c r="D351" i="51"/>
  <c r="L350" i="51"/>
  <c r="O353" i="53"/>
  <c r="B353" i="53"/>
  <c r="E350" i="42"/>
  <c r="N350" i="42"/>
  <c r="D415" i="47"/>
  <c r="E415" i="47" s="1"/>
  <c r="B415" i="47" s="1"/>
  <c r="I355" i="53"/>
  <c r="I349" i="55"/>
  <c r="I350" i="56"/>
  <c r="T187" i="57"/>
  <c r="B441" i="57"/>
  <c r="E348" i="55"/>
  <c r="N348" i="55"/>
  <c r="I349" i="57"/>
  <c r="L348" i="57"/>
  <c r="I351" i="42"/>
  <c r="J352" i="51"/>
  <c r="O326" i="47"/>
  <c r="G326" i="47"/>
  <c r="D349" i="56" l="1"/>
  <c r="L348" i="56"/>
  <c r="E351" i="51"/>
  <c r="N351" i="51"/>
  <c r="D354" i="53"/>
  <c r="L353" i="53"/>
  <c r="B350" i="42"/>
  <c r="O350" i="42"/>
  <c r="D416" i="47"/>
  <c r="E416" i="47" s="1"/>
  <c r="B416" i="47" s="1"/>
  <c r="D442" i="57"/>
  <c r="Q187" i="57"/>
  <c r="J355" i="53"/>
  <c r="O348" i="55"/>
  <c r="B348" i="55"/>
  <c r="N349" i="57"/>
  <c r="J349" i="57"/>
  <c r="J350" i="56"/>
  <c r="L326" i="47"/>
  <c r="I327" i="47"/>
  <c r="G352" i="51"/>
  <c r="J351" i="42"/>
  <c r="J349" i="55"/>
  <c r="N349" i="56" l="1"/>
  <c r="E349" i="56"/>
  <c r="B351" i="51"/>
  <c r="O351" i="51"/>
  <c r="E354" i="53"/>
  <c r="N354" i="53"/>
  <c r="D351" i="42"/>
  <c r="L350" i="42"/>
  <c r="D417" i="47"/>
  <c r="E417" i="47" s="1"/>
  <c r="B417" i="47" s="1"/>
  <c r="I353" i="51"/>
  <c r="N327" i="47"/>
  <c r="J327" i="47"/>
  <c r="O349" i="57"/>
  <c r="G349" i="57"/>
  <c r="D349" i="55"/>
  <c r="L348" i="55"/>
  <c r="E442" i="57"/>
  <c r="G355" i="53"/>
  <c r="G350" i="56"/>
  <c r="G351" i="42"/>
  <c r="G349" i="55"/>
  <c r="O349" i="56" l="1"/>
  <c r="B349" i="56"/>
  <c r="D352" i="51"/>
  <c r="L351" i="51"/>
  <c r="O354" i="53"/>
  <c r="B354" i="53"/>
  <c r="E351" i="42"/>
  <c r="N351" i="42"/>
  <c r="D418" i="47"/>
  <c r="E418" i="47" s="1"/>
  <c r="B418" i="47" s="1"/>
  <c r="E349" i="55"/>
  <c r="N349" i="55"/>
  <c r="I350" i="57"/>
  <c r="L349" i="57"/>
  <c r="O327" i="47"/>
  <c r="G327" i="47"/>
  <c r="I356" i="53"/>
  <c r="J353" i="51"/>
  <c r="B442" i="57"/>
  <c r="I351" i="56"/>
  <c r="I352" i="42"/>
  <c r="I350" i="55"/>
  <c r="D350" i="56" l="1"/>
  <c r="L349" i="56"/>
  <c r="N352" i="51"/>
  <c r="E352" i="51"/>
  <c r="D355" i="53"/>
  <c r="L354" i="53"/>
  <c r="B351" i="42"/>
  <c r="O351" i="42"/>
  <c r="D419" i="47"/>
  <c r="E419" i="47" s="1"/>
  <c r="B419" i="47" s="1"/>
  <c r="D443" i="57"/>
  <c r="L327" i="47"/>
  <c r="I328" i="47"/>
  <c r="B349" i="55"/>
  <c r="O349" i="55"/>
  <c r="J350" i="55"/>
  <c r="G353" i="51"/>
  <c r="J356" i="53"/>
  <c r="J352" i="42"/>
  <c r="J351" i="56"/>
  <c r="N350" i="57"/>
  <c r="J350" i="57"/>
  <c r="N350" i="56" l="1"/>
  <c r="E350" i="56"/>
  <c r="B352" i="51"/>
  <c r="O352" i="51"/>
  <c r="E355" i="53"/>
  <c r="N355" i="53"/>
  <c r="D352" i="42"/>
  <c r="L351" i="42"/>
  <c r="D420" i="47"/>
  <c r="G352" i="42"/>
  <c r="O350" i="57"/>
  <c r="G350" i="57"/>
  <c r="N328" i="47"/>
  <c r="J328" i="47"/>
  <c r="G356" i="53"/>
  <c r="I354" i="51"/>
  <c r="E443" i="57"/>
  <c r="D350" i="55"/>
  <c r="L349" i="55"/>
  <c r="G350" i="55"/>
  <c r="G351" i="56"/>
  <c r="O350" i="56" l="1"/>
  <c r="B350" i="56"/>
  <c r="D353" i="51"/>
  <c r="L352" i="51"/>
  <c r="O355" i="53"/>
  <c r="B355" i="53"/>
  <c r="E352" i="42"/>
  <c r="N352" i="42"/>
  <c r="E350" i="55"/>
  <c r="N350" i="55"/>
  <c r="J354" i="51"/>
  <c r="L350" i="57"/>
  <c r="I351" i="57"/>
  <c r="I352" i="56"/>
  <c r="I357" i="53"/>
  <c r="O328" i="47"/>
  <c r="G328" i="47"/>
  <c r="I351" i="55"/>
  <c r="I353" i="42"/>
  <c r="E420" i="47"/>
  <c r="S166" i="47"/>
  <c r="B443" i="57"/>
  <c r="D351" i="56" l="1"/>
  <c r="L350" i="56"/>
  <c r="E353" i="51"/>
  <c r="N353" i="51"/>
  <c r="D356" i="53"/>
  <c r="L355" i="53"/>
  <c r="B352" i="42"/>
  <c r="O352" i="42"/>
  <c r="T166" i="47"/>
  <c r="B420" i="47"/>
  <c r="J353" i="42"/>
  <c r="L328" i="47"/>
  <c r="I329" i="47"/>
  <c r="D444" i="57"/>
  <c r="B350" i="55"/>
  <c r="O350" i="55"/>
  <c r="G354" i="51"/>
  <c r="J351" i="55"/>
  <c r="J357" i="53"/>
  <c r="N351" i="57"/>
  <c r="J351" i="57"/>
  <c r="J352" i="56"/>
  <c r="E351" i="56" l="1"/>
  <c r="N351" i="56"/>
  <c r="B353" i="51"/>
  <c r="O353" i="51"/>
  <c r="E356" i="53"/>
  <c r="N356" i="53"/>
  <c r="D353" i="42"/>
  <c r="L352" i="42"/>
  <c r="G353" i="42"/>
  <c r="O351" i="57"/>
  <c r="G351" i="57"/>
  <c r="E444" i="57"/>
  <c r="Q166" i="47"/>
  <c r="D421" i="47"/>
  <c r="N329" i="47"/>
  <c r="J329" i="47"/>
  <c r="D351" i="55"/>
  <c r="L350" i="55"/>
  <c r="G357" i="53"/>
  <c r="G351" i="55"/>
  <c r="G352" i="56"/>
  <c r="I355" i="51"/>
  <c r="B351" i="56" l="1"/>
  <c r="O351" i="56"/>
  <c r="L353" i="51"/>
  <c r="D354" i="51"/>
  <c r="O356" i="53"/>
  <c r="B356" i="53"/>
  <c r="E353" i="42"/>
  <c r="N353" i="42"/>
  <c r="J355" i="51"/>
  <c r="I352" i="57"/>
  <c r="L351" i="57"/>
  <c r="I353" i="56"/>
  <c r="B444" i="57"/>
  <c r="E351" i="55"/>
  <c r="N351" i="55"/>
  <c r="I352" i="55"/>
  <c r="E421" i="47"/>
  <c r="I354" i="42"/>
  <c r="I358" i="53"/>
  <c r="O329" i="47"/>
  <c r="G329" i="47"/>
  <c r="D352" i="56" l="1"/>
  <c r="L351" i="56"/>
  <c r="E354" i="51"/>
  <c r="N354" i="51"/>
  <c r="D357" i="53"/>
  <c r="L356" i="53"/>
  <c r="B353" i="42"/>
  <c r="O353" i="42"/>
  <c r="N352" i="57"/>
  <c r="J352" i="57"/>
  <c r="J353" i="56"/>
  <c r="D445" i="57"/>
  <c r="J354" i="42"/>
  <c r="B421" i="47"/>
  <c r="J358" i="53"/>
  <c r="J352" i="55"/>
  <c r="G355" i="51"/>
  <c r="O351" i="55"/>
  <c r="B351" i="55"/>
  <c r="L329" i="47"/>
  <c r="I330" i="47"/>
  <c r="N352" i="56" l="1"/>
  <c r="E352" i="56"/>
  <c r="O354" i="51"/>
  <c r="B354" i="51"/>
  <c r="E357" i="53"/>
  <c r="N357" i="53"/>
  <c r="D354" i="42"/>
  <c r="L353" i="42"/>
  <c r="D352" i="55"/>
  <c r="L351" i="55"/>
  <c r="G353" i="56"/>
  <c r="G358" i="53"/>
  <c r="I356" i="51"/>
  <c r="D422" i="47"/>
  <c r="G354" i="42"/>
  <c r="E445" i="57"/>
  <c r="O352" i="57"/>
  <c r="G352" i="57"/>
  <c r="N330" i="47"/>
  <c r="J330" i="47"/>
  <c r="G352" i="55"/>
  <c r="B352" i="56" l="1"/>
  <c r="O352" i="56"/>
  <c r="D355" i="51"/>
  <c r="L354" i="51"/>
  <c r="B357" i="53"/>
  <c r="O357" i="53"/>
  <c r="E354" i="42"/>
  <c r="N354" i="42"/>
  <c r="I359" i="53"/>
  <c r="I354" i="56"/>
  <c r="I355" i="42"/>
  <c r="B445" i="57"/>
  <c r="L352" i="57"/>
  <c r="I353" i="57"/>
  <c r="E422" i="47"/>
  <c r="O330" i="47"/>
  <c r="G330" i="47"/>
  <c r="J356" i="51"/>
  <c r="I353" i="55"/>
  <c r="E352" i="55"/>
  <c r="N352" i="55"/>
  <c r="L352" i="56" l="1"/>
  <c r="D353" i="56"/>
  <c r="E355" i="51"/>
  <c r="N355" i="51"/>
  <c r="D358" i="53"/>
  <c r="L357" i="53"/>
  <c r="B354" i="42"/>
  <c r="O354" i="42"/>
  <c r="J354" i="56"/>
  <c r="J355" i="42"/>
  <c r="B422" i="47"/>
  <c r="D446" i="57"/>
  <c r="B352" i="55"/>
  <c r="O352" i="55"/>
  <c r="J353" i="55"/>
  <c r="J359" i="53"/>
  <c r="N353" i="57"/>
  <c r="J353" i="57"/>
  <c r="L330" i="47"/>
  <c r="I331" i="47"/>
  <c r="G356" i="51"/>
  <c r="E353" i="56" l="1"/>
  <c r="N353" i="56"/>
  <c r="O355" i="51"/>
  <c r="B355" i="51"/>
  <c r="E358" i="53"/>
  <c r="N358" i="53"/>
  <c r="D355" i="42"/>
  <c r="L354" i="42"/>
  <c r="G354" i="56"/>
  <c r="G355" i="42"/>
  <c r="D353" i="55"/>
  <c r="L352" i="55"/>
  <c r="G353" i="55"/>
  <c r="O353" i="57"/>
  <c r="G353" i="57"/>
  <c r="G359" i="53"/>
  <c r="D423" i="47"/>
  <c r="N331" i="47"/>
  <c r="J331" i="47"/>
  <c r="E446" i="57"/>
  <c r="I357" i="51"/>
  <c r="O353" i="56" l="1"/>
  <c r="B353" i="56"/>
  <c r="L355" i="51"/>
  <c r="D356" i="51"/>
  <c r="B358" i="53"/>
  <c r="O358" i="53"/>
  <c r="E355" i="42"/>
  <c r="N355" i="42"/>
  <c r="I354" i="55"/>
  <c r="J357" i="51"/>
  <c r="I355" i="56"/>
  <c r="I356" i="42"/>
  <c r="E423" i="47"/>
  <c r="I360" i="53"/>
  <c r="E353" i="55"/>
  <c r="N353" i="55"/>
  <c r="B446" i="57"/>
  <c r="O331" i="47"/>
  <c r="G331" i="47"/>
  <c r="I354" i="57"/>
  <c r="L353" i="57"/>
  <c r="D354" i="56" l="1"/>
  <c r="L353" i="56"/>
  <c r="N356" i="51"/>
  <c r="E356" i="51"/>
  <c r="D359" i="53"/>
  <c r="L358" i="53"/>
  <c r="B355" i="42"/>
  <c r="O355" i="42"/>
  <c r="N354" i="57"/>
  <c r="J354" i="57"/>
  <c r="L331" i="47"/>
  <c r="I332" i="47"/>
  <c r="B353" i="55"/>
  <c r="O353" i="55"/>
  <c r="G357" i="51"/>
  <c r="J354" i="55"/>
  <c r="J355" i="56"/>
  <c r="B423" i="47"/>
  <c r="D447" i="57"/>
  <c r="E447" i="57" s="1"/>
  <c r="B447" i="57" s="1"/>
  <c r="J360" i="53"/>
  <c r="J356" i="42"/>
  <c r="E354" i="56" l="1"/>
  <c r="N354" i="56"/>
  <c r="B356" i="51"/>
  <c r="O356" i="51"/>
  <c r="E359" i="53"/>
  <c r="N359" i="53"/>
  <c r="D356" i="42"/>
  <c r="L355" i="42"/>
  <c r="D448" i="57"/>
  <c r="E448" i="57" s="1"/>
  <c r="B448" i="57" s="1"/>
  <c r="G356" i="42"/>
  <c r="D424" i="47"/>
  <c r="G355" i="56"/>
  <c r="D354" i="55"/>
  <c r="L353" i="55"/>
  <c r="N332" i="47"/>
  <c r="J332" i="47"/>
  <c r="O354" i="57"/>
  <c r="G354" i="57"/>
  <c r="G354" i="55"/>
  <c r="G360" i="53"/>
  <c r="I358" i="51"/>
  <c r="B354" i="56" l="1"/>
  <c r="O354" i="56"/>
  <c r="D357" i="51"/>
  <c r="L356" i="51"/>
  <c r="B359" i="53"/>
  <c r="O359" i="53"/>
  <c r="E356" i="42"/>
  <c r="N356" i="42"/>
  <c r="D449" i="57"/>
  <c r="E449" i="57" s="1"/>
  <c r="B449" i="57" s="1"/>
  <c r="I355" i="55"/>
  <c r="E354" i="55"/>
  <c r="N354" i="55"/>
  <c r="I357" i="42"/>
  <c r="I355" i="57"/>
  <c r="L354" i="57"/>
  <c r="O332" i="47"/>
  <c r="G332" i="47"/>
  <c r="E424" i="47"/>
  <c r="I356" i="56"/>
  <c r="J358" i="51"/>
  <c r="I361" i="53"/>
  <c r="D355" i="56" l="1"/>
  <c r="L354" i="56"/>
  <c r="E357" i="51"/>
  <c r="N357" i="51"/>
  <c r="D360" i="53"/>
  <c r="L359" i="53"/>
  <c r="B356" i="42"/>
  <c r="O356" i="42"/>
  <c r="D450" i="57"/>
  <c r="E450" i="57" s="1"/>
  <c r="B450" i="57" s="1"/>
  <c r="J361" i="53"/>
  <c r="J355" i="55"/>
  <c r="J356" i="56"/>
  <c r="G358" i="51"/>
  <c r="J357" i="42"/>
  <c r="B424" i="47"/>
  <c r="B354" i="55"/>
  <c r="O354" i="55"/>
  <c r="N355" i="57"/>
  <c r="J355" i="57"/>
  <c r="L332" i="47"/>
  <c r="I333" i="47"/>
  <c r="E355" i="56" l="1"/>
  <c r="N355" i="56"/>
  <c r="O357" i="51"/>
  <c r="B357" i="51"/>
  <c r="E360" i="53"/>
  <c r="N360" i="53"/>
  <c r="D357" i="42"/>
  <c r="L356" i="42"/>
  <c r="D355" i="55"/>
  <c r="L354" i="55"/>
  <c r="D451" i="57"/>
  <c r="E451" i="57" s="1"/>
  <c r="B451" i="57" s="1"/>
  <c r="G355" i="55"/>
  <c r="I359" i="51"/>
  <c r="G357" i="42"/>
  <c r="O355" i="57"/>
  <c r="G355" i="57"/>
  <c r="G361" i="53"/>
  <c r="D425" i="47"/>
  <c r="N333" i="47"/>
  <c r="J333" i="47"/>
  <c r="G356" i="56"/>
  <c r="B355" i="56" l="1"/>
  <c r="O355" i="56"/>
  <c r="L357" i="51"/>
  <c r="D358" i="51"/>
  <c r="B360" i="53"/>
  <c r="O360" i="53"/>
  <c r="E357" i="42"/>
  <c r="N357" i="42"/>
  <c r="D452" i="57"/>
  <c r="E452" i="57" s="1"/>
  <c r="B452" i="57" s="1"/>
  <c r="I362" i="53"/>
  <c r="J359" i="51"/>
  <c r="E355" i="55"/>
  <c r="N355" i="55"/>
  <c r="E425" i="47"/>
  <c r="I356" i="55"/>
  <c r="O333" i="47"/>
  <c r="G333" i="47"/>
  <c r="I358" i="42"/>
  <c r="I357" i="56"/>
  <c r="L355" i="57"/>
  <c r="I356" i="57"/>
  <c r="D356" i="56" l="1"/>
  <c r="L355" i="56"/>
  <c r="E358" i="51"/>
  <c r="N358" i="51"/>
  <c r="D361" i="53"/>
  <c r="L360" i="53"/>
  <c r="B357" i="42"/>
  <c r="O357" i="42"/>
  <c r="J362" i="53"/>
  <c r="J357" i="56"/>
  <c r="O355" i="55"/>
  <c r="B355" i="55"/>
  <c r="D453" i="57"/>
  <c r="B425" i="47"/>
  <c r="G359" i="51"/>
  <c r="J356" i="55"/>
  <c r="L333" i="47"/>
  <c r="I334" i="47"/>
  <c r="N356" i="57"/>
  <c r="J356" i="57"/>
  <c r="J358" i="42"/>
  <c r="E356" i="56" l="1"/>
  <c r="N356" i="56"/>
  <c r="O358" i="51"/>
  <c r="B358" i="51"/>
  <c r="E361" i="53"/>
  <c r="N361" i="53"/>
  <c r="D358" i="42"/>
  <c r="L357" i="42"/>
  <c r="N334" i="47"/>
  <c r="J334" i="47"/>
  <c r="D426" i="47"/>
  <c r="E426" i="47" s="1"/>
  <c r="B426" i="47" s="1"/>
  <c r="G356" i="55"/>
  <c r="G358" i="42"/>
  <c r="G357" i="56"/>
  <c r="I360" i="51"/>
  <c r="D356" i="55"/>
  <c r="L355" i="55"/>
  <c r="G362" i="53"/>
  <c r="E453" i="57"/>
  <c r="S188" i="57"/>
  <c r="O356" i="57"/>
  <c r="G356" i="57"/>
  <c r="B356" i="56" l="1"/>
  <c r="O356" i="56"/>
  <c r="D359" i="51"/>
  <c r="L358" i="51"/>
  <c r="B361" i="53"/>
  <c r="O361" i="53"/>
  <c r="E358" i="42"/>
  <c r="N358" i="42"/>
  <c r="D427" i="47"/>
  <c r="E427" i="47" s="1"/>
  <c r="B427" i="47" s="1"/>
  <c r="I357" i="57"/>
  <c r="L356" i="57"/>
  <c r="I358" i="56"/>
  <c r="E356" i="55"/>
  <c r="N356" i="55"/>
  <c r="I357" i="55"/>
  <c r="O334" i="47"/>
  <c r="G334" i="47"/>
  <c r="J360" i="51"/>
  <c r="X183" i="51"/>
  <c r="I359" i="42"/>
  <c r="T188" i="57"/>
  <c r="B453" i="57"/>
  <c r="I363" i="53"/>
  <c r="D357" i="56" l="1"/>
  <c r="L356" i="56"/>
  <c r="E359" i="51"/>
  <c r="N359" i="51"/>
  <c r="D362" i="53"/>
  <c r="L361" i="53"/>
  <c r="B358" i="42"/>
  <c r="O358" i="42"/>
  <c r="D428" i="47"/>
  <c r="E428" i="47" s="1"/>
  <c r="B428" i="47" s="1"/>
  <c r="N357" i="57"/>
  <c r="J357" i="57"/>
  <c r="X180" i="57"/>
  <c r="AC180" i="57" s="1"/>
  <c r="J359" i="42"/>
  <c r="X182" i="42"/>
  <c r="O356" i="55"/>
  <c r="B356" i="55"/>
  <c r="J357" i="55"/>
  <c r="X180" i="55"/>
  <c r="Q188" i="57"/>
  <c r="D454" i="57"/>
  <c r="L334" i="47"/>
  <c r="I335" i="47"/>
  <c r="J363" i="53"/>
  <c r="X186" i="53"/>
  <c r="Y183" i="51"/>
  <c r="G360" i="51"/>
  <c r="J358" i="56"/>
  <c r="X181" i="56"/>
  <c r="E357" i="56" l="1"/>
  <c r="N357" i="56"/>
  <c r="B359" i="51"/>
  <c r="O359" i="51"/>
  <c r="E362" i="53"/>
  <c r="N362" i="53"/>
  <c r="D359" i="42"/>
  <c r="L358" i="42"/>
  <c r="D429" i="47"/>
  <c r="E429" i="47" s="1"/>
  <c r="B429" i="47" s="1"/>
  <c r="N335" i="47"/>
  <c r="J335" i="47"/>
  <c r="E454" i="57"/>
  <c r="Y181" i="56"/>
  <c r="G358" i="56"/>
  <c r="D357" i="55"/>
  <c r="L356" i="55"/>
  <c r="Y182" i="42"/>
  <c r="G359" i="42"/>
  <c r="I361" i="51"/>
  <c r="V183" i="51"/>
  <c r="Y180" i="55"/>
  <c r="G357" i="55"/>
  <c r="O357" i="57"/>
  <c r="Y180" i="57"/>
  <c r="AD180" i="57" s="1"/>
  <c r="G357" i="57"/>
  <c r="Y186" i="53"/>
  <c r="G363" i="53"/>
  <c r="B357" i="56" l="1"/>
  <c r="O357" i="56"/>
  <c r="D360" i="51"/>
  <c r="L359" i="51"/>
  <c r="B362" i="53"/>
  <c r="O362" i="53"/>
  <c r="E359" i="42"/>
  <c r="S182" i="42"/>
  <c r="AC182" i="42" s="1"/>
  <c r="N359" i="42"/>
  <c r="D430" i="47"/>
  <c r="E430" i="47" s="1"/>
  <c r="B430" i="47" s="1"/>
  <c r="I364" i="53"/>
  <c r="V186" i="53"/>
  <c r="V182" i="42"/>
  <c r="I360" i="42"/>
  <c r="I358" i="57"/>
  <c r="L357" i="57"/>
  <c r="V180" i="57"/>
  <c r="AA180" i="57" s="1"/>
  <c r="E357" i="55"/>
  <c r="S180" i="55"/>
  <c r="AC180" i="55" s="1"/>
  <c r="N357" i="55"/>
  <c r="J361" i="51"/>
  <c r="B454" i="57"/>
  <c r="V180" i="55"/>
  <c r="I358" i="55"/>
  <c r="O335" i="47"/>
  <c r="G335" i="47"/>
  <c r="I359" i="56"/>
  <c r="V181" i="56"/>
  <c r="D358" i="56" l="1"/>
  <c r="L357" i="56"/>
  <c r="N360" i="51"/>
  <c r="E360" i="51"/>
  <c r="S183" i="51"/>
  <c r="AC183" i="51" s="1"/>
  <c r="D363" i="53"/>
  <c r="L362" i="53"/>
  <c r="T182" i="42"/>
  <c r="AD182" i="42" s="1"/>
  <c r="O359" i="42"/>
  <c r="B359" i="42"/>
  <c r="D431" i="47"/>
  <c r="E431" i="47" s="1"/>
  <c r="B431" i="47" s="1"/>
  <c r="J360" i="42"/>
  <c r="J364" i="53"/>
  <c r="G361" i="51"/>
  <c r="T180" i="55"/>
  <c r="AD180" i="55" s="1"/>
  <c r="B357" i="55"/>
  <c r="O357" i="55"/>
  <c r="N358" i="57"/>
  <c r="J358" i="57"/>
  <c r="L335" i="47"/>
  <c r="I336" i="47"/>
  <c r="D455" i="57"/>
  <c r="J359" i="56"/>
  <c r="J358" i="55"/>
  <c r="N358" i="56" l="1"/>
  <c r="E358" i="56"/>
  <c r="S181" i="56"/>
  <c r="AC181" i="56" s="1"/>
  <c r="B360" i="51"/>
  <c r="T183" i="51"/>
  <c r="AD183" i="51" s="1"/>
  <c r="O360" i="51"/>
  <c r="E363" i="53"/>
  <c r="S186" i="53"/>
  <c r="AC186" i="53" s="1"/>
  <c r="N363" i="53"/>
  <c r="D360" i="42"/>
  <c r="Q182" i="42"/>
  <c r="AA182" i="42" s="1"/>
  <c r="L359" i="42"/>
  <c r="D432" i="47"/>
  <c r="E455" i="57"/>
  <c r="G360" i="42"/>
  <c r="G364" i="53"/>
  <c r="G358" i="55"/>
  <c r="I362" i="51"/>
  <c r="Q180" i="55"/>
  <c r="AA180" i="55" s="1"/>
  <c r="D358" i="55"/>
  <c r="L357" i="55"/>
  <c r="N336" i="47"/>
  <c r="J336" i="47"/>
  <c r="X159" i="47"/>
  <c r="AC159" i="47" s="1"/>
  <c r="G359" i="56"/>
  <c r="O358" i="57"/>
  <c r="G358" i="57"/>
  <c r="B358" i="56" l="1"/>
  <c r="O358" i="56"/>
  <c r="T181" i="56"/>
  <c r="AD181" i="56" s="1"/>
  <c r="D361" i="51"/>
  <c r="Q183" i="51"/>
  <c r="AA183" i="51" s="1"/>
  <c r="L360" i="51"/>
  <c r="T186" i="53"/>
  <c r="AD186" i="53" s="1"/>
  <c r="O363" i="53"/>
  <c r="B363" i="53"/>
  <c r="E360" i="42"/>
  <c r="N360" i="42"/>
  <c r="I360" i="56"/>
  <c r="O336" i="47"/>
  <c r="Y159" i="47"/>
  <c r="AD159" i="47" s="1"/>
  <c r="G336" i="47"/>
  <c r="J362" i="51"/>
  <c r="B455" i="57"/>
  <c r="I365" i="53"/>
  <c r="I359" i="57"/>
  <c r="L358" i="57"/>
  <c r="I359" i="55"/>
  <c r="E432" i="47"/>
  <c r="S167" i="47"/>
  <c r="E358" i="55"/>
  <c r="N358" i="55"/>
  <c r="I361" i="42"/>
  <c r="Q181" i="56" l="1"/>
  <c r="AA181" i="56" s="1"/>
  <c r="D359" i="56"/>
  <c r="L358" i="56"/>
  <c r="N361" i="51"/>
  <c r="E361" i="51"/>
  <c r="D364" i="53"/>
  <c r="Q186" i="53"/>
  <c r="AA186" i="53" s="1"/>
  <c r="L363" i="53"/>
  <c r="O360" i="42"/>
  <c r="B360" i="42"/>
  <c r="O358" i="55"/>
  <c r="B358" i="55"/>
  <c r="V159" i="47"/>
  <c r="AA159" i="47" s="1"/>
  <c r="L336" i="47"/>
  <c r="I337" i="47"/>
  <c r="T167" i="47"/>
  <c r="B432" i="47"/>
  <c r="J359" i="55"/>
  <c r="J365" i="53"/>
  <c r="G362" i="51"/>
  <c r="D456" i="57"/>
  <c r="N359" i="57"/>
  <c r="J359" i="57"/>
  <c r="J361" i="42"/>
  <c r="J360" i="56"/>
  <c r="N359" i="56" l="1"/>
  <c r="E359" i="56"/>
  <c r="O361" i="51"/>
  <c r="B361" i="51"/>
  <c r="E364" i="53"/>
  <c r="N364" i="53"/>
  <c r="D361" i="42"/>
  <c r="L360" i="42"/>
  <c r="O359" i="57"/>
  <c r="G359" i="57"/>
  <c r="G360" i="56"/>
  <c r="G359" i="55"/>
  <c r="D359" i="55"/>
  <c r="L358" i="55"/>
  <c r="E456" i="57"/>
  <c r="I363" i="51"/>
  <c r="N337" i="47"/>
  <c r="J337" i="47"/>
  <c r="G365" i="53"/>
  <c r="G361" i="42"/>
  <c r="Q167" i="47"/>
  <c r="D433" i="47"/>
  <c r="B359" i="56" l="1"/>
  <c r="O359" i="56"/>
  <c r="D362" i="51"/>
  <c r="L361" i="51"/>
  <c r="O364" i="53"/>
  <c r="B364" i="53"/>
  <c r="E361" i="42"/>
  <c r="N361" i="42"/>
  <c r="O337" i="47"/>
  <c r="G337" i="47"/>
  <c r="L359" i="57"/>
  <c r="I360" i="57"/>
  <c r="B456" i="57"/>
  <c r="I361" i="56"/>
  <c r="I360" i="55"/>
  <c r="I362" i="42"/>
  <c r="E433" i="47"/>
  <c r="J363" i="51"/>
  <c r="I366" i="53"/>
  <c r="E359" i="55"/>
  <c r="N359" i="55"/>
  <c r="L359" i="56" l="1"/>
  <c r="D360" i="56"/>
  <c r="E362" i="51"/>
  <c r="N362" i="51"/>
  <c r="D365" i="53"/>
  <c r="L364" i="53"/>
  <c r="B361" i="42"/>
  <c r="O361" i="42"/>
  <c r="J361" i="56"/>
  <c r="J362" i="42"/>
  <c r="D457" i="57"/>
  <c r="L337" i="47"/>
  <c r="I338" i="47"/>
  <c r="B433" i="47"/>
  <c r="J366" i="53"/>
  <c r="G363" i="51"/>
  <c r="B359" i="55"/>
  <c r="O359" i="55"/>
  <c r="J360" i="55"/>
  <c r="N360" i="57"/>
  <c r="J360" i="57"/>
  <c r="E360" i="56" l="1"/>
  <c r="N360" i="56"/>
  <c r="B362" i="51"/>
  <c r="O362" i="51"/>
  <c r="E365" i="53"/>
  <c r="N365" i="53"/>
  <c r="D362" i="42"/>
  <c r="L361" i="42"/>
  <c r="N338" i="47"/>
  <c r="J338" i="47"/>
  <c r="G361" i="56"/>
  <c r="E457" i="57"/>
  <c r="D360" i="55"/>
  <c r="L359" i="55"/>
  <c r="O360" i="57"/>
  <c r="G360" i="57"/>
  <c r="D434" i="47"/>
  <c r="G362" i="42"/>
  <c r="I364" i="51"/>
  <c r="G366" i="53"/>
  <c r="G360" i="55"/>
  <c r="B360" i="56" l="1"/>
  <c r="O360" i="56"/>
  <c r="D363" i="51"/>
  <c r="L362" i="51"/>
  <c r="O365" i="53"/>
  <c r="B365" i="53"/>
  <c r="E362" i="42"/>
  <c r="N362" i="42"/>
  <c r="I367" i="53"/>
  <c r="E360" i="55"/>
  <c r="N360" i="55"/>
  <c r="E434" i="47"/>
  <c r="I361" i="55"/>
  <c r="I361" i="57"/>
  <c r="L360" i="57"/>
  <c r="O338" i="47"/>
  <c r="G338" i="47"/>
  <c r="I362" i="56"/>
  <c r="J364" i="51"/>
  <c r="I363" i="42"/>
  <c r="B457" i="57"/>
  <c r="D361" i="56" l="1"/>
  <c r="L360" i="56"/>
  <c r="E363" i="51"/>
  <c r="N363" i="51"/>
  <c r="D366" i="53"/>
  <c r="L365" i="53"/>
  <c r="O362" i="42"/>
  <c r="B362" i="42"/>
  <c r="L338" i="47"/>
  <c r="I339" i="47"/>
  <c r="G364" i="51"/>
  <c r="D458" i="57"/>
  <c r="N361" i="57"/>
  <c r="J361" i="57"/>
  <c r="J362" i="56"/>
  <c r="J367" i="53"/>
  <c r="B434" i="47"/>
  <c r="B360" i="55"/>
  <c r="O360" i="55"/>
  <c r="J363" i="42"/>
  <c r="J361" i="55"/>
  <c r="E361" i="56" l="1"/>
  <c r="N361" i="56"/>
  <c r="O363" i="51"/>
  <c r="B363" i="51"/>
  <c r="E366" i="53"/>
  <c r="N366" i="53"/>
  <c r="D363" i="42"/>
  <c r="L362" i="42"/>
  <c r="E458" i="57"/>
  <c r="G367" i="53"/>
  <c r="O361" i="57"/>
  <c r="G361" i="57"/>
  <c r="D361" i="55"/>
  <c r="L360" i="55"/>
  <c r="N339" i="47"/>
  <c r="J339" i="47"/>
  <c r="I365" i="51"/>
  <c r="D435" i="47"/>
  <c r="G362" i="56"/>
  <c r="G361" i="55"/>
  <c r="G363" i="42"/>
  <c r="O361" i="56" l="1"/>
  <c r="B361" i="56"/>
  <c r="D364" i="51"/>
  <c r="L363" i="51"/>
  <c r="O366" i="53"/>
  <c r="B366" i="53"/>
  <c r="E363" i="42"/>
  <c r="N363" i="42"/>
  <c r="I363" i="56"/>
  <c r="I362" i="55"/>
  <c r="I368" i="53"/>
  <c r="I364" i="42"/>
  <c r="L361" i="57"/>
  <c r="I362" i="57"/>
  <c r="J365" i="51"/>
  <c r="O339" i="47"/>
  <c r="G339" i="47"/>
  <c r="E361" i="55"/>
  <c r="N361" i="55"/>
  <c r="E435" i="47"/>
  <c r="B458" i="57"/>
  <c r="D362" i="56" l="1"/>
  <c r="L361" i="56"/>
  <c r="E364" i="51"/>
  <c r="N364" i="51"/>
  <c r="D367" i="53"/>
  <c r="L366" i="53"/>
  <c r="B363" i="42"/>
  <c r="O363" i="42"/>
  <c r="B435" i="47"/>
  <c r="J364" i="42"/>
  <c r="N362" i="57"/>
  <c r="J362" i="57"/>
  <c r="D459" i="57"/>
  <c r="E459" i="57" s="1"/>
  <c r="B459" i="57" s="1"/>
  <c r="L339" i="47"/>
  <c r="I340" i="47"/>
  <c r="B361" i="55"/>
  <c r="O361" i="55"/>
  <c r="J362" i="55"/>
  <c r="G365" i="51"/>
  <c r="J368" i="53"/>
  <c r="J363" i="56"/>
  <c r="E362" i="56" l="1"/>
  <c r="N362" i="56"/>
  <c r="B364" i="51"/>
  <c r="O364" i="51"/>
  <c r="E367" i="53"/>
  <c r="N367" i="53"/>
  <c r="D364" i="42"/>
  <c r="L363" i="42"/>
  <c r="D460" i="57"/>
  <c r="E460" i="57" s="1"/>
  <c r="B460" i="57" s="1"/>
  <c r="D362" i="55"/>
  <c r="L361" i="55"/>
  <c r="G362" i="55"/>
  <c r="N340" i="47"/>
  <c r="J340" i="47"/>
  <c r="O362" i="57"/>
  <c r="G362" i="57"/>
  <c r="G363" i="56"/>
  <c r="G368" i="53"/>
  <c r="D436" i="47"/>
  <c r="G364" i="42"/>
  <c r="I366" i="51"/>
  <c r="B362" i="56" l="1"/>
  <c r="O362" i="56"/>
  <c r="D365" i="51"/>
  <c r="L364" i="51"/>
  <c r="O367" i="53"/>
  <c r="B367" i="53"/>
  <c r="E364" i="42"/>
  <c r="N364" i="42"/>
  <c r="D461" i="57"/>
  <c r="E461" i="57" s="1"/>
  <c r="B461" i="57" s="1"/>
  <c r="O340" i="47"/>
  <c r="G340" i="47"/>
  <c r="I369" i="53"/>
  <c r="J366" i="51"/>
  <c r="E436" i="47"/>
  <c r="I364" i="56"/>
  <c r="I365" i="42"/>
  <c r="I363" i="55"/>
  <c r="L362" i="57"/>
  <c r="I363" i="57"/>
  <c r="E362" i="55"/>
  <c r="N362" i="55"/>
  <c r="L362" i="56" l="1"/>
  <c r="D363" i="56"/>
  <c r="N365" i="51"/>
  <c r="E365" i="51"/>
  <c r="D368" i="53"/>
  <c r="L367" i="53"/>
  <c r="B364" i="42"/>
  <c r="O364" i="42"/>
  <c r="D462" i="57"/>
  <c r="E462" i="57" s="1"/>
  <c r="B462" i="57" s="1"/>
  <c r="N363" i="57"/>
  <c r="J363" i="57"/>
  <c r="J365" i="42"/>
  <c r="G366" i="51"/>
  <c r="J369" i="53"/>
  <c r="J363" i="55"/>
  <c r="B436" i="47"/>
  <c r="B362" i="55"/>
  <c r="O362" i="55"/>
  <c r="J364" i="56"/>
  <c r="L340" i="47"/>
  <c r="I341" i="47"/>
  <c r="E363" i="56" l="1"/>
  <c r="N363" i="56"/>
  <c r="B365" i="51"/>
  <c r="O365" i="51"/>
  <c r="E368" i="53"/>
  <c r="N368" i="53"/>
  <c r="D365" i="42"/>
  <c r="L364" i="42"/>
  <c r="D463" i="57"/>
  <c r="E463" i="57" s="1"/>
  <c r="B463" i="57" s="1"/>
  <c r="N341" i="47"/>
  <c r="J341" i="47"/>
  <c r="G369" i="53"/>
  <c r="G364" i="56"/>
  <c r="I367" i="51"/>
  <c r="G363" i="55"/>
  <c r="G365" i="42"/>
  <c r="O363" i="57"/>
  <c r="G363" i="57"/>
  <c r="D437" i="47"/>
  <c r="D363" i="55"/>
  <c r="L362" i="55"/>
  <c r="O363" i="56" l="1"/>
  <c r="B363" i="56"/>
  <c r="L365" i="51"/>
  <c r="D366" i="51"/>
  <c r="O368" i="53"/>
  <c r="B368" i="53"/>
  <c r="E365" i="42"/>
  <c r="N365" i="42"/>
  <c r="D464" i="57"/>
  <c r="E464" i="57" s="1"/>
  <c r="B464" i="57" s="1"/>
  <c r="E363" i="55"/>
  <c r="N363" i="55"/>
  <c r="I364" i="57"/>
  <c r="L363" i="57"/>
  <c r="O341" i="47"/>
  <c r="G341" i="47"/>
  <c r="I365" i="56"/>
  <c r="I364" i="55"/>
  <c r="E437" i="47"/>
  <c r="I366" i="42"/>
  <c r="J367" i="51"/>
  <c r="I370" i="53"/>
  <c r="D364" i="56" l="1"/>
  <c r="L363" i="56"/>
  <c r="E366" i="51"/>
  <c r="N366" i="51"/>
  <c r="D369" i="53"/>
  <c r="L368" i="53"/>
  <c r="B365" i="42"/>
  <c r="O365" i="42"/>
  <c r="D465" i="57"/>
  <c r="L341" i="47"/>
  <c r="I342" i="47"/>
  <c r="J366" i="42"/>
  <c r="J365" i="56"/>
  <c r="J364" i="55"/>
  <c r="G367" i="51"/>
  <c r="N364" i="57"/>
  <c r="J364" i="57"/>
  <c r="J370" i="53"/>
  <c r="B437" i="47"/>
  <c r="O363" i="55"/>
  <c r="B363" i="55"/>
  <c r="E364" i="56" l="1"/>
  <c r="N364" i="56"/>
  <c r="O366" i="51"/>
  <c r="B366" i="51"/>
  <c r="E369" i="53"/>
  <c r="N369" i="53"/>
  <c r="D366" i="42"/>
  <c r="L365" i="42"/>
  <c r="D364" i="55"/>
  <c r="L363" i="55"/>
  <c r="O364" i="57"/>
  <c r="G364" i="57"/>
  <c r="G366" i="42"/>
  <c r="G370" i="53"/>
  <c r="I368" i="51"/>
  <c r="N342" i="47"/>
  <c r="J342" i="47"/>
  <c r="E465" i="57"/>
  <c r="S189" i="57"/>
  <c r="G365" i="56"/>
  <c r="D438" i="47"/>
  <c r="E438" i="47" s="1"/>
  <c r="B438" i="47" s="1"/>
  <c r="G364" i="55"/>
  <c r="B364" i="56" l="1"/>
  <c r="O364" i="56"/>
  <c r="D367" i="51"/>
  <c r="L366" i="51"/>
  <c r="B369" i="53"/>
  <c r="O369" i="53"/>
  <c r="E366" i="42"/>
  <c r="N366" i="42"/>
  <c r="D439" i="47"/>
  <c r="E439" i="47" s="1"/>
  <c r="B439" i="47" s="1"/>
  <c r="J368" i="51"/>
  <c r="I371" i="53"/>
  <c r="I365" i="55"/>
  <c r="T189" i="57"/>
  <c r="B465" i="57"/>
  <c r="I367" i="42"/>
  <c r="O342" i="47"/>
  <c r="G342" i="47"/>
  <c r="E364" i="55"/>
  <c r="N364" i="55"/>
  <c r="I366" i="56"/>
  <c r="I365" i="57"/>
  <c r="L364" i="57"/>
  <c r="L364" i="56" l="1"/>
  <c r="D365" i="56"/>
  <c r="E367" i="51"/>
  <c r="N367" i="51"/>
  <c r="D370" i="53"/>
  <c r="L369" i="53"/>
  <c r="B366" i="42"/>
  <c r="O366" i="42"/>
  <c r="D440" i="47"/>
  <c r="E440" i="47" s="1"/>
  <c r="B440" i="47" s="1"/>
  <c r="J371" i="53"/>
  <c r="G368" i="51"/>
  <c r="J367" i="42"/>
  <c r="J366" i="56"/>
  <c r="B364" i="55"/>
  <c r="O364" i="55"/>
  <c r="Q189" i="57"/>
  <c r="D466" i="57"/>
  <c r="J365" i="55"/>
  <c r="L342" i="47"/>
  <c r="I343" i="47"/>
  <c r="N365" i="57"/>
  <c r="J365" i="57"/>
  <c r="E365" i="56" l="1"/>
  <c r="N365" i="56"/>
  <c r="O367" i="51"/>
  <c r="B367" i="51"/>
  <c r="E370" i="53"/>
  <c r="N370" i="53"/>
  <c r="D367" i="42"/>
  <c r="L366" i="42"/>
  <c r="D441" i="47"/>
  <c r="E441" i="47" s="1"/>
  <c r="B441" i="47" s="1"/>
  <c r="G365" i="55"/>
  <c r="G366" i="56"/>
  <c r="G371" i="53"/>
  <c r="I369" i="51"/>
  <c r="G367" i="42"/>
  <c r="N343" i="47"/>
  <c r="J343" i="47"/>
  <c r="D365" i="55"/>
  <c r="L364" i="55"/>
  <c r="O365" i="57"/>
  <c r="G365" i="57"/>
  <c r="E466" i="57"/>
  <c r="B365" i="56" l="1"/>
  <c r="O365" i="56"/>
  <c r="D368" i="51"/>
  <c r="L367" i="51"/>
  <c r="B370" i="53"/>
  <c r="O370" i="53"/>
  <c r="E367" i="42"/>
  <c r="N367" i="42"/>
  <c r="D442" i="47"/>
  <c r="E442" i="47" s="1"/>
  <c r="B442" i="47" s="1"/>
  <c r="E365" i="55"/>
  <c r="N365" i="55"/>
  <c r="I366" i="55"/>
  <c r="O343" i="47"/>
  <c r="G343" i="47"/>
  <c r="I367" i="56"/>
  <c r="J369" i="51"/>
  <c r="B466" i="57"/>
  <c r="I366" i="57"/>
  <c r="L365" i="57"/>
  <c r="I368" i="42"/>
  <c r="I372" i="53"/>
  <c r="L365" i="56" l="1"/>
  <c r="D366" i="56"/>
  <c r="E368" i="51"/>
  <c r="N368" i="51"/>
  <c r="D371" i="53"/>
  <c r="L370" i="53"/>
  <c r="B367" i="42"/>
  <c r="O367" i="42"/>
  <c r="D443" i="47"/>
  <c r="E443" i="47" s="1"/>
  <c r="B443" i="47" s="1"/>
  <c r="N366" i="57"/>
  <c r="J366" i="57"/>
  <c r="O365" i="55"/>
  <c r="B365" i="55"/>
  <c r="G369" i="51"/>
  <c r="D467" i="57"/>
  <c r="L343" i="47"/>
  <c r="I344" i="47"/>
  <c r="J366" i="55"/>
  <c r="J372" i="53"/>
  <c r="J368" i="42"/>
  <c r="J367" i="56"/>
  <c r="E366" i="56" l="1"/>
  <c r="N366" i="56"/>
  <c r="B368" i="51"/>
  <c r="O368" i="51"/>
  <c r="E371" i="53"/>
  <c r="N371" i="53"/>
  <c r="D368" i="42"/>
  <c r="L367" i="42"/>
  <c r="D444" i="47"/>
  <c r="G367" i="56"/>
  <c r="N344" i="47"/>
  <c r="J344" i="47"/>
  <c r="G366" i="55"/>
  <c r="G368" i="42"/>
  <c r="G372" i="53"/>
  <c r="O366" i="57"/>
  <c r="G366" i="57"/>
  <c r="D366" i="55"/>
  <c r="L365" i="55"/>
  <c r="E467" i="57"/>
  <c r="I370" i="51"/>
  <c r="B366" i="56" l="1"/>
  <c r="O366" i="56"/>
  <c r="D369" i="51"/>
  <c r="L368" i="51"/>
  <c r="B371" i="53"/>
  <c r="O371" i="53"/>
  <c r="E368" i="42"/>
  <c r="N368" i="42"/>
  <c r="L366" i="57"/>
  <c r="I367" i="57"/>
  <c r="I368" i="56"/>
  <c r="J370" i="51"/>
  <c r="E366" i="55"/>
  <c r="N366" i="55"/>
  <c r="O344" i="47"/>
  <c r="G344" i="47"/>
  <c r="B467" i="57"/>
  <c r="I367" i="55"/>
  <c r="E444" i="47"/>
  <c r="S168" i="47"/>
  <c r="I373" i="53"/>
  <c r="I369" i="42"/>
  <c r="D367" i="56" l="1"/>
  <c r="L366" i="56"/>
  <c r="N369" i="51"/>
  <c r="E369" i="51"/>
  <c r="D372" i="53"/>
  <c r="L371" i="53"/>
  <c r="B368" i="42"/>
  <c r="O368" i="42"/>
  <c r="J367" i="55"/>
  <c r="L344" i="47"/>
  <c r="I345" i="47"/>
  <c r="O366" i="55"/>
  <c r="B366" i="55"/>
  <c r="N367" i="57"/>
  <c r="J367" i="57"/>
  <c r="D468" i="57"/>
  <c r="T168" i="47"/>
  <c r="B444" i="47"/>
  <c r="G370" i="51"/>
  <c r="J369" i="42"/>
  <c r="J368" i="56"/>
  <c r="J373" i="53"/>
  <c r="E367" i="56" l="1"/>
  <c r="N367" i="56"/>
  <c r="O369" i="51"/>
  <c r="B369" i="51"/>
  <c r="E372" i="53"/>
  <c r="N372" i="53"/>
  <c r="D369" i="42"/>
  <c r="L368" i="42"/>
  <c r="I371" i="51"/>
  <c r="E468" i="57"/>
  <c r="G373" i="53"/>
  <c r="G367" i="55"/>
  <c r="G368" i="56"/>
  <c r="O367" i="57"/>
  <c r="G367" i="57"/>
  <c r="D367" i="55"/>
  <c r="L366" i="55"/>
  <c r="Q168" i="47"/>
  <c r="D445" i="47"/>
  <c r="N345" i="47"/>
  <c r="J345" i="47"/>
  <c r="G369" i="42"/>
  <c r="B367" i="56" l="1"/>
  <c r="O367" i="56"/>
  <c r="D370" i="51"/>
  <c r="L369" i="51"/>
  <c r="B372" i="53"/>
  <c r="O372" i="53"/>
  <c r="E369" i="42"/>
  <c r="N369" i="42"/>
  <c r="I368" i="55"/>
  <c r="B468" i="57"/>
  <c r="I374" i="53"/>
  <c r="J371" i="51"/>
  <c r="I369" i="56"/>
  <c r="E367" i="55"/>
  <c r="N367" i="55"/>
  <c r="E445" i="47"/>
  <c r="I370" i="42"/>
  <c r="O345" i="47"/>
  <c r="G345" i="47"/>
  <c r="I368" i="57"/>
  <c r="L367" i="57"/>
  <c r="D368" i="56" l="1"/>
  <c r="L367" i="56"/>
  <c r="E370" i="51"/>
  <c r="N370" i="51"/>
  <c r="D373" i="53"/>
  <c r="L372" i="53"/>
  <c r="B369" i="42"/>
  <c r="O369" i="42"/>
  <c r="J370" i="42"/>
  <c r="B445" i="47"/>
  <c r="O367" i="55"/>
  <c r="B367" i="55"/>
  <c r="J369" i="56"/>
  <c r="J368" i="55"/>
  <c r="D469" i="57"/>
  <c r="N368" i="57"/>
  <c r="J368" i="57"/>
  <c r="G371" i="51"/>
  <c r="L345" i="47"/>
  <c r="I346" i="47"/>
  <c r="J374" i="53"/>
  <c r="N368" i="56" l="1"/>
  <c r="E368" i="56"/>
  <c r="O370" i="51"/>
  <c r="B370" i="51"/>
  <c r="E373" i="53"/>
  <c r="N373" i="53"/>
  <c r="D370" i="42"/>
  <c r="L369" i="42"/>
  <c r="G369" i="56"/>
  <c r="G374" i="53"/>
  <c r="I372" i="51"/>
  <c r="O368" i="57"/>
  <c r="G368" i="57"/>
  <c r="E469" i="57"/>
  <c r="D368" i="55"/>
  <c r="L367" i="55"/>
  <c r="D446" i="47"/>
  <c r="G368" i="55"/>
  <c r="G370" i="42"/>
  <c r="N346" i="47"/>
  <c r="J346" i="47"/>
  <c r="B368" i="56" l="1"/>
  <c r="O368" i="56"/>
  <c r="L370" i="51"/>
  <c r="D371" i="51"/>
  <c r="B373" i="53"/>
  <c r="O373" i="53"/>
  <c r="E370" i="42"/>
  <c r="N370" i="42"/>
  <c r="I371" i="42"/>
  <c r="E368" i="55"/>
  <c r="N368" i="55"/>
  <c r="I369" i="55"/>
  <c r="I375" i="53"/>
  <c r="J372" i="51"/>
  <c r="X184" i="51"/>
  <c r="O346" i="47"/>
  <c r="G346" i="47"/>
  <c r="E446" i="47"/>
  <c r="B469" i="57"/>
  <c r="I370" i="56"/>
  <c r="L368" i="57"/>
  <c r="I369" i="57"/>
  <c r="L368" i="56" l="1"/>
  <c r="D369" i="56"/>
  <c r="E371" i="51"/>
  <c r="N371" i="51"/>
  <c r="D374" i="53"/>
  <c r="L373" i="53"/>
  <c r="B370" i="42"/>
  <c r="O370" i="42"/>
  <c r="B446" i="47"/>
  <c r="Y184" i="51"/>
  <c r="G372" i="51"/>
  <c r="D470" i="57"/>
  <c r="J369" i="55"/>
  <c r="X181" i="55"/>
  <c r="N369" i="57"/>
  <c r="J369" i="57"/>
  <c r="X181" i="57"/>
  <c r="AC181" i="57" s="1"/>
  <c r="L346" i="47"/>
  <c r="I347" i="47"/>
  <c r="J375" i="53"/>
  <c r="X187" i="53"/>
  <c r="J371" i="42"/>
  <c r="X183" i="42"/>
  <c r="O368" i="55"/>
  <c r="B368" i="55"/>
  <c r="J370" i="56"/>
  <c r="X182" i="56"/>
  <c r="E369" i="56" l="1"/>
  <c r="N369" i="56"/>
  <c r="O371" i="51"/>
  <c r="B371" i="51"/>
  <c r="E374" i="53"/>
  <c r="N374" i="53"/>
  <c r="D371" i="42"/>
  <c r="L370" i="42"/>
  <c r="O369" i="57"/>
  <c r="Y181" i="57"/>
  <c r="AD181" i="57" s="1"/>
  <c r="G369" i="57"/>
  <c r="Y187" i="53"/>
  <c r="G375" i="53"/>
  <c r="E470" i="57"/>
  <c r="I373" i="51"/>
  <c r="V184" i="51"/>
  <c r="D447" i="47"/>
  <c r="N347" i="47"/>
  <c r="J347" i="47"/>
  <c r="Y182" i="56"/>
  <c r="G370" i="56"/>
  <c r="D369" i="55"/>
  <c r="L368" i="55"/>
  <c r="Y183" i="42"/>
  <c r="G371" i="42"/>
  <c r="Y181" i="55"/>
  <c r="G369" i="55"/>
  <c r="B369" i="56" l="1"/>
  <c r="O369" i="56"/>
  <c r="L371" i="51"/>
  <c r="D372" i="51"/>
  <c r="B374" i="53"/>
  <c r="O374" i="53"/>
  <c r="E371" i="42"/>
  <c r="S183" i="42"/>
  <c r="AC183" i="42" s="1"/>
  <c r="N371" i="42"/>
  <c r="E369" i="55"/>
  <c r="S181" i="55"/>
  <c r="AC181" i="55" s="1"/>
  <c r="N369" i="55"/>
  <c r="E447" i="47"/>
  <c r="J373" i="51"/>
  <c r="I370" i="57"/>
  <c r="V181" i="57"/>
  <c r="AA181" i="57" s="1"/>
  <c r="L369" i="57"/>
  <c r="I376" i="53"/>
  <c r="V187" i="53"/>
  <c r="I371" i="56"/>
  <c r="V182" i="56"/>
  <c r="I372" i="42"/>
  <c r="V183" i="42"/>
  <c r="V181" i="55"/>
  <c r="I370" i="55"/>
  <c r="O347" i="47"/>
  <c r="G347" i="47"/>
  <c r="B470" i="57"/>
  <c r="D370" i="56" l="1"/>
  <c r="L369" i="56"/>
  <c r="E372" i="51"/>
  <c r="S184" i="51"/>
  <c r="AC184" i="51" s="1"/>
  <c r="N372" i="51"/>
  <c r="D375" i="53"/>
  <c r="L374" i="53"/>
  <c r="T183" i="42"/>
  <c r="AD183" i="42" s="1"/>
  <c r="B371" i="42"/>
  <c r="O371" i="42"/>
  <c r="L347" i="47"/>
  <c r="I348" i="47"/>
  <c r="J372" i="42"/>
  <c r="J376" i="53"/>
  <c r="G373" i="51"/>
  <c r="J370" i="55"/>
  <c r="B447" i="47"/>
  <c r="N370" i="57"/>
  <c r="J370" i="57"/>
  <c r="D471" i="57"/>
  <c r="E471" i="57" s="1"/>
  <c r="B471" i="57" s="1"/>
  <c r="J371" i="56"/>
  <c r="T181" i="55"/>
  <c r="AD181" i="55" s="1"/>
  <c r="O369" i="55"/>
  <c r="B369" i="55"/>
  <c r="N370" i="56" l="1"/>
  <c r="E370" i="56"/>
  <c r="S182" i="56"/>
  <c r="AC182" i="56" s="1"/>
  <c r="B372" i="51"/>
  <c r="T184" i="51"/>
  <c r="AD184" i="51" s="1"/>
  <c r="O372" i="51"/>
  <c r="E375" i="53"/>
  <c r="S187" i="53"/>
  <c r="AC187" i="53" s="1"/>
  <c r="N375" i="53"/>
  <c r="Q183" i="42"/>
  <c r="AA183" i="42" s="1"/>
  <c r="D372" i="42"/>
  <c r="L371" i="42"/>
  <c r="D472" i="57"/>
  <c r="E472" i="57" s="1"/>
  <c r="B472" i="57" s="1"/>
  <c r="Q181" i="55"/>
  <c r="AA181" i="55" s="1"/>
  <c r="D370" i="55"/>
  <c r="L369" i="55"/>
  <c r="G372" i="42"/>
  <c r="I374" i="51"/>
  <c r="D448" i="47"/>
  <c r="G370" i="55"/>
  <c r="N348" i="47"/>
  <c r="J348" i="47"/>
  <c r="X160" i="47"/>
  <c r="AC160" i="47" s="1"/>
  <c r="O370" i="57"/>
  <c r="G370" i="57"/>
  <c r="G371" i="56"/>
  <c r="G376" i="53"/>
  <c r="B370" i="56" l="1"/>
  <c r="T182" i="56"/>
  <c r="AD182" i="56" s="1"/>
  <c r="O370" i="56"/>
  <c r="D373" i="51"/>
  <c r="Q184" i="51"/>
  <c r="AA184" i="51" s="1"/>
  <c r="L372" i="51"/>
  <c r="T187" i="53"/>
  <c r="AD187" i="53" s="1"/>
  <c r="O375" i="53"/>
  <c r="B375" i="53"/>
  <c r="E372" i="42"/>
  <c r="N372" i="42"/>
  <c r="D473" i="57"/>
  <c r="E473" i="57" s="1"/>
  <c r="B473" i="57" s="1"/>
  <c r="E370" i="55"/>
  <c r="N370" i="55"/>
  <c r="O348" i="47"/>
  <c r="Y160" i="47"/>
  <c r="AD160" i="47" s="1"/>
  <c r="G348" i="47"/>
  <c r="I377" i="53"/>
  <c r="J374" i="51"/>
  <c r="I371" i="57"/>
  <c r="L370" i="57"/>
  <c r="I372" i="56"/>
  <c r="E448" i="47"/>
  <c r="I373" i="42"/>
  <c r="I371" i="55"/>
  <c r="L370" i="56" l="1"/>
  <c r="D371" i="56"/>
  <c r="Q182" i="56"/>
  <c r="AA182" i="56" s="1"/>
  <c r="E373" i="51"/>
  <c r="N373" i="51"/>
  <c r="D376" i="53"/>
  <c r="Q187" i="53"/>
  <c r="AA187" i="53" s="1"/>
  <c r="L375" i="53"/>
  <c r="O372" i="42"/>
  <c r="B372" i="42"/>
  <c r="D474" i="57"/>
  <c r="E474" i="57" s="1"/>
  <c r="B474" i="57" s="1"/>
  <c r="V160" i="47"/>
  <c r="AA160" i="47" s="1"/>
  <c r="L348" i="47"/>
  <c r="I349" i="47"/>
  <c r="J373" i="42"/>
  <c r="N371" i="57"/>
  <c r="J371" i="57"/>
  <c r="B448" i="47"/>
  <c r="O370" i="55"/>
  <c r="B370" i="55"/>
  <c r="G374" i="51"/>
  <c r="J371" i="55"/>
  <c r="J372" i="56"/>
  <c r="J377" i="53"/>
  <c r="E371" i="56" l="1"/>
  <c r="N371" i="56"/>
  <c r="B373" i="51"/>
  <c r="O373" i="51"/>
  <c r="E376" i="53"/>
  <c r="N376" i="53"/>
  <c r="D373" i="42"/>
  <c r="L372" i="42"/>
  <c r="D475" i="57"/>
  <c r="E475" i="57" s="1"/>
  <c r="B475" i="57" s="1"/>
  <c r="G373" i="42"/>
  <c r="N349" i="47"/>
  <c r="J349" i="47"/>
  <c r="G371" i="55"/>
  <c r="G377" i="53"/>
  <c r="G372" i="56"/>
  <c r="O371" i="57"/>
  <c r="G371" i="57"/>
  <c r="D449" i="47"/>
  <c r="I375" i="51"/>
  <c r="D371" i="55"/>
  <c r="L370" i="55"/>
  <c r="B371" i="56" l="1"/>
  <c r="O371" i="56"/>
  <c r="L373" i="51"/>
  <c r="D374" i="51"/>
  <c r="O376" i="53"/>
  <c r="B376" i="53"/>
  <c r="E373" i="42"/>
  <c r="N373" i="42"/>
  <c r="D476" i="57"/>
  <c r="E476" i="57" s="1"/>
  <c r="B476" i="57" s="1"/>
  <c r="I374" i="42"/>
  <c r="E449" i="47"/>
  <c r="L371" i="57"/>
  <c r="I372" i="57"/>
  <c r="I372" i="55"/>
  <c r="O349" i="47"/>
  <c r="G349" i="47"/>
  <c r="I378" i="53"/>
  <c r="E371" i="55"/>
  <c r="N371" i="55"/>
  <c r="I373" i="56"/>
  <c r="J375" i="51"/>
  <c r="L371" i="56" l="1"/>
  <c r="D372" i="56"/>
  <c r="N374" i="51"/>
  <c r="E374" i="51"/>
  <c r="D377" i="53"/>
  <c r="L376" i="53"/>
  <c r="B373" i="42"/>
  <c r="O373" i="42"/>
  <c r="D477" i="57"/>
  <c r="J378" i="53"/>
  <c r="N372" i="57"/>
  <c r="J372" i="57"/>
  <c r="L349" i="47"/>
  <c r="I350" i="47"/>
  <c r="J372" i="55"/>
  <c r="J373" i="56"/>
  <c r="B449" i="47"/>
  <c r="J374" i="42"/>
  <c r="B371" i="55"/>
  <c r="O371" i="55"/>
  <c r="G375" i="51"/>
  <c r="N372" i="56" l="1"/>
  <c r="E372" i="56"/>
  <c r="O374" i="51"/>
  <c r="B374" i="51"/>
  <c r="E377" i="53"/>
  <c r="N377" i="53"/>
  <c r="D374" i="42"/>
  <c r="L373" i="42"/>
  <c r="G378" i="53"/>
  <c r="G373" i="56"/>
  <c r="G374" i="42"/>
  <c r="O372" i="57"/>
  <c r="G372" i="57"/>
  <c r="I376" i="51"/>
  <c r="D450" i="47"/>
  <c r="E450" i="47" s="1"/>
  <c r="B450" i="47" s="1"/>
  <c r="N350" i="47"/>
  <c r="J350" i="47"/>
  <c r="D372" i="55"/>
  <c r="L371" i="55"/>
  <c r="G372" i="55"/>
  <c r="E477" i="57"/>
  <c r="S190" i="57"/>
  <c r="O372" i="56" l="1"/>
  <c r="B372" i="56"/>
  <c r="D375" i="51"/>
  <c r="L374" i="51"/>
  <c r="O377" i="53"/>
  <c r="B377" i="53"/>
  <c r="E374" i="42"/>
  <c r="N374" i="42"/>
  <c r="D451" i="47"/>
  <c r="E451" i="47" s="1"/>
  <c r="B451" i="47" s="1"/>
  <c r="I375" i="42"/>
  <c r="I379" i="53"/>
  <c r="T190" i="57"/>
  <c r="B477" i="57"/>
  <c r="I373" i="55"/>
  <c r="J376" i="51"/>
  <c r="O350" i="47"/>
  <c r="G350" i="47"/>
  <c r="L372" i="57"/>
  <c r="I373" i="57"/>
  <c r="I374" i="56"/>
  <c r="E372" i="55"/>
  <c r="N372" i="55"/>
  <c r="L372" i="56" l="1"/>
  <c r="D373" i="56"/>
  <c r="E375" i="51"/>
  <c r="N375" i="51"/>
  <c r="D378" i="53"/>
  <c r="L377" i="53"/>
  <c r="B374" i="42"/>
  <c r="O374" i="42"/>
  <c r="D452" i="47"/>
  <c r="E452" i="47" s="1"/>
  <c r="B452" i="47" s="1"/>
  <c r="J374" i="56"/>
  <c r="G376" i="51"/>
  <c r="J375" i="42"/>
  <c r="L350" i="47"/>
  <c r="I351" i="47"/>
  <c r="Q190" i="57"/>
  <c r="D478" i="57"/>
  <c r="J379" i="53"/>
  <c r="J373" i="55"/>
  <c r="N373" i="57"/>
  <c r="J373" i="57"/>
  <c r="O372" i="55"/>
  <c r="B372" i="55"/>
  <c r="E373" i="56" l="1"/>
  <c r="N373" i="56"/>
  <c r="O375" i="51"/>
  <c r="B375" i="51"/>
  <c r="E378" i="53"/>
  <c r="N378" i="53"/>
  <c r="D375" i="42"/>
  <c r="L374" i="42"/>
  <c r="D453" i="47"/>
  <c r="E453" i="47" s="1"/>
  <c r="B453" i="47" s="1"/>
  <c r="I377" i="51"/>
  <c r="E478" i="57"/>
  <c r="O373" i="57"/>
  <c r="G373" i="57"/>
  <c r="G379" i="53"/>
  <c r="N351" i="47"/>
  <c r="J351" i="47"/>
  <c r="G373" i="55"/>
  <c r="G375" i="42"/>
  <c r="G374" i="56"/>
  <c r="D373" i="55"/>
  <c r="L372" i="55"/>
  <c r="O373" i="56" l="1"/>
  <c r="B373" i="56"/>
  <c r="L375" i="51"/>
  <c r="D376" i="51"/>
  <c r="O378" i="53"/>
  <c r="B378" i="53"/>
  <c r="E375" i="42"/>
  <c r="N375" i="42"/>
  <c r="D454" i="47"/>
  <c r="E454" i="47" s="1"/>
  <c r="B454" i="47" s="1"/>
  <c r="I374" i="57"/>
  <c r="L373" i="57"/>
  <c r="I375" i="56"/>
  <c r="O351" i="47"/>
  <c r="G351" i="47"/>
  <c r="E373" i="55"/>
  <c r="N373" i="55"/>
  <c r="I374" i="55"/>
  <c r="I376" i="42"/>
  <c r="B478" i="57"/>
  <c r="I380" i="53"/>
  <c r="J377" i="51"/>
  <c r="D374" i="56" l="1"/>
  <c r="L373" i="56"/>
  <c r="E376" i="51"/>
  <c r="N376" i="51"/>
  <c r="D379" i="53"/>
  <c r="L378" i="53"/>
  <c r="O375" i="42"/>
  <c r="B375" i="42"/>
  <c r="D455" i="47"/>
  <c r="E455" i="47" s="1"/>
  <c r="B455" i="47" s="1"/>
  <c r="J375" i="56"/>
  <c r="D479" i="57"/>
  <c r="J376" i="42"/>
  <c r="O373" i="55"/>
  <c r="B373" i="55"/>
  <c r="L351" i="47"/>
  <c r="I352" i="47"/>
  <c r="G377" i="51"/>
  <c r="N374" i="57"/>
  <c r="J374" i="57"/>
  <c r="J380" i="53"/>
  <c r="J374" i="55"/>
  <c r="N374" i="56" l="1"/>
  <c r="E374" i="56"/>
  <c r="O376" i="51"/>
  <c r="B376" i="51"/>
  <c r="E379" i="53"/>
  <c r="N379" i="53"/>
  <c r="D376" i="42"/>
  <c r="L375" i="42"/>
  <c r="D456" i="47"/>
  <c r="D374" i="55"/>
  <c r="L373" i="55"/>
  <c r="G374" i="55"/>
  <c r="G376" i="42"/>
  <c r="O374" i="57"/>
  <c r="G374" i="57"/>
  <c r="I378" i="51"/>
  <c r="N352" i="47"/>
  <c r="J352" i="47"/>
  <c r="G375" i="56"/>
  <c r="G380" i="53"/>
  <c r="E479" i="57"/>
  <c r="O374" i="56" l="1"/>
  <c r="B374" i="56"/>
  <c r="D377" i="51"/>
  <c r="L376" i="51"/>
  <c r="O379" i="53"/>
  <c r="B379" i="53"/>
  <c r="E376" i="42"/>
  <c r="N376" i="42"/>
  <c r="O352" i="47"/>
  <c r="G352" i="47"/>
  <c r="I375" i="55"/>
  <c r="B479" i="57"/>
  <c r="I381" i="53"/>
  <c r="J378" i="51"/>
  <c r="I377" i="42"/>
  <c r="I375" i="57"/>
  <c r="L374" i="57"/>
  <c r="E456" i="47"/>
  <c r="S169" i="47"/>
  <c r="I376" i="56"/>
  <c r="E374" i="55"/>
  <c r="N374" i="55"/>
  <c r="L374" i="56" l="1"/>
  <c r="D375" i="56"/>
  <c r="N377" i="51"/>
  <c r="E377" i="51"/>
  <c r="D380" i="53"/>
  <c r="L379" i="53"/>
  <c r="B376" i="42"/>
  <c r="O376" i="42"/>
  <c r="O374" i="55"/>
  <c r="B374" i="55"/>
  <c r="D480" i="57"/>
  <c r="J375" i="55"/>
  <c r="L352" i="47"/>
  <c r="I353" i="47"/>
  <c r="J381" i="53"/>
  <c r="J376" i="56"/>
  <c r="T169" i="47"/>
  <c r="B456" i="47"/>
  <c r="N375" i="57"/>
  <c r="J375" i="57"/>
  <c r="J377" i="42"/>
  <c r="G378" i="51"/>
  <c r="N375" i="56" l="1"/>
  <c r="E375" i="56"/>
  <c r="B377" i="51"/>
  <c r="O377" i="51"/>
  <c r="E380" i="53"/>
  <c r="N380" i="53"/>
  <c r="D377" i="42"/>
  <c r="L376" i="42"/>
  <c r="E480" i="57"/>
  <c r="N353" i="47"/>
  <c r="J353" i="47"/>
  <c r="Q169" i="47"/>
  <c r="D457" i="47"/>
  <c r="G376" i="56"/>
  <c r="D375" i="55"/>
  <c r="L374" i="55"/>
  <c r="O375" i="57"/>
  <c r="G375" i="57"/>
  <c r="I379" i="51"/>
  <c r="G381" i="53"/>
  <c r="G377" i="42"/>
  <c r="G375" i="55"/>
  <c r="O375" i="56" l="1"/>
  <c r="B375" i="56"/>
  <c r="L377" i="51"/>
  <c r="D378" i="51"/>
  <c r="O380" i="53"/>
  <c r="B380" i="53"/>
  <c r="E377" i="42"/>
  <c r="N377" i="42"/>
  <c r="I378" i="42"/>
  <c r="O353" i="47"/>
  <c r="G353" i="47"/>
  <c r="J379" i="51"/>
  <c r="I377" i="56"/>
  <c r="E375" i="55"/>
  <c r="N375" i="55"/>
  <c r="L375" i="57"/>
  <c r="I376" i="57"/>
  <c r="I382" i="53"/>
  <c r="I376" i="55"/>
  <c r="E457" i="47"/>
  <c r="B480" i="57"/>
  <c r="L375" i="56" l="1"/>
  <c r="D376" i="56"/>
  <c r="E378" i="51"/>
  <c r="N378" i="51"/>
  <c r="D381" i="53"/>
  <c r="L380" i="53"/>
  <c r="B377" i="42"/>
  <c r="O377" i="42"/>
  <c r="J378" i="42"/>
  <c r="N376" i="57"/>
  <c r="J376" i="57"/>
  <c r="D481" i="57"/>
  <c r="J376" i="55"/>
  <c r="G379" i="51"/>
  <c r="L353" i="47"/>
  <c r="I354" i="47"/>
  <c r="J377" i="56"/>
  <c r="J382" i="53"/>
  <c r="B457" i="47"/>
  <c r="O375" i="55"/>
  <c r="B375" i="55"/>
  <c r="E376" i="56" l="1"/>
  <c r="N376" i="56"/>
  <c r="O378" i="51"/>
  <c r="B378" i="51"/>
  <c r="E381" i="53"/>
  <c r="N381" i="53"/>
  <c r="D378" i="42"/>
  <c r="L377" i="42"/>
  <c r="G376" i="55"/>
  <c r="N354" i="47"/>
  <c r="J354" i="47"/>
  <c r="D458" i="47"/>
  <c r="O376" i="57"/>
  <c r="G376" i="57"/>
  <c r="G382" i="53"/>
  <c r="G378" i="42"/>
  <c r="G377" i="56"/>
  <c r="D376" i="55"/>
  <c r="L375" i="55"/>
  <c r="I380" i="51"/>
  <c r="E481" i="57"/>
  <c r="B376" i="56" l="1"/>
  <c r="O376" i="56"/>
  <c r="L378" i="51"/>
  <c r="D379" i="51"/>
  <c r="B381" i="53"/>
  <c r="O381" i="53"/>
  <c r="E378" i="42"/>
  <c r="N378" i="42"/>
  <c r="E376" i="55"/>
  <c r="N376" i="55"/>
  <c r="E458" i="47"/>
  <c r="L376" i="57"/>
  <c r="I377" i="57"/>
  <c r="B481" i="57"/>
  <c r="I378" i="56"/>
  <c r="J380" i="51"/>
  <c r="I379" i="42"/>
  <c r="I377" i="55"/>
  <c r="I383" i="53"/>
  <c r="O354" i="47"/>
  <c r="G354" i="47"/>
  <c r="D377" i="56" l="1"/>
  <c r="L376" i="56"/>
  <c r="E379" i="51"/>
  <c r="N379" i="51"/>
  <c r="D382" i="53"/>
  <c r="L381" i="53"/>
  <c r="B378" i="42"/>
  <c r="O378" i="42"/>
  <c r="J377" i="55"/>
  <c r="L354" i="47"/>
  <c r="I355" i="47"/>
  <c r="B458" i="47"/>
  <c r="D482" i="57"/>
  <c r="N377" i="57"/>
  <c r="J377" i="57"/>
  <c r="G380" i="51"/>
  <c r="J378" i="56"/>
  <c r="J379" i="42"/>
  <c r="J383" i="53"/>
  <c r="O376" i="55"/>
  <c r="B376" i="55"/>
  <c r="E377" i="56" l="1"/>
  <c r="N377" i="56"/>
  <c r="O379" i="51"/>
  <c r="B379" i="51"/>
  <c r="E382" i="53"/>
  <c r="N382" i="53"/>
  <c r="D379" i="42"/>
  <c r="L378" i="42"/>
  <c r="D459" i="47"/>
  <c r="G378" i="56"/>
  <c r="O377" i="57"/>
  <c r="G377" i="57"/>
  <c r="N355" i="47"/>
  <c r="J355" i="47"/>
  <c r="D377" i="55"/>
  <c r="L376" i="55"/>
  <c r="I381" i="51"/>
  <c r="E482" i="57"/>
  <c r="G377" i="55"/>
  <c r="G379" i="42"/>
  <c r="G383" i="53"/>
  <c r="B377" i="56" l="1"/>
  <c r="O377" i="56"/>
  <c r="L379" i="51"/>
  <c r="D380" i="51"/>
  <c r="B382" i="53"/>
  <c r="O382" i="53"/>
  <c r="E379" i="42"/>
  <c r="N379" i="42"/>
  <c r="O355" i="47"/>
  <c r="G355" i="47"/>
  <c r="I378" i="55"/>
  <c r="I379" i="56"/>
  <c r="I380" i="42"/>
  <c r="B482" i="57"/>
  <c r="E377" i="55"/>
  <c r="N377" i="55"/>
  <c r="J381" i="51"/>
  <c r="I384" i="53"/>
  <c r="E459" i="47"/>
  <c r="L377" i="57"/>
  <c r="I378" i="57"/>
  <c r="D378" i="56" l="1"/>
  <c r="L377" i="56"/>
  <c r="E380" i="51"/>
  <c r="N380" i="51"/>
  <c r="D383" i="53"/>
  <c r="L382" i="53"/>
  <c r="B379" i="42"/>
  <c r="O379" i="42"/>
  <c r="B459" i="47"/>
  <c r="J378" i="55"/>
  <c r="G381" i="51"/>
  <c r="B377" i="55"/>
  <c r="O377" i="55"/>
  <c r="D483" i="57"/>
  <c r="E483" i="57" s="1"/>
  <c r="B483" i="57" s="1"/>
  <c r="J379" i="56"/>
  <c r="L355" i="47"/>
  <c r="I356" i="47"/>
  <c r="J384" i="53"/>
  <c r="N378" i="57"/>
  <c r="J378" i="57"/>
  <c r="J380" i="42"/>
  <c r="N378" i="56" l="1"/>
  <c r="E378" i="56"/>
  <c r="O380" i="51"/>
  <c r="B380" i="51"/>
  <c r="E383" i="53"/>
  <c r="N383" i="53"/>
  <c r="D380" i="42"/>
  <c r="L379" i="42"/>
  <c r="D484" i="57"/>
  <c r="E484" i="57" s="1"/>
  <c r="B484" i="57" s="1"/>
  <c r="G384" i="53"/>
  <c r="G380" i="42"/>
  <c r="G378" i="55"/>
  <c r="D378" i="55"/>
  <c r="L377" i="55"/>
  <c r="G379" i="56"/>
  <c r="N356" i="47"/>
  <c r="J356" i="47"/>
  <c r="O378" i="57"/>
  <c r="G378" i="57"/>
  <c r="D460" i="47"/>
  <c r="I382" i="51"/>
  <c r="B378" i="56" l="1"/>
  <c r="O378" i="56"/>
  <c r="L380" i="51"/>
  <c r="D381" i="51"/>
  <c r="B383" i="53"/>
  <c r="O383" i="53"/>
  <c r="E380" i="42"/>
  <c r="N380" i="42"/>
  <c r="D485" i="57"/>
  <c r="E485" i="57" s="1"/>
  <c r="B485" i="57" s="1"/>
  <c r="I381" i="42"/>
  <c r="L378" i="57"/>
  <c r="I379" i="57"/>
  <c r="O356" i="47"/>
  <c r="G356" i="47"/>
  <c r="E460" i="47"/>
  <c r="I385" i="53"/>
  <c r="E378" i="55"/>
  <c r="N378" i="55"/>
  <c r="I379" i="55"/>
  <c r="I380" i="56"/>
  <c r="J382" i="51"/>
  <c r="D379" i="56" l="1"/>
  <c r="L378" i="56"/>
  <c r="N381" i="51"/>
  <c r="E381" i="51"/>
  <c r="D384" i="53"/>
  <c r="L383" i="53"/>
  <c r="B380" i="42"/>
  <c r="O380" i="42"/>
  <c r="L356" i="47"/>
  <c r="I357" i="47"/>
  <c r="D486" i="57"/>
  <c r="E486" i="57" s="1"/>
  <c r="B486" i="57" s="1"/>
  <c r="G382" i="51"/>
  <c r="B460" i="47"/>
  <c r="J379" i="55"/>
  <c r="O378" i="55"/>
  <c r="B378" i="55"/>
  <c r="N379" i="57"/>
  <c r="J379" i="57"/>
  <c r="J385" i="53"/>
  <c r="J381" i="42"/>
  <c r="J380" i="56"/>
  <c r="E379" i="56" l="1"/>
  <c r="N379" i="56"/>
  <c r="B381" i="51"/>
  <c r="O381" i="51"/>
  <c r="E384" i="53"/>
  <c r="N384" i="53"/>
  <c r="D381" i="42"/>
  <c r="L380" i="42"/>
  <c r="G385" i="53"/>
  <c r="I383" i="51"/>
  <c r="G380" i="56"/>
  <c r="O379" i="57"/>
  <c r="G379" i="57"/>
  <c r="D487" i="57"/>
  <c r="E487" i="57" s="1"/>
  <c r="B487" i="57" s="1"/>
  <c r="D461" i="47"/>
  <c r="D379" i="55"/>
  <c r="L378" i="55"/>
  <c r="G381" i="42"/>
  <c r="G379" i="55"/>
  <c r="N357" i="47"/>
  <c r="J357" i="47"/>
  <c r="B379" i="56" l="1"/>
  <c r="O379" i="56"/>
  <c r="D382" i="51"/>
  <c r="L381" i="51"/>
  <c r="B384" i="53"/>
  <c r="O384" i="53"/>
  <c r="E381" i="42"/>
  <c r="N381" i="42"/>
  <c r="J383" i="51"/>
  <c r="L379" i="57"/>
  <c r="I380" i="57"/>
  <c r="I381" i="56"/>
  <c r="D488" i="57"/>
  <c r="E488" i="57" s="1"/>
  <c r="B488" i="57" s="1"/>
  <c r="I386" i="53"/>
  <c r="E379" i="55"/>
  <c r="N379" i="55"/>
  <c r="O357" i="47"/>
  <c r="G357" i="47"/>
  <c r="I380" i="55"/>
  <c r="I382" i="42"/>
  <c r="E461" i="47"/>
  <c r="D380" i="56" l="1"/>
  <c r="L379" i="56"/>
  <c r="N382" i="51"/>
  <c r="E382" i="51"/>
  <c r="D385" i="53"/>
  <c r="L384" i="53"/>
  <c r="B381" i="42"/>
  <c r="O381" i="42"/>
  <c r="D489" i="57"/>
  <c r="J381" i="56"/>
  <c r="J382" i="42"/>
  <c r="O379" i="55"/>
  <c r="B379" i="55"/>
  <c r="N380" i="57"/>
  <c r="J380" i="57"/>
  <c r="B461" i="47"/>
  <c r="G383" i="51"/>
  <c r="J380" i="55"/>
  <c r="J386" i="53"/>
  <c r="L357" i="47"/>
  <c r="I358" i="47"/>
  <c r="N380" i="56" l="1"/>
  <c r="E380" i="56"/>
  <c r="O382" i="51"/>
  <c r="B382" i="51"/>
  <c r="E385" i="53"/>
  <c r="N385" i="53"/>
  <c r="D382" i="42"/>
  <c r="L381" i="42"/>
  <c r="G386" i="53"/>
  <c r="O380" i="57"/>
  <c r="G380" i="57"/>
  <c r="E489" i="57"/>
  <c r="S191" i="57"/>
  <c r="D380" i="55"/>
  <c r="L379" i="55"/>
  <c r="G382" i="42"/>
  <c r="N358" i="47"/>
  <c r="J358" i="47"/>
  <c r="I384" i="51"/>
  <c r="G381" i="56"/>
  <c r="G380" i="55"/>
  <c r="D462" i="47"/>
  <c r="E462" i="47" s="1"/>
  <c r="B462" i="47" s="1"/>
  <c r="B380" i="56" l="1"/>
  <c r="O380" i="56"/>
  <c r="L382" i="51"/>
  <c r="D383" i="51"/>
  <c r="B385" i="53"/>
  <c r="O385" i="53"/>
  <c r="E382" i="42"/>
  <c r="N382" i="42"/>
  <c r="D463" i="47"/>
  <c r="E463" i="47" s="1"/>
  <c r="B463" i="47" s="1"/>
  <c r="I383" i="42"/>
  <c r="I382" i="56"/>
  <c r="J384" i="51"/>
  <c r="X185" i="51"/>
  <c r="E380" i="55"/>
  <c r="N380" i="55"/>
  <c r="I381" i="55"/>
  <c r="I381" i="57"/>
  <c r="L380" i="57"/>
  <c r="I387" i="53"/>
  <c r="O358" i="47"/>
  <c r="G358" i="47"/>
  <c r="T191" i="57"/>
  <c r="B489" i="57"/>
  <c r="L380" i="56" l="1"/>
  <c r="D381" i="56"/>
  <c r="E383" i="51"/>
  <c r="N383" i="51"/>
  <c r="D386" i="53"/>
  <c r="L385" i="53"/>
  <c r="B382" i="42"/>
  <c r="O382" i="42"/>
  <c r="D464" i="47"/>
  <c r="E464" i="47" s="1"/>
  <c r="B464" i="47" s="1"/>
  <c r="L358" i="47"/>
  <c r="I359" i="47"/>
  <c r="Y185" i="51"/>
  <c r="G384" i="51"/>
  <c r="J383" i="42"/>
  <c r="X184" i="42"/>
  <c r="J381" i="55"/>
  <c r="X182" i="55"/>
  <c r="J387" i="53"/>
  <c r="X188" i="53"/>
  <c r="N381" i="57"/>
  <c r="J381" i="57"/>
  <c r="X182" i="57"/>
  <c r="AC182" i="57" s="1"/>
  <c r="Q191" i="57"/>
  <c r="D490" i="57"/>
  <c r="O380" i="55"/>
  <c r="B380" i="55"/>
  <c r="J382" i="56"/>
  <c r="X183" i="56"/>
  <c r="E381" i="56" l="1"/>
  <c r="N381" i="56"/>
  <c r="O383" i="51"/>
  <c r="B383" i="51"/>
  <c r="E386" i="53"/>
  <c r="N386" i="53"/>
  <c r="D383" i="42"/>
  <c r="L382" i="42"/>
  <c r="D465" i="47"/>
  <c r="E465" i="47" s="1"/>
  <c r="B465" i="47" s="1"/>
  <c r="Y183" i="56"/>
  <c r="G382" i="56"/>
  <c r="E490" i="57"/>
  <c r="Y188" i="53"/>
  <c r="G387" i="53"/>
  <c r="Y184" i="42"/>
  <c r="G383" i="42"/>
  <c r="I385" i="51"/>
  <c r="V185" i="51"/>
  <c r="N359" i="47"/>
  <c r="J359" i="47"/>
  <c r="D381" i="55"/>
  <c r="L380" i="55"/>
  <c r="O381" i="57"/>
  <c r="Y182" i="57"/>
  <c r="AD182" i="57" s="1"/>
  <c r="G381" i="57"/>
  <c r="Y182" i="55"/>
  <c r="G381" i="55"/>
  <c r="B381" i="56" l="1"/>
  <c r="O381" i="56"/>
  <c r="D384" i="51"/>
  <c r="L383" i="51"/>
  <c r="B386" i="53"/>
  <c r="O386" i="53"/>
  <c r="E383" i="42"/>
  <c r="S184" i="42"/>
  <c r="AC184" i="42" s="1"/>
  <c r="N383" i="42"/>
  <c r="D466" i="47"/>
  <c r="E466" i="47" s="1"/>
  <c r="B466" i="47" s="1"/>
  <c r="J385" i="51"/>
  <c r="O359" i="47"/>
  <c r="G359" i="47"/>
  <c r="B490" i="57"/>
  <c r="V184" i="42"/>
  <c r="I384" i="42"/>
  <c r="E381" i="55"/>
  <c r="S182" i="55"/>
  <c r="AC182" i="55" s="1"/>
  <c r="N381" i="55"/>
  <c r="I382" i="57"/>
  <c r="L381" i="57"/>
  <c r="V182" i="57"/>
  <c r="AA182" i="57" s="1"/>
  <c r="V182" i="55"/>
  <c r="I382" i="55"/>
  <c r="I388" i="53"/>
  <c r="V188" i="53"/>
  <c r="I383" i="56"/>
  <c r="V183" i="56"/>
  <c r="D382" i="56" l="1"/>
  <c r="L381" i="56"/>
  <c r="E384" i="51"/>
  <c r="N384" i="51"/>
  <c r="S185" i="51"/>
  <c r="AC185" i="51" s="1"/>
  <c r="D387" i="53"/>
  <c r="L386" i="53"/>
  <c r="T184" i="42"/>
  <c r="AD184" i="42" s="1"/>
  <c r="B383" i="42"/>
  <c r="O383" i="42"/>
  <c r="D467" i="47"/>
  <c r="E467" i="47" s="1"/>
  <c r="B467" i="47" s="1"/>
  <c r="N382" i="57"/>
  <c r="J382" i="57"/>
  <c r="J383" i="56"/>
  <c r="J382" i="55"/>
  <c r="J384" i="42"/>
  <c r="D491" i="57"/>
  <c r="T182" i="55"/>
  <c r="AD182" i="55" s="1"/>
  <c r="O381" i="55"/>
  <c r="B381" i="55"/>
  <c r="L359" i="47"/>
  <c r="I360" i="47"/>
  <c r="G385" i="51"/>
  <c r="J388" i="53"/>
  <c r="N382" i="56" l="1"/>
  <c r="E382" i="56"/>
  <c r="S183" i="56"/>
  <c r="AC183" i="56" s="1"/>
  <c r="B384" i="51"/>
  <c r="T185" i="51"/>
  <c r="AD185" i="51" s="1"/>
  <c r="O384" i="51"/>
  <c r="E387" i="53"/>
  <c r="S188" i="53"/>
  <c r="AC188" i="53" s="1"/>
  <c r="N387" i="53"/>
  <c r="Q184" i="42"/>
  <c r="AA184" i="42" s="1"/>
  <c r="D384" i="42"/>
  <c r="L383" i="42"/>
  <c r="D468" i="47"/>
  <c r="E491" i="57"/>
  <c r="G382" i="55"/>
  <c r="O382" i="57"/>
  <c r="G382" i="57"/>
  <c r="I386" i="51"/>
  <c r="Q182" i="55"/>
  <c r="AA182" i="55" s="1"/>
  <c r="D382" i="55"/>
  <c r="L381" i="55"/>
  <c r="G388" i="53"/>
  <c r="G384" i="42"/>
  <c r="N360" i="47"/>
  <c r="J360" i="47"/>
  <c r="X161" i="47"/>
  <c r="AC161" i="47" s="1"/>
  <c r="G383" i="56"/>
  <c r="B382" i="56" l="1"/>
  <c r="T183" i="56"/>
  <c r="AD183" i="56" s="1"/>
  <c r="O382" i="56"/>
  <c r="D385" i="51"/>
  <c r="Q185" i="51"/>
  <c r="AA185" i="51" s="1"/>
  <c r="L384" i="51"/>
  <c r="T188" i="53"/>
  <c r="AD188" i="53" s="1"/>
  <c r="O387" i="53"/>
  <c r="B387" i="53"/>
  <c r="E384" i="42"/>
  <c r="N384" i="42"/>
  <c r="J386" i="51"/>
  <c r="O360" i="47"/>
  <c r="Y161" i="47"/>
  <c r="AD161" i="47" s="1"/>
  <c r="G360" i="47"/>
  <c r="I384" i="56"/>
  <c r="B491" i="57"/>
  <c r="I383" i="55"/>
  <c r="I389" i="53"/>
  <c r="L382" i="57"/>
  <c r="I383" i="57"/>
  <c r="E468" i="47"/>
  <c r="S170" i="47"/>
  <c r="I385" i="42"/>
  <c r="E382" i="55"/>
  <c r="N382" i="55"/>
  <c r="D383" i="56" l="1"/>
  <c r="Q183" i="56"/>
  <c r="AA183" i="56" s="1"/>
  <c r="L382" i="56"/>
  <c r="N385" i="51"/>
  <c r="E385" i="51"/>
  <c r="D388" i="53"/>
  <c r="Q188" i="53"/>
  <c r="AA188" i="53" s="1"/>
  <c r="L387" i="53"/>
  <c r="O384" i="42"/>
  <c r="B384" i="42"/>
  <c r="B382" i="55"/>
  <c r="O382" i="55"/>
  <c r="J389" i="53"/>
  <c r="N383" i="57"/>
  <c r="J383" i="57"/>
  <c r="T170" i="47"/>
  <c r="B468" i="47"/>
  <c r="J385" i="42"/>
  <c r="D492" i="57"/>
  <c r="J384" i="56"/>
  <c r="G386" i="51"/>
  <c r="J383" i="55"/>
  <c r="L360" i="47"/>
  <c r="V161" i="47"/>
  <c r="AA161" i="47" s="1"/>
  <c r="I361" i="47"/>
  <c r="E383" i="56" l="1"/>
  <c r="N383" i="56"/>
  <c r="O385" i="51"/>
  <c r="B385" i="51"/>
  <c r="E388" i="53"/>
  <c r="N388" i="53"/>
  <c r="D385" i="42"/>
  <c r="L384" i="42"/>
  <c r="I387" i="51"/>
  <c r="N361" i="47"/>
  <c r="J361" i="47"/>
  <c r="Q170" i="47"/>
  <c r="D469" i="47"/>
  <c r="G389" i="53"/>
  <c r="G384" i="56"/>
  <c r="O383" i="57"/>
  <c r="G383" i="57"/>
  <c r="D383" i="55"/>
  <c r="L382" i="55"/>
  <c r="G383" i="55"/>
  <c r="G385" i="42"/>
  <c r="E492" i="57"/>
  <c r="B383" i="56" l="1"/>
  <c r="O383" i="56"/>
  <c r="L385" i="51"/>
  <c r="D386" i="51"/>
  <c r="O388" i="53"/>
  <c r="B388" i="53"/>
  <c r="E385" i="42"/>
  <c r="N385" i="42"/>
  <c r="L383" i="57"/>
  <c r="I384" i="57"/>
  <c r="O361" i="47"/>
  <c r="G361" i="47"/>
  <c r="I384" i="55"/>
  <c r="I390" i="53"/>
  <c r="B492" i="57"/>
  <c r="I386" i="42"/>
  <c r="E383" i="55"/>
  <c r="N383" i="55"/>
  <c r="I385" i="56"/>
  <c r="E469" i="47"/>
  <c r="J387" i="51"/>
  <c r="D384" i="56" l="1"/>
  <c r="L383" i="56"/>
  <c r="N386" i="51"/>
  <c r="E386" i="51"/>
  <c r="D389" i="53"/>
  <c r="L388" i="53"/>
  <c r="B385" i="42"/>
  <c r="O385" i="42"/>
  <c r="G387" i="51"/>
  <c r="J390" i="53"/>
  <c r="B469" i="47"/>
  <c r="L361" i="47"/>
  <c r="I362" i="47"/>
  <c r="N384" i="57"/>
  <c r="J384" i="57"/>
  <c r="D493" i="57"/>
  <c r="O383" i="55"/>
  <c r="B383" i="55"/>
  <c r="J386" i="42"/>
  <c r="J385" i="56"/>
  <c r="J384" i="55"/>
  <c r="E384" i="56" l="1"/>
  <c r="N384" i="56"/>
  <c r="B386" i="51"/>
  <c r="O386" i="51"/>
  <c r="E389" i="53"/>
  <c r="N389" i="53"/>
  <c r="D386" i="42"/>
  <c r="L385" i="42"/>
  <c r="N362" i="47"/>
  <c r="J362" i="47"/>
  <c r="E493" i="57"/>
  <c r="I388" i="51"/>
  <c r="G384" i="55"/>
  <c r="G386" i="42"/>
  <c r="D384" i="55"/>
  <c r="L383" i="55"/>
  <c r="D470" i="47"/>
  <c r="G385" i="56"/>
  <c r="O384" i="57"/>
  <c r="G384" i="57"/>
  <c r="G390" i="53"/>
  <c r="O384" i="56" l="1"/>
  <c r="B384" i="56"/>
  <c r="D387" i="51"/>
  <c r="L386" i="51"/>
  <c r="O389" i="53"/>
  <c r="B389" i="53"/>
  <c r="E386" i="42"/>
  <c r="N386" i="42"/>
  <c r="J388" i="51"/>
  <c r="I391" i="53"/>
  <c r="I385" i="55"/>
  <c r="E384" i="55"/>
  <c r="N384" i="55"/>
  <c r="I386" i="56"/>
  <c r="E470" i="47"/>
  <c r="B493" i="57"/>
  <c r="I387" i="42"/>
  <c r="O362" i="47"/>
  <c r="G362" i="47"/>
  <c r="L384" i="57"/>
  <c r="I385" i="57"/>
  <c r="D385" i="56" l="1"/>
  <c r="L384" i="56"/>
  <c r="E387" i="51"/>
  <c r="N387" i="51"/>
  <c r="D390" i="53"/>
  <c r="L389" i="53"/>
  <c r="O386" i="42"/>
  <c r="B386" i="42"/>
  <c r="J385" i="55"/>
  <c r="J387" i="42"/>
  <c r="N385" i="57"/>
  <c r="J385" i="57"/>
  <c r="J391" i="53"/>
  <c r="O384" i="55"/>
  <c r="B384" i="55"/>
  <c r="D494" i="57"/>
  <c r="L362" i="47"/>
  <c r="I363" i="47"/>
  <c r="J386" i="56"/>
  <c r="B470" i="47"/>
  <c r="G388" i="51"/>
  <c r="E385" i="56" l="1"/>
  <c r="N385" i="56"/>
  <c r="O387" i="51"/>
  <c r="B387" i="51"/>
  <c r="E390" i="53"/>
  <c r="N390" i="53"/>
  <c r="D387" i="42"/>
  <c r="L386" i="42"/>
  <c r="E494" i="57"/>
  <c r="G386" i="56"/>
  <c r="G387" i="42"/>
  <c r="O385" i="57"/>
  <c r="G385" i="57"/>
  <c r="D385" i="55"/>
  <c r="L384" i="55"/>
  <c r="N363" i="47"/>
  <c r="J363" i="47"/>
  <c r="G391" i="53"/>
  <c r="I389" i="51"/>
  <c r="G385" i="55"/>
  <c r="D471" i="47"/>
  <c r="B385" i="56" l="1"/>
  <c r="O385" i="56"/>
  <c r="D388" i="51"/>
  <c r="L387" i="51"/>
  <c r="O390" i="53"/>
  <c r="B390" i="53"/>
  <c r="E387" i="42"/>
  <c r="N387" i="42"/>
  <c r="J389" i="51"/>
  <c r="I386" i="57"/>
  <c r="L385" i="57"/>
  <c r="I387" i="56"/>
  <c r="I392" i="53"/>
  <c r="E385" i="55"/>
  <c r="N385" i="55"/>
  <c r="O363" i="47"/>
  <c r="G363" i="47"/>
  <c r="E471" i="47"/>
  <c r="I388" i="42"/>
  <c r="I386" i="55"/>
  <c r="B494" i="57"/>
  <c r="L385" i="56" l="1"/>
  <c r="D386" i="56"/>
  <c r="N388" i="51"/>
  <c r="E388" i="51"/>
  <c r="D391" i="53"/>
  <c r="L390" i="53"/>
  <c r="B387" i="42"/>
  <c r="O387" i="42"/>
  <c r="N386" i="57"/>
  <c r="J386" i="57"/>
  <c r="L363" i="47"/>
  <c r="I364" i="47"/>
  <c r="G389" i="51"/>
  <c r="B471" i="47"/>
  <c r="J387" i="56"/>
  <c r="B385" i="55"/>
  <c r="O385" i="55"/>
  <c r="J392" i="53"/>
  <c r="D495" i="57"/>
  <c r="E495" i="57" s="1"/>
  <c r="B495" i="57" s="1"/>
  <c r="J388" i="42"/>
  <c r="J386" i="55"/>
  <c r="E386" i="56" l="1"/>
  <c r="N386" i="56"/>
  <c r="O388" i="51"/>
  <c r="B388" i="51"/>
  <c r="E391" i="53"/>
  <c r="N391" i="53"/>
  <c r="D388" i="42"/>
  <c r="L387" i="42"/>
  <c r="D496" i="57"/>
  <c r="E496" i="57" s="1"/>
  <c r="B496" i="57" s="1"/>
  <c r="N364" i="47"/>
  <c r="J364" i="47"/>
  <c r="G392" i="53"/>
  <c r="D472" i="47"/>
  <c r="I390" i="51"/>
  <c r="G388" i="42"/>
  <c r="O386" i="57"/>
  <c r="G386" i="57"/>
  <c r="G387" i="56"/>
  <c r="D386" i="55"/>
  <c r="L385" i="55"/>
  <c r="G386" i="55"/>
  <c r="B386" i="56" l="1"/>
  <c r="O386" i="56"/>
  <c r="L388" i="51"/>
  <c r="D389" i="51"/>
  <c r="O391" i="53"/>
  <c r="B391" i="53"/>
  <c r="E388" i="42"/>
  <c r="N388" i="42"/>
  <c r="D497" i="57"/>
  <c r="E497" i="57" s="1"/>
  <c r="B497" i="57" s="1"/>
  <c r="E472" i="47"/>
  <c r="I393" i="53"/>
  <c r="E386" i="55"/>
  <c r="N386" i="55"/>
  <c r="I389" i="42"/>
  <c r="O364" i="47"/>
  <c r="G364" i="47"/>
  <c r="I388" i="56"/>
  <c r="I387" i="55"/>
  <c r="I387" i="57"/>
  <c r="L386" i="57"/>
  <c r="J390" i="51"/>
  <c r="L386" i="56" l="1"/>
  <c r="D387" i="56"/>
  <c r="E389" i="51"/>
  <c r="N389" i="51"/>
  <c r="D392" i="53"/>
  <c r="L391" i="53"/>
  <c r="B388" i="42"/>
  <c r="O388" i="42"/>
  <c r="D498" i="57"/>
  <c r="E498" i="57" s="1"/>
  <c r="B498" i="57" s="1"/>
  <c r="J393" i="53"/>
  <c r="J387" i="55"/>
  <c r="B472" i="47"/>
  <c r="J388" i="56"/>
  <c r="G390" i="51"/>
  <c r="L364" i="47"/>
  <c r="I365" i="47"/>
  <c r="B386" i="55"/>
  <c r="O386" i="55"/>
  <c r="J389" i="42"/>
  <c r="N387" i="57"/>
  <c r="J387" i="57"/>
  <c r="E387" i="56" l="1"/>
  <c r="N387" i="56"/>
  <c r="B389" i="51"/>
  <c r="O389" i="51"/>
  <c r="E392" i="53"/>
  <c r="N392" i="53"/>
  <c r="D389" i="42"/>
  <c r="L388" i="42"/>
  <c r="D499" i="57"/>
  <c r="E499" i="57" s="1"/>
  <c r="B499" i="57" s="1"/>
  <c r="D473" i="47"/>
  <c r="G389" i="42"/>
  <c r="I391" i="51"/>
  <c r="G387" i="55"/>
  <c r="G388" i="56"/>
  <c r="G393" i="53"/>
  <c r="O387" i="57"/>
  <c r="G387" i="57"/>
  <c r="D387" i="55"/>
  <c r="L386" i="55"/>
  <c r="N365" i="47"/>
  <c r="J365" i="47"/>
  <c r="B387" i="56" l="1"/>
  <c r="O387" i="56"/>
  <c r="D390" i="51"/>
  <c r="L389" i="51"/>
  <c r="O392" i="53"/>
  <c r="B392" i="53"/>
  <c r="E389" i="42"/>
  <c r="N389" i="42"/>
  <c r="D500" i="57"/>
  <c r="E500" i="57" s="1"/>
  <c r="B500" i="57" s="1"/>
  <c r="J391" i="51"/>
  <c r="E473" i="47"/>
  <c r="I388" i="55"/>
  <c r="I390" i="42"/>
  <c r="L387" i="57"/>
  <c r="I388" i="57"/>
  <c r="O365" i="47"/>
  <c r="G365" i="47"/>
  <c r="I394" i="53"/>
  <c r="E387" i="55"/>
  <c r="N387" i="55"/>
  <c r="I389" i="56"/>
  <c r="L387" i="56" l="1"/>
  <c r="D388" i="56"/>
  <c r="N390" i="51"/>
  <c r="E390" i="51"/>
  <c r="D393" i="53"/>
  <c r="L392" i="53"/>
  <c r="B389" i="42"/>
  <c r="O389" i="42"/>
  <c r="D501" i="57"/>
  <c r="G391" i="51"/>
  <c r="J388" i="55"/>
  <c r="B473" i="47"/>
  <c r="J389" i="56"/>
  <c r="N388" i="57"/>
  <c r="J388" i="57"/>
  <c r="O387" i="55"/>
  <c r="B387" i="55"/>
  <c r="J394" i="53"/>
  <c r="L365" i="47"/>
  <c r="I366" i="47"/>
  <c r="J390" i="42"/>
  <c r="E388" i="56" l="1"/>
  <c r="N388" i="56"/>
  <c r="B390" i="51"/>
  <c r="O390" i="51"/>
  <c r="E393" i="53"/>
  <c r="N393" i="53"/>
  <c r="D390" i="42"/>
  <c r="L389" i="42"/>
  <c r="N366" i="47"/>
  <c r="J366" i="47"/>
  <c r="G394" i="53"/>
  <c r="I392" i="51"/>
  <c r="D474" i="47"/>
  <c r="E474" i="47" s="1"/>
  <c r="B474" i="47" s="1"/>
  <c r="D388" i="55"/>
  <c r="L387" i="55"/>
  <c r="G388" i="55"/>
  <c r="O388" i="57"/>
  <c r="G388" i="57"/>
  <c r="G389" i="56"/>
  <c r="G390" i="42"/>
  <c r="E501" i="57"/>
  <c r="S192" i="57"/>
  <c r="B388" i="56" l="1"/>
  <c r="O388" i="56"/>
  <c r="L390" i="51"/>
  <c r="D391" i="51"/>
  <c r="B393" i="53"/>
  <c r="O393" i="53"/>
  <c r="E390" i="42"/>
  <c r="N390" i="42"/>
  <c r="I389" i="57"/>
  <c r="L388" i="57"/>
  <c r="I389" i="55"/>
  <c r="I391" i="42"/>
  <c r="T192" i="57"/>
  <c r="B501" i="57"/>
  <c r="J392" i="51"/>
  <c r="E388" i="55"/>
  <c r="N388" i="55"/>
  <c r="D475" i="47"/>
  <c r="E475" i="47" s="1"/>
  <c r="B475" i="47" s="1"/>
  <c r="I395" i="53"/>
  <c r="O366" i="47"/>
  <c r="G366" i="47"/>
  <c r="I390" i="56"/>
  <c r="D389" i="56" l="1"/>
  <c r="L388" i="56"/>
  <c r="N391" i="51"/>
  <c r="E391" i="51"/>
  <c r="D394" i="53"/>
  <c r="L393" i="53"/>
  <c r="B390" i="42"/>
  <c r="O390" i="42"/>
  <c r="D476" i="47"/>
  <c r="E476" i="47" s="1"/>
  <c r="B476" i="47" s="1"/>
  <c r="J390" i="56"/>
  <c r="J389" i="55"/>
  <c r="B388" i="55"/>
  <c r="O388" i="55"/>
  <c r="J391" i="42"/>
  <c r="N389" i="57"/>
  <c r="J389" i="57"/>
  <c r="L366" i="47"/>
  <c r="I367" i="47"/>
  <c r="J395" i="53"/>
  <c r="G392" i="51"/>
  <c r="D502" i="57"/>
  <c r="Q192" i="57"/>
  <c r="E389" i="56" l="1"/>
  <c r="N389" i="56"/>
  <c r="O391" i="51"/>
  <c r="B391" i="51"/>
  <c r="E394" i="53"/>
  <c r="N394" i="53"/>
  <c r="D391" i="42"/>
  <c r="L390" i="42"/>
  <c r="D477" i="47"/>
  <c r="E477" i="47" s="1"/>
  <c r="B477" i="47" s="1"/>
  <c r="N367" i="47"/>
  <c r="J367" i="47"/>
  <c r="I393" i="51"/>
  <c r="D389" i="55"/>
  <c r="L388" i="55"/>
  <c r="G389" i="55"/>
  <c r="O389" i="57"/>
  <c r="G389" i="57"/>
  <c r="E502" i="57"/>
  <c r="G391" i="42"/>
  <c r="G390" i="56"/>
  <c r="G395" i="53"/>
  <c r="B389" i="56" l="1"/>
  <c r="O389" i="56"/>
  <c r="L391" i="51"/>
  <c r="D392" i="51"/>
  <c r="B394" i="53"/>
  <c r="O394" i="53"/>
  <c r="E391" i="42"/>
  <c r="N391" i="42"/>
  <c r="D478" i="47"/>
  <c r="E478" i="47" s="1"/>
  <c r="B478" i="47" s="1"/>
  <c r="B502" i="57"/>
  <c r="I391" i="56"/>
  <c r="J393" i="51"/>
  <c r="O367" i="47"/>
  <c r="G367" i="47"/>
  <c r="I392" i="42"/>
  <c r="I390" i="57"/>
  <c r="L389" i="57"/>
  <c r="I390" i="55"/>
  <c r="I396" i="53"/>
  <c r="E389" i="55"/>
  <c r="N389" i="55"/>
  <c r="D390" i="56" l="1"/>
  <c r="L389" i="56"/>
  <c r="E392" i="51"/>
  <c r="N392" i="51"/>
  <c r="D395" i="53"/>
  <c r="L394" i="53"/>
  <c r="B391" i="42"/>
  <c r="O391" i="42"/>
  <c r="D479" i="47"/>
  <c r="E479" i="47" s="1"/>
  <c r="B479" i="47" s="1"/>
  <c r="N390" i="57"/>
  <c r="J390" i="57"/>
  <c r="J396" i="53"/>
  <c r="J392" i="42"/>
  <c r="L367" i="47"/>
  <c r="I368" i="47"/>
  <c r="J390" i="55"/>
  <c r="G393" i="51"/>
  <c r="J391" i="56"/>
  <c r="D503" i="57"/>
  <c r="O389" i="55"/>
  <c r="B389" i="55"/>
  <c r="E390" i="56" l="1"/>
  <c r="N390" i="56"/>
  <c r="B392" i="51"/>
  <c r="O392" i="51"/>
  <c r="E395" i="53"/>
  <c r="N395" i="53"/>
  <c r="D392" i="42"/>
  <c r="L391" i="42"/>
  <c r="D480" i="47"/>
  <c r="D390" i="55"/>
  <c r="L389" i="55"/>
  <c r="E503" i="57"/>
  <c r="O390" i="57"/>
  <c r="G390" i="57"/>
  <c r="G391" i="56"/>
  <c r="G392" i="42"/>
  <c r="G390" i="55"/>
  <c r="N368" i="47"/>
  <c r="J368" i="47"/>
  <c r="I394" i="51"/>
  <c r="G396" i="53"/>
  <c r="B390" i="56" l="1"/>
  <c r="O390" i="56"/>
  <c r="D393" i="51"/>
  <c r="L392" i="51"/>
  <c r="B395" i="53"/>
  <c r="O395" i="53"/>
  <c r="E392" i="42"/>
  <c r="N392" i="42"/>
  <c r="I397" i="53"/>
  <c r="I391" i="55"/>
  <c r="I392" i="56"/>
  <c r="B503" i="57"/>
  <c r="O368" i="47"/>
  <c r="G368" i="47"/>
  <c r="E480" i="47"/>
  <c r="S171" i="47"/>
  <c r="I393" i="42"/>
  <c r="E390" i="55"/>
  <c r="N390" i="55"/>
  <c r="J394" i="51"/>
  <c r="I391" i="57"/>
  <c r="L390" i="57"/>
  <c r="D391" i="56" l="1"/>
  <c r="L390" i="56"/>
  <c r="E393" i="51"/>
  <c r="N393" i="51"/>
  <c r="D396" i="53"/>
  <c r="L395" i="53"/>
  <c r="B392" i="42"/>
  <c r="O392" i="42"/>
  <c r="N391" i="57"/>
  <c r="J391" i="57"/>
  <c r="L368" i="47"/>
  <c r="I369" i="47"/>
  <c r="G394" i="51"/>
  <c r="J393" i="42"/>
  <c r="J391" i="55"/>
  <c r="J392" i="56"/>
  <c r="J397" i="53"/>
  <c r="D504" i="57"/>
  <c r="T171" i="47"/>
  <c r="B480" i="47"/>
  <c r="B390" i="55"/>
  <c r="O390" i="55"/>
  <c r="N391" i="56" l="1"/>
  <c r="E391" i="56"/>
  <c r="B393" i="51"/>
  <c r="O393" i="51"/>
  <c r="E396" i="53"/>
  <c r="N396" i="53"/>
  <c r="D393" i="42"/>
  <c r="L392" i="42"/>
  <c r="E504" i="57"/>
  <c r="I395" i="51"/>
  <c r="N369" i="47"/>
  <c r="J369" i="47"/>
  <c r="Q171" i="47"/>
  <c r="D481" i="47"/>
  <c r="G391" i="55"/>
  <c r="G392" i="56"/>
  <c r="O391" i="57"/>
  <c r="G391" i="57"/>
  <c r="G397" i="53"/>
  <c r="D391" i="55"/>
  <c r="L390" i="55"/>
  <c r="G393" i="42"/>
  <c r="B391" i="56" l="1"/>
  <c r="O391" i="56"/>
  <c r="D394" i="51"/>
  <c r="L393" i="51"/>
  <c r="B396" i="53"/>
  <c r="O396" i="53"/>
  <c r="E393" i="42"/>
  <c r="N393" i="42"/>
  <c r="I393" i="56"/>
  <c r="J395" i="51"/>
  <c r="I392" i="55"/>
  <c r="E391" i="55"/>
  <c r="N391" i="55"/>
  <c r="I394" i="42"/>
  <c r="L391" i="57"/>
  <c r="I392" i="57"/>
  <c r="E481" i="47"/>
  <c r="I398" i="53"/>
  <c r="O369" i="47"/>
  <c r="G369" i="47"/>
  <c r="B504" i="57"/>
  <c r="D392" i="56" l="1"/>
  <c r="L391" i="56"/>
  <c r="N394" i="51"/>
  <c r="E394" i="51"/>
  <c r="D397" i="53"/>
  <c r="L396" i="53"/>
  <c r="B393" i="42"/>
  <c r="O393" i="42"/>
  <c r="G395" i="51"/>
  <c r="J392" i="55"/>
  <c r="J393" i="56"/>
  <c r="L369" i="47"/>
  <c r="I370" i="47"/>
  <c r="B391" i="55"/>
  <c r="O391" i="55"/>
  <c r="N392" i="57"/>
  <c r="J392" i="57"/>
  <c r="J394" i="42"/>
  <c r="J398" i="53"/>
  <c r="D505" i="57"/>
  <c r="B481" i="47"/>
  <c r="N392" i="56" l="1"/>
  <c r="E392" i="56"/>
  <c r="O394" i="51"/>
  <c r="B394" i="51"/>
  <c r="E397" i="53"/>
  <c r="N397" i="53"/>
  <c r="D394" i="42"/>
  <c r="L393" i="42"/>
  <c r="G394" i="42"/>
  <c r="O392" i="57"/>
  <c r="G392" i="57"/>
  <c r="D392" i="55"/>
  <c r="L391" i="55"/>
  <c r="G392" i="55"/>
  <c r="D482" i="47"/>
  <c r="G393" i="56"/>
  <c r="I396" i="51"/>
  <c r="N370" i="47"/>
  <c r="J370" i="47"/>
  <c r="E505" i="57"/>
  <c r="G398" i="53"/>
  <c r="B392" i="56" l="1"/>
  <c r="O392" i="56"/>
  <c r="D395" i="51"/>
  <c r="L394" i="51"/>
  <c r="B397" i="53"/>
  <c r="O397" i="53"/>
  <c r="E394" i="42"/>
  <c r="N394" i="42"/>
  <c r="I399" i="53"/>
  <c r="I393" i="57"/>
  <c r="L392" i="57"/>
  <c r="J396" i="51"/>
  <c r="X186" i="51"/>
  <c r="I393" i="55"/>
  <c r="E482" i="47"/>
  <c r="B505" i="57"/>
  <c r="I395" i="42"/>
  <c r="O370" i="47"/>
  <c r="G370" i="47"/>
  <c r="E392" i="55"/>
  <c r="N392" i="55"/>
  <c r="I394" i="56"/>
  <c r="D393" i="56" l="1"/>
  <c r="L392" i="56"/>
  <c r="N395" i="51"/>
  <c r="E395" i="51"/>
  <c r="D398" i="53"/>
  <c r="L397" i="53"/>
  <c r="B394" i="42"/>
  <c r="O394" i="42"/>
  <c r="N393" i="57"/>
  <c r="J393" i="57"/>
  <c r="X183" i="57"/>
  <c r="AC183" i="57" s="1"/>
  <c r="J393" i="55"/>
  <c r="X183" i="55"/>
  <c r="J395" i="42"/>
  <c r="X185" i="42"/>
  <c r="B482" i="47"/>
  <c r="O392" i="55"/>
  <c r="B392" i="55"/>
  <c r="D506" i="57"/>
  <c r="J399" i="53"/>
  <c r="X189" i="53"/>
  <c r="Y186" i="51"/>
  <c r="G396" i="51"/>
  <c r="J394" i="56"/>
  <c r="X184" i="56"/>
  <c r="L370" i="47"/>
  <c r="I371" i="47"/>
  <c r="E393" i="56" l="1"/>
  <c r="N393" i="56"/>
  <c r="B395" i="51"/>
  <c r="O395" i="51"/>
  <c r="E398" i="53"/>
  <c r="N398" i="53"/>
  <c r="D395" i="42"/>
  <c r="L394" i="42"/>
  <c r="I397" i="51"/>
  <c r="V186" i="51"/>
  <c r="O393" i="57"/>
  <c r="Y183" i="57"/>
  <c r="AD183" i="57" s="1"/>
  <c r="G393" i="57"/>
  <c r="E506" i="57"/>
  <c r="D393" i="55"/>
  <c r="L392" i="55"/>
  <c r="D483" i="47"/>
  <c r="Y183" i="55"/>
  <c r="G393" i="55"/>
  <c r="Y189" i="53"/>
  <c r="G399" i="53"/>
  <c r="Y184" i="56"/>
  <c r="G394" i="56"/>
  <c r="N371" i="47"/>
  <c r="J371" i="47"/>
  <c r="Y185" i="42"/>
  <c r="G395" i="42"/>
  <c r="O393" i="56" l="1"/>
  <c r="B393" i="56"/>
  <c r="D396" i="51"/>
  <c r="L395" i="51"/>
  <c r="B398" i="53"/>
  <c r="O398" i="53"/>
  <c r="E395" i="42"/>
  <c r="S185" i="42"/>
  <c r="AC185" i="42" s="1"/>
  <c r="N395" i="42"/>
  <c r="B506" i="57"/>
  <c r="O371" i="47"/>
  <c r="G371" i="47"/>
  <c r="V183" i="55"/>
  <c r="I394" i="55"/>
  <c r="I400" i="53"/>
  <c r="V189" i="53"/>
  <c r="I395" i="56"/>
  <c r="V184" i="56"/>
  <c r="V185" i="42"/>
  <c r="I396" i="42"/>
  <c r="E393" i="55"/>
  <c r="S183" i="55"/>
  <c r="AC183" i="55" s="1"/>
  <c r="N393" i="55"/>
  <c r="V183" i="57"/>
  <c r="AA183" i="57" s="1"/>
  <c r="L393" i="57"/>
  <c r="I394" i="57"/>
  <c r="E483" i="47"/>
  <c r="J397" i="51"/>
  <c r="L393" i="56" l="1"/>
  <c r="D394" i="56"/>
  <c r="N396" i="51"/>
  <c r="E396" i="51"/>
  <c r="S186" i="51"/>
  <c r="AC186" i="51" s="1"/>
  <c r="D399" i="53"/>
  <c r="L398" i="53"/>
  <c r="T185" i="42"/>
  <c r="AD185" i="42" s="1"/>
  <c r="B395" i="42"/>
  <c r="O395" i="42"/>
  <c r="J394" i="55"/>
  <c r="J400" i="53"/>
  <c r="J396" i="42"/>
  <c r="B483" i="47"/>
  <c r="J395" i="56"/>
  <c r="L371" i="47"/>
  <c r="I372" i="47"/>
  <c r="N394" i="57"/>
  <c r="J394" i="57"/>
  <c r="T183" i="55"/>
  <c r="AD183" i="55" s="1"/>
  <c r="B393" i="55"/>
  <c r="O393" i="55"/>
  <c r="D507" i="57"/>
  <c r="E507" i="57" s="1"/>
  <c r="B507" i="57" s="1"/>
  <c r="G397" i="51"/>
  <c r="N394" i="56" l="1"/>
  <c r="S184" i="56"/>
  <c r="AC184" i="56" s="1"/>
  <c r="E394" i="56"/>
  <c r="O396" i="51"/>
  <c r="B396" i="51"/>
  <c r="T186" i="51"/>
  <c r="AD186" i="51" s="1"/>
  <c r="E399" i="53"/>
  <c r="S189" i="53"/>
  <c r="AC189" i="53" s="1"/>
  <c r="N399" i="53"/>
  <c r="Q185" i="42"/>
  <c r="AA185" i="42" s="1"/>
  <c r="D396" i="42"/>
  <c r="L395" i="42"/>
  <c r="I398" i="51"/>
  <c r="G395" i="56"/>
  <c r="O394" i="57"/>
  <c r="G394" i="57"/>
  <c r="G394" i="55"/>
  <c r="Q183" i="55"/>
  <c r="AA183" i="55" s="1"/>
  <c r="D394" i="55"/>
  <c r="L393" i="55"/>
  <c r="G396" i="42"/>
  <c r="N372" i="47"/>
  <c r="J372" i="47"/>
  <c r="X162" i="47"/>
  <c r="AC162" i="47" s="1"/>
  <c r="G400" i="53"/>
  <c r="D508" i="57"/>
  <c r="E508" i="57" s="1"/>
  <c r="B508" i="57" s="1"/>
  <c r="D484" i="47"/>
  <c r="B394" i="56" l="1"/>
  <c r="O394" i="56"/>
  <c r="T184" i="56"/>
  <c r="AD184" i="56" s="1"/>
  <c r="Q186" i="51"/>
  <c r="AA186" i="51" s="1"/>
  <c r="D397" i="51"/>
  <c r="L396" i="51"/>
  <c r="T189" i="53"/>
  <c r="AD189" i="53" s="1"/>
  <c r="O399" i="53"/>
  <c r="B399" i="53"/>
  <c r="E396" i="42"/>
  <c r="N396" i="42"/>
  <c r="D509" i="57"/>
  <c r="E509" i="57" s="1"/>
  <c r="B509" i="57" s="1"/>
  <c r="E484" i="47"/>
  <c r="E394" i="55"/>
  <c r="N394" i="55"/>
  <c r="O372" i="47"/>
  <c r="Y162" i="47"/>
  <c r="AD162" i="47" s="1"/>
  <c r="G372" i="47"/>
  <c r="J398" i="51"/>
  <c r="I395" i="55"/>
  <c r="L394" i="57"/>
  <c r="I395" i="57"/>
  <c r="I396" i="56"/>
  <c r="I401" i="53"/>
  <c r="I397" i="42"/>
  <c r="Q184" i="56" l="1"/>
  <c r="AA184" i="56" s="1"/>
  <c r="D395" i="56"/>
  <c r="L394" i="56"/>
  <c r="E397" i="51"/>
  <c r="N397" i="51"/>
  <c r="D400" i="53"/>
  <c r="Q189" i="53"/>
  <c r="AA189" i="53" s="1"/>
  <c r="L399" i="53"/>
  <c r="O396" i="42"/>
  <c r="B396" i="42"/>
  <c r="D510" i="57"/>
  <c r="E510" i="57" s="1"/>
  <c r="B510" i="57" s="1"/>
  <c r="G398" i="51"/>
  <c r="J396" i="56"/>
  <c r="J395" i="55"/>
  <c r="B484" i="47"/>
  <c r="J397" i="42"/>
  <c r="V162" i="47"/>
  <c r="AA162" i="47" s="1"/>
  <c r="L372" i="47"/>
  <c r="I373" i="47"/>
  <c r="O394" i="55"/>
  <c r="B394" i="55"/>
  <c r="J401" i="53"/>
  <c r="N395" i="57"/>
  <c r="J395" i="57"/>
  <c r="E395" i="56" l="1"/>
  <c r="N395" i="56"/>
  <c r="B397" i="51"/>
  <c r="O397" i="51"/>
  <c r="E400" i="53"/>
  <c r="N400" i="53"/>
  <c r="D397" i="42"/>
  <c r="L396" i="42"/>
  <c r="D511" i="57"/>
  <c r="E511" i="57" s="1"/>
  <c r="B511" i="57" s="1"/>
  <c r="G397" i="42"/>
  <c r="G395" i="55"/>
  <c r="O395" i="57"/>
  <c r="G395" i="57"/>
  <c r="D485" i="47"/>
  <c r="I399" i="51"/>
  <c r="N373" i="47"/>
  <c r="J373" i="47"/>
  <c r="G401" i="53"/>
  <c r="D395" i="55"/>
  <c r="L394" i="55"/>
  <c r="G396" i="56"/>
  <c r="B395" i="56" l="1"/>
  <c r="O395" i="56"/>
  <c r="L397" i="51"/>
  <c r="D398" i="51"/>
  <c r="O400" i="53"/>
  <c r="B400" i="53"/>
  <c r="E397" i="42"/>
  <c r="N397" i="42"/>
  <c r="D512" i="57"/>
  <c r="E512" i="57" s="1"/>
  <c r="B512" i="57" s="1"/>
  <c r="E395" i="55"/>
  <c r="N395" i="55"/>
  <c r="I397" i="56"/>
  <c r="E485" i="47"/>
  <c r="I396" i="55"/>
  <c r="J399" i="51"/>
  <c r="I402" i="53"/>
  <c r="O373" i="47"/>
  <c r="G373" i="47"/>
  <c r="I396" i="57"/>
  <c r="L395" i="57"/>
  <c r="I398" i="42"/>
  <c r="D396" i="56" l="1"/>
  <c r="L395" i="56"/>
  <c r="E398" i="51"/>
  <c r="N398" i="51"/>
  <c r="D401" i="53"/>
  <c r="L400" i="53"/>
  <c r="B397" i="42"/>
  <c r="O397" i="42"/>
  <c r="D513" i="57"/>
  <c r="J398" i="42"/>
  <c r="J402" i="53"/>
  <c r="J396" i="55"/>
  <c r="J397" i="56"/>
  <c r="B485" i="47"/>
  <c r="G399" i="51"/>
  <c r="L373" i="47"/>
  <c r="I374" i="47"/>
  <c r="N396" i="57"/>
  <c r="J396" i="57"/>
  <c r="O395" i="55"/>
  <c r="B395" i="55"/>
  <c r="E396" i="56" l="1"/>
  <c r="N396" i="56"/>
  <c r="B398" i="51"/>
  <c r="O398" i="51"/>
  <c r="E401" i="53"/>
  <c r="N401" i="53"/>
  <c r="D398" i="42"/>
  <c r="L397" i="42"/>
  <c r="O396" i="57"/>
  <c r="G396" i="57"/>
  <c r="G396" i="55"/>
  <c r="D486" i="47"/>
  <c r="E486" i="47" s="1"/>
  <c r="B486" i="47" s="1"/>
  <c r="D396" i="55"/>
  <c r="L395" i="55"/>
  <c r="N374" i="47"/>
  <c r="J374" i="47"/>
  <c r="G397" i="56"/>
  <c r="G398" i="42"/>
  <c r="E513" i="57"/>
  <c r="S193" i="57"/>
  <c r="G402" i="53"/>
  <c r="I400" i="51"/>
  <c r="B396" i="56" l="1"/>
  <c r="O396" i="56"/>
  <c r="D399" i="51"/>
  <c r="L398" i="51"/>
  <c r="O401" i="53"/>
  <c r="B401" i="53"/>
  <c r="E398" i="42"/>
  <c r="N398" i="42"/>
  <c r="D487" i="47"/>
  <c r="E487" i="47" s="1"/>
  <c r="B487" i="47" s="1"/>
  <c r="I399" i="42"/>
  <c r="O374" i="47"/>
  <c r="G374" i="47"/>
  <c r="I403" i="53"/>
  <c r="J400" i="51"/>
  <c r="E396" i="55"/>
  <c r="N396" i="55"/>
  <c r="I398" i="56"/>
  <c r="I397" i="57"/>
  <c r="L396" i="57"/>
  <c r="I397" i="55"/>
  <c r="T193" i="57"/>
  <c r="B513" i="57"/>
  <c r="D397" i="56" l="1"/>
  <c r="L396" i="56"/>
  <c r="N399" i="51"/>
  <c r="E399" i="51"/>
  <c r="D402" i="53"/>
  <c r="L401" i="53"/>
  <c r="O398" i="42"/>
  <c r="B398" i="42"/>
  <c r="D488" i="47"/>
  <c r="E488" i="47" s="1"/>
  <c r="B488" i="47" s="1"/>
  <c r="Q193" i="57"/>
  <c r="D514" i="57"/>
  <c r="J397" i="55"/>
  <c r="G400" i="51"/>
  <c r="J399" i="42"/>
  <c r="N397" i="57"/>
  <c r="J397" i="57"/>
  <c r="J398" i="56"/>
  <c r="J403" i="53"/>
  <c r="L374" i="47"/>
  <c r="I375" i="47"/>
  <c r="B396" i="55"/>
  <c r="O396" i="55"/>
  <c r="E397" i="56" l="1"/>
  <c r="N397" i="56"/>
  <c r="B399" i="51"/>
  <c r="O399" i="51"/>
  <c r="E402" i="53"/>
  <c r="N402" i="53"/>
  <c r="D399" i="42"/>
  <c r="L398" i="42"/>
  <c r="D489" i="47"/>
  <c r="E489" i="47" s="1"/>
  <c r="B489" i="47" s="1"/>
  <c r="O397" i="57"/>
  <c r="G397" i="57"/>
  <c r="N375" i="47"/>
  <c r="J375" i="47"/>
  <c r="I401" i="51"/>
  <c r="G403" i="53"/>
  <c r="G399" i="42"/>
  <c r="G398" i="56"/>
  <c r="G397" i="55"/>
  <c r="E514" i="57"/>
  <c r="D397" i="55"/>
  <c r="L396" i="55"/>
  <c r="B397" i="56" l="1"/>
  <c r="O397" i="56"/>
  <c r="L399" i="51"/>
  <c r="D400" i="51"/>
  <c r="O402" i="53"/>
  <c r="B402" i="53"/>
  <c r="E399" i="42"/>
  <c r="N399" i="42"/>
  <c r="D490" i="47"/>
  <c r="E490" i="47" s="1"/>
  <c r="B490" i="47" s="1"/>
  <c r="I399" i="56"/>
  <c r="I398" i="57"/>
  <c r="L397" i="57"/>
  <c r="I400" i="42"/>
  <c r="J401" i="51"/>
  <c r="B514" i="57"/>
  <c r="O375" i="47"/>
  <c r="G375" i="47"/>
  <c r="I398" i="55"/>
  <c r="E397" i="55"/>
  <c r="N397" i="55"/>
  <c r="I404" i="53"/>
  <c r="D398" i="56" l="1"/>
  <c r="L397" i="56"/>
  <c r="E400" i="51"/>
  <c r="N400" i="51"/>
  <c r="D403" i="53"/>
  <c r="L402" i="53"/>
  <c r="B399" i="42"/>
  <c r="O399" i="42"/>
  <c r="D491" i="47"/>
  <c r="E491" i="47" s="1"/>
  <c r="B491" i="47" s="1"/>
  <c r="D515" i="57"/>
  <c r="L375" i="47"/>
  <c r="I376" i="47"/>
  <c r="J399" i="56"/>
  <c r="J404" i="53"/>
  <c r="J398" i="55"/>
  <c r="N398" i="57"/>
  <c r="J398" i="57"/>
  <c r="G401" i="51"/>
  <c r="O397" i="55"/>
  <c r="B397" i="55"/>
  <c r="J400" i="42"/>
  <c r="N398" i="56" l="1"/>
  <c r="E398" i="56"/>
  <c r="B400" i="51"/>
  <c r="O400" i="51"/>
  <c r="E403" i="53"/>
  <c r="N403" i="53"/>
  <c r="D400" i="42"/>
  <c r="L399" i="42"/>
  <c r="D492" i="47"/>
  <c r="D398" i="55"/>
  <c r="L397" i="55"/>
  <c r="I402" i="51"/>
  <c r="E515" i="57"/>
  <c r="G398" i="55"/>
  <c r="N376" i="47"/>
  <c r="J376" i="47"/>
  <c r="G404" i="53"/>
  <c r="G399" i="56"/>
  <c r="G400" i="42"/>
  <c r="O398" i="57"/>
  <c r="G398" i="57"/>
  <c r="O398" i="56" l="1"/>
  <c r="B398" i="56"/>
  <c r="D401" i="51"/>
  <c r="L400" i="51"/>
  <c r="O403" i="53"/>
  <c r="B403" i="53"/>
  <c r="E400" i="42"/>
  <c r="N400" i="42"/>
  <c r="I399" i="55"/>
  <c r="I401" i="42"/>
  <c r="B515" i="57"/>
  <c r="E398" i="55"/>
  <c r="N398" i="55"/>
  <c r="J402" i="51"/>
  <c r="L398" i="57"/>
  <c r="I399" i="57"/>
  <c r="I400" i="56"/>
  <c r="E492" i="47"/>
  <c r="S172" i="47"/>
  <c r="I405" i="53"/>
  <c r="O376" i="47"/>
  <c r="G376" i="47"/>
  <c r="D399" i="56" l="1"/>
  <c r="L398" i="56"/>
  <c r="E401" i="51"/>
  <c r="N401" i="51"/>
  <c r="D404" i="53"/>
  <c r="L403" i="53"/>
  <c r="O400" i="42"/>
  <c r="B400" i="42"/>
  <c r="N399" i="57"/>
  <c r="J399" i="57"/>
  <c r="D516" i="57"/>
  <c r="J405" i="53"/>
  <c r="J400" i="56"/>
  <c r="L376" i="47"/>
  <c r="I377" i="47"/>
  <c r="G402" i="51"/>
  <c r="J401" i="42"/>
  <c r="J399" i="55"/>
  <c r="O398" i="55"/>
  <c r="B398" i="55"/>
  <c r="T172" i="47"/>
  <c r="B492" i="47"/>
  <c r="E399" i="56" l="1"/>
  <c r="N399" i="56"/>
  <c r="B401" i="51"/>
  <c r="O401" i="51"/>
  <c r="E404" i="53"/>
  <c r="N404" i="53"/>
  <c r="D401" i="42"/>
  <c r="L400" i="42"/>
  <c r="O399" i="57"/>
  <c r="G399" i="57"/>
  <c r="G401" i="42"/>
  <c r="N377" i="47"/>
  <c r="J377" i="47"/>
  <c r="G405" i="53"/>
  <c r="E516" i="57"/>
  <c r="Q172" i="47"/>
  <c r="D493" i="47"/>
  <c r="D399" i="55"/>
  <c r="L398" i="55"/>
  <c r="G400" i="56"/>
  <c r="I403" i="51"/>
  <c r="G399" i="55"/>
  <c r="O399" i="56" l="1"/>
  <c r="B399" i="56"/>
  <c r="L401" i="51"/>
  <c r="D402" i="51"/>
  <c r="O404" i="53"/>
  <c r="B404" i="53"/>
  <c r="E401" i="42"/>
  <c r="N401" i="42"/>
  <c r="I400" i="55"/>
  <c r="B516" i="57"/>
  <c r="O377" i="47"/>
  <c r="G377" i="47"/>
  <c r="I406" i="53"/>
  <c r="E399" i="55"/>
  <c r="N399" i="55"/>
  <c r="I400" i="57"/>
  <c r="L399" i="57"/>
  <c r="E493" i="47"/>
  <c r="I401" i="56"/>
  <c r="I402" i="42"/>
  <c r="J403" i="51"/>
  <c r="D400" i="56" l="1"/>
  <c r="L399" i="56"/>
  <c r="E402" i="51"/>
  <c r="N402" i="51"/>
  <c r="D405" i="53"/>
  <c r="L404" i="53"/>
  <c r="B401" i="42"/>
  <c r="O401" i="42"/>
  <c r="G403" i="51"/>
  <c r="J401" i="56"/>
  <c r="J406" i="53"/>
  <c r="D517" i="57"/>
  <c r="J400" i="55"/>
  <c r="O399" i="55"/>
  <c r="B399" i="55"/>
  <c r="J402" i="42"/>
  <c r="N400" i="57"/>
  <c r="J400" i="57"/>
  <c r="L377" i="47"/>
  <c r="I378" i="47"/>
  <c r="B493" i="47"/>
  <c r="N400" i="56" l="1"/>
  <c r="E400" i="56"/>
  <c r="O402" i="51"/>
  <c r="B402" i="51"/>
  <c r="E405" i="53"/>
  <c r="N405" i="53"/>
  <c r="D402" i="42"/>
  <c r="L401" i="42"/>
  <c r="O400" i="57"/>
  <c r="G400" i="57"/>
  <c r="G400" i="55"/>
  <c r="E517" i="57"/>
  <c r="G406" i="53"/>
  <c r="G402" i="42"/>
  <c r="D400" i="55"/>
  <c r="L399" i="55"/>
  <c r="G401" i="56"/>
  <c r="D494" i="47"/>
  <c r="I404" i="51"/>
  <c r="N378" i="47"/>
  <c r="J378" i="47"/>
  <c r="B400" i="56" l="1"/>
  <c r="O400" i="56"/>
  <c r="D403" i="51"/>
  <c r="L402" i="51"/>
  <c r="B405" i="53"/>
  <c r="O405" i="53"/>
  <c r="E402" i="42"/>
  <c r="N402" i="42"/>
  <c r="J404" i="51"/>
  <c r="L400" i="57"/>
  <c r="I401" i="57"/>
  <c r="I401" i="55"/>
  <c r="I402" i="56"/>
  <c r="B517" i="57"/>
  <c r="E494" i="47"/>
  <c r="I407" i="53"/>
  <c r="E400" i="55"/>
  <c r="N400" i="55"/>
  <c r="I403" i="42"/>
  <c r="O378" i="47"/>
  <c r="G378" i="47"/>
  <c r="D401" i="56" l="1"/>
  <c r="L400" i="56"/>
  <c r="N403" i="51"/>
  <c r="E403" i="51"/>
  <c r="D406" i="53"/>
  <c r="L405" i="53"/>
  <c r="B402" i="42"/>
  <c r="O402" i="42"/>
  <c r="B494" i="47"/>
  <c r="J407" i="53"/>
  <c r="N401" i="57"/>
  <c r="J401" i="57"/>
  <c r="G404" i="51"/>
  <c r="D518" i="57"/>
  <c r="J402" i="56"/>
  <c r="J403" i="42"/>
  <c r="L378" i="47"/>
  <c r="I379" i="47"/>
  <c r="O400" i="55"/>
  <c r="B400" i="55"/>
  <c r="J401" i="55"/>
  <c r="E401" i="56" l="1"/>
  <c r="N401" i="56"/>
  <c r="O403" i="51"/>
  <c r="B403" i="51"/>
  <c r="E406" i="53"/>
  <c r="N406" i="53"/>
  <c r="D403" i="42"/>
  <c r="L402" i="42"/>
  <c r="D495" i="47"/>
  <c r="O401" i="57"/>
  <c r="G401" i="57"/>
  <c r="G407" i="53"/>
  <c r="G401" i="55"/>
  <c r="G402" i="56"/>
  <c r="G403" i="42"/>
  <c r="D401" i="55"/>
  <c r="L400" i="55"/>
  <c r="E518" i="57"/>
  <c r="N379" i="47"/>
  <c r="J379" i="47"/>
  <c r="I405" i="51"/>
  <c r="B401" i="56" l="1"/>
  <c r="O401" i="56"/>
  <c r="L403" i="51"/>
  <c r="D404" i="51"/>
  <c r="B406" i="53"/>
  <c r="O406" i="53"/>
  <c r="E403" i="42"/>
  <c r="N403" i="42"/>
  <c r="I408" i="53"/>
  <c r="I402" i="57"/>
  <c r="L401" i="57"/>
  <c r="B518" i="57"/>
  <c r="J405" i="51"/>
  <c r="I402" i="55"/>
  <c r="E495" i="47"/>
  <c r="I404" i="42"/>
  <c r="I403" i="56"/>
  <c r="O379" i="47"/>
  <c r="G379" i="47"/>
  <c r="E401" i="55"/>
  <c r="N401" i="55"/>
  <c r="L401" i="56" l="1"/>
  <c r="D402" i="56"/>
  <c r="N404" i="51"/>
  <c r="E404" i="51"/>
  <c r="D407" i="53"/>
  <c r="L406" i="53"/>
  <c r="B403" i="42"/>
  <c r="O403" i="42"/>
  <c r="N402" i="57"/>
  <c r="J402" i="57"/>
  <c r="J403" i="56"/>
  <c r="D519" i="57"/>
  <c r="E519" i="57" s="1"/>
  <c r="B519" i="57" s="1"/>
  <c r="G405" i="51"/>
  <c r="B495" i="47"/>
  <c r="J408" i="53"/>
  <c r="O401" i="55"/>
  <c r="B401" i="55"/>
  <c r="L379" i="47"/>
  <c r="I380" i="47"/>
  <c r="J404" i="42"/>
  <c r="J402" i="55"/>
  <c r="E402" i="56" l="1"/>
  <c r="N402" i="56"/>
  <c r="O404" i="51"/>
  <c r="B404" i="51"/>
  <c r="E407" i="53"/>
  <c r="N407" i="53"/>
  <c r="D404" i="42"/>
  <c r="L403" i="42"/>
  <c r="D520" i="57"/>
  <c r="E520" i="57" s="1"/>
  <c r="B520" i="57" s="1"/>
  <c r="G404" i="42"/>
  <c r="O402" i="57"/>
  <c r="G402" i="57"/>
  <c r="N380" i="47"/>
  <c r="J380" i="47"/>
  <c r="D402" i="55"/>
  <c r="L401" i="55"/>
  <c r="D496" i="47"/>
  <c r="G402" i="55"/>
  <c r="I406" i="51"/>
  <c r="G403" i="56"/>
  <c r="G408" i="53"/>
  <c r="B402" i="56" l="1"/>
  <c r="O402" i="56"/>
  <c r="D405" i="51"/>
  <c r="L404" i="51"/>
  <c r="B407" i="53"/>
  <c r="O407" i="53"/>
  <c r="E404" i="42"/>
  <c r="N404" i="42"/>
  <c r="D521" i="57"/>
  <c r="E521" i="57" s="1"/>
  <c r="B521" i="57" s="1"/>
  <c r="O380" i="47"/>
  <c r="G380" i="47"/>
  <c r="I403" i="55"/>
  <c r="I404" i="56"/>
  <c r="E402" i="55"/>
  <c r="N402" i="55"/>
  <c r="J406" i="51"/>
  <c r="I403" i="57"/>
  <c r="L402" i="57"/>
  <c r="I409" i="53"/>
  <c r="I405" i="42"/>
  <c r="E496" i="47"/>
  <c r="D403" i="56" l="1"/>
  <c r="L402" i="56"/>
  <c r="E405" i="51"/>
  <c r="N405" i="51"/>
  <c r="D408" i="53"/>
  <c r="L407" i="53"/>
  <c r="B404" i="42"/>
  <c r="O404" i="42"/>
  <c r="D522" i="57"/>
  <c r="E522" i="57" s="1"/>
  <c r="B522" i="57" s="1"/>
  <c r="B496" i="47"/>
  <c r="L380" i="47"/>
  <c r="I381" i="47"/>
  <c r="J409" i="53"/>
  <c r="J403" i="55"/>
  <c r="N403" i="57"/>
  <c r="J403" i="57"/>
  <c r="J404" i="56"/>
  <c r="G406" i="51"/>
  <c r="O402" i="55"/>
  <c r="B402" i="55"/>
  <c r="J405" i="42"/>
  <c r="E403" i="56" l="1"/>
  <c r="N403" i="56"/>
  <c r="B405" i="51"/>
  <c r="O405" i="51"/>
  <c r="E408" i="53"/>
  <c r="N408" i="53"/>
  <c r="D405" i="42"/>
  <c r="L404" i="42"/>
  <c r="D523" i="57"/>
  <c r="E523" i="57" s="1"/>
  <c r="B523" i="57" s="1"/>
  <c r="G405" i="42"/>
  <c r="O403" i="57"/>
  <c r="G403" i="57"/>
  <c r="D497" i="47"/>
  <c r="D403" i="55"/>
  <c r="L402" i="55"/>
  <c r="N381" i="47"/>
  <c r="J381" i="47"/>
  <c r="G404" i="56"/>
  <c r="I407" i="51"/>
  <c r="G409" i="53"/>
  <c r="G403" i="55"/>
  <c r="B403" i="56" l="1"/>
  <c r="O403" i="56"/>
  <c r="L405" i="51"/>
  <c r="D406" i="51"/>
  <c r="B408" i="53"/>
  <c r="O408" i="53"/>
  <c r="E405" i="42"/>
  <c r="N405" i="42"/>
  <c r="D524" i="57"/>
  <c r="E524" i="57" s="1"/>
  <c r="B524" i="57" s="1"/>
  <c r="I405" i="56"/>
  <c r="I410" i="53"/>
  <c r="I406" i="42"/>
  <c r="E497" i="47"/>
  <c r="I404" i="55"/>
  <c r="L403" i="57"/>
  <c r="I404" i="57"/>
  <c r="O381" i="47"/>
  <c r="G381" i="47"/>
  <c r="J407" i="51"/>
  <c r="E403" i="55"/>
  <c r="N403" i="55"/>
  <c r="D404" i="56" l="1"/>
  <c r="L403" i="56"/>
  <c r="E406" i="51"/>
  <c r="N406" i="51"/>
  <c r="D409" i="53"/>
  <c r="L408" i="53"/>
  <c r="B405" i="42"/>
  <c r="O405" i="42"/>
  <c r="J406" i="42"/>
  <c r="B403" i="55"/>
  <c r="O403" i="55"/>
  <c r="J410" i="53"/>
  <c r="G407" i="51"/>
  <c r="L381" i="47"/>
  <c r="I382" i="47"/>
  <c r="B497" i="47"/>
  <c r="J404" i="55"/>
  <c r="D525" i="57"/>
  <c r="N404" i="57"/>
  <c r="J404" i="57"/>
  <c r="J405" i="56"/>
  <c r="E404" i="56" l="1"/>
  <c r="N404" i="56"/>
  <c r="B406" i="51"/>
  <c r="O406" i="51"/>
  <c r="E409" i="53"/>
  <c r="N409" i="53"/>
  <c r="D406" i="42"/>
  <c r="L405" i="42"/>
  <c r="D404" i="55"/>
  <c r="L403" i="55"/>
  <c r="G406" i="42"/>
  <c r="G404" i="55"/>
  <c r="O404" i="57"/>
  <c r="G404" i="57"/>
  <c r="G410" i="53"/>
  <c r="I408" i="51"/>
  <c r="E525" i="57"/>
  <c r="S194" i="57"/>
  <c r="G405" i="56"/>
  <c r="D498" i="47"/>
  <c r="E498" i="47" s="1"/>
  <c r="B498" i="47" s="1"/>
  <c r="N382" i="47"/>
  <c r="J382" i="47"/>
  <c r="B404" i="56" l="1"/>
  <c r="O404" i="56"/>
  <c r="L406" i="51"/>
  <c r="D407" i="51"/>
  <c r="B409" i="53"/>
  <c r="O409" i="53"/>
  <c r="E406" i="42"/>
  <c r="N406" i="42"/>
  <c r="D499" i="47"/>
  <c r="E499" i="47" s="1"/>
  <c r="B499" i="47" s="1"/>
  <c r="O382" i="47"/>
  <c r="G382" i="47"/>
  <c r="J408" i="51"/>
  <c r="X187" i="51"/>
  <c r="I407" i="42"/>
  <c r="I405" i="55"/>
  <c r="I406" i="56"/>
  <c r="I411" i="53"/>
  <c r="T194" i="57"/>
  <c r="B525" i="57"/>
  <c r="Q194" i="57" s="1"/>
  <c r="I405" i="57"/>
  <c r="L404" i="57"/>
  <c r="E404" i="55"/>
  <c r="N404" i="55"/>
  <c r="D405" i="56" l="1"/>
  <c r="L404" i="56"/>
  <c r="N407" i="51"/>
  <c r="E407" i="51"/>
  <c r="D410" i="53"/>
  <c r="L409" i="53"/>
  <c r="B406" i="42"/>
  <c r="O406" i="42"/>
  <c r="D500" i="47"/>
  <c r="E500" i="47" s="1"/>
  <c r="B500" i="47" s="1"/>
  <c r="J411" i="53"/>
  <c r="X190" i="53"/>
  <c r="J405" i="55"/>
  <c r="X184" i="55"/>
  <c r="L382" i="47"/>
  <c r="I383" i="47"/>
  <c r="Y187" i="51"/>
  <c r="G408" i="51"/>
  <c r="B404" i="55"/>
  <c r="O404" i="55"/>
  <c r="J407" i="42"/>
  <c r="X186" i="42"/>
  <c r="N405" i="57"/>
  <c r="J405" i="57"/>
  <c r="X184" i="57"/>
  <c r="AC184" i="57" s="1"/>
  <c r="J406" i="56"/>
  <c r="X185" i="56"/>
  <c r="E405" i="56" l="1"/>
  <c r="N405" i="56"/>
  <c r="O407" i="51"/>
  <c r="B407" i="51"/>
  <c r="E410" i="53"/>
  <c r="N410" i="53"/>
  <c r="D407" i="42"/>
  <c r="L406" i="42"/>
  <c r="D501" i="47"/>
  <c r="E501" i="47" s="1"/>
  <c r="B501" i="47" s="1"/>
  <c r="Y184" i="55"/>
  <c r="G405" i="55"/>
  <c r="D405" i="55"/>
  <c r="L404" i="55"/>
  <c r="Y190" i="53"/>
  <c r="G411" i="53"/>
  <c r="N383" i="47"/>
  <c r="J383" i="47"/>
  <c r="Y186" i="42"/>
  <c r="G407" i="42"/>
  <c r="I409" i="51"/>
  <c r="V187" i="51"/>
  <c r="Y185" i="56"/>
  <c r="G406" i="56"/>
  <c r="O405" i="57"/>
  <c r="Y184" i="57"/>
  <c r="AD184" i="57" s="1"/>
  <c r="G405" i="57"/>
  <c r="O405" i="56" l="1"/>
  <c r="B405" i="56"/>
  <c r="D408" i="51"/>
  <c r="L407" i="51"/>
  <c r="B410" i="53"/>
  <c r="O410" i="53"/>
  <c r="E407" i="42"/>
  <c r="S186" i="42"/>
  <c r="AC186" i="42" s="1"/>
  <c r="N407" i="42"/>
  <c r="D502" i="47"/>
  <c r="E502" i="47" s="1"/>
  <c r="B502" i="47" s="1"/>
  <c r="E405" i="55"/>
  <c r="S184" i="55"/>
  <c r="AC184" i="55" s="1"/>
  <c r="N405" i="55"/>
  <c r="J409" i="51"/>
  <c r="V184" i="55"/>
  <c r="I406" i="55"/>
  <c r="O383" i="47"/>
  <c r="G383" i="47"/>
  <c r="I412" i="53"/>
  <c r="V190" i="53"/>
  <c r="I407" i="56"/>
  <c r="V185" i="56"/>
  <c r="V186" i="42"/>
  <c r="I408" i="42"/>
  <c r="L405" i="57"/>
  <c r="V184" i="57"/>
  <c r="AA184" i="57" s="1"/>
  <c r="I406" i="57"/>
  <c r="L405" i="56" l="1"/>
  <c r="D406" i="56"/>
  <c r="S187" i="51"/>
  <c r="AC187" i="51" s="1"/>
  <c r="N408" i="51"/>
  <c r="E408" i="51"/>
  <c r="D411" i="53"/>
  <c r="L410" i="53"/>
  <c r="T186" i="42"/>
  <c r="AD186" i="42" s="1"/>
  <c r="O407" i="42"/>
  <c r="B407" i="42"/>
  <c r="D503" i="47"/>
  <c r="E503" i="47" s="1"/>
  <c r="B503" i="47" s="1"/>
  <c r="J407" i="56"/>
  <c r="J408" i="42"/>
  <c r="J412" i="53"/>
  <c r="G409" i="51"/>
  <c r="N406" i="57"/>
  <c r="J406" i="57"/>
  <c r="L383" i="47"/>
  <c r="I384" i="47"/>
  <c r="T184" i="55"/>
  <c r="AD184" i="55" s="1"/>
  <c r="O405" i="55"/>
  <c r="B405" i="55"/>
  <c r="J406" i="55"/>
  <c r="N406" i="56" l="1"/>
  <c r="S185" i="56"/>
  <c r="AC185" i="56" s="1"/>
  <c r="E406" i="56"/>
  <c r="O408" i="51"/>
  <c r="B408" i="51"/>
  <c r="T187" i="51"/>
  <c r="AD187" i="51" s="1"/>
  <c r="E411" i="53"/>
  <c r="S190" i="53"/>
  <c r="AC190" i="53" s="1"/>
  <c r="N411" i="53"/>
  <c r="Q186" i="42"/>
  <c r="AA186" i="42" s="1"/>
  <c r="D408" i="42"/>
  <c r="L407" i="42"/>
  <c r="D504" i="47"/>
  <c r="G406" i="55"/>
  <c r="I410" i="51"/>
  <c r="N384" i="47"/>
  <c r="J384" i="47"/>
  <c r="X163" i="47"/>
  <c r="AC163" i="47" s="1"/>
  <c r="G408" i="42"/>
  <c r="G407" i="56"/>
  <c r="D406" i="55"/>
  <c r="Q184" i="55"/>
  <c r="AA184" i="55" s="1"/>
  <c r="L405" i="55"/>
  <c r="G412" i="53"/>
  <c r="O406" i="57"/>
  <c r="G406" i="57"/>
  <c r="B406" i="56" l="1"/>
  <c r="O406" i="56"/>
  <c r="T185" i="56"/>
  <c r="AD185" i="56" s="1"/>
  <c r="Q187" i="51"/>
  <c r="AA187" i="51" s="1"/>
  <c r="D409" i="51"/>
  <c r="L408" i="51"/>
  <c r="T190" i="53"/>
  <c r="AD190" i="53" s="1"/>
  <c r="O411" i="53"/>
  <c r="B411" i="53"/>
  <c r="E408" i="42"/>
  <c r="N408" i="42"/>
  <c r="E406" i="55"/>
  <c r="N406" i="55"/>
  <c r="I407" i="57"/>
  <c r="L406" i="57"/>
  <c r="J410" i="51"/>
  <c r="O384" i="47"/>
  <c r="Y163" i="47"/>
  <c r="AD163" i="47" s="1"/>
  <c r="G384" i="47"/>
  <c r="I408" i="56"/>
  <c r="E504" i="47"/>
  <c r="S173" i="47"/>
  <c r="I407" i="55"/>
  <c r="I413" i="53"/>
  <c r="I409" i="42"/>
  <c r="Q185" i="56" l="1"/>
  <c r="AA185" i="56" s="1"/>
  <c r="D407" i="56"/>
  <c r="L406" i="56"/>
  <c r="N409" i="51"/>
  <c r="E409" i="51"/>
  <c r="D412" i="53"/>
  <c r="Q190" i="53"/>
  <c r="AA190" i="53" s="1"/>
  <c r="L411" i="53"/>
  <c r="O408" i="42"/>
  <c r="B408" i="42"/>
  <c r="J407" i="55"/>
  <c r="J408" i="56"/>
  <c r="J409" i="42"/>
  <c r="V163" i="47"/>
  <c r="AA163" i="47" s="1"/>
  <c r="L384" i="47"/>
  <c r="I385" i="47"/>
  <c r="O406" i="55"/>
  <c r="B406" i="55"/>
  <c r="G410" i="51"/>
  <c r="N407" i="57"/>
  <c r="J407" i="57"/>
  <c r="T173" i="47"/>
  <c r="B504" i="47"/>
  <c r="Q173" i="47" s="1"/>
  <c r="J413" i="53"/>
  <c r="E407" i="56" l="1"/>
  <c r="N407" i="56"/>
  <c r="B409" i="51"/>
  <c r="O409" i="51"/>
  <c r="E412" i="53"/>
  <c r="N412" i="53"/>
  <c r="D409" i="42"/>
  <c r="L408" i="42"/>
  <c r="G408" i="56"/>
  <c r="G409" i="42"/>
  <c r="N385" i="47"/>
  <c r="J385" i="47"/>
  <c r="G413" i="53"/>
  <c r="I411" i="51"/>
  <c r="G407" i="55"/>
  <c r="O407" i="57"/>
  <c r="G407" i="57"/>
  <c r="D407" i="55"/>
  <c r="L406" i="55"/>
  <c r="O407" i="56" l="1"/>
  <c r="B407" i="56"/>
  <c r="L409" i="51"/>
  <c r="D410" i="51"/>
  <c r="O412" i="53"/>
  <c r="B412" i="53"/>
  <c r="E409" i="42"/>
  <c r="N409" i="42"/>
  <c r="I409" i="56"/>
  <c r="I408" i="55"/>
  <c r="O385" i="47"/>
  <c r="G385" i="47"/>
  <c r="I414" i="53"/>
  <c r="I410" i="42"/>
  <c r="E407" i="55"/>
  <c r="N407" i="55"/>
  <c r="L407" i="57"/>
  <c r="I408" i="57"/>
  <c r="J411" i="51"/>
  <c r="D408" i="56" l="1"/>
  <c r="L407" i="56"/>
  <c r="N410" i="51"/>
  <c r="E410" i="51"/>
  <c r="D413" i="53"/>
  <c r="L412" i="53"/>
  <c r="B409" i="42"/>
  <c r="O409" i="42"/>
  <c r="J414" i="53"/>
  <c r="O407" i="55"/>
  <c r="B407" i="55"/>
  <c r="J410" i="42"/>
  <c r="G411" i="51"/>
  <c r="N408" i="57"/>
  <c r="J408" i="57"/>
  <c r="J408" i="55"/>
  <c r="L385" i="47"/>
  <c r="I386" i="47"/>
  <c r="J409" i="56"/>
  <c r="E408" i="56" l="1"/>
  <c r="N408" i="56"/>
  <c r="B410" i="51"/>
  <c r="O410" i="51"/>
  <c r="E413" i="53"/>
  <c r="N413" i="53"/>
  <c r="D410" i="42"/>
  <c r="L409" i="42"/>
  <c r="G410" i="42"/>
  <c r="O408" i="57"/>
  <c r="G408" i="57"/>
  <c r="D408" i="55"/>
  <c r="L407" i="55"/>
  <c r="I412" i="51"/>
  <c r="G414" i="53"/>
  <c r="N386" i="47"/>
  <c r="J386" i="47"/>
  <c r="G409" i="56"/>
  <c r="G408" i="55"/>
  <c r="B408" i="56" l="1"/>
  <c r="O408" i="56"/>
  <c r="L410" i="51"/>
  <c r="D411" i="51"/>
  <c r="O413" i="53"/>
  <c r="B413" i="53"/>
  <c r="E410" i="42"/>
  <c r="N410" i="42"/>
  <c r="J412" i="51"/>
  <c r="I410" i="56"/>
  <c r="O386" i="47"/>
  <c r="G386" i="47"/>
  <c r="I415" i="53"/>
  <c r="E408" i="55"/>
  <c r="N408" i="55"/>
  <c r="I411" i="42"/>
  <c r="I409" i="55"/>
  <c r="I409" i="57"/>
  <c r="L408" i="57"/>
  <c r="D409" i="56" l="1"/>
  <c r="L408" i="56"/>
  <c r="E411" i="51"/>
  <c r="N411" i="51"/>
  <c r="D414" i="53"/>
  <c r="L413" i="53"/>
  <c r="B410" i="42"/>
  <c r="O410" i="42"/>
  <c r="N409" i="57"/>
  <c r="J409" i="57"/>
  <c r="J409" i="55"/>
  <c r="O408" i="55"/>
  <c r="B408" i="55"/>
  <c r="J415" i="53"/>
  <c r="J410" i="56"/>
  <c r="J411" i="42"/>
  <c r="G412" i="51"/>
  <c r="L386" i="47"/>
  <c r="I387" i="47"/>
  <c r="E409" i="56" l="1"/>
  <c r="N409" i="56"/>
  <c r="O411" i="51"/>
  <c r="B411" i="51"/>
  <c r="E414" i="53"/>
  <c r="N414" i="53"/>
  <c r="D411" i="42"/>
  <c r="L410" i="42"/>
  <c r="G409" i="55"/>
  <c r="N387" i="47"/>
  <c r="J387" i="47"/>
  <c r="G415" i="53"/>
  <c r="G411" i="42"/>
  <c r="O409" i="57"/>
  <c r="G409" i="57"/>
  <c r="I413" i="51"/>
  <c r="G410" i="56"/>
  <c r="D409" i="55"/>
  <c r="L408" i="55"/>
  <c r="B409" i="56" l="1"/>
  <c r="O409" i="56"/>
  <c r="L411" i="51"/>
  <c r="D412" i="51"/>
  <c r="O414" i="53"/>
  <c r="B414" i="53"/>
  <c r="E411" i="42"/>
  <c r="N411" i="42"/>
  <c r="L409" i="57"/>
  <c r="I410" i="57"/>
  <c r="O387" i="47"/>
  <c r="G387" i="47"/>
  <c r="I410" i="55"/>
  <c r="I412" i="42"/>
  <c r="J413" i="51"/>
  <c r="I411" i="56"/>
  <c r="E409" i="55"/>
  <c r="N409" i="55"/>
  <c r="I416" i="53"/>
  <c r="D410" i="56" l="1"/>
  <c r="L409" i="56"/>
  <c r="N412" i="51"/>
  <c r="E412" i="51"/>
  <c r="D415" i="53"/>
  <c r="L414" i="53"/>
  <c r="O411" i="42"/>
  <c r="B411" i="42"/>
  <c r="O409" i="55"/>
  <c r="B409" i="55"/>
  <c r="J412" i="42"/>
  <c r="N410" i="57"/>
  <c r="J410" i="57"/>
  <c r="J410" i="55"/>
  <c r="J411" i="56"/>
  <c r="J416" i="53"/>
  <c r="G413" i="51"/>
  <c r="L387" i="47"/>
  <c r="I388" i="47"/>
  <c r="E410" i="56" l="1"/>
  <c r="N410" i="56"/>
  <c r="B412" i="51"/>
  <c r="O412" i="51"/>
  <c r="E415" i="53"/>
  <c r="N415" i="53"/>
  <c r="D412" i="42"/>
  <c r="L411" i="42"/>
  <c r="G410" i="55"/>
  <c r="G416" i="53"/>
  <c r="I414" i="51"/>
  <c r="O410" i="57"/>
  <c r="G410" i="57"/>
  <c r="D410" i="55"/>
  <c r="L409" i="55"/>
  <c r="G412" i="42"/>
  <c r="N388" i="47"/>
  <c r="J388" i="47"/>
  <c r="G411" i="56"/>
  <c r="B410" i="56" l="1"/>
  <c r="O410" i="56"/>
  <c r="D413" i="51"/>
  <c r="L412" i="51"/>
  <c r="O415" i="53"/>
  <c r="B415" i="53"/>
  <c r="E412" i="42"/>
  <c r="N412" i="42"/>
  <c r="J414" i="51"/>
  <c r="O388" i="47"/>
  <c r="G388" i="47"/>
  <c r="E410" i="55"/>
  <c r="N410" i="55"/>
  <c r="I411" i="55"/>
  <c r="I417" i="53"/>
  <c r="I412" i="56"/>
  <c r="I413" i="42"/>
  <c r="I411" i="57"/>
  <c r="L410" i="57"/>
  <c r="D411" i="56" l="1"/>
  <c r="L410" i="56"/>
  <c r="N413" i="51"/>
  <c r="E413" i="51"/>
  <c r="D416" i="53"/>
  <c r="L415" i="53"/>
  <c r="B412" i="42"/>
  <c r="O412" i="42"/>
  <c r="N411" i="57"/>
  <c r="J411" i="57"/>
  <c r="J413" i="42"/>
  <c r="L388" i="47"/>
  <c r="I389" i="47"/>
  <c r="J417" i="53"/>
  <c r="O410" i="55"/>
  <c r="B410" i="55"/>
  <c r="J412" i="56"/>
  <c r="J411" i="55"/>
  <c r="G414" i="51"/>
  <c r="E411" i="56" l="1"/>
  <c r="N411" i="56"/>
  <c r="O413" i="51"/>
  <c r="B413" i="51"/>
  <c r="E416" i="53"/>
  <c r="N416" i="53"/>
  <c r="D413" i="42"/>
  <c r="L412" i="42"/>
  <c r="D411" i="55"/>
  <c r="L410" i="55"/>
  <c r="O411" i="57"/>
  <c r="G411" i="57"/>
  <c r="N389" i="47"/>
  <c r="J389" i="47"/>
  <c r="I415" i="51"/>
  <c r="G413" i="42"/>
  <c r="G411" i="55"/>
  <c r="G412" i="56"/>
  <c r="G417" i="53"/>
  <c r="O411" i="56" l="1"/>
  <c r="B411" i="56"/>
  <c r="D414" i="51"/>
  <c r="L413" i="51"/>
  <c r="O416" i="53"/>
  <c r="B416" i="53"/>
  <c r="E413" i="42"/>
  <c r="N413" i="42"/>
  <c r="I413" i="56"/>
  <c r="I414" i="42"/>
  <c r="J415" i="51"/>
  <c r="L411" i="57"/>
  <c r="I412" i="57"/>
  <c r="I418" i="53"/>
  <c r="E411" i="55"/>
  <c r="N411" i="55"/>
  <c r="I412" i="55"/>
  <c r="O389" i="47"/>
  <c r="G389" i="47"/>
  <c r="D412" i="56" l="1"/>
  <c r="L411" i="56"/>
  <c r="E414" i="51"/>
  <c r="N414" i="51"/>
  <c r="D417" i="53"/>
  <c r="L416" i="53"/>
  <c r="B413" i="42"/>
  <c r="O413" i="42"/>
  <c r="N412" i="57"/>
  <c r="J412" i="57"/>
  <c r="G415" i="51"/>
  <c r="L389" i="47"/>
  <c r="I390" i="47"/>
  <c r="J418" i="53"/>
  <c r="B411" i="55"/>
  <c r="O411" i="55"/>
  <c r="J414" i="42"/>
  <c r="J412" i="55"/>
  <c r="J413" i="56"/>
  <c r="E412" i="56" l="1"/>
  <c r="N412" i="56"/>
  <c r="O414" i="51"/>
  <c r="B414" i="51"/>
  <c r="E417" i="53"/>
  <c r="N417" i="53"/>
  <c r="D414" i="42"/>
  <c r="L413" i="42"/>
  <c r="G414" i="42"/>
  <c r="O412" i="57"/>
  <c r="G412" i="57"/>
  <c r="I416" i="51"/>
  <c r="G418" i="53"/>
  <c r="G412" i="55"/>
  <c r="N390" i="47"/>
  <c r="J390" i="47"/>
  <c r="D412" i="55"/>
  <c r="L411" i="55"/>
  <c r="G413" i="56"/>
  <c r="B412" i="56" l="1"/>
  <c r="O412" i="56"/>
  <c r="D415" i="51"/>
  <c r="L414" i="51"/>
  <c r="B417" i="53"/>
  <c r="O417" i="53"/>
  <c r="E414" i="42"/>
  <c r="N414" i="42"/>
  <c r="E412" i="55"/>
  <c r="N412" i="55"/>
  <c r="I413" i="55"/>
  <c r="O390" i="47"/>
  <c r="G390" i="47"/>
  <c r="I414" i="56"/>
  <c r="I415" i="42"/>
  <c r="J416" i="51"/>
  <c r="I413" i="57"/>
  <c r="L412" i="57"/>
  <c r="I419" i="53"/>
  <c r="L412" i="56" l="1"/>
  <c r="D413" i="56"/>
  <c r="E415" i="51"/>
  <c r="N415" i="51"/>
  <c r="D418" i="53"/>
  <c r="L417" i="53"/>
  <c r="B414" i="42"/>
  <c r="O414" i="42"/>
  <c r="N413" i="57"/>
  <c r="J413" i="57"/>
  <c r="L390" i="47"/>
  <c r="I391" i="47"/>
  <c r="J414" i="56"/>
  <c r="J419" i="53"/>
  <c r="J415" i="42"/>
  <c r="G416" i="51"/>
  <c r="J413" i="55"/>
  <c r="O412" i="55"/>
  <c r="B412" i="55"/>
  <c r="E413" i="56" l="1"/>
  <c r="N413" i="56"/>
  <c r="O415" i="51"/>
  <c r="B415" i="51"/>
  <c r="E418" i="53"/>
  <c r="N418" i="53"/>
  <c r="D415" i="42"/>
  <c r="L414" i="42"/>
  <c r="N391" i="47"/>
  <c r="J391" i="47"/>
  <c r="G413" i="55"/>
  <c r="D413" i="55"/>
  <c r="L412" i="55"/>
  <c r="G415" i="42"/>
  <c r="G414" i="56"/>
  <c r="I417" i="51"/>
  <c r="O413" i="57"/>
  <c r="G413" i="57"/>
  <c r="G419" i="53"/>
  <c r="O413" i="56" l="1"/>
  <c r="B413" i="56"/>
  <c r="L415" i="51"/>
  <c r="D416" i="51"/>
  <c r="B418" i="53"/>
  <c r="O418" i="53"/>
  <c r="E415" i="42"/>
  <c r="N415" i="42"/>
  <c r="I415" i="56"/>
  <c r="I416" i="42"/>
  <c r="J417" i="51"/>
  <c r="I420" i="53"/>
  <c r="O391" i="47"/>
  <c r="G391" i="47"/>
  <c r="E413" i="55"/>
  <c r="N413" i="55"/>
  <c r="I414" i="55"/>
  <c r="L413" i="57"/>
  <c r="I414" i="57"/>
  <c r="L413" i="56" l="1"/>
  <c r="D414" i="56"/>
  <c r="E416" i="51"/>
  <c r="N416" i="51"/>
  <c r="D419" i="53"/>
  <c r="L418" i="53"/>
  <c r="B415" i="42"/>
  <c r="O415" i="42"/>
  <c r="G417" i="51"/>
  <c r="N414" i="57"/>
  <c r="J414" i="57"/>
  <c r="J416" i="42"/>
  <c r="J414" i="55"/>
  <c r="J420" i="53"/>
  <c r="B413" i="55"/>
  <c r="O413" i="55"/>
  <c r="L391" i="47"/>
  <c r="I392" i="47"/>
  <c r="J415" i="56"/>
  <c r="E414" i="56" l="1"/>
  <c r="N414" i="56"/>
  <c r="B416" i="51"/>
  <c r="O416" i="51"/>
  <c r="E419" i="53"/>
  <c r="N419" i="53"/>
  <c r="D416" i="42"/>
  <c r="L415" i="42"/>
  <c r="D414" i="55"/>
  <c r="L413" i="55"/>
  <c r="O414" i="57"/>
  <c r="G414" i="57"/>
  <c r="G420" i="53"/>
  <c r="G414" i="55"/>
  <c r="I418" i="51"/>
  <c r="G415" i="56"/>
  <c r="N392" i="47"/>
  <c r="J392" i="47"/>
  <c r="G416" i="42"/>
  <c r="B414" i="56" l="1"/>
  <c r="O414" i="56"/>
  <c r="D417" i="51"/>
  <c r="L416" i="51"/>
  <c r="B419" i="53"/>
  <c r="O419" i="53"/>
  <c r="E416" i="42"/>
  <c r="N416" i="42"/>
  <c r="I415" i="57"/>
  <c r="L414" i="57"/>
  <c r="I416" i="56"/>
  <c r="I417" i="42"/>
  <c r="I415" i="55"/>
  <c r="J418" i="51"/>
  <c r="O392" i="47"/>
  <c r="G392" i="47"/>
  <c r="I421" i="53"/>
  <c r="E414" i="55"/>
  <c r="N414" i="55"/>
  <c r="D415" i="56" l="1"/>
  <c r="L414" i="56"/>
  <c r="N417" i="51"/>
  <c r="E417" i="51"/>
  <c r="D420" i="53"/>
  <c r="L419" i="53"/>
  <c r="B416" i="42"/>
  <c r="O416" i="42"/>
  <c r="L392" i="47"/>
  <c r="I393" i="47"/>
  <c r="J416" i="56"/>
  <c r="G418" i="51"/>
  <c r="J415" i="55"/>
  <c r="B414" i="55"/>
  <c r="O414" i="55"/>
  <c r="J421" i="53"/>
  <c r="N415" i="57"/>
  <c r="J415" i="57"/>
  <c r="J417" i="42"/>
  <c r="E415" i="56" l="1"/>
  <c r="N415" i="56"/>
  <c r="O417" i="51"/>
  <c r="B417" i="51"/>
  <c r="E420" i="53"/>
  <c r="N420" i="53"/>
  <c r="D417" i="42"/>
  <c r="L416" i="42"/>
  <c r="G416" i="56"/>
  <c r="I419" i="51"/>
  <c r="G421" i="53"/>
  <c r="N393" i="47"/>
  <c r="J393" i="47"/>
  <c r="O415" i="57"/>
  <c r="G415" i="57"/>
  <c r="D415" i="55"/>
  <c r="L414" i="55"/>
  <c r="G417" i="42"/>
  <c r="G415" i="55"/>
  <c r="B415" i="56" l="1"/>
  <c r="O415" i="56"/>
  <c r="D418" i="51"/>
  <c r="L417" i="51"/>
  <c r="B420" i="53"/>
  <c r="O420" i="53"/>
  <c r="E417" i="42"/>
  <c r="N417" i="42"/>
  <c r="I416" i="55"/>
  <c r="J419" i="51"/>
  <c r="E415" i="55"/>
  <c r="N415" i="55"/>
  <c r="I418" i="42"/>
  <c r="I417" i="56"/>
  <c r="I422" i="53"/>
  <c r="L415" i="57"/>
  <c r="I416" i="57"/>
  <c r="O393" i="47"/>
  <c r="G393" i="47"/>
  <c r="D416" i="56" l="1"/>
  <c r="L415" i="56"/>
  <c r="E418" i="51"/>
  <c r="N418" i="51"/>
  <c r="D421" i="53"/>
  <c r="L420" i="53"/>
  <c r="B417" i="42"/>
  <c r="O417" i="42"/>
  <c r="B415" i="55"/>
  <c r="O415" i="55"/>
  <c r="G419" i="51"/>
  <c r="L393" i="47"/>
  <c r="I394" i="47"/>
  <c r="J417" i="56"/>
  <c r="J418" i="42"/>
  <c r="J416" i="55"/>
  <c r="N416" i="57"/>
  <c r="J416" i="57"/>
  <c r="J422" i="53"/>
  <c r="E416" i="56" l="1"/>
  <c r="N416" i="56"/>
  <c r="B418" i="51"/>
  <c r="O418" i="51"/>
  <c r="E421" i="53"/>
  <c r="N421" i="53"/>
  <c r="D418" i="42"/>
  <c r="L417" i="42"/>
  <c r="G422" i="53"/>
  <c r="G418" i="42"/>
  <c r="N394" i="47"/>
  <c r="J394" i="47"/>
  <c r="G416" i="55"/>
  <c r="O416" i="57"/>
  <c r="G416" i="57"/>
  <c r="I420" i="51"/>
  <c r="G417" i="56"/>
  <c r="D416" i="55"/>
  <c r="L415" i="55"/>
  <c r="B416" i="56" l="1"/>
  <c r="O416" i="56"/>
  <c r="D419" i="51"/>
  <c r="L418" i="51"/>
  <c r="B421" i="53"/>
  <c r="O421" i="53"/>
  <c r="E418" i="42"/>
  <c r="N418" i="42"/>
  <c r="O394" i="47"/>
  <c r="G394" i="47"/>
  <c r="I419" i="42"/>
  <c r="I417" i="57"/>
  <c r="L416" i="57"/>
  <c r="E416" i="55"/>
  <c r="N416" i="55"/>
  <c r="I417" i="55"/>
  <c r="I423" i="53"/>
  <c r="J420" i="51"/>
  <c r="X188" i="51"/>
  <c r="I418" i="56"/>
  <c r="D417" i="56" l="1"/>
  <c r="L416" i="56"/>
  <c r="E419" i="51"/>
  <c r="N419" i="51"/>
  <c r="D422" i="53"/>
  <c r="L421" i="53"/>
  <c r="B418" i="42"/>
  <c r="O418" i="42"/>
  <c r="J419" i="42"/>
  <c r="X187" i="42"/>
  <c r="Y188" i="51"/>
  <c r="G420" i="51"/>
  <c r="J418" i="56"/>
  <c r="X186" i="56"/>
  <c r="O416" i="55"/>
  <c r="B416" i="55"/>
  <c r="J417" i="55"/>
  <c r="X185" i="55"/>
  <c r="L394" i="47"/>
  <c r="I395" i="47"/>
  <c r="N417" i="57"/>
  <c r="J417" i="57"/>
  <c r="X185" i="57"/>
  <c r="AC185" i="57" s="1"/>
  <c r="J423" i="53"/>
  <c r="X191" i="53"/>
  <c r="E417" i="56" l="1"/>
  <c r="N417" i="56"/>
  <c r="B419" i="51"/>
  <c r="O419" i="51"/>
  <c r="E422" i="53"/>
  <c r="N422" i="53"/>
  <c r="D419" i="42"/>
  <c r="L418" i="42"/>
  <c r="Y185" i="55"/>
  <c r="G417" i="55"/>
  <c r="Y186" i="56"/>
  <c r="G418" i="56"/>
  <c r="D417" i="55"/>
  <c r="L416" i="55"/>
  <c r="I421" i="51"/>
  <c r="V188" i="51"/>
  <c r="O417" i="57"/>
  <c r="Y185" i="57"/>
  <c r="AD185" i="57" s="1"/>
  <c r="G417" i="57"/>
  <c r="Y187" i="42"/>
  <c r="G419" i="42"/>
  <c r="Y191" i="53"/>
  <c r="G423" i="53"/>
  <c r="N395" i="47"/>
  <c r="J395" i="47"/>
  <c r="O417" i="56" l="1"/>
  <c r="B417" i="56"/>
  <c r="L419" i="51"/>
  <c r="D420" i="51"/>
  <c r="B422" i="53"/>
  <c r="O422" i="53"/>
  <c r="E419" i="42"/>
  <c r="S187" i="42"/>
  <c r="AC187" i="42" s="1"/>
  <c r="N419" i="42"/>
  <c r="E417" i="55"/>
  <c r="S185" i="55"/>
  <c r="AC185" i="55" s="1"/>
  <c r="N417" i="55"/>
  <c r="I424" i="53"/>
  <c r="V191" i="53"/>
  <c r="I419" i="56"/>
  <c r="V186" i="56"/>
  <c r="V185" i="57"/>
  <c r="AA185" i="57" s="1"/>
  <c r="L417" i="57"/>
  <c r="I418" i="57"/>
  <c r="O395" i="47"/>
  <c r="G395" i="47"/>
  <c r="V187" i="42"/>
  <c r="I420" i="42"/>
  <c r="V185" i="55"/>
  <c r="I418" i="55"/>
  <c r="J421" i="51"/>
  <c r="D418" i="56" l="1"/>
  <c r="L417" i="56"/>
  <c r="S188" i="51"/>
  <c r="AC188" i="51" s="1"/>
  <c r="N420" i="51"/>
  <c r="E420" i="51"/>
  <c r="D423" i="53"/>
  <c r="L422" i="53"/>
  <c r="T187" i="42"/>
  <c r="AD187" i="42" s="1"/>
  <c r="O419" i="42"/>
  <c r="B419" i="42"/>
  <c r="J424" i="53"/>
  <c r="J420" i="42"/>
  <c r="N418" i="57"/>
  <c r="J418" i="57"/>
  <c r="G421" i="51"/>
  <c r="J418" i="55"/>
  <c r="L395" i="47"/>
  <c r="I396" i="47"/>
  <c r="J419" i="56"/>
  <c r="T185" i="55"/>
  <c r="AD185" i="55" s="1"/>
  <c r="O417" i="55"/>
  <c r="B417" i="55"/>
  <c r="N418" i="56" l="1"/>
  <c r="E418" i="56"/>
  <c r="S186" i="56"/>
  <c r="AC186" i="56" s="1"/>
  <c r="O420" i="51"/>
  <c r="B420" i="51"/>
  <c r="T188" i="51"/>
  <c r="AD188" i="51" s="1"/>
  <c r="E423" i="53"/>
  <c r="S191" i="53"/>
  <c r="AC191" i="53" s="1"/>
  <c r="N423" i="53"/>
  <c r="D420" i="42"/>
  <c r="Q187" i="42"/>
  <c r="AA187" i="42" s="1"/>
  <c r="L419" i="42"/>
  <c r="I422" i="51"/>
  <c r="N396" i="47"/>
  <c r="J396" i="47"/>
  <c r="X164" i="47"/>
  <c r="AC164" i="47" s="1"/>
  <c r="G424" i="53"/>
  <c r="Q185" i="55"/>
  <c r="AA185" i="55" s="1"/>
  <c r="D418" i="55"/>
  <c r="L417" i="55"/>
  <c r="G420" i="42"/>
  <c r="O418" i="57"/>
  <c r="G418" i="57"/>
  <c r="G418" i="55"/>
  <c r="G419" i="56"/>
  <c r="O418" i="56" l="1"/>
  <c r="B418" i="56"/>
  <c r="T186" i="56"/>
  <c r="AD186" i="56" s="1"/>
  <c r="L420" i="51"/>
  <c r="Q188" i="51"/>
  <c r="AA188" i="51" s="1"/>
  <c r="D421" i="51"/>
  <c r="T191" i="53"/>
  <c r="AD191" i="53" s="1"/>
  <c r="O423" i="53"/>
  <c r="B423" i="53"/>
  <c r="E420" i="42"/>
  <c r="N420" i="42"/>
  <c r="O396" i="47"/>
  <c r="Y164" i="47"/>
  <c r="AD164" i="47" s="1"/>
  <c r="G396" i="47"/>
  <c r="I421" i="42"/>
  <c r="E418" i="55"/>
  <c r="N418" i="55"/>
  <c r="I420" i="56"/>
  <c r="L418" i="57"/>
  <c r="I419" i="57"/>
  <c r="I425" i="53"/>
  <c r="I419" i="55"/>
  <c r="J422" i="51"/>
  <c r="Q186" i="56" l="1"/>
  <c r="AA186" i="56" s="1"/>
  <c r="D419" i="56"/>
  <c r="L418" i="56"/>
  <c r="E421" i="51"/>
  <c r="N421" i="51"/>
  <c r="Q191" i="53"/>
  <c r="AA191" i="53" s="1"/>
  <c r="D424" i="53"/>
  <c r="L423" i="53"/>
  <c r="B420" i="42"/>
  <c r="O420" i="42"/>
  <c r="J425" i="53"/>
  <c r="V164" i="47"/>
  <c r="AA164" i="47" s="1"/>
  <c r="L396" i="47"/>
  <c r="I397" i="47"/>
  <c r="B418" i="55"/>
  <c r="O418" i="55"/>
  <c r="J421" i="42"/>
  <c r="G422" i="51"/>
  <c r="J420" i="56"/>
  <c r="J419" i="55"/>
  <c r="N419" i="57"/>
  <c r="J419" i="57"/>
  <c r="E419" i="56" l="1"/>
  <c r="N419" i="56"/>
  <c r="B421" i="51"/>
  <c r="O421" i="51"/>
  <c r="E424" i="53"/>
  <c r="N424" i="53"/>
  <c r="D421" i="42"/>
  <c r="L420" i="42"/>
  <c r="I423" i="51"/>
  <c r="N397" i="47"/>
  <c r="J397" i="47"/>
  <c r="O419" i="57"/>
  <c r="G419" i="57"/>
  <c r="G420" i="56"/>
  <c r="G425" i="53"/>
  <c r="G419" i="55"/>
  <c r="G421" i="42"/>
  <c r="D419" i="55"/>
  <c r="L418" i="55"/>
  <c r="B419" i="56" l="1"/>
  <c r="O419" i="56"/>
  <c r="D422" i="51"/>
  <c r="L421" i="51"/>
  <c r="O424" i="53"/>
  <c r="B424" i="53"/>
  <c r="E421" i="42"/>
  <c r="N421" i="42"/>
  <c r="I422" i="42"/>
  <c r="I426" i="53"/>
  <c r="O397" i="47"/>
  <c r="G397" i="47"/>
  <c r="I420" i="55"/>
  <c r="I421" i="56"/>
  <c r="J423" i="51"/>
  <c r="E419" i="55"/>
  <c r="N419" i="55"/>
  <c r="L419" i="57"/>
  <c r="I420" i="57"/>
  <c r="D420" i="56" l="1"/>
  <c r="L419" i="56"/>
  <c r="N422" i="51"/>
  <c r="E422" i="51"/>
  <c r="D425" i="53"/>
  <c r="L424" i="53"/>
  <c r="B421" i="42"/>
  <c r="O421" i="42"/>
  <c r="J426" i="53"/>
  <c r="B419" i="55"/>
  <c r="O419" i="55"/>
  <c r="J420" i="55"/>
  <c r="J421" i="56"/>
  <c r="N420" i="57"/>
  <c r="J420" i="57"/>
  <c r="G423" i="51"/>
  <c r="L397" i="47"/>
  <c r="I398" i="47"/>
  <c r="J422" i="42"/>
  <c r="E420" i="56" l="1"/>
  <c r="N420" i="56"/>
  <c r="O422" i="51"/>
  <c r="B422" i="51"/>
  <c r="E425" i="53"/>
  <c r="N425" i="53"/>
  <c r="D422" i="42"/>
  <c r="L421" i="42"/>
  <c r="G420" i="55"/>
  <c r="G421" i="56"/>
  <c r="N398" i="47"/>
  <c r="J398" i="47"/>
  <c r="D420" i="55"/>
  <c r="L419" i="55"/>
  <c r="G426" i="53"/>
  <c r="I424" i="51"/>
  <c r="G422" i="42"/>
  <c r="O420" i="57"/>
  <c r="G420" i="57"/>
  <c r="B420" i="56" l="1"/>
  <c r="O420" i="56"/>
  <c r="L422" i="51"/>
  <c r="D423" i="51"/>
  <c r="O425" i="53"/>
  <c r="B425" i="53"/>
  <c r="E422" i="42"/>
  <c r="N422" i="42"/>
  <c r="O398" i="47"/>
  <c r="G398" i="47"/>
  <c r="J424" i="51"/>
  <c r="I421" i="55"/>
  <c r="I427" i="53"/>
  <c r="E420" i="55"/>
  <c r="N420" i="55"/>
  <c r="I423" i="42"/>
  <c r="I422" i="56"/>
  <c r="I421" i="57"/>
  <c r="L420" i="57"/>
  <c r="D421" i="56" l="1"/>
  <c r="L420" i="56"/>
  <c r="E423" i="51"/>
  <c r="N423" i="51"/>
  <c r="D426" i="53"/>
  <c r="L425" i="53"/>
  <c r="B422" i="42"/>
  <c r="O422" i="42"/>
  <c r="L398" i="47"/>
  <c r="I399" i="47"/>
  <c r="J422" i="56"/>
  <c r="J423" i="42"/>
  <c r="J421" i="55"/>
  <c r="O420" i="55"/>
  <c r="B420" i="55"/>
  <c r="J427" i="53"/>
  <c r="G424" i="51"/>
  <c r="N421" i="57"/>
  <c r="J421" i="57"/>
  <c r="E421" i="56" l="1"/>
  <c r="N421" i="56"/>
  <c r="B423" i="51"/>
  <c r="O423" i="51"/>
  <c r="E426" i="53"/>
  <c r="N426" i="53"/>
  <c r="D423" i="42"/>
  <c r="L422" i="42"/>
  <c r="I425" i="51"/>
  <c r="G422" i="56"/>
  <c r="G421" i="55"/>
  <c r="N399" i="47"/>
  <c r="J399" i="47"/>
  <c r="G423" i="42"/>
  <c r="O421" i="57"/>
  <c r="G421" i="57"/>
  <c r="D421" i="55"/>
  <c r="L420" i="55"/>
  <c r="G427" i="53"/>
  <c r="B421" i="56" l="1"/>
  <c r="O421" i="56"/>
  <c r="D424" i="51"/>
  <c r="L423" i="51"/>
  <c r="O426" i="53"/>
  <c r="B426" i="53"/>
  <c r="E423" i="42"/>
  <c r="N423" i="42"/>
  <c r="E421" i="55"/>
  <c r="N421" i="55"/>
  <c r="O399" i="47"/>
  <c r="G399" i="47"/>
  <c r="L421" i="57"/>
  <c r="I422" i="57"/>
  <c r="I424" i="42"/>
  <c r="J425" i="51"/>
  <c r="I423" i="56"/>
  <c r="I422" i="55"/>
  <c r="I428" i="53"/>
  <c r="D422" i="56" l="1"/>
  <c r="L421" i="56"/>
  <c r="N424" i="51"/>
  <c r="E424" i="51"/>
  <c r="D427" i="53"/>
  <c r="L426" i="53"/>
  <c r="O423" i="42"/>
  <c r="B423" i="42"/>
  <c r="J424" i="42"/>
  <c r="J423" i="56"/>
  <c r="J422" i="55"/>
  <c r="N422" i="57"/>
  <c r="J422" i="57"/>
  <c r="J428" i="53"/>
  <c r="G425" i="51"/>
  <c r="L399" i="47"/>
  <c r="I400" i="47"/>
  <c r="O421" i="55"/>
  <c r="B421" i="55"/>
  <c r="N422" i="56" l="1"/>
  <c r="E422" i="56"/>
  <c r="O424" i="51"/>
  <c r="B424" i="51"/>
  <c r="E427" i="53"/>
  <c r="N427" i="53"/>
  <c r="D424" i="42"/>
  <c r="L423" i="42"/>
  <c r="N400" i="47"/>
  <c r="J400" i="47"/>
  <c r="I426" i="51"/>
  <c r="G423" i="56"/>
  <c r="O422" i="57"/>
  <c r="G422" i="57"/>
  <c r="G422" i="55"/>
  <c r="G424" i="42"/>
  <c r="D422" i="55"/>
  <c r="L421" i="55"/>
  <c r="G428" i="53"/>
  <c r="B422" i="56" l="1"/>
  <c r="O422" i="56"/>
  <c r="D425" i="51"/>
  <c r="L424" i="51"/>
  <c r="O427" i="53"/>
  <c r="B427" i="53"/>
  <c r="E424" i="42"/>
  <c r="N424" i="42"/>
  <c r="I425" i="42"/>
  <c r="E422" i="55"/>
  <c r="N422" i="55"/>
  <c r="I429" i="53"/>
  <c r="I423" i="57"/>
  <c r="L422" i="57"/>
  <c r="I424" i="56"/>
  <c r="I423" i="55"/>
  <c r="O400" i="47"/>
  <c r="G400" i="47"/>
  <c r="J426" i="51"/>
  <c r="D423" i="56" l="1"/>
  <c r="L422" i="56"/>
  <c r="N425" i="51"/>
  <c r="E425" i="51"/>
  <c r="D428" i="53"/>
  <c r="L427" i="53"/>
  <c r="B424" i="42"/>
  <c r="O424" i="42"/>
  <c r="B422" i="55"/>
  <c r="O422" i="55"/>
  <c r="J425" i="42"/>
  <c r="L400" i="47"/>
  <c r="I401" i="47"/>
  <c r="J423" i="55"/>
  <c r="J429" i="53"/>
  <c r="G426" i="51"/>
  <c r="J424" i="56"/>
  <c r="N423" i="57"/>
  <c r="J423" i="57"/>
  <c r="E423" i="56" l="1"/>
  <c r="N423" i="56"/>
  <c r="B425" i="51"/>
  <c r="O425" i="51"/>
  <c r="E428" i="53"/>
  <c r="N428" i="53"/>
  <c r="D425" i="42"/>
  <c r="L424" i="42"/>
  <c r="G425" i="42"/>
  <c r="N401" i="47"/>
  <c r="J401" i="47"/>
  <c r="G424" i="56"/>
  <c r="I427" i="51"/>
  <c r="G423" i="55"/>
  <c r="D423" i="55"/>
  <c r="L422" i="55"/>
  <c r="O423" i="57"/>
  <c r="G423" i="57"/>
  <c r="G429" i="53"/>
  <c r="O423" i="56" l="1"/>
  <c r="B423" i="56"/>
  <c r="D426" i="51"/>
  <c r="L425" i="51"/>
  <c r="O428" i="53"/>
  <c r="B428" i="53"/>
  <c r="E425" i="42"/>
  <c r="N425" i="42"/>
  <c r="E423" i="55"/>
  <c r="N423" i="55"/>
  <c r="I425" i="56"/>
  <c r="O401" i="47"/>
  <c r="G401" i="47"/>
  <c r="J427" i="51"/>
  <c r="I426" i="42"/>
  <c r="I424" i="55"/>
  <c r="I430" i="53"/>
  <c r="L423" i="57"/>
  <c r="I424" i="57"/>
  <c r="L423" i="56" l="1"/>
  <c r="D424" i="56"/>
  <c r="E426" i="51"/>
  <c r="N426" i="51"/>
  <c r="D429" i="53"/>
  <c r="L428" i="53"/>
  <c r="B425" i="42"/>
  <c r="O425" i="42"/>
  <c r="N424" i="57"/>
  <c r="J424" i="57"/>
  <c r="J426" i="42"/>
  <c r="J425" i="56"/>
  <c r="J430" i="53"/>
  <c r="G427" i="51"/>
  <c r="J424" i="55"/>
  <c r="L401" i="47"/>
  <c r="I402" i="47"/>
  <c r="B423" i="55"/>
  <c r="O423" i="55"/>
  <c r="E424" i="56" l="1"/>
  <c r="N424" i="56"/>
  <c r="O426" i="51"/>
  <c r="B426" i="51"/>
  <c r="E429" i="53"/>
  <c r="N429" i="53"/>
  <c r="D426" i="42"/>
  <c r="L425" i="42"/>
  <c r="D424" i="55"/>
  <c r="L423" i="55"/>
  <c r="N402" i="47"/>
  <c r="J402" i="47"/>
  <c r="G425" i="56"/>
  <c r="G426" i="42"/>
  <c r="I428" i="51"/>
  <c r="O424" i="57"/>
  <c r="G424" i="57"/>
  <c r="G430" i="53"/>
  <c r="G424" i="55"/>
  <c r="B424" i="56" l="1"/>
  <c r="O424" i="56"/>
  <c r="D427" i="51"/>
  <c r="L426" i="51"/>
  <c r="B429" i="53"/>
  <c r="O429" i="53"/>
  <c r="E426" i="42"/>
  <c r="N426" i="42"/>
  <c r="I425" i="57"/>
  <c r="L424" i="57"/>
  <c r="I425" i="55"/>
  <c r="I427" i="42"/>
  <c r="O402" i="47"/>
  <c r="G402" i="47"/>
  <c r="E424" i="55"/>
  <c r="N424" i="55"/>
  <c r="J428" i="51"/>
  <c r="I431" i="53"/>
  <c r="I426" i="56"/>
  <c r="D425" i="56" l="1"/>
  <c r="L424" i="56"/>
  <c r="E427" i="51"/>
  <c r="N427" i="51"/>
  <c r="D430" i="53"/>
  <c r="L429" i="53"/>
  <c r="B426" i="42"/>
  <c r="O426" i="42"/>
  <c r="O424" i="55"/>
  <c r="B424" i="55"/>
  <c r="L402" i="47"/>
  <c r="I403" i="47"/>
  <c r="G428" i="51"/>
  <c r="J425" i="55"/>
  <c r="N425" i="57"/>
  <c r="J425" i="57"/>
  <c r="J426" i="56"/>
  <c r="J431" i="53"/>
  <c r="J427" i="42"/>
  <c r="N425" i="56" l="1"/>
  <c r="E425" i="56"/>
  <c r="O427" i="51"/>
  <c r="B427" i="51"/>
  <c r="E430" i="53"/>
  <c r="N430" i="53"/>
  <c r="D427" i="42"/>
  <c r="L426" i="42"/>
  <c r="O425" i="57"/>
  <c r="G425" i="57"/>
  <c r="N403" i="47"/>
  <c r="J403" i="47"/>
  <c r="G427" i="42"/>
  <c r="G425" i="55"/>
  <c r="G431" i="53"/>
  <c r="I429" i="51"/>
  <c r="D425" i="55"/>
  <c r="L424" i="55"/>
  <c r="G426" i="56"/>
  <c r="B425" i="56" l="1"/>
  <c r="O425" i="56"/>
  <c r="L427" i="51"/>
  <c r="D428" i="51"/>
  <c r="B430" i="53"/>
  <c r="O430" i="53"/>
  <c r="E427" i="42"/>
  <c r="N427" i="42"/>
  <c r="I426" i="55"/>
  <c r="O403" i="47"/>
  <c r="G403" i="47"/>
  <c r="I427" i="56"/>
  <c r="I432" i="53"/>
  <c r="L425" i="57"/>
  <c r="I426" i="57"/>
  <c r="E425" i="55"/>
  <c r="N425" i="55"/>
  <c r="I428" i="42"/>
  <c r="J429" i="51"/>
  <c r="D426" i="56" l="1"/>
  <c r="L425" i="56"/>
  <c r="E428" i="51"/>
  <c r="N428" i="51"/>
  <c r="D431" i="53"/>
  <c r="L430" i="53"/>
  <c r="B427" i="42"/>
  <c r="O427" i="42"/>
  <c r="J427" i="56"/>
  <c r="L403" i="47"/>
  <c r="I404" i="47"/>
  <c r="J426" i="55"/>
  <c r="J428" i="42"/>
  <c r="N426" i="57"/>
  <c r="J426" i="57"/>
  <c r="G429" i="51"/>
  <c r="J432" i="53"/>
  <c r="O425" i="55"/>
  <c r="B425" i="55"/>
  <c r="E426" i="56" l="1"/>
  <c r="N426" i="56"/>
  <c r="B428" i="51"/>
  <c r="O428" i="51"/>
  <c r="E431" i="53"/>
  <c r="N431" i="53"/>
  <c r="D428" i="42"/>
  <c r="L427" i="42"/>
  <c r="I430" i="51"/>
  <c r="N404" i="47"/>
  <c r="J404" i="47"/>
  <c r="O426" i="57"/>
  <c r="G426" i="57"/>
  <c r="G428" i="42"/>
  <c r="G432" i="53"/>
  <c r="G426" i="55"/>
  <c r="G427" i="56"/>
  <c r="D426" i="55"/>
  <c r="L425" i="55"/>
  <c r="B426" i="56" l="1"/>
  <c r="O426" i="56"/>
  <c r="D429" i="51"/>
  <c r="L428" i="51"/>
  <c r="B431" i="53"/>
  <c r="O431" i="53"/>
  <c r="E428" i="42"/>
  <c r="N428" i="42"/>
  <c r="O404" i="47"/>
  <c r="G404" i="47"/>
  <c r="I427" i="55"/>
  <c r="E426" i="55"/>
  <c r="N426" i="55"/>
  <c r="I427" i="57"/>
  <c r="L426" i="57"/>
  <c r="I433" i="53"/>
  <c r="I428" i="56"/>
  <c r="I429" i="42"/>
  <c r="J430" i="51"/>
  <c r="D427" i="56" l="1"/>
  <c r="L426" i="56"/>
  <c r="N429" i="51"/>
  <c r="E429" i="51"/>
  <c r="D432" i="53"/>
  <c r="L431" i="53"/>
  <c r="B428" i="42"/>
  <c r="O428" i="42"/>
  <c r="G430" i="51"/>
  <c r="B426" i="55"/>
  <c r="O426" i="55"/>
  <c r="J428" i="56"/>
  <c r="J429" i="42"/>
  <c r="J427" i="55"/>
  <c r="N427" i="57"/>
  <c r="J427" i="57"/>
  <c r="L404" i="47"/>
  <c r="I405" i="47"/>
  <c r="J433" i="53"/>
  <c r="N427" i="56" l="1"/>
  <c r="E427" i="56"/>
  <c r="O429" i="51"/>
  <c r="B429" i="51"/>
  <c r="E432" i="53"/>
  <c r="N432" i="53"/>
  <c r="D429" i="42"/>
  <c r="L428" i="42"/>
  <c r="G429" i="42"/>
  <c r="D427" i="55"/>
  <c r="L426" i="55"/>
  <c r="N405" i="47"/>
  <c r="J405" i="47"/>
  <c r="G428" i="56"/>
  <c r="O427" i="57"/>
  <c r="G427" i="57"/>
  <c r="G427" i="55"/>
  <c r="I431" i="51"/>
  <c r="G433" i="53"/>
  <c r="B427" i="56" l="1"/>
  <c r="O427" i="56"/>
  <c r="D430" i="51"/>
  <c r="L429" i="51"/>
  <c r="B432" i="53"/>
  <c r="O432" i="53"/>
  <c r="E429" i="42"/>
  <c r="N429" i="42"/>
  <c r="I428" i="55"/>
  <c r="O405" i="47"/>
  <c r="G405" i="47"/>
  <c r="L427" i="57"/>
  <c r="I428" i="57"/>
  <c r="E427" i="55"/>
  <c r="N427" i="55"/>
  <c r="I434" i="53"/>
  <c r="I430" i="42"/>
  <c r="J431" i="51"/>
  <c r="I429" i="56"/>
  <c r="D428" i="56" l="1"/>
  <c r="L427" i="56"/>
  <c r="E430" i="51"/>
  <c r="N430" i="51"/>
  <c r="D433" i="53"/>
  <c r="L432" i="53"/>
  <c r="B429" i="42"/>
  <c r="O429" i="42"/>
  <c r="G431" i="51"/>
  <c r="J430" i="42"/>
  <c r="L405" i="47"/>
  <c r="I406" i="47"/>
  <c r="J428" i="55"/>
  <c r="N428" i="57"/>
  <c r="J428" i="57"/>
  <c r="J429" i="56"/>
  <c r="J434" i="53"/>
  <c r="B427" i="55"/>
  <c r="O427" i="55"/>
  <c r="E428" i="56" l="1"/>
  <c r="N428" i="56"/>
  <c r="O430" i="51"/>
  <c r="B430" i="51"/>
  <c r="E433" i="53"/>
  <c r="N433" i="53"/>
  <c r="D430" i="42"/>
  <c r="L429" i="42"/>
  <c r="N406" i="47"/>
  <c r="J406" i="47"/>
  <c r="G429" i="56"/>
  <c r="O428" i="57"/>
  <c r="G428" i="57"/>
  <c r="G430" i="42"/>
  <c r="I432" i="51"/>
  <c r="G434" i="53"/>
  <c r="D428" i="55"/>
  <c r="L427" i="55"/>
  <c r="G428" i="55"/>
  <c r="B428" i="56" l="1"/>
  <c r="O428" i="56"/>
  <c r="D431" i="51"/>
  <c r="L430" i="51"/>
  <c r="B433" i="53"/>
  <c r="O433" i="53"/>
  <c r="E430" i="42"/>
  <c r="N430" i="42"/>
  <c r="I435" i="53"/>
  <c r="I429" i="57"/>
  <c r="L428" i="57"/>
  <c r="I429" i="55"/>
  <c r="I430" i="56"/>
  <c r="I431" i="42"/>
  <c r="O406" i="47"/>
  <c r="G406" i="47"/>
  <c r="J432" i="51"/>
  <c r="X189" i="51"/>
  <c r="E428" i="55"/>
  <c r="N428" i="55"/>
  <c r="D429" i="56" l="1"/>
  <c r="L428" i="56"/>
  <c r="N431" i="51"/>
  <c r="E431" i="51"/>
  <c r="D434" i="53"/>
  <c r="L433" i="53"/>
  <c r="B430" i="42"/>
  <c r="O430" i="42"/>
  <c r="J429" i="55"/>
  <c r="X186" i="55"/>
  <c r="Y189" i="51"/>
  <c r="G432" i="51"/>
  <c r="O428" i="55"/>
  <c r="B428" i="55"/>
  <c r="L406" i="47"/>
  <c r="I407" i="47"/>
  <c r="J430" i="56"/>
  <c r="X187" i="56"/>
  <c r="J435" i="53"/>
  <c r="X192" i="53"/>
  <c r="N429" i="57"/>
  <c r="J429" i="57"/>
  <c r="X186" i="57"/>
  <c r="AC186" i="57" s="1"/>
  <c r="J431" i="42"/>
  <c r="X188" i="42"/>
  <c r="N429" i="56" l="1"/>
  <c r="E429" i="56"/>
  <c r="O431" i="51"/>
  <c r="B431" i="51"/>
  <c r="E434" i="53"/>
  <c r="N434" i="53"/>
  <c r="D431" i="42"/>
  <c r="L430" i="42"/>
  <c r="Y187" i="56"/>
  <c r="G430" i="56"/>
  <c r="N407" i="47"/>
  <c r="J407" i="47"/>
  <c r="D429" i="55"/>
  <c r="L428" i="55"/>
  <c r="O429" i="57"/>
  <c r="Y186" i="57"/>
  <c r="AD186" i="57" s="1"/>
  <c r="G429" i="57"/>
  <c r="Y186" i="55"/>
  <c r="G429" i="55"/>
  <c r="I433" i="51"/>
  <c r="V189" i="51"/>
  <c r="Y192" i="53"/>
  <c r="G435" i="53"/>
  <c r="Y188" i="42"/>
  <c r="G431" i="42"/>
  <c r="O429" i="56" l="1"/>
  <c r="B429" i="56"/>
  <c r="D432" i="51"/>
  <c r="L431" i="51"/>
  <c r="B434" i="53"/>
  <c r="O434" i="53"/>
  <c r="E431" i="42"/>
  <c r="S188" i="42"/>
  <c r="AC188" i="42" s="1"/>
  <c r="N431" i="42"/>
  <c r="V186" i="57"/>
  <c r="AA186" i="57" s="1"/>
  <c r="L429" i="57"/>
  <c r="I430" i="57"/>
  <c r="V188" i="42"/>
  <c r="I432" i="42"/>
  <c r="I436" i="53"/>
  <c r="V192" i="53"/>
  <c r="J433" i="51"/>
  <c r="O407" i="47"/>
  <c r="G407" i="47"/>
  <c r="I431" i="56"/>
  <c r="V187" i="56"/>
  <c r="V186" i="55"/>
  <c r="I430" i="55"/>
  <c r="E429" i="55"/>
  <c r="S186" i="55"/>
  <c r="AC186" i="55" s="1"/>
  <c r="N429" i="55"/>
  <c r="D430" i="56" l="1"/>
  <c r="L429" i="56"/>
  <c r="E432" i="51"/>
  <c r="S189" i="51"/>
  <c r="AC189" i="51" s="1"/>
  <c r="N432" i="51"/>
  <c r="D435" i="53"/>
  <c r="L434" i="53"/>
  <c r="T188" i="42"/>
  <c r="AD188" i="42" s="1"/>
  <c r="O431" i="42"/>
  <c r="B431" i="42"/>
  <c r="J432" i="42"/>
  <c r="G433" i="51"/>
  <c r="N430" i="57"/>
  <c r="J430" i="57"/>
  <c r="J431" i="56"/>
  <c r="J436" i="53"/>
  <c r="T186" i="55"/>
  <c r="AD186" i="55" s="1"/>
  <c r="B429" i="55"/>
  <c r="O429" i="55"/>
  <c r="J430" i="55"/>
  <c r="L407" i="47"/>
  <c r="I408" i="47"/>
  <c r="N430" i="56" l="1"/>
  <c r="E430" i="56"/>
  <c r="S187" i="56"/>
  <c r="AC187" i="56" s="1"/>
  <c r="T189" i="51"/>
  <c r="AD189" i="51" s="1"/>
  <c r="O432" i="51"/>
  <c r="B432" i="51"/>
  <c r="E435" i="53"/>
  <c r="S192" i="53"/>
  <c r="AC192" i="53" s="1"/>
  <c r="N435" i="53"/>
  <c r="D432" i="42"/>
  <c r="Q188" i="42"/>
  <c r="AA188" i="42" s="1"/>
  <c r="L431" i="42"/>
  <c r="G431" i="56"/>
  <c r="N408" i="47"/>
  <c r="J408" i="47"/>
  <c r="X165" i="47"/>
  <c r="AC165" i="47" s="1"/>
  <c r="G432" i="42"/>
  <c r="D430" i="55"/>
  <c r="Q186" i="55"/>
  <c r="AA186" i="55" s="1"/>
  <c r="L429" i="55"/>
  <c r="G436" i="53"/>
  <c r="I434" i="51"/>
  <c r="O430" i="57"/>
  <c r="G430" i="57"/>
  <c r="G430" i="55"/>
  <c r="B430" i="56" l="1"/>
  <c r="O430" i="56"/>
  <c r="T187" i="56"/>
  <c r="AD187" i="56" s="1"/>
  <c r="L432" i="51"/>
  <c r="Q189" i="51"/>
  <c r="AA189" i="51" s="1"/>
  <c r="D433" i="51"/>
  <c r="T192" i="53"/>
  <c r="AD192" i="53" s="1"/>
  <c r="O435" i="53"/>
  <c r="B435" i="53"/>
  <c r="E432" i="42"/>
  <c r="N432" i="42"/>
  <c r="O408" i="47"/>
  <c r="Y165" i="47"/>
  <c r="AD165" i="47" s="1"/>
  <c r="G408" i="47"/>
  <c r="I437" i="53"/>
  <c r="I432" i="56"/>
  <c r="I431" i="55"/>
  <c r="J434" i="51"/>
  <c r="E430" i="55"/>
  <c r="N430" i="55"/>
  <c r="I431" i="57"/>
  <c r="L430" i="57"/>
  <c r="I433" i="42"/>
  <c r="Q187" i="56" l="1"/>
  <c r="AA187" i="56" s="1"/>
  <c r="D431" i="56"/>
  <c r="L430" i="56"/>
  <c r="E433" i="51"/>
  <c r="N433" i="51"/>
  <c r="Q192" i="53"/>
  <c r="AA192" i="53" s="1"/>
  <c r="D436" i="53"/>
  <c r="L435" i="53"/>
  <c r="O432" i="42"/>
  <c r="B432" i="42"/>
  <c r="J437" i="53"/>
  <c r="J431" i="55"/>
  <c r="B430" i="55"/>
  <c r="O430" i="55"/>
  <c r="J432" i="56"/>
  <c r="N431" i="57"/>
  <c r="J431" i="57"/>
  <c r="V165" i="47"/>
  <c r="AA165" i="47" s="1"/>
  <c r="L408" i="47"/>
  <c r="I409" i="47"/>
  <c r="J433" i="42"/>
  <c r="G434" i="51"/>
  <c r="E431" i="56" l="1"/>
  <c r="N431" i="56"/>
  <c r="O433" i="51"/>
  <c r="B433" i="51"/>
  <c r="E436" i="53"/>
  <c r="N436" i="53"/>
  <c r="D433" i="42"/>
  <c r="L432" i="42"/>
  <c r="G433" i="42"/>
  <c r="G431" i="55"/>
  <c r="I435" i="51"/>
  <c r="D431" i="55"/>
  <c r="L430" i="55"/>
  <c r="G432" i="56"/>
  <c r="N409" i="47"/>
  <c r="J409" i="47"/>
  <c r="G437" i="53"/>
  <c r="O431" i="57"/>
  <c r="G431" i="57"/>
  <c r="B431" i="56" l="1"/>
  <c r="O431" i="56"/>
  <c r="D434" i="51"/>
  <c r="L433" i="51"/>
  <c r="O436" i="53"/>
  <c r="B436" i="53"/>
  <c r="E433" i="42"/>
  <c r="N433" i="42"/>
  <c r="I438" i="53"/>
  <c r="I433" i="56"/>
  <c r="I434" i="42"/>
  <c r="O409" i="47"/>
  <c r="G409" i="47"/>
  <c r="E431" i="55"/>
  <c r="N431" i="55"/>
  <c r="J435" i="51"/>
  <c r="I432" i="55"/>
  <c r="L431" i="57"/>
  <c r="I432" i="57"/>
  <c r="D432" i="56" l="1"/>
  <c r="L431" i="56"/>
  <c r="E434" i="51"/>
  <c r="N434" i="51"/>
  <c r="D437" i="53"/>
  <c r="L436" i="53"/>
  <c r="B433" i="42"/>
  <c r="O433" i="42"/>
  <c r="J432" i="55"/>
  <c r="J433" i="56"/>
  <c r="G435" i="51"/>
  <c r="J434" i="42"/>
  <c r="L409" i="47"/>
  <c r="I410" i="47"/>
  <c r="J438" i="53"/>
  <c r="O431" i="55"/>
  <c r="B431" i="55"/>
  <c r="N432" i="57"/>
  <c r="J432" i="57"/>
  <c r="E432" i="56" l="1"/>
  <c r="N432" i="56"/>
  <c r="B434" i="51"/>
  <c r="O434" i="51"/>
  <c r="E437" i="53"/>
  <c r="N437" i="53"/>
  <c r="D434" i="42"/>
  <c r="L433" i="42"/>
  <c r="G433" i="56"/>
  <c r="D432" i="55"/>
  <c r="L431" i="55"/>
  <c r="G438" i="53"/>
  <c r="G434" i="42"/>
  <c r="N410" i="47"/>
  <c r="J410" i="47"/>
  <c r="O432" i="57"/>
  <c r="G432" i="57"/>
  <c r="G432" i="55"/>
  <c r="I436" i="51"/>
  <c r="B432" i="56" l="1"/>
  <c r="O432" i="56"/>
  <c r="L434" i="51"/>
  <c r="D435" i="51"/>
  <c r="O437" i="53"/>
  <c r="B437" i="53"/>
  <c r="E434" i="42"/>
  <c r="N434" i="42"/>
  <c r="E432" i="55"/>
  <c r="N432" i="55"/>
  <c r="I433" i="55"/>
  <c r="I434" i="56"/>
  <c r="O410" i="47"/>
  <c r="G410" i="47"/>
  <c r="I433" i="57"/>
  <c r="L432" i="57"/>
  <c r="I435" i="42"/>
  <c r="J436" i="51"/>
  <c r="I439" i="53"/>
  <c r="D433" i="56" l="1"/>
  <c r="L432" i="56"/>
  <c r="N435" i="51"/>
  <c r="E435" i="51"/>
  <c r="D438" i="53"/>
  <c r="L437" i="53"/>
  <c r="O434" i="42"/>
  <c r="B434" i="42"/>
  <c r="N433" i="57"/>
  <c r="J433" i="57"/>
  <c r="L410" i="47"/>
  <c r="I411" i="47"/>
  <c r="J433" i="55"/>
  <c r="J439" i="53"/>
  <c r="J434" i="56"/>
  <c r="G436" i="51"/>
  <c r="J435" i="42"/>
  <c r="O432" i="55"/>
  <c r="B432" i="55"/>
  <c r="E433" i="56" l="1"/>
  <c r="N433" i="56"/>
  <c r="B435" i="51"/>
  <c r="O435" i="51"/>
  <c r="E438" i="53"/>
  <c r="N438" i="53"/>
  <c r="D435" i="42"/>
  <c r="L434" i="42"/>
  <c r="N411" i="47"/>
  <c r="J411" i="47"/>
  <c r="D433" i="55"/>
  <c r="L432" i="55"/>
  <c r="G433" i="55"/>
  <c r="O433" i="57"/>
  <c r="G433" i="57"/>
  <c r="G435" i="42"/>
  <c r="G439" i="53"/>
  <c r="I437" i="51"/>
  <c r="G434" i="56"/>
  <c r="B433" i="56" l="1"/>
  <c r="O433" i="56"/>
  <c r="D436" i="51"/>
  <c r="L435" i="51"/>
  <c r="O438" i="53"/>
  <c r="B438" i="53"/>
  <c r="E435" i="42"/>
  <c r="N435" i="42"/>
  <c r="L433" i="57"/>
  <c r="I434" i="57"/>
  <c r="I440" i="53"/>
  <c r="I436" i="42"/>
  <c r="O411" i="47"/>
  <c r="G411" i="47"/>
  <c r="J437" i="51"/>
  <c r="E433" i="55"/>
  <c r="N433" i="55"/>
  <c r="I435" i="56"/>
  <c r="I434" i="55"/>
  <c r="D434" i="56" l="1"/>
  <c r="L433" i="56"/>
  <c r="N436" i="51"/>
  <c r="E436" i="51"/>
  <c r="D439" i="53"/>
  <c r="L438" i="53"/>
  <c r="B435" i="42"/>
  <c r="O435" i="42"/>
  <c r="L411" i="47"/>
  <c r="I412" i="47"/>
  <c r="N434" i="57"/>
  <c r="J434" i="57"/>
  <c r="J440" i="53"/>
  <c r="J436" i="42"/>
  <c r="J435" i="56"/>
  <c r="J434" i="55"/>
  <c r="O433" i="55"/>
  <c r="B433" i="55"/>
  <c r="G437" i="51"/>
  <c r="E434" i="56" l="1"/>
  <c r="N434" i="56"/>
  <c r="B436" i="51"/>
  <c r="O436" i="51"/>
  <c r="E439" i="53"/>
  <c r="N439" i="53"/>
  <c r="D436" i="42"/>
  <c r="L435" i="42"/>
  <c r="O434" i="57"/>
  <c r="G434" i="57"/>
  <c r="G436" i="42"/>
  <c r="N412" i="47"/>
  <c r="J412" i="47"/>
  <c r="G440" i="53"/>
  <c r="G435" i="56"/>
  <c r="G434" i="55"/>
  <c r="D434" i="55"/>
  <c r="L433" i="55"/>
  <c r="I438" i="51"/>
  <c r="B434" i="56" l="1"/>
  <c r="O434" i="56"/>
  <c r="L436" i="51"/>
  <c r="D437" i="51"/>
  <c r="O439" i="53"/>
  <c r="B439" i="53"/>
  <c r="E436" i="42"/>
  <c r="N436" i="42"/>
  <c r="I435" i="55"/>
  <c r="I441" i="53"/>
  <c r="O412" i="47"/>
  <c r="G412" i="47"/>
  <c r="E434" i="55"/>
  <c r="N434" i="55"/>
  <c r="I436" i="56"/>
  <c r="L434" i="57"/>
  <c r="I435" i="57"/>
  <c r="J438" i="51"/>
  <c r="I437" i="42"/>
  <c r="D435" i="56" l="1"/>
  <c r="L434" i="56"/>
  <c r="E437" i="51"/>
  <c r="N437" i="51"/>
  <c r="D440" i="53"/>
  <c r="L439" i="53"/>
  <c r="B436" i="42"/>
  <c r="O436" i="42"/>
  <c r="J441" i="53"/>
  <c r="J436" i="56"/>
  <c r="G438" i="51"/>
  <c r="N435" i="57"/>
  <c r="J435" i="57"/>
  <c r="O434" i="55"/>
  <c r="B434" i="55"/>
  <c r="J435" i="55"/>
  <c r="J437" i="42"/>
  <c r="L412" i="47"/>
  <c r="I413" i="47"/>
  <c r="N435" i="56" l="1"/>
  <c r="E435" i="56"/>
  <c r="B437" i="51"/>
  <c r="O437" i="51"/>
  <c r="E440" i="53"/>
  <c r="N440" i="53"/>
  <c r="D437" i="42"/>
  <c r="L436" i="42"/>
  <c r="G437" i="42"/>
  <c r="N413" i="47"/>
  <c r="J413" i="47"/>
  <c r="G436" i="56"/>
  <c r="D435" i="55"/>
  <c r="L434" i="55"/>
  <c r="G435" i="55"/>
  <c r="G441" i="53"/>
  <c r="O435" i="57"/>
  <c r="G435" i="57"/>
  <c r="I439" i="51"/>
  <c r="O435" i="56" l="1"/>
  <c r="B435" i="56"/>
  <c r="D438" i="51"/>
  <c r="L437" i="51"/>
  <c r="O440" i="53"/>
  <c r="B440" i="53"/>
  <c r="E437" i="42"/>
  <c r="N437" i="42"/>
  <c r="I442" i="53"/>
  <c r="I437" i="56"/>
  <c r="J439" i="51"/>
  <c r="L435" i="57"/>
  <c r="I436" i="57"/>
  <c r="I438" i="42"/>
  <c r="E435" i="55"/>
  <c r="N435" i="55"/>
  <c r="I436" i="55"/>
  <c r="O413" i="47"/>
  <c r="G413" i="47"/>
  <c r="D436" i="56" l="1"/>
  <c r="L435" i="56"/>
  <c r="N438" i="51"/>
  <c r="E438" i="51"/>
  <c r="D441" i="53"/>
  <c r="L440" i="53"/>
  <c r="B437" i="42"/>
  <c r="O437" i="42"/>
  <c r="L413" i="47"/>
  <c r="I414" i="47"/>
  <c r="N436" i="57"/>
  <c r="J436" i="57"/>
  <c r="B435" i="55"/>
  <c r="O435" i="55"/>
  <c r="J438" i="42"/>
  <c r="J442" i="53"/>
  <c r="G439" i="51"/>
  <c r="J437" i="56"/>
  <c r="J436" i="55"/>
  <c r="E436" i="56" l="1"/>
  <c r="N436" i="56"/>
  <c r="B438" i="51"/>
  <c r="O438" i="51"/>
  <c r="E441" i="53"/>
  <c r="N441" i="53"/>
  <c r="D438" i="42"/>
  <c r="L437" i="42"/>
  <c r="O436" i="57"/>
  <c r="G436" i="57"/>
  <c r="G442" i="53"/>
  <c r="G438" i="42"/>
  <c r="I440" i="51"/>
  <c r="N414" i="47"/>
  <c r="J414" i="47"/>
  <c r="G436" i="55"/>
  <c r="G437" i="56"/>
  <c r="D436" i="55"/>
  <c r="L435" i="55"/>
  <c r="B436" i="56" l="1"/>
  <c r="O436" i="56"/>
  <c r="D439" i="51"/>
  <c r="L438" i="51"/>
  <c r="B441" i="53"/>
  <c r="O441" i="53"/>
  <c r="E438" i="42"/>
  <c r="N438" i="42"/>
  <c r="I438" i="56"/>
  <c r="J440" i="51"/>
  <c r="I439" i="42"/>
  <c r="O414" i="47"/>
  <c r="G414" i="47"/>
  <c r="I437" i="55"/>
  <c r="I437" i="57"/>
  <c r="L436" i="57"/>
  <c r="I443" i="53"/>
  <c r="E436" i="55"/>
  <c r="N436" i="55"/>
  <c r="D437" i="56" l="1"/>
  <c r="L436" i="56"/>
  <c r="N439" i="51"/>
  <c r="E439" i="51"/>
  <c r="D442" i="53"/>
  <c r="L441" i="53"/>
  <c r="B438" i="42"/>
  <c r="O438" i="42"/>
  <c r="G440" i="51"/>
  <c r="N437" i="57"/>
  <c r="J437" i="57"/>
  <c r="J437" i="55"/>
  <c r="J443" i="53"/>
  <c r="L414" i="47"/>
  <c r="I415" i="47"/>
  <c r="J439" i="42"/>
  <c r="B436" i="55"/>
  <c r="O436" i="55"/>
  <c r="J438" i="56"/>
  <c r="E437" i="56" l="1"/>
  <c r="N437" i="56"/>
  <c r="B439" i="51"/>
  <c r="O439" i="51"/>
  <c r="E442" i="53"/>
  <c r="N442" i="53"/>
  <c r="D439" i="42"/>
  <c r="L438" i="42"/>
  <c r="G438" i="56"/>
  <c r="G443" i="53"/>
  <c r="D437" i="55"/>
  <c r="L436" i="55"/>
  <c r="N415" i="47"/>
  <c r="J415" i="47"/>
  <c r="G439" i="42"/>
  <c r="O437" i="57"/>
  <c r="G437" i="57"/>
  <c r="I441" i="51"/>
  <c r="G437" i="55"/>
  <c r="B437" i="56" l="1"/>
  <c r="O437" i="56"/>
  <c r="L439" i="51"/>
  <c r="D440" i="51"/>
  <c r="B442" i="53"/>
  <c r="O442" i="53"/>
  <c r="E439" i="42"/>
  <c r="N439" i="42"/>
  <c r="I438" i="55"/>
  <c r="O415" i="47"/>
  <c r="G415" i="47"/>
  <c r="E437" i="55"/>
  <c r="N437" i="55"/>
  <c r="I440" i="42"/>
  <c r="I439" i="56"/>
  <c r="L437" i="57"/>
  <c r="I438" i="57"/>
  <c r="I444" i="53"/>
  <c r="J441" i="51"/>
  <c r="D438" i="56" l="1"/>
  <c r="L437" i="56"/>
  <c r="E440" i="51"/>
  <c r="N440" i="51"/>
  <c r="D443" i="53"/>
  <c r="L442" i="53"/>
  <c r="B439" i="42"/>
  <c r="O439" i="42"/>
  <c r="O437" i="55"/>
  <c r="B437" i="55"/>
  <c r="L415" i="47"/>
  <c r="I416" i="47"/>
  <c r="J439" i="56"/>
  <c r="J438" i="55"/>
  <c r="J440" i="42"/>
  <c r="N438" i="57"/>
  <c r="J438" i="57"/>
  <c r="G441" i="51"/>
  <c r="J444" i="53"/>
  <c r="E438" i="56" l="1"/>
  <c r="N438" i="56"/>
  <c r="O440" i="51"/>
  <c r="B440" i="51"/>
  <c r="E443" i="53"/>
  <c r="N443" i="53"/>
  <c r="D440" i="42"/>
  <c r="L439" i="42"/>
  <c r="O438" i="57"/>
  <c r="G438" i="57"/>
  <c r="D438" i="55"/>
  <c r="L437" i="55"/>
  <c r="G444" i="53"/>
  <c r="G439" i="56"/>
  <c r="N416" i="47"/>
  <c r="J416" i="47"/>
  <c r="G440" i="42"/>
  <c r="G438" i="55"/>
  <c r="I442" i="51"/>
  <c r="B438" i="56" l="1"/>
  <c r="O438" i="56"/>
  <c r="D441" i="51"/>
  <c r="L440" i="51"/>
  <c r="B443" i="53"/>
  <c r="O443" i="53"/>
  <c r="E440" i="42"/>
  <c r="N440" i="42"/>
  <c r="E438" i="55"/>
  <c r="N438" i="55"/>
  <c r="I441" i="42"/>
  <c r="J442" i="51"/>
  <c r="I439" i="57"/>
  <c r="L438" i="57"/>
  <c r="I445" i="53"/>
  <c r="O416" i="47"/>
  <c r="G416" i="47"/>
  <c r="I439" i="55"/>
  <c r="I440" i="56"/>
  <c r="D439" i="56" l="1"/>
  <c r="L438" i="56"/>
  <c r="E441" i="51"/>
  <c r="N441" i="51"/>
  <c r="D444" i="53"/>
  <c r="L443" i="53"/>
  <c r="B440" i="42"/>
  <c r="O440" i="42"/>
  <c r="J445" i="53"/>
  <c r="N439" i="57"/>
  <c r="J439" i="57"/>
  <c r="J441" i="42"/>
  <c r="J440" i="56"/>
  <c r="G442" i="51"/>
  <c r="J439" i="55"/>
  <c r="L416" i="47"/>
  <c r="I417" i="47"/>
  <c r="B438" i="55"/>
  <c r="O438" i="55"/>
  <c r="E439" i="56" l="1"/>
  <c r="N439" i="56"/>
  <c r="B441" i="51"/>
  <c r="O441" i="51"/>
  <c r="E444" i="53"/>
  <c r="N444" i="53"/>
  <c r="D441" i="42"/>
  <c r="L440" i="42"/>
  <c r="G439" i="55"/>
  <c r="G440" i="56"/>
  <c r="O439" i="57"/>
  <c r="G439" i="57"/>
  <c r="I443" i="51"/>
  <c r="N417" i="47"/>
  <c r="J417" i="47"/>
  <c r="G445" i="53"/>
  <c r="D439" i="55"/>
  <c r="L438" i="55"/>
  <c r="G441" i="42"/>
  <c r="B439" i="56" l="1"/>
  <c r="O439" i="56"/>
  <c r="D442" i="51"/>
  <c r="L441" i="51"/>
  <c r="B444" i="53"/>
  <c r="O444" i="53"/>
  <c r="E441" i="42"/>
  <c r="N441" i="42"/>
  <c r="I446" i="53"/>
  <c r="O417" i="47"/>
  <c r="G417" i="47"/>
  <c r="J443" i="51"/>
  <c r="I441" i="56"/>
  <c r="I440" i="55"/>
  <c r="E439" i="55"/>
  <c r="N439" i="55"/>
  <c r="L439" i="57"/>
  <c r="I440" i="57"/>
  <c r="I442" i="42"/>
  <c r="D440" i="56" l="1"/>
  <c r="L439" i="56"/>
  <c r="E442" i="51"/>
  <c r="N442" i="51"/>
  <c r="D445" i="53"/>
  <c r="L444" i="53"/>
  <c r="B441" i="42"/>
  <c r="O441" i="42"/>
  <c r="G443" i="51"/>
  <c r="J441" i="56"/>
  <c r="J440" i="55"/>
  <c r="J446" i="53"/>
  <c r="J442" i="42"/>
  <c r="O439" i="55"/>
  <c r="B439" i="55"/>
  <c r="L417" i="47"/>
  <c r="I418" i="47"/>
  <c r="N440" i="57"/>
  <c r="J440" i="57"/>
  <c r="E440" i="56" l="1"/>
  <c r="N440" i="56"/>
  <c r="B442" i="51"/>
  <c r="O442" i="51"/>
  <c r="E445" i="53"/>
  <c r="N445" i="53"/>
  <c r="D442" i="42"/>
  <c r="L441" i="42"/>
  <c r="G446" i="53"/>
  <c r="O440" i="57"/>
  <c r="G440" i="57"/>
  <c r="D440" i="55"/>
  <c r="L439" i="55"/>
  <c r="G442" i="42"/>
  <c r="I444" i="51"/>
  <c r="N418" i="47"/>
  <c r="J418" i="47"/>
  <c r="G440" i="55"/>
  <c r="G441" i="56"/>
  <c r="B440" i="56" l="1"/>
  <c r="O440" i="56"/>
  <c r="D443" i="51"/>
  <c r="L442" i="51"/>
  <c r="B445" i="53"/>
  <c r="O445" i="53"/>
  <c r="E442" i="42"/>
  <c r="N442" i="42"/>
  <c r="O418" i="47"/>
  <c r="G418" i="47"/>
  <c r="I442" i="56"/>
  <c r="J444" i="51"/>
  <c r="X190" i="51"/>
  <c r="I441" i="55"/>
  <c r="I447" i="53"/>
  <c r="E440" i="55"/>
  <c r="N440" i="55"/>
  <c r="I441" i="57"/>
  <c r="L440" i="57"/>
  <c r="I443" i="42"/>
  <c r="D441" i="56" l="1"/>
  <c r="L440" i="56"/>
  <c r="E443" i="51"/>
  <c r="N443" i="51"/>
  <c r="D446" i="53"/>
  <c r="L445" i="53"/>
  <c r="B442" i="42"/>
  <c r="O442" i="42"/>
  <c r="J443" i="42"/>
  <c r="X189" i="42"/>
  <c r="J447" i="53"/>
  <c r="X193" i="53"/>
  <c r="N441" i="57"/>
  <c r="J441" i="57"/>
  <c r="X187" i="57"/>
  <c r="AC187" i="57" s="1"/>
  <c r="J442" i="56"/>
  <c r="X188" i="56"/>
  <c r="L418" i="47"/>
  <c r="I419" i="47"/>
  <c r="Y190" i="51"/>
  <c r="G444" i="51"/>
  <c r="J441" i="55"/>
  <c r="X187" i="55"/>
  <c r="O440" i="55"/>
  <c r="B440" i="55"/>
  <c r="E441" i="56" l="1"/>
  <c r="N441" i="56"/>
  <c r="B443" i="51"/>
  <c r="O443" i="51"/>
  <c r="E446" i="53"/>
  <c r="N446" i="53"/>
  <c r="D443" i="42"/>
  <c r="L442" i="42"/>
  <c r="O441" i="57"/>
  <c r="Y187" i="57"/>
  <c r="AD187" i="57" s="1"/>
  <c r="G441" i="57"/>
  <c r="Y187" i="55"/>
  <c r="G441" i="55"/>
  <c r="Y188" i="56"/>
  <c r="G442" i="56"/>
  <c r="D441" i="55"/>
  <c r="L440" i="55"/>
  <c r="N419" i="47"/>
  <c r="J419" i="47"/>
  <c r="Y189" i="42"/>
  <c r="G443" i="42"/>
  <c r="I445" i="51"/>
  <c r="V190" i="51"/>
  <c r="Y193" i="53"/>
  <c r="G447" i="53"/>
  <c r="B441" i="56" l="1"/>
  <c r="O441" i="56"/>
  <c r="L443" i="51"/>
  <c r="D444" i="51"/>
  <c r="B446" i="53"/>
  <c r="O446" i="53"/>
  <c r="E443" i="42"/>
  <c r="S189" i="42"/>
  <c r="AC189" i="42" s="1"/>
  <c r="N443" i="42"/>
  <c r="J445" i="51"/>
  <c r="V187" i="55"/>
  <c r="I442" i="55"/>
  <c r="I443" i="56"/>
  <c r="V188" i="56"/>
  <c r="I448" i="53"/>
  <c r="V193" i="53"/>
  <c r="L441" i="57"/>
  <c r="V187" i="57"/>
  <c r="AA187" i="57" s="1"/>
  <c r="I442" i="57"/>
  <c r="E441" i="55"/>
  <c r="S187" i="55"/>
  <c r="AC187" i="55" s="1"/>
  <c r="N441" i="55"/>
  <c r="V189" i="42"/>
  <c r="I444" i="42"/>
  <c r="O419" i="47"/>
  <c r="G419" i="47"/>
  <c r="D442" i="56" l="1"/>
  <c r="L441" i="56"/>
  <c r="S190" i="51"/>
  <c r="AC190" i="51" s="1"/>
  <c r="N444" i="51"/>
  <c r="E444" i="51"/>
  <c r="D447" i="53"/>
  <c r="L446" i="53"/>
  <c r="T189" i="42"/>
  <c r="AD189" i="42" s="1"/>
  <c r="B443" i="42"/>
  <c r="O443" i="42"/>
  <c r="L419" i="47"/>
  <c r="I420" i="47"/>
  <c r="J448" i="53"/>
  <c r="J443" i="56"/>
  <c r="G445" i="51"/>
  <c r="T187" i="55"/>
  <c r="AD187" i="55" s="1"/>
  <c r="O441" i="55"/>
  <c r="B441" i="55"/>
  <c r="N442" i="57"/>
  <c r="J442" i="57"/>
  <c r="J442" i="55"/>
  <c r="J444" i="42"/>
  <c r="N442" i="56" l="1"/>
  <c r="E442" i="56"/>
  <c r="S188" i="56"/>
  <c r="AC188" i="56" s="1"/>
  <c r="T190" i="51"/>
  <c r="AD190" i="51" s="1"/>
  <c r="O444" i="51"/>
  <c r="B444" i="51"/>
  <c r="E447" i="53"/>
  <c r="S193" i="53"/>
  <c r="AC193" i="53" s="1"/>
  <c r="N447" i="53"/>
  <c r="Q189" i="42"/>
  <c r="AA189" i="42" s="1"/>
  <c r="D444" i="42"/>
  <c r="L443" i="42"/>
  <c r="I446" i="51"/>
  <c r="O442" i="57"/>
  <c r="G442" i="57"/>
  <c r="Q187" i="55"/>
  <c r="AA187" i="55" s="1"/>
  <c r="D442" i="55"/>
  <c r="L441" i="55"/>
  <c r="N420" i="47"/>
  <c r="J420" i="47"/>
  <c r="X166" i="47"/>
  <c r="AC166" i="47" s="1"/>
  <c r="G443" i="56"/>
  <c r="G448" i="53"/>
  <c r="G444" i="42"/>
  <c r="G442" i="55"/>
  <c r="B442" i="56" l="1"/>
  <c r="O442" i="56"/>
  <c r="T188" i="56"/>
  <c r="AD188" i="56" s="1"/>
  <c r="Q190" i="51"/>
  <c r="AA190" i="51" s="1"/>
  <c r="L444" i="51"/>
  <c r="D445" i="51"/>
  <c r="T193" i="53"/>
  <c r="AD193" i="53" s="1"/>
  <c r="O447" i="53"/>
  <c r="B447" i="53"/>
  <c r="E444" i="42"/>
  <c r="N444" i="42"/>
  <c r="I444" i="56"/>
  <c r="E442" i="55"/>
  <c r="N442" i="55"/>
  <c r="O420" i="47"/>
  <c r="Y166" i="47"/>
  <c r="AD166" i="47" s="1"/>
  <c r="G420" i="47"/>
  <c r="I443" i="57"/>
  <c r="L442" i="57"/>
  <c r="J446" i="51"/>
  <c r="I449" i="53"/>
  <c r="I443" i="55"/>
  <c r="I445" i="42"/>
  <c r="Q188" i="56" l="1"/>
  <c r="AA188" i="56" s="1"/>
  <c r="D443" i="56"/>
  <c r="L442" i="56"/>
  <c r="N445" i="51"/>
  <c r="E445" i="51"/>
  <c r="D448" i="53"/>
  <c r="Q193" i="53"/>
  <c r="AA193" i="53" s="1"/>
  <c r="L447" i="53"/>
  <c r="B444" i="42"/>
  <c r="O444" i="42"/>
  <c r="J443" i="55"/>
  <c r="G446" i="51"/>
  <c r="O442" i="55"/>
  <c r="B442" i="55"/>
  <c r="N443" i="57"/>
  <c r="J443" i="57"/>
  <c r="J449" i="53"/>
  <c r="J445" i="42"/>
  <c r="V166" i="47"/>
  <c r="AA166" i="47" s="1"/>
  <c r="L420" i="47"/>
  <c r="I421" i="47"/>
  <c r="J444" i="56"/>
  <c r="E443" i="56" l="1"/>
  <c r="N443" i="56"/>
  <c r="B445" i="51"/>
  <c r="O445" i="51"/>
  <c r="E448" i="53"/>
  <c r="N448" i="53"/>
  <c r="D445" i="42"/>
  <c r="L444" i="42"/>
  <c r="O443" i="57"/>
  <c r="G443" i="57"/>
  <c r="I447" i="51"/>
  <c r="G443" i="55"/>
  <c r="G449" i="53"/>
  <c r="G444" i="56"/>
  <c r="N421" i="47"/>
  <c r="J421" i="47"/>
  <c r="G445" i="42"/>
  <c r="D443" i="55"/>
  <c r="L442" i="55"/>
  <c r="B443" i="56" l="1"/>
  <c r="O443" i="56"/>
  <c r="D446" i="51"/>
  <c r="L445" i="51"/>
  <c r="O448" i="53"/>
  <c r="B448" i="53"/>
  <c r="E445" i="42"/>
  <c r="N445" i="42"/>
  <c r="I450" i="53"/>
  <c r="L443" i="57"/>
  <c r="I444" i="57"/>
  <c r="J447" i="51"/>
  <c r="O421" i="47"/>
  <c r="G421" i="47"/>
  <c r="I446" i="42"/>
  <c r="I445" i="56"/>
  <c r="I444" i="55"/>
  <c r="E443" i="55"/>
  <c r="N443" i="55"/>
  <c r="D444" i="56" l="1"/>
  <c r="L443" i="56"/>
  <c r="E446" i="51"/>
  <c r="N446" i="51"/>
  <c r="D449" i="53"/>
  <c r="L448" i="53"/>
  <c r="B445" i="42"/>
  <c r="O445" i="42"/>
  <c r="J446" i="42"/>
  <c r="N444" i="57"/>
  <c r="J444" i="57"/>
  <c r="G447" i="51"/>
  <c r="B443" i="55"/>
  <c r="O443" i="55"/>
  <c r="L421" i="47"/>
  <c r="I422" i="47"/>
  <c r="J450" i="53"/>
  <c r="J445" i="56"/>
  <c r="J444" i="55"/>
  <c r="E444" i="56" l="1"/>
  <c r="N444" i="56"/>
  <c r="O446" i="51"/>
  <c r="B446" i="51"/>
  <c r="E449" i="53"/>
  <c r="N449" i="53"/>
  <c r="D446" i="42"/>
  <c r="L445" i="42"/>
  <c r="N422" i="47"/>
  <c r="J422" i="47"/>
  <c r="G444" i="55"/>
  <c r="O444" i="57"/>
  <c r="G444" i="57"/>
  <c r="D444" i="55"/>
  <c r="L443" i="55"/>
  <c r="G445" i="56"/>
  <c r="G446" i="42"/>
  <c r="G450" i="53"/>
  <c r="I448" i="51"/>
  <c r="B444" i="56" l="1"/>
  <c r="O444" i="56"/>
  <c r="D447" i="51"/>
  <c r="L446" i="51"/>
  <c r="O449" i="53"/>
  <c r="B449" i="53"/>
  <c r="E446" i="42"/>
  <c r="N446" i="42"/>
  <c r="I451" i="53"/>
  <c r="I447" i="42"/>
  <c r="E444" i="55"/>
  <c r="N444" i="55"/>
  <c r="O422" i="47"/>
  <c r="G422" i="47"/>
  <c r="I446" i="56"/>
  <c r="I445" i="55"/>
  <c r="J448" i="51"/>
  <c r="I445" i="57"/>
  <c r="L444" i="57"/>
  <c r="D445" i="56" l="1"/>
  <c r="L444" i="56"/>
  <c r="N447" i="51"/>
  <c r="E447" i="51"/>
  <c r="D450" i="53"/>
  <c r="L449" i="53"/>
  <c r="B446" i="42"/>
  <c r="O446" i="42"/>
  <c r="L422" i="47"/>
  <c r="I423" i="47"/>
  <c r="G448" i="51"/>
  <c r="J451" i="53"/>
  <c r="J446" i="56"/>
  <c r="J445" i="55"/>
  <c r="O444" i="55"/>
  <c r="B444" i="55"/>
  <c r="J447" i="42"/>
  <c r="N445" i="57"/>
  <c r="J445" i="57"/>
  <c r="N445" i="56" l="1"/>
  <c r="E445" i="56"/>
  <c r="B447" i="51"/>
  <c r="O447" i="51"/>
  <c r="E450" i="53"/>
  <c r="N450" i="53"/>
  <c r="D447" i="42"/>
  <c r="L446" i="42"/>
  <c r="G447" i="42"/>
  <c r="G445" i="55"/>
  <c r="G446" i="56"/>
  <c r="N423" i="47"/>
  <c r="J423" i="47"/>
  <c r="I449" i="51"/>
  <c r="O445" i="57"/>
  <c r="G445" i="57"/>
  <c r="D445" i="55"/>
  <c r="L444" i="55"/>
  <c r="G451" i="53"/>
  <c r="O445" i="56" l="1"/>
  <c r="B445" i="56"/>
  <c r="D448" i="51"/>
  <c r="L447" i="51"/>
  <c r="O450" i="53"/>
  <c r="B450" i="53"/>
  <c r="E447" i="42"/>
  <c r="N447" i="42"/>
  <c r="I446" i="55"/>
  <c r="O423" i="47"/>
  <c r="G423" i="47"/>
  <c r="I448" i="42"/>
  <c r="J449" i="51"/>
  <c r="I452" i="53"/>
  <c r="E445" i="55"/>
  <c r="N445" i="55"/>
  <c r="L445" i="57"/>
  <c r="I446" i="57"/>
  <c r="I447" i="56"/>
  <c r="D446" i="56" l="1"/>
  <c r="L445" i="56"/>
  <c r="N448" i="51"/>
  <c r="E448" i="51"/>
  <c r="D451" i="53"/>
  <c r="L450" i="53"/>
  <c r="O447" i="42"/>
  <c r="B447" i="42"/>
  <c r="O445" i="55"/>
  <c r="B445" i="55"/>
  <c r="J448" i="42"/>
  <c r="J446" i="55"/>
  <c r="N446" i="57"/>
  <c r="J446" i="57"/>
  <c r="G449" i="51"/>
  <c r="J447" i="56"/>
  <c r="J452" i="53"/>
  <c r="L423" i="47"/>
  <c r="I424" i="47"/>
  <c r="E446" i="56" l="1"/>
  <c r="N446" i="56"/>
  <c r="B448" i="51"/>
  <c r="O448" i="51"/>
  <c r="E451" i="53"/>
  <c r="N451" i="53"/>
  <c r="D448" i="42"/>
  <c r="L447" i="42"/>
  <c r="G446" i="55"/>
  <c r="G452" i="53"/>
  <c r="G447" i="56"/>
  <c r="N424" i="47"/>
  <c r="J424" i="47"/>
  <c r="D446" i="55"/>
  <c r="L445" i="55"/>
  <c r="I450" i="51"/>
  <c r="O446" i="57"/>
  <c r="G446" i="57"/>
  <c r="G448" i="42"/>
  <c r="B446" i="56" l="1"/>
  <c r="O446" i="56"/>
  <c r="D449" i="51"/>
  <c r="L448" i="51"/>
  <c r="O451" i="53"/>
  <c r="B451" i="53"/>
  <c r="E448" i="42"/>
  <c r="N448" i="42"/>
  <c r="J450" i="51"/>
  <c r="I453" i="53"/>
  <c r="I449" i="42"/>
  <c r="O424" i="47"/>
  <c r="G424" i="47"/>
  <c r="I447" i="55"/>
  <c r="I447" i="57"/>
  <c r="L446" i="57"/>
  <c r="E446" i="55"/>
  <c r="N446" i="55"/>
  <c r="I448" i="56"/>
  <c r="D447" i="56" l="1"/>
  <c r="L446" i="56"/>
  <c r="E449" i="51"/>
  <c r="N449" i="51"/>
  <c r="D452" i="53"/>
  <c r="L451" i="53"/>
  <c r="B448" i="42"/>
  <c r="O448" i="42"/>
  <c r="J453" i="53"/>
  <c r="J448" i="56"/>
  <c r="L424" i="47"/>
  <c r="I425" i="47"/>
  <c r="N447" i="57"/>
  <c r="J447" i="57"/>
  <c r="J447" i="55"/>
  <c r="O446" i="55"/>
  <c r="B446" i="55"/>
  <c r="G450" i="51"/>
  <c r="J449" i="42"/>
  <c r="E447" i="56" l="1"/>
  <c r="N447" i="56"/>
  <c r="B449" i="51"/>
  <c r="O449" i="51"/>
  <c r="E452" i="53"/>
  <c r="N452" i="53"/>
  <c r="D449" i="42"/>
  <c r="L448" i="42"/>
  <c r="G453" i="53"/>
  <c r="G448" i="56"/>
  <c r="G449" i="42"/>
  <c r="N425" i="47"/>
  <c r="J425" i="47"/>
  <c r="G447" i="55"/>
  <c r="O447" i="57"/>
  <c r="G447" i="57"/>
  <c r="I451" i="51"/>
  <c r="D447" i="55"/>
  <c r="L446" i="55"/>
  <c r="O447" i="56" l="1"/>
  <c r="B447" i="56"/>
  <c r="D450" i="51"/>
  <c r="L449" i="51"/>
  <c r="O452" i="53"/>
  <c r="B452" i="53"/>
  <c r="E449" i="42"/>
  <c r="N449" i="42"/>
  <c r="J451" i="51"/>
  <c r="E447" i="55"/>
  <c r="N447" i="55"/>
  <c r="L447" i="57"/>
  <c r="I448" i="57"/>
  <c r="I450" i="42"/>
  <c r="I448" i="55"/>
  <c r="O425" i="47"/>
  <c r="G425" i="47"/>
  <c r="I449" i="56"/>
  <c r="I454" i="53"/>
  <c r="D448" i="56" l="1"/>
  <c r="L447" i="56"/>
  <c r="E450" i="51"/>
  <c r="N450" i="51"/>
  <c r="D453" i="53"/>
  <c r="L452" i="53"/>
  <c r="B449" i="42"/>
  <c r="O449" i="42"/>
  <c r="O447" i="55"/>
  <c r="B447" i="55"/>
  <c r="J454" i="53"/>
  <c r="G451" i="51"/>
  <c r="L425" i="47"/>
  <c r="I426" i="47"/>
  <c r="N448" i="57"/>
  <c r="J448" i="57"/>
  <c r="J448" i="55"/>
  <c r="J449" i="56"/>
  <c r="J450" i="42"/>
  <c r="E448" i="56" l="1"/>
  <c r="N448" i="56"/>
  <c r="B450" i="51"/>
  <c r="O450" i="51"/>
  <c r="E453" i="53"/>
  <c r="N453" i="53"/>
  <c r="D450" i="42"/>
  <c r="L449" i="42"/>
  <c r="N426" i="47"/>
  <c r="J426" i="47"/>
  <c r="G450" i="42"/>
  <c r="G448" i="55"/>
  <c r="G454" i="53"/>
  <c r="O448" i="57"/>
  <c r="G448" i="57"/>
  <c r="D448" i="55"/>
  <c r="L447" i="55"/>
  <c r="G449" i="56"/>
  <c r="I452" i="51"/>
  <c r="B448" i="56" l="1"/>
  <c r="O448" i="56"/>
  <c r="D451" i="51"/>
  <c r="L450" i="51"/>
  <c r="B453" i="53"/>
  <c r="O453" i="53"/>
  <c r="E450" i="42"/>
  <c r="N450" i="42"/>
  <c r="I455" i="53"/>
  <c r="I449" i="55"/>
  <c r="I449" i="57"/>
  <c r="L448" i="57"/>
  <c r="J452" i="51"/>
  <c r="O426" i="47"/>
  <c r="G426" i="47"/>
  <c r="E448" i="55"/>
  <c r="N448" i="55"/>
  <c r="I451" i="42"/>
  <c r="I450" i="56"/>
  <c r="D449" i="56" l="1"/>
  <c r="L448" i="56"/>
  <c r="N451" i="51"/>
  <c r="E451" i="51"/>
  <c r="D454" i="53"/>
  <c r="L453" i="53"/>
  <c r="B450" i="42"/>
  <c r="O450" i="42"/>
  <c r="B448" i="55"/>
  <c r="O448" i="55"/>
  <c r="J449" i="55"/>
  <c r="G452" i="51"/>
  <c r="L426" i="47"/>
  <c r="I427" i="47"/>
  <c r="J455" i="53"/>
  <c r="N449" i="57"/>
  <c r="J449" i="57"/>
  <c r="J450" i="56"/>
  <c r="J451" i="42"/>
  <c r="E449" i="56" l="1"/>
  <c r="N449" i="56"/>
  <c r="B451" i="51"/>
  <c r="O451" i="51"/>
  <c r="E454" i="53"/>
  <c r="N454" i="53"/>
  <c r="D451" i="42"/>
  <c r="L450" i="42"/>
  <c r="G449" i="55"/>
  <c r="G451" i="42"/>
  <c r="O449" i="57"/>
  <c r="G449" i="57"/>
  <c r="G455" i="53"/>
  <c r="N427" i="47"/>
  <c r="J427" i="47"/>
  <c r="G450" i="56"/>
  <c r="I453" i="51"/>
  <c r="D449" i="55"/>
  <c r="L448" i="55"/>
  <c r="B449" i="56" l="1"/>
  <c r="O449" i="56"/>
  <c r="L451" i="51"/>
  <c r="D452" i="51"/>
  <c r="B454" i="53"/>
  <c r="O454" i="53"/>
  <c r="E451" i="42"/>
  <c r="N451" i="42"/>
  <c r="J453" i="51"/>
  <c r="I451" i="56"/>
  <c r="L449" i="57"/>
  <c r="I450" i="57"/>
  <c r="I452" i="42"/>
  <c r="O427" i="47"/>
  <c r="G427" i="47"/>
  <c r="E449" i="55"/>
  <c r="N449" i="55"/>
  <c r="I456" i="53"/>
  <c r="I450" i="55"/>
  <c r="D450" i="56" l="1"/>
  <c r="L449" i="56"/>
  <c r="E452" i="51"/>
  <c r="N452" i="51"/>
  <c r="D455" i="53"/>
  <c r="L454" i="53"/>
  <c r="B451" i="42"/>
  <c r="O451" i="42"/>
  <c r="O449" i="55"/>
  <c r="B449" i="55"/>
  <c r="L427" i="47"/>
  <c r="I428" i="47"/>
  <c r="J451" i="56"/>
  <c r="J452" i="42"/>
  <c r="N450" i="57"/>
  <c r="J450" i="57"/>
  <c r="G453" i="51"/>
  <c r="J450" i="55"/>
  <c r="J456" i="53"/>
  <c r="E450" i="56" l="1"/>
  <c r="N450" i="56"/>
  <c r="O452" i="51"/>
  <c r="B452" i="51"/>
  <c r="E455" i="53"/>
  <c r="N455" i="53"/>
  <c r="D452" i="42"/>
  <c r="L451" i="42"/>
  <c r="N428" i="47"/>
  <c r="J428" i="47"/>
  <c r="G456" i="53"/>
  <c r="O450" i="57"/>
  <c r="G450" i="57"/>
  <c r="G451" i="56"/>
  <c r="I454" i="51"/>
  <c r="D450" i="55"/>
  <c r="L449" i="55"/>
  <c r="G450" i="55"/>
  <c r="G452" i="42"/>
  <c r="O450" i="56" l="1"/>
  <c r="B450" i="56"/>
  <c r="D453" i="51"/>
  <c r="L452" i="51"/>
  <c r="B455" i="53"/>
  <c r="O455" i="53"/>
  <c r="E452" i="42"/>
  <c r="N452" i="42"/>
  <c r="L450" i="57"/>
  <c r="I451" i="57"/>
  <c r="E450" i="55"/>
  <c r="N450" i="55"/>
  <c r="I453" i="42"/>
  <c r="O428" i="47"/>
  <c r="G428" i="47"/>
  <c r="I452" i="56"/>
  <c r="I457" i="53"/>
  <c r="J454" i="51"/>
  <c r="I451" i="55"/>
  <c r="D451" i="56" l="1"/>
  <c r="L450" i="56"/>
  <c r="E453" i="51"/>
  <c r="N453" i="51"/>
  <c r="D456" i="53"/>
  <c r="L455" i="53"/>
  <c r="B452" i="42"/>
  <c r="O452" i="42"/>
  <c r="J457" i="53"/>
  <c r="N451" i="57"/>
  <c r="J451" i="57"/>
  <c r="O450" i="55"/>
  <c r="B450" i="55"/>
  <c r="G454" i="51"/>
  <c r="L428" i="47"/>
  <c r="I429" i="47"/>
  <c r="J453" i="42"/>
  <c r="J451" i="55"/>
  <c r="J452" i="56"/>
  <c r="N451" i="56" l="1"/>
  <c r="E451" i="56"/>
  <c r="B453" i="51"/>
  <c r="O453" i="51"/>
  <c r="E456" i="53"/>
  <c r="N456" i="53"/>
  <c r="D453" i="42"/>
  <c r="L452" i="42"/>
  <c r="I455" i="51"/>
  <c r="G452" i="56"/>
  <c r="N429" i="47"/>
  <c r="J429" i="47"/>
  <c r="G453" i="42"/>
  <c r="O451" i="57"/>
  <c r="G451" i="57"/>
  <c r="G457" i="53"/>
  <c r="D451" i="55"/>
  <c r="L450" i="55"/>
  <c r="G451" i="55"/>
  <c r="B451" i="56" l="1"/>
  <c r="O451" i="56"/>
  <c r="D454" i="51"/>
  <c r="L453" i="51"/>
  <c r="B456" i="53"/>
  <c r="O456" i="53"/>
  <c r="E453" i="42"/>
  <c r="N453" i="42"/>
  <c r="I452" i="55"/>
  <c r="I453" i="56"/>
  <c r="L451" i="57"/>
  <c r="I452" i="57"/>
  <c r="O429" i="47"/>
  <c r="G429" i="47"/>
  <c r="I458" i="53"/>
  <c r="E451" i="55"/>
  <c r="N451" i="55"/>
  <c r="I454" i="42"/>
  <c r="J455" i="51"/>
  <c r="D452" i="56" l="1"/>
  <c r="L451" i="56"/>
  <c r="E454" i="51"/>
  <c r="N454" i="51"/>
  <c r="D457" i="53"/>
  <c r="L456" i="53"/>
  <c r="B453" i="42"/>
  <c r="O453" i="42"/>
  <c r="J453" i="56"/>
  <c r="J454" i="42"/>
  <c r="J452" i="55"/>
  <c r="G455" i="51"/>
  <c r="J458" i="53"/>
  <c r="L429" i="47"/>
  <c r="I430" i="47"/>
  <c r="N452" i="57"/>
  <c r="J452" i="57"/>
  <c r="O451" i="55"/>
  <c r="B451" i="55"/>
  <c r="E452" i="56" l="1"/>
  <c r="N452" i="56"/>
  <c r="O454" i="51"/>
  <c r="B454" i="51"/>
  <c r="E457" i="53"/>
  <c r="N457" i="53"/>
  <c r="D454" i="42"/>
  <c r="L453" i="42"/>
  <c r="N430" i="47"/>
  <c r="J430" i="47"/>
  <c r="D452" i="55"/>
  <c r="L451" i="55"/>
  <c r="G454" i="42"/>
  <c r="G458" i="53"/>
  <c r="O452" i="57"/>
  <c r="G452" i="57"/>
  <c r="G453" i="56"/>
  <c r="I456" i="51"/>
  <c r="G452" i="55"/>
  <c r="B452" i="56" l="1"/>
  <c r="O452" i="56"/>
  <c r="D455" i="51"/>
  <c r="L454" i="51"/>
  <c r="B457" i="53"/>
  <c r="O457" i="53"/>
  <c r="E454" i="42"/>
  <c r="N454" i="42"/>
  <c r="I455" i="42"/>
  <c r="I454" i="56"/>
  <c r="I453" i="55"/>
  <c r="I453" i="57"/>
  <c r="L452" i="57"/>
  <c r="E452" i="55"/>
  <c r="N452" i="55"/>
  <c r="O430" i="47"/>
  <c r="G430" i="47"/>
  <c r="J456" i="51"/>
  <c r="X191" i="51"/>
  <c r="I459" i="53"/>
  <c r="D453" i="56" l="1"/>
  <c r="L452" i="56"/>
  <c r="E455" i="51"/>
  <c r="N455" i="51"/>
  <c r="D458" i="53"/>
  <c r="L457" i="53"/>
  <c r="B454" i="42"/>
  <c r="O454" i="42"/>
  <c r="J453" i="55"/>
  <c r="X188" i="55"/>
  <c r="J459" i="53"/>
  <c r="X194" i="53"/>
  <c r="Y191" i="51"/>
  <c r="G456" i="51"/>
  <c r="J454" i="56"/>
  <c r="X189" i="56"/>
  <c r="N453" i="57"/>
  <c r="J453" i="57"/>
  <c r="X188" i="57"/>
  <c r="AC188" i="57" s="1"/>
  <c r="J455" i="42"/>
  <c r="X190" i="42"/>
  <c r="O452" i="55"/>
  <c r="B452" i="55"/>
  <c r="L430" i="47"/>
  <c r="I431" i="47"/>
  <c r="E453" i="56" l="1"/>
  <c r="N453" i="56"/>
  <c r="B455" i="51"/>
  <c r="O455" i="51"/>
  <c r="E458" i="53"/>
  <c r="N458" i="53"/>
  <c r="D455" i="42"/>
  <c r="L454" i="42"/>
  <c r="D453" i="55"/>
  <c r="L452" i="55"/>
  <c r="Y194" i="53"/>
  <c r="G459" i="53"/>
  <c r="Y190" i="42"/>
  <c r="G455" i="42"/>
  <c r="I457" i="51"/>
  <c r="V191" i="51"/>
  <c r="Y188" i="55"/>
  <c r="G453" i="55"/>
  <c r="Y189" i="56"/>
  <c r="G454" i="56"/>
  <c r="N431" i="47"/>
  <c r="J431" i="47"/>
  <c r="O453" i="57"/>
  <c r="Y188" i="57"/>
  <c r="AD188" i="57" s="1"/>
  <c r="G453" i="57"/>
  <c r="B453" i="56" l="1"/>
  <c r="O453" i="56"/>
  <c r="D456" i="51"/>
  <c r="L455" i="51"/>
  <c r="B458" i="53"/>
  <c r="O458" i="53"/>
  <c r="E455" i="42"/>
  <c r="S190" i="42"/>
  <c r="AC190" i="42" s="1"/>
  <c r="N455" i="42"/>
  <c r="V188" i="55"/>
  <c r="I454" i="55"/>
  <c r="I455" i="56"/>
  <c r="V189" i="56"/>
  <c r="I460" i="53"/>
  <c r="V194" i="53"/>
  <c r="L453" i="57"/>
  <c r="V188" i="57"/>
  <c r="AA188" i="57" s="1"/>
  <c r="I454" i="57"/>
  <c r="J457" i="51"/>
  <c r="E453" i="55"/>
  <c r="S188" i="55"/>
  <c r="AC188" i="55" s="1"/>
  <c r="N453" i="55"/>
  <c r="O431" i="47"/>
  <c r="G431" i="47"/>
  <c r="I456" i="42"/>
  <c r="V190" i="42"/>
  <c r="D454" i="56" l="1"/>
  <c r="L453" i="56"/>
  <c r="S191" i="51"/>
  <c r="AC191" i="51" s="1"/>
  <c r="N456" i="51"/>
  <c r="E456" i="51"/>
  <c r="D459" i="53"/>
  <c r="L458" i="53"/>
  <c r="T190" i="42"/>
  <c r="AD190" i="42" s="1"/>
  <c r="O455" i="42"/>
  <c r="B455" i="42"/>
  <c r="J455" i="56"/>
  <c r="L431" i="47"/>
  <c r="I432" i="47"/>
  <c r="J454" i="55"/>
  <c r="G457" i="51"/>
  <c r="J456" i="42"/>
  <c r="T188" i="55"/>
  <c r="AD188" i="55" s="1"/>
  <c r="B453" i="55"/>
  <c r="O453" i="55"/>
  <c r="J460" i="53"/>
  <c r="N454" i="57"/>
  <c r="J454" i="57"/>
  <c r="N454" i="56" l="1"/>
  <c r="S189" i="56"/>
  <c r="AC189" i="56" s="1"/>
  <c r="E454" i="56"/>
  <c r="T191" i="51"/>
  <c r="AD191" i="51" s="1"/>
  <c r="O456" i="51"/>
  <c r="B456" i="51"/>
  <c r="E459" i="53"/>
  <c r="S194" i="53"/>
  <c r="AC194" i="53" s="1"/>
  <c r="N459" i="53"/>
  <c r="Q190" i="42"/>
  <c r="AA190" i="42" s="1"/>
  <c r="D456" i="42"/>
  <c r="L455" i="42"/>
  <c r="O454" i="57"/>
  <c r="G454" i="57"/>
  <c r="G456" i="42"/>
  <c r="N432" i="47"/>
  <c r="J432" i="47"/>
  <c r="X167" i="47"/>
  <c r="AC167" i="47" s="1"/>
  <c r="G455" i="56"/>
  <c r="G460" i="53"/>
  <c r="I458" i="51"/>
  <c r="D454" i="55"/>
  <c r="Q188" i="55"/>
  <c r="AA188" i="55" s="1"/>
  <c r="L453" i="55"/>
  <c r="G454" i="55"/>
  <c r="O454" i="56" l="1"/>
  <c r="B454" i="56"/>
  <c r="T189" i="56"/>
  <c r="AD189" i="56" s="1"/>
  <c r="D457" i="51"/>
  <c r="L456" i="51"/>
  <c r="Q191" i="51"/>
  <c r="AA191" i="51" s="1"/>
  <c r="T194" i="53"/>
  <c r="AD194" i="53" s="1"/>
  <c r="O459" i="53"/>
  <c r="B459" i="53"/>
  <c r="E456" i="42"/>
  <c r="N456" i="42"/>
  <c r="O432" i="47"/>
  <c r="Y167" i="47"/>
  <c r="AD167" i="47" s="1"/>
  <c r="G432" i="47"/>
  <c r="E454" i="55"/>
  <c r="N454" i="55"/>
  <c r="I455" i="55"/>
  <c r="I456" i="56"/>
  <c r="I455" i="57"/>
  <c r="L454" i="57"/>
  <c r="J458" i="51"/>
  <c r="I461" i="53"/>
  <c r="I457" i="42"/>
  <c r="Q189" i="56" l="1"/>
  <c r="AA189" i="56" s="1"/>
  <c r="D455" i="56"/>
  <c r="L454" i="56"/>
  <c r="E457" i="51"/>
  <c r="N457" i="51"/>
  <c r="D460" i="53"/>
  <c r="Q194" i="53"/>
  <c r="AA194" i="53" s="1"/>
  <c r="L459" i="53"/>
  <c r="B456" i="42"/>
  <c r="O456" i="42"/>
  <c r="J457" i="42"/>
  <c r="N455" i="57"/>
  <c r="J455" i="57"/>
  <c r="O454" i="55"/>
  <c r="B454" i="55"/>
  <c r="L432" i="47"/>
  <c r="V167" i="47"/>
  <c r="AA167" i="47" s="1"/>
  <c r="I433" i="47"/>
  <c r="J455" i="55"/>
  <c r="J461" i="53"/>
  <c r="J456" i="56"/>
  <c r="G458" i="51"/>
  <c r="E455" i="56" l="1"/>
  <c r="N455" i="56"/>
  <c r="B457" i="51"/>
  <c r="O457" i="51"/>
  <c r="E460" i="53"/>
  <c r="N460" i="53"/>
  <c r="D457" i="42"/>
  <c r="L456" i="42"/>
  <c r="G455" i="55"/>
  <c r="G456" i="56"/>
  <c r="N433" i="47"/>
  <c r="J433" i="47"/>
  <c r="O455" i="57"/>
  <c r="G455" i="57"/>
  <c r="G461" i="53"/>
  <c r="G457" i="42"/>
  <c r="I459" i="51"/>
  <c r="D455" i="55"/>
  <c r="L454" i="55"/>
  <c r="O455" i="56" l="1"/>
  <c r="B455" i="56"/>
  <c r="L457" i="51"/>
  <c r="D458" i="51"/>
  <c r="O460" i="53"/>
  <c r="B460" i="53"/>
  <c r="E457" i="42"/>
  <c r="N457" i="42"/>
  <c r="I462" i="53"/>
  <c r="I457" i="56"/>
  <c r="I456" i="55"/>
  <c r="J459" i="51"/>
  <c r="I458" i="42"/>
  <c r="L455" i="57"/>
  <c r="I456" i="57"/>
  <c r="E455" i="55"/>
  <c r="N455" i="55"/>
  <c r="O433" i="47"/>
  <c r="G433" i="47"/>
  <c r="D456" i="56" l="1"/>
  <c r="L455" i="56"/>
  <c r="E458" i="51"/>
  <c r="N458" i="51"/>
  <c r="D461" i="53"/>
  <c r="L460" i="53"/>
  <c r="B457" i="42"/>
  <c r="O457" i="42"/>
  <c r="O455" i="55"/>
  <c r="B455" i="55"/>
  <c r="J457" i="56"/>
  <c r="N456" i="57"/>
  <c r="J456" i="57"/>
  <c r="L433" i="47"/>
  <c r="I434" i="47"/>
  <c r="G459" i="51"/>
  <c r="J458" i="42"/>
  <c r="J462" i="53"/>
  <c r="J456" i="55"/>
  <c r="N456" i="56" l="1"/>
  <c r="E456" i="56"/>
  <c r="B458" i="51"/>
  <c r="O458" i="51"/>
  <c r="E461" i="53"/>
  <c r="N461" i="53"/>
  <c r="D458" i="42"/>
  <c r="L457" i="42"/>
  <c r="I460" i="51"/>
  <c r="G457" i="56"/>
  <c r="G462" i="53"/>
  <c r="D456" i="55"/>
  <c r="L455" i="55"/>
  <c r="G456" i="55"/>
  <c r="N434" i="47"/>
  <c r="J434" i="47"/>
  <c r="O456" i="57"/>
  <c r="G456" i="57"/>
  <c r="G458" i="42"/>
  <c r="O456" i="56" l="1"/>
  <c r="B456" i="56"/>
  <c r="D459" i="51"/>
  <c r="L458" i="51"/>
  <c r="O461" i="53"/>
  <c r="B461" i="53"/>
  <c r="E458" i="42"/>
  <c r="N458" i="42"/>
  <c r="I457" i="55"/>
  <c r="I459" i="42"/>
  <c r="E456" i="55"/>
  <c r="N456" i="55"/>
  <c r="I457" i="57"/>
  <c r="L456" i="57"/>
  <c r="J460" i="51"/>
  <c r="I458" i="56"/>
  <c r="O434" i="47"/>
  <c r="G434" i="47"/>
  <c r="I463" i="53"/>
  <c r="D457" i="56" l="1"/>
  <c r="L456" i="56"/>
  <c r="N459" i="51"/>
  <c r="E459" i="51"/>
  <c r="D462" i="53"/>
  <c r="L461" i="53"/>
  <c r="O458" i="42"/>
  <c r="B458" i="42"/>
  <c r="N457" i="57"/>
  <c r="J457" i="57"/>
  <c r="J459" i="42"/>
  <c r="J458" i="56"/>
  <c r="B456" i="55"/>
  <c r="O456" i="55"/>
  <c r="J457" i="55"/>
  <c r="L434" i="47"/>
  <c r="I435" i="47"/>
  <c r="J463" i="53"/>
  <c r="G460" i="51"/>
  <c r="E457" i="56" l="1"/>
  <c r="N457" i="56"/>
  <c r="B459" i="51"/>
  <c r="O459" i="51"/>
  <c r="E462" i="53"/>
  <c r="N462" i="53"/>
  <c r="D459" i="42"/>
  <c r="L458" i="42"/>
  <c r="G459" i="42"/>
  <c r="G463" i="53"/>
  <c r="I461" i="51"/>
  <c r="G458" i="56"/>
  <c r="N435" i="47"/>
  <c r="J435" i="47"/>
  <c r="O457" i="57"/>
  <c r="G457" i="57"/>
  <c r="D457" i="55"/>
  <c r="L456" i="55"/>
  <c r="G457" i="55"/>
  <c r="B457" i="56" l="1"/>
  <c r="O457" i="56"/>
  <c r="L459" i="51"/>
  <c r="D460" i="51"/>
  <c r="O462" i="53"/>
  <c r="B462" i="53"/>
  <c r="E459" i="42"/>
  <c r="N459" i="42"/>
  <c r="E457" i="55"/>
  <c r="N457" i="55"/>
  <c r="L457" i="57"/>
  <c r="I458" i="57"/>
  <c r="I458" i="55"/>
  <c r="I460" i="42"/>
  <c r="O435" i="47"/>
  <c r="G435" i="47"/>
  <c r="J461" i="51"/>
  <c r="I464" i="53"/>
  <c r="I459" i="56"/>
  <c r="D458" i="56" l="1"/>
  <c r="L457" i="56"/>
  <c r="E460" i="51"/>
  <c r="N460" i="51"/>
  <c r="D463" i="53"/>
  <c r="L462" i="53"/>
  <c r="B459" i="42"/>
  <c r="O459" i="42"/>
  <c r="J464" i="53"/>
  <c r="G461" i="51"/>
  <c r="L435" i="47"/>
  <c r="I436" i="47"/>
  <c r="N458" i="57"/>
  <c r="J458" i="57"/>
  <c r="J460" i="42"/>
  <c r="J459" i="56"/>
  <c r="J458" i="55"/>
  <c r="O457" i="55"/>
  <c r="B457" i="55"/>
  <c r="E458" i="56" l="1"/>
  <c r="N458" i="56"/>
  <c r="B460" i="51"/>
  <c r="O460" i="51"/>
  <c r="E463" i="53"/>
  <c r="N463" i="53"/>
  <c r="D460" i="42"/>
  <c r="L459" i="42"/>
  <c r="G458" i="55"/>
  <c r="G464" i="53"/>
  <c r="G459" i="56"/>
  <c r="D458" i="55"/>
  <c r="L457" i="55"/>
  <c r="N436" i="47"/>
  <c r="J436" i="47"/>
  <c r="O458" i="57"/>
  <c r="G458" i="57"/>
  <c r="G460" i="42"/>
  <c r="I462" i="51"/>
  <c r="B458" i="56" l="1"/>
  <c r="O458" i="56"/>
  <c r="D461" i="51"/>
  <c r="L460" i="51"/>
  <c r="O463" i="53"/>
  <c r="B463" i="53"/>
  <c r="E460" i="42"/>
  <c r="N460" i="42"/>
  <c r="O436" i="47"/>
  <c r="G436" i="47"/>
  <c r="I459" i="55"/>
  <c r="J462" i="51"/>
  <c r="I461" i="42"/>
  <c r="I459" i="57"/>
  <c r="L458" i="57"/>
  <c r="E458" i="55"/>
  <c r="N458" i="55"/>
  <c r="I465" i="53"/>
  <c r="I460" i="56"/>
  <c r="D459" i="56" l="1"/>
  <c r="L458" i="56"/>
  <c r="E461" i="51"/>
  <c r="N461" i="51"/>
  <c r="D464" i="53"/>
  <c r="L463" i="53"/>
  <c r="B460" i="42"/>
  <c r="O460" i="42"/>
  <c r="J459" i="55"/>
  <c r="J460" i="56"/>
  <c r="J465" i="53"/>
  <c r="L436" i="47"/>
  <c r="I437" i="47"/>
  <c r="G462" i="51"/>
  <c r="J461" i="42"/>
  <c r="O458" i="55"/>
  <c r="B458" i="55"/>
  <c r="N459" i="57"/>
  <c r="J459" i="57"/>
  <c r="E459" i="56" l="1"/>
  <c r="N459" i="56"/>
  <c r="O461" i="51"/>
  <c r="B461" i="51"/>
  <c r="E464" i="53"/>
  <c r="N464" i="53"/>
  <c r="D461" i="42"/>
  <c r="L460" i="42"/>
  <c r="N437" i="47"/>
  <c r="J437" i="47"/>
  <c r="G461" i="42"/>
  <c r="I463" i="51"/>
  <c r="O459" i="57"/>
  <c r="G459" i="57"/>
  <c r="G460" i="56"/>
  <c r="G459" i="55"/>
  <c r="D459" i="55"/>
  <c r="L458" i="55"/>
  <c r="G465" i="53"/>
  <c r="O459" i="56" l="1"/>
  <c r="B459" i="56"/>
  <c r="D462" i="51"/>
  <c r="L461" i="51"/>
  <c r="O464" i="53"/>
  <c r="B464" i="53"/>
  <c r="E461" i="42"/>
  <c r="N461" i="42"/>
  <c r="I461" i="56"/>
  <c r="I466" i="53"/>
  <c r="I462" i="42"/>
  <c r="I460" i="55"/>
  <c r="L459" i="57"/>
  <c r="I460" i="57"/>
  <c r="O437" i="47"/>
  <c r="G437" i="47"/>
  <c r="J463" i="51"/>
  <c r="E459" i="55"/>
  <c r="N459" i="55"/>
  <c r="D460" i="56" l="1"/>
  <c r="L459" i="56"/>
  <c r="E462" i="51"/>
  <c r="N462" i="51"/>
  <c r="D465" i="53"/>
  <c r="L464" i="53"/>
  <c r="B461" i="42"/>
  <c r="O461" i="42"/>
  <c r="J460" i="55"/>
  <c r="J466" i="53"/>
  <c r="J462" i="42"/>
  <c r="B459" i="55"/>
  <c r="O459" i="55"/>
  <c r="G463" i="51"/>
  <c r="L437" i="47"/>
  <c r="I438" i="47"/>
  <c r="N460" i="57"/>
  <c r="J460" i="57"/>
  <c r="J461" i="56"/>
  <c r="E460" i="56" l="1"/>
  <c r="N460" i="56"/>
  <c r="O462" i="51"/>
  <c r="B462" i="51"/>
  <c r="E465" i="53"/>
  <c r="N465" i="53"/>
  <c r="D462" i="42"/>
  <c r="L461" i="42"/>
  <c r="N438" i="47"/>
  <c r="J438" i="47"/>
  <c r="G460" i="55"/>
  <c r="G461" i="56"/>
  <c r="G466" i="53"/>
  <c r="I464" i="51"/>
  <c r="O460" i="57"/>
  <c r="G460" i="57"/>
  <c r="D460" i="55"/>
  <c r="L459" i="55"/>
  <c r="G462" i="42"/>
  <c r="B460" i="56" l="1"/>
  <c r="O460" i="56"/>
  <c r="D463" i="51"/>
  <c r="L462" i="51"/>
  <c r="B465" i="53"/>
  <c r="O465" i="53"/>
  <c r="E462" i="42"/>
  <c r="N462" i="42"/>
  <c r="I467" i="53"/>
  <c r="I462" i="56"/>
  <c r="I461" i="57"/>
  <c r="L460" i="57"/>
  <c r="I461" i="55"/>
  <c r="J464" i="51"/>
  <c r="O438" i="47"/>
  <c r="G438" i="47"/>
  <c r="E460" i="55"/>
  <c r="N460" i="55"/>
  <c r="I463" i="42"/>
  <c r="D461" i="56" l="1"/>
  <c r="L460" i="56"/>
  <c r="E463" i="51"/>
  <c r="N463" i="51"/>
  <c r="D466" i="53"/>
  <c r="L465" i="53"/>
  <c r="B462" i="42"/>
  <c r="O462" i="42"/>
  <c r="N461" i="57"/>
  <c r="J461" i="57"/>
  <c r="J461" i="55"/>
  <c r="J463" i="42"/>
  <c r="G464" i="51"/>
  <c r="J462" i="56"/>
  <c r="J467" i="53"/>
  <c r="L438" i="47"/>
  <c r="I439" i="47"/>
  <c r="O460" i="55"/>
  <c r="B460" i="55"/>
  <c r="E461" i="56" l="1"/>
  <c r="N461" i="56"/>
  <c r="O463" i="51"/>
  <c r="B463" i="51"/>
  <c r="E466" i="53"/>
  <c r="N466" i="53"/>
  <c r="D463" i="42"/>
  <c r="L462" i="42"/>
  <c r="G467" i="53"/>
  <c r="D461" i="55"/>
  <c r="L460" i="55"/>
  <c r="G462" i="56"/>
  <c r="N439" i="47"/>
  <c r="J439" i="47"/>
  <c r="O461" i="57"/>
  <c r="G461" i="57"/>
  <c r="G461" i="55"/>
  <c r="I465" i="51"/>
  <c r="G463" i="42"/>
  <c r="O461" i="56" l="1"/>
  <c r="B461" i="56"/>
  <c r="L463" i="51"/>
  <c r="D464" i="51"/>
  <c r="B466" i="53"/>
  <c r="O466" i="53"/>
  <c r="E463" i="42"/>
  <c r="N463" i="42"/>
  <c r="I462" i="55"/>
  <c r="L461" i="57"/>
  <c r="I462" i="57"/>
  <c r="I464" i="42"/>
  <c r="J465" i="51"/>
  <c r="E461" i="55"/>
  <c r="N461" i="55"/>
  <c r="I468" i="53"/>
  <c r="O439" i="47"/>
  <c r="G439" i="47"/>
  <c r="I463" i="56"/>
  <c r="D462" i="56" l="1"/>
  <c r="L461" i="56"/>
  <c r="E464" i="51"/>
  <c r="N464" i="51"/>
  <c r="D467" i="53"/>
  <c r="L466" i="53"/>
  <c r="B463" i="42"/>
  <c r="O463" i="42"/>
  <c r="G465" i="51"/>
  <c r="O461" i="55"/>
  <c r="B461" i="55"/>
  <c r="L439" i="47"/>
  <c r="I440" i="47"/>
  <c r="J462" i="55"/>
  <c r="N462" i="57"/>
  <c r="J462" i="57"/>
  <c r="J464" i="42"/>
  <c r="J463" i="56"/>
  <c r="J468" i="53"/>
  <c r="N462" i="56" l="1"/>
  <c r="E462" i="56"/>
  <c r="B464" i="51"/>
  <c r="O464" i="51"/>
  <c r="E467" i="53"/>
  <c r="N467" i="53"/>
  <c r="D464" i="42"/>
  <c r="L463" i="42"/>
  <c r="O462" i="57"/>
  <c r="G462" i="57"/>
  <c r="G463" i="56"/>
  <c r="I466" i="51"/>
  <c r="N440" i="47"/>
  <c r="J440" i="47"/>
  <c r="G464" i="42"/>
  <c r="D462" i="55"/>
  <c r="L461" i="55"/>
  <c r="G468" i="53"/>
  <c r="G462" i="55"/>
  <c r="B462" i="56" l="1"/>
  <c r="O462" i="56"/>
  <c r="D465" i="51"/>
  <c r="L464" i="51"/>
  <c r="B467" i="53"/>
  <c r="O467" i="53"/>
  <c r="E464" i="42"/>
  <c r="N464" i="42"/>
  <c r="E462" i="55"/>
  <c r="N462" i="55"/>
  <c r="J466" i="51"/>
  <c r="I463" i="55"/>
  <c r="O440" i="47"/>
  <c r="G440" i="47"/>
  <c r="I465" i="42"/>
  <c r="I469" i="53"/>
  <c r="I463" i="57"/>
  <c r="L462" i="57"/>
  <c r="I464" i="56"/>
  <c r="L462" i="56" l="1"/>
  <c r="D463" i="56"/>
  <c r="E465" i="51"/>
  <c r="N465" i="51"/>
  <c r="D468" i="53"/>
  <c r="L467" i="53"/>
  <c r="B464" i="42"/>
  <c r="O464" i="42"/>
  <c r="J464" i="56"/>
  <c r="G466" i="51"/>
  <c r="J463" i="55"/>
  <c r="J465" i="42"/>
  <c r="J469" i="53"/>
  <c r="N463" i="57"/>
  <c r="J463" i="57"/>
  <c r="L440" i="47"/>
  <c r="I441" i="47"/>
  <c r="O462" i="55"/>
  <c r="B462" i="55"/>
  <c r="E463" i="56" l="1"/>
  <c r="N463" i="56"/>
  <c r="O465" i="51"/>
  <c r="B465" i="51"/>
  <c r="E468" i="53"/>
  <c r="N468" i="53"/>
  <c r="D465" i="42"/>
  <c r="L464" i="42"/>
  <c r="D463" i="55"/>
  <c r="L462" i="55"/>
  <c r="O463" i="57"/>
  <c r="G463" i="57"/>
  <c r="I467" i="51"/>
  <c r="G469" i="53"/>
  <c r="N441" i="47"/>
  <c r="J441" i="47"/>
  <c r="G464" i="56"/>
  <c r="G465" i="42"/>
  <c r="G463" i="55"/>
  <c r="B463" i="56" l="1"/>
  <c r="O463" i="56"/>
  <c r="D466" i="51"/>
  <c r="L465" i="51"/>
  <c r="B468" i="53"/>
  <c r="O468" i="53"/>
  <c r="E465" i="42"/>
  <c r="N465" i="42"/>
  <c r="I465" i="56"/>
  <c r="L463" i="57"/>
  <c r="I464" i="57"/>
  <c r="J467" i="51"/>
  <c r="O441" i="47"/>
  <c r="G441" i="47"/>
  <c r="I464" i="55"/>
  <c r="I470" i="53"/>
  <c r="E463" i="55"/>
  <c r="N463" i="55"/>
  <c r="I466" i="42"/>
  <c r="D464" i="56" l="1"/>
  <c r="L463" i="56"/>
  <c r="N466" i="51"/>
  <c r="E466" i="51"/>
  <c r="D469" i="53"/>
  <c r="L468" i="53"/>
  <c r="B465" i="42"/>
  <c r="O465" i="42"/>
  <c r="G467" i="51"/>
  <c r="J466" i="42"/>
  <c r="J464" i="55"/>
  <c r="J470" i="53"/>
  <c r="L441" i="47"/>
  <c r="I442" i="47"/>
  <c r="J465" i="56"/>
  <c r="N464" i="57"/>
  <c r="J464" i="57"/>
  <c r="B463" i="55"/>
  <c r="O463" i="55"/>
  <c r="E464" i="56" l="1"/>
  <c r="N464" i="56"/>
  <c r="O466" i="51"/>
  <c r="B466" i="51"/>
  <c r="E469" i="53"/>
  <c r="N469" i="53"/>
  <c r="D466" i="42"/>
  <c r="L465" i="42"/>
  <c r="G470" i="53"/>
  <c r="D464" i="55"/>
  <c r="L463" i="55"/>
  <c r="G465" i="56"/>
  <c r="G466" i="42"/>
  <c r="I468" i="51"/>
  <c r="O464" i="57"/>
  <c r="G464" i="57"/>
  <c r="G464" i="55"/>
  <c r="N442" i="47"/>
  <c r="J442" i="47"/>
  <c r="B464" i="56" l="1"/>
  <c r="O464" i="56"/>
  <c r="L466" i="51"/>
  <c r="D467" i="51"/>
  <c r="B469" i="53"/>
  <c r="O469" i="53"/>
  <c r="E466" i="42"/>
  <c r="N466" i="42"/>
  <c r="I465" i="57"/>
  <c r="L464" i="57"/>
  <c r="E464" i="55"/>
  <c r="N464" i="55"/>
  <c r="I465" i="55"/>
  <c r="I466" i="56"/>
  <c r="O442" i="47"/>
  <c r="G442" i="47"/>
  <c r="I471" i="53"/>
  <c r="J468" i="51"/>
  <c r="X192" i="51"/>
  <c r="I467" i="42"/>
  <c r="D465" i="56" l="1"/>
  <c r="L464" i="56"/>
  <c r="E467" i="51"/>
  <c r="N467" i="51"/>
  <c r="D470" i="53"/>
  <c r="L469" i="53"/>
  <c r="B466" i="42"/>
  <c r="O466" i="42"/>
  <c r="J467" i="42"/>
  <c r="X191" i="42"/>
  <c r="J466" i="56"/>
  <c r="X190" i="56"/>
  <c r="O464" i="55"/>
  <c r="B464" i="55"/>
  <c r="Y192" i="51"/>
  <c r="G468" i="51"/>
  <c r="L442" i="47"/>
  <c r="I443" i="47"/>
  <c r="J471" i="53"/>
  <c r="X195" i="53"/>
  <c r="J465" i="55"/>
  <c r="X189" i="55"/>
  <c r="N465" i="57"/>
  <c r="J465" i="57"/>
  <c r="X189" i="57"/>
  <c r="AC189" i="57" s="1"/>
  <c r="N465" i="56" l="1"/>
  <c r="E465" i="56"/>
  <c r="B467" i="51"/>
  <c r="O467" i="51"/>
  <c r="E470" i="53"/>
  <c r="N470" i="53"/>
  <c r="D467" i="42"/>
  <c r="L466" i="42"/>
  <c r="I469" i="51"/>
  <c r="V192" i="51"/>
  <c r="Y195" i="53"/>
  <c r="G471" i="53"/>
  <c r="D465" i="55"/>
  <c r="L464" i="55"/>
  <c r="Y190" i="56"/>
  <c r="G466" i="56"/>
  <c r="Y189" i="55"/>
  <c r="G465" i="55"/>
  <c r="Y191" i="42"/>
  <c r="G467" i="42"/>
  <c r="O465" i="57"/>
  <c r="Y189" i="57"/>
  <c r="AD189" i="57" s="1"/>
  <c r="G465" i="57"/>
  <c r="N443" i="47"/>
  <c r="J443" i="47"/>
  <c r="B465" i="56" l="1"/>
  <c r="O465" i="56"/>
  <c r="D468" i="51"/>
  <c r="L467" i="51"/>
  <c r="B470" i="53"/>
  <c r="O470" i="53"/>
  <c r="E467" i="42"/>
  <c r="S191" i="42"/>
  <c r="AC191" i="42" s="1"/>
  <c r="N467" i="42"/>
  <c r="V191" i="42"/>
  <c r="I468" i="42"/>
  <c r="I467" i="56"/>
  <c r="V190" i="56"/>
  <c r="O443" i="47"/>
  <c r="G443" i="47"/>
  <c r="I466" i="55"/>
  <c r="V189" i="55"/>
  <c r="I472" i="53"/>
  <c r="V195" i="53"/>
  <c r="L465" i="57"/>
  <c r="V189" i="57"/>
  <c r="AA189" i="57" s="1"/>
  <c r="I466" i="57"/>
  <c r="E465" i="55"/>
  <c r="S189" i="55"/>
  <c r="AC189" i="55" s="1"/>
  <c r="N465" i="55"/>
  <c r="J469" i="51"/>
  <c r="D466" i="56" l="1"/>
  <c r="L465" i="56"/>
  <c r="E468" i="51"/>
  <c r="S192" i="51"/>
  <c r="AC192" i="51" s="1"/>
  <c r="N468" i="51"/>
  <c r="D471" i="53"/>
  <c r="L470" i="53"/>
  <c r="T191" i="42"/>
  <c r="AD191" i="42" s="1"/>
  <c r="B467" i="42"/>
  <c r="O467" i="42"/>
  <c r="G469" i="51"/>
  <c r="J467" i="56"/>
  <c r="J466" i="55"/>
  <c r="J468" i="42"/>
  <c r="T189" i="55"/>
  <c r="AD189" i="55" s="1"/>
  <c r="O465" i="55"/>
  <c r="B465" i="55"/>
  <c r="L443" i="47"/>
  <c r="I444" i="47"/>
  <c r="J472" i="53"/>
  <c r="N466" i="57"/>
  <c r="J466" i="57"/>
  <c r="N466" i="56" l="1"/>
  <c r="S190" i="56"/>
  <c r="AC190" i="56" s="1"/>
  <c r="E466" i="56"/>
  <c r="B468" i="51"/>
  <c r="T192" i="51"/>
  <c r="AD192" i="51" s="1"/>
  <c r="O468" i="51"/>
  <c r="E471" i="53"/>
  <c r="S195" i="53"/>
  <c r="AC195" i="53" s="1"/>
  <c r="N471" i="53"/>
  <c r="D468" i="42"/>
  <c r="Q191" i="42"/>
  <c r="AA191" i="42" s="1"/>
  <c r="L467" i="42"/>
  <c r="G468" i="42"/>
  <c r="O466" i="57"/>
  <c r="G466" i="57"/>
  <c r="N444" i="47"/>
  <c r="J444" i="47"/>
  <c r="X168" i="47"/>
  <c r="AC168" i="47" s="1"/>
  <c r="G466" i="55"/>
  <c r="I470" i="51"/>
  <c r="G467" i="56"/>
  <c r="D466" i="55"/>
  <c r="Q189" i="55"/>
  <c r="AA189" i="55" s="1"/>
  <c r="L465" i="55"/>
  <c r="G472" i="53"/>
  <c r="O466" i="56" l="1"/>
  <c r="B466" i="56"/>
  <c r="T190" i="56"/>
  <c r="AD190" i="56" s="1"/>
  <c r="D469" i="51"/>
  <c r="Q192" i="51"/>
  <c r="AA192" i="51" s="1"/>
  <c r="L468" i="51"/>
  <c r="T195" i="53"/>
  <c r="AD195" i="53" s="1"/>
  <c r="O471" i="53"/>
  <c r="B471" i="53"/>
  <c r="E468" i="42"/>
  <c r="N468" i="42"/>
  <c r="I467" i="55"/>
  <c r="I468" i="56"/>
  <c r="O444" i="47"/>
  <c r="Y168" i="47"/>
  <c r="AD168" i="47" s="1"/>
  <c r="G444" i="47"/>
  <c r="I469" i="42"/>
  <c r="I473" i="53"/>
  <c r="E466" i="55"/>
  <c r="N466" i="55"/>
  <c r="L466" i="57"/>
  <c r="I467" i="57"/>
  <c r="J470" i="51"/>
  <c r="Q190" i="56" l="1"/>
  <c r="AA190" i="56" s="1"/>
  <c r="D467" i="56"/>
  <c r="L466" i="56"/>
  <c r="N469" i="51"/>
  <c r="E469" i="51"/>
  <c r="D472" i="53"/>
  <c r="Q195" i="53"/>
  <c r="AA195" i="53" s="1"/>
  <c r="L471" i="53"/>
  <c r="B468" i="42"/>
  <c r="O468" i="42"/>
  <c r="J468" i="56"/>
  <c r="N467" i="57"/>
  <c r="J467" i="57"/>
  <c r="J469" i="42"/>
  <c r="G470" i="51"/>
  <c r="J467" i="55"/>
  <c r="J473" i="53"/>
  <c r="B466" i="55"/>
  <c r="O466" i="55"/>
  <c r="V168" i="47"/>
  <c r="AA168" i="47" s="1"/>
  <c r="L444" i="47"/>
  <c r="I445" i="47"/>
  <c r="E467" i="56" l="1"/>
  <c r="N467" i="56"/>
  <c r="O469" i="51"/>
  <c r="B469" i="51"/>
  <c r="E472" i="53"/>
  <c r="N472" i="53"/>
  <c r="D469" i="42"/>
  <c r="L468" i="42"/>
  <c r="N445" i="47"/>
  <c r="J445" i="47"/>
  <c r="G469" i="42"/>
  <c r="O467" i="57"/>
  <c r="G467" i="57"/>
  <c r="I471" i="51"/>
  <c r="G468" i="56"/>
  <c r="G467" i="55"/>
  <c r="D467" i="55"/>
  <c r="L466" i="55"/>
  <c r="G473" i="53"/>
  <c r="O467" i="56" l="1"/>
  <c r="B467" i="56"/>
  <c r="D470" i="51"/>
  <c r="L469" i="51"/>
  <c r="O472" i="53"/>
  <c r="B472" i="53"/>
  <c r="E469" i="42"/>
  <c r="N469" i="42"/>
  <c r="J471" i="51"/>
  <c r="I470" i="42"/>
  <c r="I474" i="53"/>
  <c r="O445" i="47"/>
  <c r="G445" i="47"/>
  <c r="E467" i="55"/>
  <c r="N467" i="55"/>
  <c r="I468" i="55"/>
  <c r="L467" i="57"/>
  <c r="I468" i="57"/>
  <c r="I469" i="56"/>
  <c r="D468" i="56" l="1"/>
  <c r="L467" i="56"/>
  <c r="E470" i="51"/>
  <c r="N470" i="51"/>
  <c r="D473" i="53"/>
  <c r="L472" i="53"/>
  <c r="B469" i="42"/>
  <c r="O469" i="42"/>
  <c r="J474" i="53"/>
  <c r="J469" i="56"/>
  <c r="N468" i="57"/>
  <c r="J468" i="57"/>
  <c r="J468" i="55"/>
  <c r="J470" i="42"/>
  <c r="L445" i="47"/>
  <c r="I446" i="47"/>
  <c r="G471" i="51"/>
  <c r="O467" i="55"/>
  <c r="B467" i="55"/>
  <c r="E468" i="56" l="1"/>
  <c r="N468" i="56"/>
  <c r="B470" i="51"/>
  <c r="O470" i="51"/>
  <c r="E473" i="53"/>
  <c r="N473" i="53"/>
  <c r="D470" i="42"/>
  <c r="L469" i="42"/>
  <c r="O468" i="57"/>
  <c r="G468" i="57"/>
  <c r="G469" i="56"/>
  <c r="G468" i="55"/>
  <c r="D468" i="55"/>
  <c r="L467" i="55"/>
  <c r="N446" i="47"/>
  <c r="J446" i="47"/>
  <c r="G474" i="53"/>
  <c r="I472" i="51"/>
  <c r="G470" i="42"/>
  <c r="B468" i="56" l="1"/>
  <c r="O468" i="56"/>
  <c r="L470" i="51"/>
  <c r="D471" i="51"/>
  <c r="O473" i="53"/>
  <c r="B473" i="53"/>
  <c r="E470" i="42"/>
  <c r="N470" i="42"/>
  <c r="I470" i="56"/>
  <c r="E468" i="55"/>
  <c r="N468" i="55"/>
  <c r="I469" i="57"/>
  <c r="L468" i="57"/>
  <c r="I475" i="53"/>
  <c r="I471" i="42"/>
  <c r="J472" i="51"/>
  <c r="O446" i="47"/>
  <c r="G446" i="47"/>
  <c r="I469" i="55"/>
  <c r="D469" i="56" l="1"/>
  <c r="L468" i="56"/>
  <c r="N471" i="51"/>
  <c r="E471" i="51"/>
  <c r="D474" i="53"/>
  <c r="L473" i="53"/>
  <c r="O470" i="42"/>
  <c r="B470" i="42"/>
  <c r="L446" i="47"/>
  <c r="I447" i="47"/>
  <c r="J475" i="53"/>
  <c r="J471" i="42"/>
  <c r="J469" i="55"/>
  <c r="N469" i="57"/>
  <c r="J469" i="57"/>
  <c r="B468" i="55"/>
  <c r="O468" i="55"/>
  <c r="G472" i="51"/>
  <c r="J470" i="56"/>
  <c r="E469" i="56" l="1"/>
  <c r="N469" i="56"/>
  <c r="B471" i="51"/>
  <c r="O471" i="51"/>
  <c r="E474" i="53"/>
  <c r="N474" i="53"/>
  <c r="D471" i="42"/>
  <c r="L470" i="42"/>
  <c r="G471" i="42"/>
  <c r="N447" i="47"/>
  <c r="J447" i="47"/>
  <c r="G475" i="53"/>
  <c r="D469" i="55"/>
  <c r="L468" i="55"/>
  <c r="G470" i="56"/>
  <c r="I473" i="51"/>
  <c r="G469" i="55"/>
  <c r="O469" i="57"/>
  <c r="G469" i="57"/>
  <c r="O469" i="56" l="1"/>
  <c r="B469" i="56"/>
  <c r="L471" i="51"/>
  <c r="D472" i="51"/>
  <c r="O474" i="53"/>
  <c r="B474" i="53"/>
  <c r="E471" i="42"/>
  <c r="N471" i="42"/>
  <c r="O447" i="47"/>
  <c r="G447" i="47"/>
  <c r="E469" i="55"/>
  <c r="N469" i="55"/>
  <c r="I476" i="53"/>
  <c r="L469" i="57"/>
  <c r="I470" i="57"/>
  <c r="I472" i="42"/>
  <c r="I471" i="56"/>
  <c r="I470" i="55"/>
  <c r="J473" i="51"/>
  <c r="D470" i="56" l="1"/>
  <c r="L469" i="56"/>
  <c r="E472" i="51"/>
  <c r="N472" i="51"/>
  <c r="D475" i="53"/>
  <c r="L474" i="53"/>
  <c r="B471" i="42"/>
  <c r="O471" i="42"/>
  <c r="J470" i="55"/>
  <c r="O469" i="55"/>
  <c r="B469" i="55"/>
  <c r="J476" i="53"/>
  <c r="L447" i="47"/>
  <c r="I448" i="47"/>
  <c r="J472" i="42"/>
  <c r="N470" i="57"/>
  <c r="J470" i="57"/>
  <c r="J471" i="56"/>
  <c r="G473" i="51"/>
  <c r="E470" i="56" l="1"/>
  <c r="N470" i="56"/>
  <c r="B472" i="51"/>
  <c r="O472" i="51"/>
  <c r="E475" i="53"/>
  <c r="N475" i="53"/>
  <c r="D472" i="42"/>
  <c r="L471" i="42"/>
  <c r="N448" i="47"/>
  <c r="J448" i="47"/>
  <c r="I474" i="51"/>
  <c r="D470" i="55"/>
  <c r="L469" i="55"/>
  <c r="G471" i="56"/>
  <c r="G470" i="55"/>
  <c r="G476" i="53"/>
  <c r="G472" i="42"/>
  <c r="O470" i="57"/>
  <c r="G470" i="57"/>
  <c r="B470" i="56" l="1"/>
  <c r="O470" i="56"/>
  <c r="D473" i="51"/>
  <c r="L472" i="51"/>
  <c r="O475" i="53"/>
  <c r="B475" i="53"/>
  <c r="E472" i="42"/>
  <c r="N472" i="42"/>
  <c r="I471" i="55"/>
  <c r="J474" i="51"/>
  <c r="E470" i="55"/>
  <c r="N470" i="55"/>
  <c r="I472" i="56"/>
  <c r="I477" i="53"/>
  <c r="O448" i="47"/>
  <c r="G448" i="47"/>
  <c r="I473" i="42"/>
  <c r="I471" i="57"/>
  <c r="L470" i="57"/>
  <c r="D471" i="56" l="1"/>
  <c r="L470" i="56"/>
  <c r="E473" i="51"/>
  <c r="N473" i="51"/>
  <c r="D476" i="53"/>
  <c r="L475" i="53"/>
  <c r="B472" i="42"/>
  <c r="O472" i="42"/>
  <c r="B470" i="55"/>
  <c r="O470" i="55"/>
  <c r="G474" i="51"/>
  <c r="J477" i="53"/>
  <c r="J472" i="56"/>
  <c r="J471" i="55"/>
  <c r="J473" i="42"/>
  <c r="L448" i="47"/>
  <c r="I449" i="47"/>
  <c r="N471" i="57"/>
  <c r="J471" i="57"/>
  <c r="E471" i="56" l="1"/>
  <c r="N471" i="56"/>
  <c r="B473" i="51"/>
  <c r="O473" i="51"/>
  <c r="E476" i="53"/>
  <c r="N476" i="53"/>
  <c r="D473" i="42"/>
  <c r="L472" i="42"/>
  <c r="G471" i="55"/>
  <c r="G473" i="42"/>
  <c r="G477" i="53"/>
  <c r="I475" i="51"/>
  <c r="N449" i="47"/>
  <c r="J449" i="47"/>
  <c r="D471" i="55"/>
  <c r="L470" i="55"/>
  <c r="O471" i="57"/>
  <c r="G471" i="57"/>
  <c r="G472" i="56"/>
  <c r="B471" i="56" l="1"/>
  <c r="O471" i="56"/>
  <c r="D474" i="51"/>
  <c r="L473" i="51"/>
  <c r="O476" i="53"/>
  <c r="B476" i="53"/>
  <c r="E473" i="42"/>
  <c r="N473" i="42"/>
  <c r="E471" i="55"/>
  <c r="N471" i="55"/>
  <c r="J475" i="51"/>
  <c r="I473" i="56"/>
  <c r="L471" i="57"/>
  <c r="I472" i="57"/>
  <c r="I478" i="53"/>
  <c r="I472" i="55"/>
  <c r="I474" i="42"/>
  <c r="O449" i="47"/>
  <c r="G449" i="47"/>
  <c r="L471" i="56" l="1"/>
  <c r="D472" i="56"/>
  <c r="E474" i="51"/>
  <c r="N474" i="51"/>
  <c r="D477" i="53"/>
  <c r="L476" i="53"/>
  <c r="B473" i="42"/>
  <c r="O473" i="42"/>
  <c r="L449" i="47"/>
  <c r="I450" i="47"/>
  <c r="J473" i="56"/>
  <c r="J474" i="42"/>
  <c r="G475" i="51"/>
  <c r="N472" i="57"/>
  <c r="J472" i="57"/>
  <c r="J472" i="55"/>
  <c r="J478" i="53"/>
  <c r="O471" i="55"/>
  <c r="B471" i="55"/>
  <c r="E472" i="56" l="1"/>
  <c r="N472" i="56"/>
  <c r="B474" i="51"/>
  <c r="O474" i="51"/>
  <c r="E477" i="53"/>
  <c r="N477" i="53"/>
  <c r="D474" i="42"/>
  <c r="L473" i="42"/>
  <c r="D472" i="55"/>
  <c r="L471" i="55"/>
  <c r="G473" i="56"/>
  <c r="O472" i="57"/>
  <c r="G472" i="57"/>
  <c r="N450" i="47"/>
  <c r="J450" i="47"/>
  <c r="G474" i="42"/>
  <c r="G472" i="55"/>
  <c r="G478" i="53"/>
  <c r="I476" i="51"/>
  <c r="B472" i="56" l="1"/>
  <c r="O472" i="56"/>
  <c r="D475" i="51"/>
  <c r="L474" i="51"/>
  <c r="B477" i="53"/>
  <c r="O477" i="53"/>
  <c r="E474" i="42"/>
  <c r="N474" i="42"/>
  <c r="I473" i="55"/>
  <c r="O450" i="47"/>
  <c r="G450" i="47"/>
  <c r="J476" i="51"/>
  <c r="I474" i="56"/>
  <c r="I475" i="42"/>
  <c r="I479" i="53"/>
  <c r="I473" i="57"/>
  <c r="L472" i="57"/>
  <c r="E472" i="55"/>
  <c r="N472" i="55"/>
  <c r="D473" i="56" l="1"/>
  <c r="L472" i="56"/>
  <c r="N475" i="51"/>
  <c r="E475" i="51"/>
  <c r="D478" i="53"/>
  <c r="L477" i="53"/>
  <c r="B474" i="42"/>
  <c r="O474" i="42"/>
  <c r="G476" i="51"/>
  <c r="N473" i="57"/>
  <c r="J473" i="57"/>
  <c r="L450" i="47"/>
  <c r="I451" i="47"/>
  <c r="J475" i="42"/>
  <c r="J473" i="55"/>
  <c r="J474" i="56"/>
  <c r="B472" i="55"/>
  <c r="O472" i="55"/>
  <c r="J479" i="53"/>
  <c r="E473" i="56" l="1"/>
  <c r="N473" i="56"/>
  <c r="O475" i="51"/>
  <c r="B475" i="51"/>
  <c r="E478" i="53"/>
  <c r="N478" i="53"/>
  <c r="D475" i="42"/>
  <c r="L474" i="42"/>
  <c r="G474" i="56"/>
  <c r="N451" i="47"/>
  <c r="J451" i="47"/>
  <c r="G473" i="55"/>
  <c r="G479" i="53"/>
  <c r="O473" i="57"/>
  <c r="G473" i="57"/>
  <c r="I477" i="51"/>
  <c r="G475" i="42"/>
  <c r="D473" i="55"/>
  <c r="L472" i="55"/>
  <c r="B473" i="56" l="1"/>
  <c r="O473" i="56"/>
  <c r="L475" i="51"/>
  <c r="D476" i="51"/>
  <c r="B478" i="53"/>
  <c r="O478" i="53"/>
  <c r="E475" i="42"/>
  <c r="N475" i="42"/>
  <c r="I474" i="55"/>
  <c r="L473" i="57"/>
  <c r="I474" i="57"/>
  <c r="J477" i="51"/>
  <c r="O451" i="47"/>
  <c r="G451" i="47"/>
  <c r="I480" i="53"/>
  <c r="I475" i="56"/>
  <c r="E473" i="55"/>
  <c r="N473" i="55"/>
  <c r="I476" i="42"/>
  <c r="D474" i="56" l="1"/>
  <c r="L473" i="56"/>
  <c r="E476" i="51"/>
  <c r="N476" i="51"/>
  <c r="D479" i="53"/>
  <c r="L478" i="53"/>
  <c r="B475" i="42"/>
  <c r="O475" i="42"/>
  <c r="G477" i="51"/>
  <c r="J476" i="42"/>
  <c r="B473" i="55"/>
  <c r="O473" i="55"/>
  <c r="N474" i="57"/>
  <c r="J474" i="57"/>
  <c r="J480" i="53"/>
  <c r="L451" i="47"/>
  <c r="I452" i="47"/>
  <c r="J475" i="56"/>
  <c r="J474" i="55"/>
  <c r="E474" i="56" l="1"/>
  <c r="N474" i="56"/>
  <c r="O476" i="51"/>
  <c r="B476" i="51"/>
  <c r="E479" i="53"/>
  <c r="N479" i="53"/>
  <c r="D476" i="42"/>
  <c r="L475" i="42"/>
  <c r="N452" i="47"/>
  <c r="J452" i="47"/>
  <c r="G474" i="55"/>
  <c r="O474" i="57"/>
  <c r="G474" i="57"/>
  <c r="D474" i="55"/>
  <c r="L473" i="55"/>
  <c r="G476" i="42"/>
  <c r="G480" i="53"/>
  <c r="I478" i="51"/>
  <c r="G475" i="56"/>
  <c r="B474" i="56" l="1"/>
  <c r="O474" i="56"/>
  <c r="L476" i="51"/>
  <c r="D477" i="51"/>
  <c r="B479" i="53"/>
  <c r="O479" i="53"/>
  <c r="E476" i="42"/>
  <c r="N476" i="42"/>
  <c r="I475" i="57"/>
  <c r="L474" i="57"/>
  <c r="J478" i="51"/>
  <c r="I476" i="56"/>
  <c r="I477" i="42"/>
  <c r="I475" i="55"/>
  <c r="O452" i="47"/>
  <c r="G452" i="47"/>
  <c r="I481" i="53"/>
  <c r="E474" i="55"/>
  <c r="N474" i="55"/>
  <c r="D475" i="56" l="1"/>
  <c r="L474" i="56"/>
  <c r="E477" i="51"/>
  <c r="N477" i="51"/>
  <c r="D480" i="53"/>
  <c r="L479" i="53"/>
  <c r="B476" i="42"/>
  <c r="O476" i="42"/>
  <c r="J476" i="56"/>
  <c r="B474" i="55"/>
  <c r="O474" i="55"/>
  <c r="J481" i="53"/>
  <c r="J477" i="42"/>
  <c r="L452" i="47"/>
  <c r="I453" i="47"/>
  <c r="J475" i="55"/>
  <c r="G478" i="51"/>
  <c r="N475" i="57"/>
  <c r="J475" i="57"/>
  <c r="E475" i="56" l="1"/>
  <c r="N475" i="56"/>
  <c r="B477" i="51"/>
  <c r="O477" i="51"/>
  <c r="E480" i="53"/>
  <c r="N480" i="53"/>
  <c r="D477" i="42"/>
  <c r="L476" i="42"/>
  <c r="G477" i="42"/>
  <c r="G481" i="53"/>
  <c r="O475" i="57"/>
  <c r="G475" i="57"/>
  <c r="D475" i="55"/>
  <c r="L474" i="55"/>
  <c r="G475" i="55"/>
  <c r="G476" i="56"/>
  <c r="I479" i="51"/>
  <c r="N453" i="47"/>
  <c r="J453" i="47"/>
  <c r="B475" i="56" l="1"/>
  <c r="O475" i="56"/>
  <c r="L477" i="51"/>
  <c r="D478" i="51"/>
  <c r="B480" i="53"/>
  <c r="O480" i="53"/>
  <c r="E477" i="42"/>
  <c r="N477" i="42"/>
  <c r="L475" i="57"/>
  <c r="I476" i="57"/>
  <c r="J479" i="51"/>
  <c r="I482" i="53"/>
  <c r="I476" i="55"/>
  <c r="I478" i="42"/>
  <c r="I477" i="56"/>
  <c r="O453" i="47"/>
  <c r="G453" i="47"/>
  <c r="E475" i="55"/>
  <c r="N475" i="55"/>
  <c r="D476" i="56" l="1"/>
  <c r="L475" i="56"/>
  <c r="E478" i="51"/>
  <c r="N478" i="51"/>
  <c r="D481" i="53"/>
  <c r="L480" i="53"/>
  <c r="B477" i="42"/>
  <c r="O477" i="42"/>
  <c r="J478" i="42"/>
  <c r="N476" i="57"/>
  <c r="J476" i="57"/>
  <c r="J477" i="56"/>
  <c r="J482" i="53"/>
  <c r="G479" i="51"/>
  <c r="B475" i="55"/>
  <c r="O475" i="55"/>
  <c r="L453" i="47"/>
  <c r="I454" i="47"/>
  <c r="J476" i="55"/>
  <c r="E476" i="56" l="1"/>
  <c r="N476" i="56"/>
  <c r="B478" i="51"/>
  <c r="O478" i="51"/>
  <c r="E481" i="53"/>
  <c r="N481" i="53"/>
  <c r="D478" i="42"/>
  <c r="L477" i="42"/>
  <c r="G478" i="42"/>
  <c r="G476" i="55"/>
  <c r="G482" i="53"/>
  <c r="D476" i="55"/>
  <c r="L475" i="55"/>
  <c r="N454" i="47"/>
  <c r="J454" i="47"/>
  <c r="O476" i="57"/>
  <c r="G476" i="57"/>
  <c r="I480" i="51"/>
  <c r="G477" i="56"/>
  <c r="B476" i="56" l="1"/>
  <c r="O476" i="56"/>
  <c r="D479" i="51"/>
  <c r="L478" i="51"/>
  <c r="B481" i="53"/>
  <c r="O481" i="53"/>
  <c r="E478" i="42"/>
  <c r="N478" i="42"/>
  <c r="J480" i="51"/>
  <c r="X193" i="51"/>
  <c r="I477" i="57"/>
  <c r="L476" i="57"/>
  <c r="O454" i="47"/>
  <c r="G454" i="47"/>
  <c r="I483" i="53"/>
  <c r="I479" i="42"/>
  <c r="E476" i="55"/>
  <c r="N476" i="55"/>
  <c r="I477" i="55"/>
  <c r="I478" i="56"/>
  <c r="D477" i="56" l="1"/>
  <c r="L476" i="56"/>
  <c r="N479" i="51"/>
  <c r="E479" i="51"/>
  <c r="D482" i="53"/>
  <c r="L481" i="53"/>
  <c r="B478" i="42"/>
  <c r="O478" i="42"/>
  <c r="L454" i="47"/>
  <c r="I455" i="47"/>
  <c r="J477" i="55"/>
  <c r="X190" i="55"/>
  <c r="J479" i="42"/>
  <c r="X192" i="42"/>
  <c r="J478" i="56"/>
  <c r="X191" i="56"/>
  <c r="N477" i="57"/>
  <c r="J477" i="57"/>
  <c r="X190" i="57"/>
  <c r="AC190" i="57" s="1"/>
  <c r="J483" i="53"/>
  <c r="X196" i="53"/>
  <c r="B476" i="55"/>
  <c r="O476" i="55"/>
  <c r="Y193" i="51"/>
  <c r="G480" i="51"/>
  <c r="E477" i="56" l="1"/>
  <c r="N477" i="56"/>
  <c r="B479" i="51"/>
  <c r="O479" i="51"/>
  <c r="E482" i="53"/>
  <c r="N482" i="53"/>
  <c r="D479" i="42"/>
  <c r="L478" i="42"/>
  <c r="Y191" i="56"/>
  <c r="G478" i="56"/>
  <c r="N455" i="47"/>
  <c r="J455" i="47"/>
  <c r="Y192" i="42"/>
  <c r="G479" i="42"/>
  <c r="D477" i="55"/>
  <c r="L476" i="55"/>
  <c r="Y190" i="55"/>
  <c r="G477" i="55"/>
  <c r="I481" i="51"/>
  <c r="V193" i="51"/>
  <c r="O477" i="57"/>
  <c r="Y190" i="57"/>
  <c r="AD190" i="57" s="1"/>
  <c r="G477" i="57"/>
  <c r="Y196" i="53"/>
  <c r="G483" i="53"/>
  <c r="B477" i="56" l="1"/>
  <c r="O477" i="56"/>
  <c r="D480" i="51"/>
  <c r="L479" i="51"/>
  <c r="B482" i="53"/>
  <c r="O482" i="53"/>
  <c r="E479" i="42"/>
  <c r="S192" i="42"/>
  <c r="AC192" i="42" s="1"/>
  <c r="N479" i="42"/>
  <c r="V190" i="57"/>
  <c r="AA190" i="57" s="1"/>
  <c r="L477" i="57"/>
  <c r="I478" i="57"/>
  <c r="O455" i="47"/>
  <c r="G455" i="47"/>
  <c r="V192" i="42"/>
  <c r="I480" i="42"/>
  <c r="I479" i="56"/>
  <c r="V191" i="56"/>
  <c r="E477" i="55"/>
  <c r="S190" i="55"/>
  <c r="AC190" i="55" s="1"/>
  <c r="N477" i="55"/>
  <c r="I484" i="53"/>
  <c r="V196" i="53"/>
  <c r="J481" i="51"/>
  <c r="I478" i="55"/>
  <c r="V190" i="55"/>
  <c r="D478" i="56" l="1"/>
  <c r="L477" i="56"/>
  <c r="E480" i="51"/>
  <c r="S193" i="51"/>
  <c r="AC193" i="51" s="1"/>
  <c r="N480" i="51"/>
  <c r="D483" i="53"/>
  <c r="L482" i="53"/>
  <c r="T192" i="42"/>
  <c r="AD192" i="42" s="1"/>
  <c r="B479" i="42"/>
  <c r="O479" i="42"/>
  <c r="L455" i="47"/>
  <c r="I456" i="47"/>
  <c r="N478" i="57"/>
  <c r="J478" i="57"/>
  <c r="J484" i="53"/>
  <c r="J479" i="56"/>
  <c r="G481" i="51"/>
  <c r="T190" i="55"/>
  <c r="AD190" i="55" s="1"/>
  <c r="O477" i="55"/>
  <c r="B477" i="55"/>
  <c r="J480" i="42"/>
  <c r="J478" i="55"/>
  <c r="N478" i="56" l="1"/>
  <c r="E478" i="56"/>
  <c r="S191" i="56"/>
  <c r="AC191" i="56" s="1"/>
  <c r="O480" i="51"/>
  <c r="T193" i="51"/>
  <c r="AD193" i="51" s="1"/>
  <c r="B480" i="51"/>
  <c r="E483" i="53"/>
  <c r="S196" i="53"/>
  <c r="AC196" i="53" s="1"/>
  <c r="N483" i="53"/>
  <c r="Q192" i="42"/>
  <c r="AA192" i="42" s="1"/>
  <c r="D480" i="42"/>
  <c r="L479" i="42"/>
  <c r="I482" i="51"/>
  <c r="O478" i="57"/>
  <c r="G478" i="57"/>
  <c r="N456" i="47"/>
  <c r="J456" i="47"/>
  <c r="X169" i="47"/>
  <c r="AC169" i="47" s="1"/>
  <c r="G480" i="42"/>
  <c r="G478" i="55"/>
  <c r="G479" i="56"/>
  <c r="Q190" i="55"/>
  <c r="AA190" i="55" s="1"/>
  <c r="D478" i="55"/>
  <c r="L477" i="55"/>
  <c r="G484" i="53"/>
  <c r="B478" i="56" l="1"/>
  <c r="T191" i="56"/>
  <c r="AD191" i="56" s="1"/>
  <c r="O478" i="56"/>
  <c r="L480" i="51"/>
  <c r="D481" i="51"/>
  <c r="Q193" i="51"/>
  <c r="AA193" i="51" s="1"/>
  <c r="T196" i="53"/>
  <c r="AD196" i="53" s="1"/>
  <c r="O483" i="53"/>
  <c r="B483" i="53"/>
  <c r="E480" i="42"/>
  <c r="N480" i="42"/>
  <c r="E478" i="55"/>
  <c r="N478" i="55"/>
  <c r="I481" i="42"/>
  <c r="J482" i="51"/>
  <c r="I480" i="56"/>
  <c r="O456" i="47"/>
  <c r="Y169" i="47"/>
  <c r="AD169" i="47" s="1"/>
  <c r="G456" i="47"/>
  <c r="I485" i="53"/>
  <c r="I479" i="55"/>
  <c r="I479" i="57"/>
  <c r="L478" i="57"/>
  <c r="Q191" i="56" l="1"/>
  <c r="AA191" i="56" s="1"/>
  <c r="D479" i="56"/>
  <c r="L478" i="56"/>
  <c r="N481" i="51"/>
  <c r="E481" i="51"/>
  <c r="D484" i="53"/>
  <c r="Q196" i="53"/>
  <c r="AA196" i="53" s="1"/>
  <c r="L483" i="53"/>
  <c r="B480" i="42"/>
  <c r="O480" i="42"/>
  <c r="G482" i="51"/>
  <c r="J481" i="42"/>
  <c r="J480" i="56"/>
  <c r="O478" i="55"/>
  <c r="B478" i="55"/>
  <c r="V169" i="47"/>
  <c r="AA169" i="47" s="1"/>
  <c r="L456" i="47"/>
  <c r="I457" i="47"/>
  <c r="J479" i="55"/>
  <c r="N479" i="57"/>
  <c r="J479" i="57"/>
  <c r="J485" i="53"/>
  <c r="E479" i="56" l="1"/>
  <c r="N479" i="56"/>
  <c r="O481" i="51"/>
  <c r="B481" i="51"/>
  <c r="E484" i="53"/>
  <c r="N484" i="53"/>
  <c r="D481" i="42"/>
  <c r="L480" i="42"/>
  <c r="O479" i="57"/>
  <c r="G479" i="57"/>
  <c r="D479" i="55"/>
  <c r="L478" i="55"/>
  <c r="G481" i="42"/>
  <c r="G479" i="55"/>
  <c r="N457" i="47"/>
  <c r="J457" i="47"/>
  <c r="G480" i="56"/>
  <c r="I483" i="51"/>
  <c r="G485" i="53"/>
  <c r="B479" i="56" l="1"/>
  <c r="O479" i="56"/>
  <c r="L481" i="51"/>
  <c r="D482" i="51"/>
  <c r="O484" i="53"/>
  <c r="B484" i="53"/>
  <c r="E481" i="42"/>
  <c r="N481" i="42"/>
  <c r="E479" i="55"/>
  <c r="N479" i="55"/>
  <c r="I480" i="55"/>
  <c r="L479" i="57"/>
  <c r="I480" i="57"/>
  <c r="O457" i="47"/>
  <c r="G457" i="47"/>
  <c r="J483" i="51"/>
  <c r="I481" i="56"/>
  <c r="I486" i="53"/>
  <c r="I482" i="42"/>
  <c r="D480" i="56" l="1"/>
  <c r="L479" i="56"/>
  <c r="N482" i="51"/>
  <c r="E482" i="51"/>
  <c r="D485" i="53"/>
  <c r="L484" i="53"/>
  <c r="B481" i="42"/>
  <c r="O481" i="42"/>
  <c r="L457" i="47"/>
  <c r="I458" i="47"/>
  <c r="J481" i="56"/>
  <c r="J482" i="42"/>
  <c r="J486" i="53"/>
  <c r="J480" i="55"/>
  <c r="G483" i="51"/>
  <c r="N480" i="57"/>
  <c r="J480" i="57"/>
  <c r="B479" i="55"/>
  <c r="O479" i="55"/>
  <c r="E480" i="56" l="1"/>
  <c r="N480" i="56"/>
  <c r="B482" i="51"/>
  <c r="O482" i="51"/>
  <c r="E485" i="53"/>
  <c r="N485" i="53"/>
  <c r="D482" i="42"/>
  <c r="L481" i="42"/>
  <c r="G481" i="56"/>
  <c r="N458" i="47"/>
  <c r="J458" i="47"/>
  <c r="G482" i="42"/>
  <c r="O480" i="57"/>
  <c r="G480" i="57"/>
  <c r="G486" i="53"/>
  <c r="I484" i="51"/>
  <c r="D480" i="55"/>
  <c r="L479" i="55"/>
  <c r="G480" i="55"/>
  <c r="B480" i="56" l="1"/>
  <c r="O480" i="56"/>
  <c r="D483" i="51"/>
  <c r="L482" i="51"/>
  <c r="O485" i="53"/>
  <c r="B485" i="53"/>
  <c r="E482" i="42"/>
  <c r="N482" i="42"/>
  <c r="O458" i="47"/>
  <c r="G458" i="47"/>
  <c r="J484" i="51"/>
  <c r="I482" i="56"/>
  <c r="E480" i="55"/>
  <c r="N480" i="55"/>
  <c r="I487" i="53"/>
  <c r="I481" i="57"/>
  <c r="L480" i="57"/>
  <c r="I481" i="55"/>
  <c r="I483" i="42"/>
  <c r="D481" i="56" l="1"/>
  <c r="L480" i="56"/>
  <c r="N483" i="51"/>
  <c r="E483" i="51"/>
  <c r="D486" i="53"/>
  <c r="L485" i="53"/>
  <c r="B482" i="42"/>
  <c r="O482" i="42"/>
  <c r="L458" i="47"/>
  <c r="I459" i="47"/>
  <c r="O480" i="55"/>
  <c r="B480" i="55"/>
  <c r="N481" i="57"/>
  <c r="J481" i="57"/>
  <c r="J481" i="55"/>
  <c r="J483" i="42"/>
  <c r="J482" i="56"/>
  <c r="G484" i="51"/>
  <c r="J487" i="53"/>
  <c r="E481" i="56" l="1"/>
  <c r="N481" i="56"/>
  <c r="B483" i="51"/>
  <c r="O483" i="51"/>
  <c r="E486" i="53"/>
  <c r="N486" i="53"/>
  <c r="D483" i="42"/>
  <c r="L482" i="42"/>
  <c r="I485" i="51"/>
  <c r="G481" i="55"/>
  <c r="N459" i="47"/>
  <c r="J459" i="47"/>
  <c r="O481" i="57"/>
  <c r="G481" i="57"/>
  <c r="G483" i="42"/>
  <c r="D481" i="55"/>
  <c r="L480" i="55"/>
  <c r="G487" i="53"/>
  <c r="G482" i="56"/>
  <c r="B481" i="56" l="1"/>
  <c r="O481" i="56"/>
  <c r="D484" i="51"/>
  <c r="L483" i="51"/>
  <c r="O486" i="53"/>
  <c r="B486" i="53"/>
  <c r="E483" i="42"/>
  <c r="N483" i="42"/>
  <c r="I483" i="56"/>
  <c r="O459" i="47"/>
  <c r="G459" i="47"/>
  <c r="I484" i="42"/>
  <c r="I488" i="53"/>
  <c r="L481" i="57"/>
  <c r="I482" i="57"/>
  <c r="E481" i="55"/>
  <c r="N481" i="55"/>
  <c r="I482" i="55"/>
  <c r="J485" i="51"/>
  <c r="D482" i="56" l="1"/>
  <c r="L481" i="56"/>
  <c r="E484" i="51"/>
  <c r="N484" i="51"/>
  <c r="D487" i="53"/>
  <c r="L486" i="53"/>
  <c r="B483" i="42"/>
  <c r="O483" i="42"/>
  <c r="J483" i="56"/>
  <c r="J488" i="53"/>
  <c r="B481" i="55"/>
  <c r="O481" i="55"/>
  <c r="J484" i="42"/>
  <c r="N482" i="57"/>
  <c r="J482" i="57"/>
  <c r="J482" i="55"/>
  <c r="G485" i="51"/>
  <c r="L459" i="47"/>
  <c r="I460" i="47"/>
  <c r="E482" i="56" l="1"/>
  <c r="N482" i="56"/>
  <c r="B484" i="51"/>
  <c r="O484" i="51"/>
  <c r="E487" i="53"/>
  <c r="N487" i="53"/>
  <c r="D484" i="42"/>
  <c r="L483" i="42"/>
  <c r="D482" i="55"/>
  <c r="L481" i="55"/>
  <c r="G482" i="55"/>
  <c r="I486" i="51"/>
  <c r="O482" i="57"/>
  <c r="G482" i="57"/>
  <c r="G488" i="53"/>
  <c r="N460" i="47"/>
  <c r="J460" i="47"/>
  <c r="G483" i="56"/>
  <c r="G484" i="42"/>
  <c r="O482" i="56" l="1"/>
  <c r="B482" i="56"/>
  <c r="L484" i="51"/>
  <c r="D485" i="51"/>
  <c r="O487" i="53"/>
  <c r="B487" i="53"/>
  <c r="E484" i="42"/>
  <c r="N484" i="42"/>
  <c r="J486" i="51"/>
  <c r="O460" i="47"/>
  <c r="G460" i="47"/>
  <c r="I485" i="42"/>
  <c r="I484" i="56"/>
  <c r="I483" i="55"/>
  <c r="L482" i="57"/>
  <c r="I483" i="57"/>
  <c r="I489" i="53"/>
  <c r="E482" i="55"/>
  <c r="N482" i="55"/>
  <c r="D483" i="56" l="1"/>
  <c r="L482" i="56"/>
  <c r="N485" i="51"/>
  <c r="E485" i="51"/>
  <c r="D488" i="53"/>
  <c r="L487" i="53"/>
  <c r="O484" i="42"/>
  <c r="B484" i="42"/>
  <c r="B482" i="55"/>
  <c r="O482" i="55"/>
  <c r="N483" i="57"/>
  <c r="J483" i="57"/>
  <c r="J485" i="42"/>
  <c r="L460" i="47"/>
  <c r="I461" i="47"/>
  <c r="J489" i="53"/>
  <c r="J484" i="56"/>
  <c r="J483" i="55"/>
  <c r="G486" i="51"/>
  <c r="E483" i="56" l="1"/>
  <c r="N483" i="56"/>
  <c r="B485" i="51"/>
  <c r="O485" i="51"/>
  <c r="E488" i="53"/>
  <c r="N488" i="53"/>
  <c r="D485" i="42"/>
  <c r="L484" i="42"/>
  <c r="O483" i="57"/>
  <c r="G483" i="57"/>
  <c r="G485" i="42"/>
  <c r="I487" i="51"/>
  <c r="G483" i="55"/>
  <c r="G484" i="56"/>
  <c r="N461" i="47"/>
  <c r="J461" i="47"/>
  <c r="D483" i="55"/>
  <c r="L482" i="55"/>
  <c r="G489" i="53"/>
  <c r="O483" i="56" l="1"/>
  <c r="B483" i="56"/>
  <c r="L485" i="51"/>
  <c r="D486" i="51"/>
  <c r="O488" i="53"/>
  <c r="B488" i="53"/>
  <c r="E485" i="42"/>
  <c r="N485" i="42"/>
  <c r="O461" i="47"/>
  <c r="G461" i="47"/>
  <c r="I486" i="42"/>
  <c r="I484" i="55"/>
  <c r="I485" i="56"/>
  <c r="L483" i="57"/>
  <c r="I484" i="57"/>
  <c r="J487" i="51"/>
  <c r="I490" i="53"/>
  <c r="E483" i="55"/>
  <c r="N483" i="55"/>
  <c r="D484" i="56" l="1"/>
  <c r="L483" i="56"/>
  <c r="E486" i="51"/>
  <c r="N486" i="51"/>
  <c r="D489" i="53"/>
  <c r="L488" i="53"/>
  <c r="B485" i="42"/>
  <c r="O485" i="42"/>
  <c r="O483" i="55"/>
  <c r="B483" i="55"/>
  <c r="J484" i="55"/>
  <c r="J485" i="56"/>
  <c r="L461" i="47"/>
  <c r="I462" i="47"/>
  <c r="N484" i="57"/>
  <c r="J484" i="57"/>
  <c r="J486" i="42"/>
  <c r="J490" i="53"/>
  <c r="G487" i="51"/>
  <c r="E484" i="56" l="1"/>
  <c r="N484" i="56"/>
  <c r="O486" i="51"/>
  <c r="B486" i="51"/>
  <c r="E489" i="53"/>
  <c r="N489" i="53"/>
  <c r="D486" i="42"/>
  <c r="L485" i="42"/>
  <c r="I488" i="51"/>
  <c r="G485" i="56"/>
  <c r="O484" i="57"/>
  <c r="G484" i="57"/>
  <c r="G486" i="42"/>
  <c r="G490" i="53"/>
  <c r="D484" i="55"/>
  <c r="L483" i="55"/>
  <c r="G484" i="55"/>
  <c r="N462" i="47"/>
  <c r="J462" i="47"/>
  <c r="O484" i="56" l="1"/>
  <c r="B484" i="56"/>
  <c r="L486" i="51"/>
  <c r="D487" i="51"/>
  <c r="B489" i="53"/>
  <c r="O489" i="53"/>
  <c r="E486" i="42"/>
  <c r="N486" i="42"/>
  <c r="I486" i="56"/>
  <c r="O462" i="47"/>
  <c r="G462" i="47"/>
  <c r="I491" i="53"/>
  <c r="I485" i="57"/>
  <c r="L484" i="57"/>
  <c r="J488" i="51"/>
  <c r="E484" i="55"/>
  <c r="N484" i="55"/>
  <c r="I485" i="55"/>
  <c r="I487" i="42"/>
  <c r="D485" i="56" l="1"/>
  <c r="L484" i="56"/>
  <c r="E487" i="51"/>
  <c r="N487" i="51"/>
  <c r="D490" i="53"/>
  <c r="L489" i="53"/>
  <c r="B486" i="42"/>
  <c r="O486" i="42"/>
  <c r="G488" i="51"/>
  <c r="L462" i="47"/>
  <c r="I463" i="47"/>
  <c r="J487" i="42"/>
  <c r="N485" i="57"/>
  <c r="J485" i="57"/>
  <c r="J485" i="55"/>
  <c r="O484" i="55"/>
  <c r="B484" i="55"/>
  <c r="J491" i="53"/>
  <c r="J486" i="56"/>
  <c r="E485" i="56" l="1"/>
  <c r="N485" i="56"/>
  <c r="O487" i="51"/>
  <c r="B487" i="51"/>
  <c r="E490" i="53"/>
  <c r="N490" i="53"/>
  <c r="D487" i="42"/>
  <c r="L486" i="42"/>
  <c r="N463" i="47"/>
  <c r="J463" i="47"/>
  <c r="D485" i="55"/>
  <c r="L484" i="55"/>
  <c r="G485" i="55"/>
  <c r="G486" i="56"/>
  <c r="G487" i="42"/>
  <c r="I489" i="51"/>
  <c r="G491" i="53"/>
  <c r="O485" i="57"/>
  <c r="G485" i="57"/>
  <c r="B485" i="56" l="1"/>
  <c r="O485" i="56"/>
  <c r="D488" i="51"/>
  <c r="L487" i="51"/>
  <c r="B490" i="53"/>
  <c r="O490" i="53"/>
  <c r="E487" i="42"/>
  <c r="N487" i="42"/>
  <c r="L485" i="57"/>
  <c r="I486" i="57"/>
  <c r="J489" i="51"/>
  <c r="E485" i="55"/>
  <c r="N485" i="55"/>
  <c r="I486" i="55"/>
  <c r="I492" i="53"/>
  <c r="O463" i="47"/>
  <c r="G463" i="47"/>
  <c r="I488" i="42"/>
  <c r="I487" i="56"/>
  <c r="D486" i="56" l="1"/>
  <c r="L485" i="56"/>
  <c r="N488" i="51"/>
  <c r="E488" i="51"/>
  <c r="D491" i="53"/>
  <c r="L490" i="53"/>
  <c r="B487" i="42"/>
  <c r="O487" i="42"/>
  <c r="J486" i="55"/>
  <c r="G489" i="51"/>
  <c r="L463" i="47"/>
  <c r="I464" i="47"/>
  <c r="J487" i="56"/>
  <c r="J488" i="42"/>
  <c r="N486" i="57"/>
  <c r="J486" i="57"/>
  <c r="O485" i="55"/>
  <c r="B485" i="55"/>
  <c r="J492" i="53"/>
  <c r="E486" i="56" l="1"/>
  <c r="N486" i="56"/>
  <c r="B488" i="51"/>
  <c r="O488" i="51"/>
  <c r="E491" i="53"/>
  <c r="N491" i="53"/>
  <c r="D488" i="42"/>
  <c r="L487" i="42"/>
  <c r="D486" i="55"/>
  <c r="L485" i="55"/>
  <c r="G488" i="42"/>
  <c r="G486" i="55"/>
  <c r="N464" i="47"/>
  <c r="J464" i="47"/>
  <c r="O486" i="57"/>
  <c r="G486" i="57"/>
  <c r="I490" i="51"/>
  <c r="G492" i="53"/>
  <c r="G487" i="56"/>
  <c r="O486" i="56" l="1"/>
  <c r="B486" i="56"/>
  <c r="D489" i="51"/>
  <c r="L488" i="51"/>
  <c r="B491" i="53"/>
  <c r="O491" i="53"/>
  <c r="E488" i="42"/>
  <c r="N488" i="42"/>
  <c r="I487" i="57"/>
  <c r="L486" i="57"/>
  <c r="I488" i="56"/>
  <c r="O464" i="47"/>
  <c r="G464" i="47"/>
  <c r="I493" i="53"/>
  <c r="J490" i="51"/>
  <c r="I489" i="42"/>
  <c r="I487" i="55"/>
  <c r="E486" i="55"/>
  <c r="N486" i="55"/>
  <c r="D487" i="56" l="1"/>
  <c r="L486" i="56"/>
  <c r="N489" i="51"/>
  <c r="E489" i="51"/>
  <c r="D492" i="53"/>
  <c r="L491" i="53"/>
  <c r="B488" i="42"/>
  <c r="O488" i="42"/>
  <c r="G490" i="51"/>
  <c r="J489" i="42"/>
  <c r="J487" i="55"/>
  <c r="B486" i="55"/>
  <c r="O486" i="55"/>
  <c r="J488" i="56"/>
  <c r="N487" i="57"/>
  <c r="J487" i="57"/>
  <c r="L464" i="47"/>
  <c r="I465" i="47"/>
  <c r="J493" i="53"/>
  <c r="N487" i="56" l="1"/>
  <c r="E487" i="56"/>
  <c r="B489" i="51"/>
  <c r="O489" i="51"/>
  <c r="E492" i="53"/>
  <c r="N492" i="53"/>
  <c r="D489" i="42"/>
  <c r="L488" i="42"/>
  <c r="D487" i="55"/>
  <c r="L486" i="55"/>
  <c r="G489" i="42"/>
  <c r="G488" i="56"/>
  <c r="I491" i="51"/>
  <c r="N465" i="47"/>
  <c r="J465" i="47"/>
  <c r="G487" i="55"/>
  <c r="O487" i="57"/>
  <c r="G487" i="57"/>
  <c r="G493" i="53"/>
  <c r="O487" i="56" l="1"/>
  <c r="B487" i="56"/>
  <c r="L489" i="51"/>
  <c r="D490" i="51"/>
  <c r="B492" i="53"/>
  <c r="O492" i="53"/>
  <c r="E489" i="42"/>
  <c r="N489" i="42"/>
  <c r="I490" i="42"/>
  <c r="I494" i="53"/>
  <c r="L487" i="57"/>
  <c r="I488" i="57"/>
  <c r="J491" i="51"/>
  <c r="I488" i="55"/>
  <c r="O465" i="47"/>
  <c r="G465" i="47"/>
  <c r="I489" i="56"/>
  <c r="E487" i="55"/>
  <c r="N487" i="55"/>
  <c r="D488" i="56" l="1"/>
  <c r="L487" i="56"/>
  <c r="E490" i="51"/>
  <c r="N490" i="51"/>
  <c r="D493" i="53"/>
  <c r="L492" i="53"/>
  <c r="B489" i="42"/>
  <c r="O489" i="42"/>
  <c r="J488" i="55"/>
  <c r="B487" i="55"/>
  <c r="O487" i="55"/>
  <c r="G491" i="51"/>
  <c r="J489" i="56"/>
  <c r="J490" i="42"/>
  <c r="J494" i="53"/>
  <c r="L465" i="47"/>
  <c r="I466" i="47"/>
  <c r="N488" i="57"/>
  <c r="J488" i="57"/>
  <c r="N488" i="56" l="1"/>
  <c r="E488" i="56"/>
  <c r="O490" i="51"/>
  <c r="B490" i="51"/>
  <c r="E493" i="53"/>
  <c r="N493" i="53"/>
  <c r="D490" i="42"/>
  <c r="L489" i="42"/>
  <c r="G489" i="56"/>
  <c r="O488" i="57"/>
  <c r="G488" i="57"/>
  <c r="D488" i="55"/>
  <c r="L487" i="55"/>
  <c r="N466" i="47"/>
  <c r="J466" i="47"/>
  <c r="I492" i="51"/>
  <c r="G494" i="53"/>
  <c r="G490" i="42"/>
  <c r="G488" i="55"/>
  <c r="B488" i="56" l="1"/>
  <c r="O488" i="56"/>
  <c r="D491" i="51"/>
  <c r="L490" i="51"/>
  <c r="B493" i="53"/>
  <c r="O493" i="53"/>
  <c r="E490" i="42"/>
  <c r="N490" i="42"/>
  <c r="I495" i="53"/>
  <c r="I489" i="55"/>
  <c r="J492" i="51"/>
  <c r="X194" i="51"/>
  <c r="I491" i="42"/>
  <c r="I490" i="56"/>
  <c r="E488" i="55"/>
  <c r="N488" i="55"/>
  <c r="I489" i="57"/>
  <c r="L488" i="57"/>
  <c r="O466" i="47"/>
  <c r="G466" i="47"/>
  <c r="L488" i="56" l="1"/>
  <c r="D489" i="56"/>
  <c r="E491" i="51"/>
  <c r="N491" i="51"/>
  <c r="D494" i="53"/>
  <c r="L493" i="53"/>
  <c r="B490" i="42"/>
  <c r="O490" i="42"/>
  <c r="L466" i="47"/>
  <c r="I467" i="47"/>
  <c r="J490" i="56"/>
  <c r="X192" i="56"/>
  <c r="J489" i="55"/>
  <c r="X191" i="55"/>
  <c r="Y194" i="51"/>
  <c r="G492" i="51"/>
  <c r="N489" i="57"/>
  <c r="J489" i="57"/>
  <c r="X191" i="57"/>
  <c r="AC191" i="57" s="1"/>
  <c r="J495" i="53"/>
  <c r="X197" i="53"/>
  <c r="J491" i="42"/>
  <c r="X193" i="42"/>
  <c r="B488" i="55"/>
  <c r="O488" i="55"/>
  <c r="E489" i="56" l="1"/>
  <c r="N489" i="56"/>
  <c r="B491" i="51"/>
  <c r="O491" i="51"/>
  <c r="E494" i="53"/>
  <c r="N494" i="53"/>
  <c r="D491" i="42"/>
  <c r="L490" i="42"/>
  <c r="Y192" i="56"/>
  <c r="G490" i="56"/>
  <c r="Y193" i="42"/>
  <c r="G491" i="42"/>
  <c r="O489" i="57"/>
  <c r="Y191" i="57"/>
  <c r="AD191" i="57" s="1"/>
  <c r="G489" i="57"/>
  <c r="Y197" i="53"/>
  <c r="G495" i="53"/>
  <c r="N467" i="47"/>
  <c r="J467" i="47"/>
  <c r="Y191" i="55"/>
  <c r="G489" i="55"/>
  <c r="I493" i="51"/>
  <c r="V194" i="51"/>
  <c r="D489" i="55"/>
  <c r="L488" i="55"/>
  <c r="O489" i="56" l="1"/>
  <c r="B489" i="56"/>
  <c r="D492" i="51"/>
  <c r="L491" i="51"/>
  <c r="B494" i="53"/>
  <c r="O494" i="53"/>
  <c r="E491" i="42"/>
  <c r="S193" i="42"/>
  <c r="AC193" i="42" s="1"/>
  <c r="N491" i="42"/>
  <c r="I490" i="55"/>
  <c r="V191" i="55"/>
  <c r="I496" i="53"/>
  <c r="V197" i="53"/>
  <c r="I491" i="56"/>
  <c r="V192" i="56"/>
  <c r="E489" i="55"/>
  <c r="S191" i="55"/>
  <c r="AC191" i="55" s="1"/>
  <c r="N489" i="55"/>
  <c r="J493" i="51"/>
  <c r="V191" i="57"/>
  <c r="AA191" i="57" s="1"/>
  <c r="L489" i="57"/>
  <c r="I490" i="57"/>
  <c r="O467" i="47"/>
  <c r="G467" i="47"/>
  <c r="V193" i="42"/>
  <c r="I492" i="42"/>
  <c r="L489" i="56" l="1"/>
  <c r="D490" i="56"/>
  <c r="E492" i="51"/>
  <c r="S194" i="51"/>
  <c r="AC194" i="51" s="1"/>
  <c r="N492" i="51"/>
  <c r="D495" i="53"/>
  <c r="L494" i="53"/>
  <c r="T193" i="42"/>
  <c r="AD193" i="42" s="1"/>
  <c r="B491" i="42"/>
  <c r="O491" i="42"/>
  <c r="N490" i="57"/>
  <c r="J490" i="57"/>
  <c r="T191" i="55"/>
  <c r="AD191" i="55" s="1"/>
  <c r="B489" i="55"/>
  <c r="O489" i="55"/>
  <c r="L467" i="47"/>
  <c r="I468" i="47"/>
  <c r="J496" i="53"/>
  <c r="G493" i="51"/>
  <c r="J492" i="42"/>
  <c r="J491" i="56"/>
  <c r="J490" i="55"/>
  <c r="N490" i="56" l="1"/>
  <c r="S192" i="56"/>
  <c r="AC192" i="56" s="1"/>
  <c r="E490" i="56"/>
  <c r="O492" i="51"/>
  <c r="T194" i="51"/>
  <c r="AD194" i="51" s="1"/>
  <c r="B492" i="51"/>
  <c r="E495" i="53"/>
  <c r="S197" i="53"/>
  <c r="AC197" i="53" s="1"/>
  <c r="N495" i="53"/>
  <c r="D492" i="42"/>
  <c r="Q193" i="42"/>
  <c r="AA193" i="42" s="1"/>
  <c r="L491" i="42"/>
  <c r="G496" i="53"/>
  <c r="G492" i="42"/>
  <c r="G490" i="55"/>
  <c r="O490" i="57"/>
  <c r="G490" i="57"/>
  <c r="D490" i="55"/>
  <c r="Q191" i="55"/>
  <c r="AA191" i="55" s="1"/>
  <c r="L489" i="55"/>
  <c r="I494" i="51"/>
  <c r="G491" i="56"/>
  <c r="N468" i="47"/>
  <c r="J468" i="47"/>
  <c r="X170" i="47"/>
  <c r="AC170" i="47" s="1"/>
  <c r="B490" i="56" l="1"/>
  <c r="O490" i="56"/>
  <c r="T192" i="56"/>
  <c r="AD192" i="56" s="1"/>
  <c r="Q194" i="51"/>
  <c r="AA194" i="51" s="1"/>
  <c r="L492" i="51"/>
  <c r="D493" i="51"/>
  <c r="T197" i="53"/>
  <c r="AD197" i="53" s="1"/>
  <c r="O495" i="53"/>
  <c r="B495" i="53"/>
  <c r="E492" i="42"/>
  <c r="N492" i="42"/>
  <c r="I491" i="57"/>
  <c r="L490" i="57"/>
  <c r="J494" i="51"/>
  <c r="I497" i="53"/>
  <c r="I493" i="42"/>
  <c r="O468" i="47"/>
  <c r="Y170" i="47"/>
  <c r="AD170" i="47" s="1"/>
  <c r="G468" i="47"/>
  <c r="I492" i="56"/>
  <c r="E490" i="55"/>
  <c r="N490" i="55"/>
  <c r="I491" i="55"/>
  <c r="Q192" i="56" l="1"/>
  <c r="AA192" i="56" s="1"/>
  <c r="D491" i="56"/>
  <c r="L490" i="56"/>
  <c r="E493" i="51"/>
  <c r="N493" i="51"/>
  <c r="Q197" i="53"/>
  <c r="AA197" i="53" s="1"/>
  <c r="D496" i="53"/>
  <c r="L495" i="53"/>
  <c r="O492" i="42"/>
  <c r="B492" i="42"/>
  <c r="G494" i="51"/>
  <c r="J492" i="56"/>
  <c r="J497" i="53"/>
  <c r="O490" i="55"/>
  <c r="B490" i="55"/>
  <c r="J491" i="55"/>
  <c r="V170" i="47"/>
  <c r="AA170" i="47" s="1"/>
  <c r="L468" i="47"/>
  <c r="I469" i="47"/>
  <c r="J493" i="42"/>
  <c r="N491" i="57"/>
  <c r="J491" i="57"/>
  <c r="E491" i="56" l="1"/>
  <c r="N491" i="56"/>
  <c r="B493" i="51"/>
  <c r="O493" i="51"/>
  <c r="E496" i="53"/>
  <c r="N496" i="53"/>
  <c r="D493" i="42"/>
  <c r="L492" i="42"/>
  <c r="O491" i="57"/>
  <c r="G491" i="57"/>
  <c r="G497" i="53"/>
  <c r="G492" i="56"/>
  <c r="N469" i="47"/>
  <c r="J469" i="47"/>
  <c r="G493" i="42"/>
  <c r="D491" i="55"/>
  <c r="L490" i="55"/>
  <c r="I495" i="51"/>
  <c r="G491" i="55"/>
  <c r="O491" i="56" l="1"/>
  <c r="B491" i="56"/>
  <c r="D494" i="51"/>
  <c r="L493" i="51"/>
  <c r="O496" i="53"/>
  <c r="B496" i="53"/>
  <c r="E493" i="42"/>
  <c r="N493" i="42"/>
  <c r="I494" i="42"/>
  <c r="I498" i="53"/>
  <c r="J495" i="51"/>
  <c r="L491" i="57"/>
  <c r="I492" i="57"/>
  <c r="I492" i="55"/>
  <c r="O469" i="47"/>
  <c r="G469" i="47"/>
  <c r="E491" i="55"/>
  <c r="N491" i="55"/>
  <c r="I493" i="56"/>
  <c r="L491" i="56" l="1"/>
  <c r="D492" i="56"/>
  <c r="E494" i="51"/>
  <c r="N494" i="51"/>
  <c r="D497" i="53"/>
  <c r="L496" i="53"/>
  <c r="B493" i="42"/>
  <c r="O493" i="42"/>
  <c r="J492" i="55"/>
  <c r="J498" i="53"/>
  <c r="J494" i="42"/>
  <c r="G495" i="51"/>
  <c r="B491" i="55"/>
  <c r="O491" i="55"/>
  <c r="N492" i="57"/>
  <c r="J492" i="57"/>
  <c r="L469" i="47"/>
  <c r="I470" i="47"/>
  <c r="J493" i="56"/>
  <c r="E492" i="56" l="1"/>
  <c r="N492" i="56"/>
  <c r="O494" i="51"/>
  <c r="B494" i="51"/>
  <c r="E497" i="53"/>
  <c r="N497" i="53"/>
  <c r="D494" i="42"/>
  <c r="L493" i="42"/>
  <c r="D492" i="55"/>
  <c r="L491" i="55"/>
  <c r="G498" i="53"/>
  <c r="N470" i="47"/>
  <c r="J470" i="47"/>
  <c r="I496" i="51"/>
  <c r="G493" i="56"/>
  <c r="G492" i="55"/>
  <c r="G494" i="42"/>
  <c r="O492" i="57"/>
  <c r="G492" i="57"/>
  <c r="B492" i="56" l="1"/>
  <c r="O492" i="56"/>
  <c r="L494" i="51"/>
  <c r="D495" i="51"/>
  <c r="O497" i="53"/>
  <c r="B497" i="53"/>
  <c r="E494" i="42"/>
  <c r="N494" i="42"/>
  <c r="I493" i="57"/>
  <c r="L492" i="57"/>
  <c r="I494" i="56"/>
  <c r="I499" i="53"/>
  <c r="J496" i="51"/>
  <c r="I493" i="55"/>
  <c r="O470" i="47"/>
  <c r="G470" i="47"/>
  <c r="I495" i="42"/>
  <c r="E492" i="55"/>
  <c r="N492" i="55"/>
  <c r="D493" i="56" l="1"/>
  <c r="L492" i="56"/>
  <c r="E495" i="51"/>
  <c r="N495" i="51"/>
  <c r="D498" i="53"/>
  <c r="L497" i="53"/>
  <c r="B494" i="42"/>
  <c r="O494" i="42"/>
  <c r="J499" i="53"/>
  <c r="J494" i="56"/>
  <c r="J495" i="42"/>
  <c r="L470" i="47"/>
  <c r="I471" i="47"/>
  <c r="G496" i="51"/>
  <c r="J493" i="55"/>
  <c r="B492" i="55"/>
  <c r="O492" i="55"/>
  <c r="N493" i="57"/>
  <c r="J493" i="57"/>
  <c r="E493" i="56" l="1"/>
  <c r="N493" i="56"/>
  <c r="O495" i="51"/>
  <c r="B495" i="51"/>
  <c r="E498" i="53"/>
  <c r="N498" i="53"/>
  <c r="D495" i="42"/>
  <c r="L494" i="42"/>
  <c r="G494" i="56"/>
  <c r="G495" i="42"/>
  <c r="N471" i="47"/>
  <c r="J471" i="47"/>
  <c r="G493" i="55"/>
  <c r="O493" i="57"/>
  <c r="G493" i="57"/>
  <c r="I497" i="51"/>
  <c r="G499" i="53"/>
  <c r="D493" i="55"/>
  <c r="L492" i="55"/>
  <c r="O493" i="56" l="1"/>
  <c r="B493" i="56"/>
  <c r="L495" i="51"/>
  <c r="D496" i="51"/>
  <c r="O498" i="53"/>
  <c r="B498" i="53"/>
  <c r="E495" i="42"/>
  <c r="N495" i="42"/>
  <c r="I500" i="53"/>
  <c r="I494" i="55"/>
  <c r="I496" i="42"/>
  <c r="J497" i="51"/>
  <c r="O471" i="47"/>
  <c r="G471" i="47"/>
  <c r="I495" i="56"/>
  <c r="L493" i="57"/>
  <c r="I494" i="57"/>
  <c r="E493" i="55"/>
  <c r="N493" i="55"/>
  <c r="D494" i="56" l="1"/>
  <c r="L493" i="56"/>
  <c r="E496" i="51"/>
  <c r="N496" i="51"/>
  <c r="D499" i="53"/>
  <c r="L498" i="53"/>
  <c r="B495" i="42"/>
  <c r="O495" i="42"/>
  <c r="G497" i="51"/>
  <c r="J495" i="56"/>
  <c r="N494" i="57"/>
  <c r="J494" i="57"/>
  <c r="L471" i="47"/>
  <c r="I472" i="47"/>
  <c r="J500" i="53"/>
  <c r="J496" i="42"/>
  <c r="J494" i="55"/>
  <c r="B493" i="55"/>
  <c r="O493" i="55"/>
  <c r="E494" i="56" l="1"/>
  <c r="N494" i="56"/>
  <c r="B496" i="51"/>
  <c r="O496" i="51"/>
  <c r="E499" i="53"/>
  <c r="N499" i="53"/>
  <c r="D496" i="42"/>
  <c r="L495" i="42"/>
  <c r="N472" i="47"/>
  <c r="J472" i="47"/>
  <c r="O494" i="57"/>
  <c r="G494" i="57"/>
  <c r="I498" i="51"/>
  <c r="G494" i="55"/>
  <c r="G496" i="42"/>
  <c r="D494" i="55"/>
  <c r="L493" i="55"/>
  <c r="G495" i="56"/>
  <c r="G500" i="53"/>
  <c r="B494" i="56" l="1"/>
  <c r="O494" i="56"/>
  <c r="D497" i="51"/>
  <c r="L496" i="51"/>
  <c r="O499" i="53"/>
  <c r="B499" i="53"/>
  <c r="E496" i="42"/>
  <c r="N496" i="42"/>
  <c r="I501" i="53"/>
  <c r="J498" i="51"/>
  <c r="E494" i="55"/>
  <c r="N494" i="55"/>
  <c r="I497" i="42"/>
  <c r="O472" i="47"/>
  <c r="G472" i="47"/>
  <c r="I496" i="56"/>
  <c r="I495" i="55"/>
  <c r="I495" i="57"/>
  <c r="L494" i="57"/>
  <c r="D495" i="56" l="1"/>
  <c r="L494" i="56"/>
  <c r="N497" i="51"/>
  <c r="E497" i="51"/>
  <c r="D500" i="53"/>
  <c r="L499" i="53"/>
  <c r="B496" i="42"/>
  <c r="O496" i="42"/>
  <c r="G498" i="51"/>
  <c r="J497" i="42"/>
  <c r="J501" i="53"/>
  <c r="J495" i="55"/>
  <c r="J496" i="56"/>
  <c r="N495" i="57"/>
  <c r="J495" i="57"/>
  <c r="L472" i="47"/>
  <c r="I473" i="47"/>
  <c r="B494" i="55"/>
  <c r="O494" i="55"/>
  <c r="E495" i="56" l="1"/>
  <c r="N495" i="56"/>
  <c r="O497" i="51"/>
  <c r="B497" i="51"/>
  <c r="E500" i="53"/>
  <c r="N500" i="53"/>
  <c r="D497" i="42"/>
  <c r="L496" i="42"/>
  <c r="G495" i="55"/>
  <c r="G501" i="53"/>
  <c r="G496" i="56"/>
  <c r="O495" i="57"/>
  <c r="G495" i="57"/>
  <c r="D495" i="55"/>
  <c r="L494" i="55"/>
  <c r="N473" i="47"/>
  <c r="J473" i="47"/>
  <c r="I499" i="51"/>
  <c r="G497" i="42"/>
  <c r="O495" i="56" l="1"/>
  <c r="B495" i="56"/>
  <c r="D498" i="51"/>
  <c r="L497" i="51"/>
  <c r="O500" i="53"/>
  <c r="B500" i="53"/>
  <c r="E497" i="42"/>
  <c r="N497" i="42"/>
  <c r="J499" i="51"/>
  <c r="L495" i="57"/>
  <c r="I496" i="57"/>
  <c r="I497" i="56"/>
  <c r="O473" i="47"/>
  <c r="G473" i="47"/>
  <c r="I496" i="55"/>
  <c r="I502" i="53"/>
  <c r="I498" i="42"/>
  <c r="E495" i="55"/>
  <c r="N495" i="55"/>
  <c r="D496" i="56" l="1"/>
  <c r="L495" i="56"/>
  <c r="N498" i="51"/>
  <c r="E498" i="51"/>
  <c r="D501" i="53"/>
  <c r="L500" i="53"/>
  <c r="B497" i="42"/>
  <c r="O497" i="42"/>
  <c r="J497" i="56"/>
  <c r="L473" i="47"/>
  <c r="I474" i="47"/>
  <c r="O495" i="55"/>
  <c r="B495" i="55"/>
  <c r="J498" i="42"/>
  <c r="N496" i="57"/>
  <c r="J496" i="57"/>
  <c r="G499" i="51"/>
  <c r="J496" i="55"/>
  <c r="J502" i="53"/>
  <c r="N496" i="56" l="1"/>
  <c r="E496" i="56"/>
  <c r="O498" i="51"/>
  <c r="B498" i="51"/>
  <c r="E501" i="53"/>
  <c r="N501" i="53"/>
  <c r="D498" i="42"/>
  <c r="L497" i="42"/>
  <c r="I500" i="51"/>
  <c r="N474" i="47"/>
  <c r="J474" i="47"/>
  <c r="G502" i="53"/>
  <c r="O496" i="57"/>
  <c r="G496" i="57"/>
  <c r="G496" i="55"/>
  <c r="G497" i="56"/>
  <c r="D496" i="55"/>
  <c r="L495" i="55"/>
  <c r="G498" i="42"/>
  <c r="B496" i="56" l="1"/>
  <c r="O496" i="56"/>
  <c r="D499" i="51"/>
  <c r="L498" i="51"/>
  <c r="B501" i="53"/>
  <c r="O501" i="53"/>
  <c r="E498" i="42"/>
  <c r="N498" i="42"/>
  <c r="E496" i="55"/>
  <c r="N496" i="55"/>
  <c r="I498" i="56"/>
  <c r="I497" i="55"/>
  <c r="I499" i="42"/>
  <c r="I503" i="53"/>
  <c r="O474" i="47"/>
  <c r="G474" i="47"/>
  <c r="J500" i="51"/>
  <c r="I497" i="57"/>
  <c r="L496" i="57"/>
  <c r="D497" i="56" l="1"/>
  <c r="L496" i="56"/>
  <c r="N499" i="51"/>
  <c r="E499" i="51"/>
  <c r="D502" i="53"/>
  <c r="L501" i="53"/>
  <c r="B498" i="42"/>
  <c r="O498" i="42"/>
  <c r="N497" i="57"/>
  <c r="J497" i="57"/>
  <c r="J497" i="55"/>
  <c r="J498" i="56"/>
  <c r="L474" i="47"/>
  <c r="I475" i="47"/>
  <c r="J503" i="53"/>
  <c r="G500" i="51"/>
  <c r="J499" i="42"/>
  <c r="B496" i="55"/>
  <c r="O496" i="55"/>
  <c r="N497" i="56" l="1"/>
  <c r="E497" i="56"/>
  <c r="B499" i="51"/>
  <c r="O499" i="51"/>
  <c r="E502" i="53"/>
  <c r="N502" i="53"/>
  <c r="D499" i="42"/>
  <c r="L498" i="42"/>
  <c r="G503" i="53"/>
  <c r="I501" i="51"/>
  <c r="G499" i="42"/>
  <c r="O497" i="57"/>
  <c r="G497" i="57"/>
  <c r="G498" i="56"/>
  <c r="G497" i="55"/>
  <c r="D497" i="55"/>
  <c r="L496" i="55"/>
  <c r="N475" i="47"/>
  <c r="J475" i="47"/>
  <c r="O497" i="56" l="1"/>
  <c r="B497" i="56"/>
  <c r="D500" i="51"/>
  <c r="L499" i="51"/>
  <c r="B502" i="53"/>
  <c r="O502" i="53"/>
  <c r="E499" i="42"/>
  <c r="N499" i="42"/>
  <c r="J501" i="51"/>
  <c r="I498" i="55"/>
  <c r="O475" i="47"/>
  <c r="G475" i="47"/>
  <c r="L497" i="57"/>
  <c r="I498" i="57"/>
  <c r="I499" i="56"/>
  <c r="I504" i="53"/>
  <c r="E497" i="55"/>
  <c r="N497" i="55"/>
  <c r="I500" i="42"/>
  <c r="D498" i="56" l="1"/>
  <c r="L497" i="56"/>
  <c r="E500" i="51"/>
  <c r="N500" i="51"/>
  <c r="D503" i="53"/>
  <c r="L502" i="53"/>
  <c r="B499" i="42"/>
  <c r="O499" i="42"/>
  <c r="L475" i="47"/>
  <c r="I476" i="47"/>
  <c r="J500" i="42"/>
  <c r="J498" i="55"/>
  <c r="J499" i="56"/>
  <c r="N498" i="57"/>
  <c r="J498" i="57"/>
  <c r="G501" i="51"/>
  <c r="B497" i="55"/>
  <c r="O497" i="55"/>
  <c r="J504" i="53"/>
  <c r="N498" i="56" l="1"/>
  <c r="E498" i="56"/>
  <c r="O500" i="51"/>
  <c r="B500" i="51"/>
  <c r="E503" i="53"/>
  <c r="N503" i="53"/>
  <c r="D500" i="42"/>
  <c r="L499" i="42"/>
  <c r="G500" i="42"/>
  <c r="I502" i="51"/>
  <c r="N476" i="47"/>
  <c r="J476" i="47"/>
  <c r="O498" i="57"/>
  <c r="G498" i="57"/>
  <c r="G504" i="53"/>
  <c r="G498" i="55"/>
  <c r="G499" i="56"/>
  <c r="D498" i="55"/>
  <c r="L497" i="55"/>
  <c r="B498" i="56" l="1"/>
  <c r="O498" i="56"/>
  <c r="L500" i="51"/>
  <c r="D501" i="51"/>
  <c r="B503" i="53"/>
  <c r="O503" i="53"/>
  <c r="E500" i="42"/>
  <c r="N500" i="42"/>
  <c r="I505" i="53"/>
  <c r="J502" i="51"/>
  <c r="I501" i="42"/>
  <c r="O476" i="47"/>
  <c r="G476" i="47"/>
  <c r="I499" i="55"/>
  <c r="E498" i="55"/>
  <c r="N498" i="55"/>
  <c r="I500" i="56"/>
  <c r="L498" i="57"/>
  <c r="I499" i="57"/>
  <c r="D499" i="56" l="1"/>
  <c r="L498" i="56"/>
  <c r="E501" i="51"/>
  <c r="N501" i="51"/>
  <c r="D504" i="53"/>
  <c r="L503" i="53"/>
  <c r="B500" i="42"/>
  <c r="O500" i="42"/>
  <c r="O498" i="55"/>
  <c r="B498" i="55"/>
  <c r="G502" i="51"/>
  <c r="N499" i="57"/>
  <c r="J499" i="57"/>
  <c r="L476" i="47"/>
  <c r="I477" i="47"/>
  <c r="J501" i="42"/>
  <c r="J499" i="55"/>
  <c r="J505" i="53"/>
  <c r="J500" i="56"/>
  <c r="E499" i="56" l="1"/>
  <c r="N499" i="56"/>
  <c r="O501" i="51"/>
  <c r="B501" i="51"/>
  <c r="E504" i="53"/>
  <c r="N504" i="53"/>
  <c r="D501" i="42"/>
  <c r="L500" i="42"/>
  <c r="G499" i="55"/>
  <c r="G500" i="56"/>
  <c r="G501" i="42"/>
  <c r="G505" i="53"/>
  <c r="D499" i="55"/>
  <c r="L498" i="55"/>
  <c r="O499" i="57"/>
  <c r="G499" i="57"/>
  <c r="I503" i="51"/>
  <c r="N477" i="47"/>
  <c r="J477" i="47"/>
  <c r="B499" i="56" l="1"/>
  <c r="O499" i="56"/>
  <c r="D502" i="51"/>
  <c r="L501" i="51"/>
  <c r="B504" i="53"/>
  <c r="O504" i="53"/>
  <c r="E501" i="42"/>
  <c r="N501" i="42"/>
  <c r="J503" i="51"/>
  <c r="L499" i="57"/>
  <c r="I500" i="57"/>
  <c r="I502" i="42"/>
  <c r="E499" i="55"/>
  <c r="N499" i="55"/>
  <c r="O477" i="47"/>
  <c r="G477" i="47"/>
  <c r="I501" i="56"/>
  <c r="I506" i="53"/>
  <c r="I500" i="55"/>
  <c r="D500" i="56" l="1"/>
  <c r="L499" i="56"/>
  <c r="E502" i="51"/>
  <c r="N502" i="51"/>
  <c r="D505" i="53"/>
  <c r="L504" i="53"/>
  <c r="B501" i="42"/>
  <c r="O501" i="42"/>
  <c r="N500" i="57"/>
  <c r="J500" i="57"/>
  <c r="J501" i="56"/>
  <c r="L477" i="47"/>
  <c r="I478" i="47"/>
  <c r="G503" i="51"/>
  <c r="J502" i="42"/>
  <c r="J500" i="55"/>
  <c r="J506" i="53"/>
  <c r="O499" i="55"/>
  <c r="B499" i="55"/>
  <c r="E500" i="56" l="1"/>
  <c r="N500" i="56"/>
  <c r="B502" i="51"/>
  <c r="O502" i="51"/>
  <c r="E505" i="53"/>
  <c r="N505" i="53"/>
  <c r="D502" i="42"/>
  <c r="L501" i="42"/>
  <c r="D500" i="55"/>
  <c r="L499" i="55"/>
  <c r="G502" i="42"/>
  <c r="G500" i="55"/>
  <c r="G501" i="56"/>
  <c r="O500" i="57"/>
  <c r="G500" i="57"/>
  <c r="N478" i="47"/>
  <c r="J478" i="47"/>
  <c r="G506" i="53"/>
  <c r="I504" i="51"/>
  <c r="B500" i="56" l="1"/>
  <c r="O500" i="56"/>
  <c r="L502" i="51"/>
  <c r="D503" i="51"/>
  <c r="B505" i="53"/>
  <c r="O505" i="53"/>
  <c r="E502" i="42"/>
  <c r="N502" i="42"/>
  <c r="I503" i="42"/>
  <c r="J504" i="51"/>
  <c r="X195" i="51"/>
  <c r="I501" i="57"/>
  <c r="L500" i="57"/>
  <c r="I501" i="55"/>
  <c r="O478" i="47"/>
  <c r="G478" i="47"/>
  <c r="I507" i="53"/>
  <c r="I502" i="56"/>
  <c r="E500" i="55"/>
  <c r="N500" i="55"/>
  <c r="L500" i="56" l="1"/>
  <c r="D501" i="56"/>
  <c r="E503" i="51"/>
  <c r="N503" i="51"/>
  <c r="D506" i="53"/>
  <c r="L505" i="53"/>
  <c r="B502" i="42"/>
  <c r="O502" i="42"/>
  <c r="B500" i="55"/>
  <c r="O500" i="55"/>
  <c r="J502" i="56"/>
  <c r="X193" i="56"/>
  <c r="J507" i="53"/>
  <c r="X198" i="53"/>
  <c r="L478" i="47"/>
  <c r="I479" i="47"/>
  <c r="Y195" i="51"/>
  <c r="G504" i="51"/>
  <c r="J501" i="55"/>
  <c r="X192" i="55"/>
  <c r="N501" i="57"/>
  <c r="J501" i="57"/>
  <c r="X192" i="57"/>
  <c r="AC192" i="57" s="1"/>
  <c r="J503" i="42"/>
  <c r="X194" i="42"/>
  <c r="E501" i="56" l="1"/>
  <c r="N501" i="56"/>
  <c r="B503" i="51"/>
  <c r="O503" i="51"/>
  <c r="E506" i="53"/>
  <c r="N506" i="53"/>
  <c r="D503" i="42"/>
  <c r="L502" i="42"/>
  <c r="Y198" i="53"/>
  <c r="G507" i="53"/>
  <c r="Y192" i="55"/>
  <c r="G501" i="55"/>
  <c r="Y193" i="56"/>
  <c r="G502" i="56"/>
  <c r="N479" i="47"/>
  <c r="J479" i="47"/>
  <c r="O501" i="57"/>
  <c r="Y192" i="57"/>
  <c r="AD192" i="57" s="1"/>
  <c r="G501" i="57"/>
  <c r="I505" i="51"/>
  <c r="V195" i="51"/>
  <c r="Y194" i="42"/>
  <c r="G503" i="42"/>
  <c r="D501" i="55"/>
  <c r="L500" i="55"/>
  <c r="B501" i="56" l="1"/>
  <c r="O501" i="56"/>
  <c r="D504" i="51"/>
  <c r="L503" i="51"/>
  <c r="B506" i="53"/>
  <c r="O506" i="53"/>
  <c r="E503" i="42"/>
  <c r="S194" i="42"/>
  <c r="AC194" i="42" s="1"/>
  <c r="N503" i="42"/>
  <c r="I502" i="55"/>
  <c r="V192" i="55"/>
  <c r="O479" i="47"/>
  <c r="G479" i="47"/>
  <c r="I508" i="53"/>
  <c r="V198" i="53"/>
  <c r="I504" i="42"/>
  <c r="V194" i="42"/>
  <c r="J505" i="51"/>
  <c r="L501" i="57"/>
  <c r="V192" i="57"/>
  <c r="AA192" i="57" s="1"/>
  <c r="I502" i="57"/>
  <c r="E501" i="55"/>
  <c r="S192" i="55"/>
  <c r="AC192" i="55" s="1"/>
  <c r="N501" i="55"/>
  <c r="I503" i="56"/>
  <c r="V193" i="56"/>
  <c r="D502" i="56" l="1"/>
  <c r="L501" i="56"/>
  <c r="E504" i="51"/>
  <c r="N504" i="51"/>
  <c r="S195" i="51"/>
  <c r="AC195" i="51" s="1"/>
  <c r="D507" i="53"/>
  <c r="L506" i="53"/>
  <c r="T194" i="42"/>
  <c r="AD194" i="42" s="1"/>
  <c r="B503" i="42"/>
  <c r="O503" i="42"/>
  <c r="N502" i="57"/>
  <c r="J502" i="57"/>
  <c r="G505" i="51"/>
  <c r="J508" i="53"/>
  <c r="J504" i="42"/>
  <c r="J503" i="56"/>
  <c r="T192" i="55"/>
  <c r="AD192" i="55" s="1"/>
  <c r="B501" i="55"/>
  <c r="O501" i="55"/>
  <c r="L479" i="47"/>
  <c r="I480" i="47"/>
  <c r="J502" i="55"/>
  <c r="N502" i="56" l="1"/>
  <c r="E502" i="56"/>
  <c r="S193" i="56"/>
  <c r="AC193" i="56" s="1"/>
  <c r="T195" i="51"/>
  <c r="AD195" i="51" s="1"/>
  <c r="O504" i="51"/>
  <c r="B504" i="51"/>
  <c r="E507" i="53"/>
  <c r="S198" i="53"/>
  <c r="AC198" i="53" s="1"/>
  <c r="N507" i="53"/>
  <c r="D504" i="42"/>
  <c r="Q194" i="42"/>
  <c r="AA194" i="42" s="1"/>
  <c r="L503" i="42"/>
  <c r="G502" i="55"/>
  <c r="I506" i="51"/>
  <c r="G503" i="56"/>
  <c r="O502" i="57"/>
  <c r="G502" i="57"/>
  <c r="D502" i="55"/>
  <c r="Q192" i="55"/>
  <c r="AA192" i="55" s="1"/>
  <c r="L501" i="55"/>
  <c r="G504" i="42"/>
  <c r="N480" i="47"/>
  <c r="J480" i="47"/>
  <c r="X171" i="47"/>
  <c r="AC171" i="47" s="1"/>
  <c r="G508" i="53"/>
  <c r="O502" i="56" l="1"/>
  <c r="B502" i="56"/>
  <c r="T193" i="56"/>
  <c r="AD193" i="56" s="1"/>
  <c r="D505" i="51"/>
  <c r="Q195" i="51"/>
  <c r="AA195" i="51" s="1"/>
  <c r="L504" i="51"/>
  <c r="T198" i="53"/>
  <c r="AD198" i="53" s="1"/>
  <c r="O507" i="53"/>
  <c r="B507" i="53"/>
  <c r="E504" i="42"/>
  <c r="N504" i="42"/>
  <c r="O480" i="47"/>
  <c r="Y171" i="47"/>
  <c r="AD171" i="47" s="1"/>
  <c r="G480" i="47"/>
  <c r="I503" i="57"/>
  <c r="L502" i="57"/>
  <c r="E502" i="55"/>
  <c r="N502" i="55"/>
  <c r="I505" i="42"/>
  <c r="I503" i="55"/>
  <c r="I509" i="53"/>
  <c r="I504" i="56"/>
  <c r="J506" i="51"/>
  <c r="D503" i="56" l="1"/>
  <c r="L502" i="56"/>
  <c r="Q193" i="56"/>
  <c r="AA193" i="56" s="1"/>
  <c r="E505" i="51"/>
  <c r="N505" i="51"/>
  <c r="D508" i="53"/>
  <c r="Q198" i="53"/>
  <c r="AA198" i="53" s="1"/>
  <c r="L507" i="53"/>
  <c r="O504" i="42"/>
  <c r="B504" i="42"/>
  <c r="J504" i="56"/>
  <c r="N503" i="57"/>
  <c r="J503" i="57"/>
  <c r="V171" i="47"/>
  <c r="AA171" i="47" s="1"/>
  <c r="L480" i="47"/>
  <c r="I481" i="47"/>
  <c r="O502" i="55"/>
  <c r="B502" i="55"/>
  <c r="J503" i="55"/>
  <c r="J505" i="42"/>
  <c r="J509" i="53"/>
  <c r="G506" i="51"/>
  <c r="E503" i="56" l="1"/>
  <c r="N503" i="56"/>
  <c r="O505" i="51"/>
  <c r="B505" i="51"/>
  <c r="E508" i="53"/>
  <c r="N508" i="53"/>
  <c r="D505" i="42"/>
  <c r="L504" i="42"/>
  <c r="G509" i="53"/>
  <c r="D503" i="55"/>
  <c r="L502" i="55"/>
  <c r="O503" i="57"/>
  <c r="G503" i="57"/>
  <c r="G503" i="55"/>
  <c r="G505" i="42"/>
  <c r="N481" i="47"/>
  <c r="J481" i="47"/>
  <c r="G504" i="56"/>
  <c r="I507" i="51"/>
  <c r="B503" i="56" l="1"/>
  <c r="O503" i="56"/>
  <c r="D506" i="51"/>
  <c r="L505" i="51"/>
  <c r="O508" i="53"/>
  <c r="B508" i="53"/>
  <c r="E505" i="42"/>
  <c r="N505" i="42"/>
  <c r="I506" i="42"/>
  <c r="E503" i="55"/>
  <c r="N503" i="55"/>
  <c r="I510" i="53"/>
  <c r="O481" i="47"/>
  <c r="G481" i="47"/>
  <c r="I505" i="56"/>
  <c r="I504" i="55"/>
  <c r="J507" i="51"/>
  <c r="L503" i="57"/>
  <c r="I504" i="57"/>
  <c r="D504" i="56" l="1"/>
  <c r="L503" i="56"/>
  <c r="N506" i="51"/>
  <c r="E506" i="51"/>
  <c r="D509" i="53"/>
  <c r="L508" i="53"/>
  <c r="B505" i="42"/>
  <c r="O505" i="42"/>
  <c r="G507" i="51"/>
  <c r="N504" i="57"/>
  <c r="J504" i="57"/>
  <c r="J506" i="42"/>
  <c r="O503" i="55"/>
  <c r="B503" i="55"/>
  <c r="J510" i="53"/>
  <c r="L481" i="47"/>
  <c r="I482" i="47"/>
  <c r="J504" i="55"/>
  <c r="J505" i="56"/>
  <c r="E504" i="56" l="1"/>
  <c r="N504" i="56"/>
  <c r="B506" i="51"/>
  <c r="O506" i="51"/>
  <c r="E509" i="53"/>
  <c r="N509" i="53"/>
  <c r="D506" i="42"/>
  <c r="L505" i="42"/>
  <c r="G504" i="55"/>
  <c r="D504" i="55"/>
  <c r="L503" i="55"/>
  <c r="O504" i="57"/>
  <c r="G504" i="57"/>
  <c r="I508" i="51"/>
  <c r="N482" i="47"/>
  <c r="J482" i="47"/>
  <c r="G506" i="42"/>
  <c r="G510" i="53"/>
  <c r="G505" i="56"/>
  <c r="O504" i="56" l="1"/>
  <c r="B504" i="56"/>
  <c r="L506" i="51"/>
  <c r="D507" i="51"/>
  <c r="O509" i="53"/>
  <c r="B509" i="53"/>
  <c r="E506" i="42"/>
  <c r="N506" i="42"/>
  <c r="I511" i="53"/>
  <c r="J508" i="51"/>
  <c r="I505" i="55"/>
  <c r="I507" i="42"/>
  <c r="E504" i="55"/>
  <c r="N504" i="55"/>
  <c r="I505" i="57"/>
  <c r="L504" i="57"/>
  <c r="I506" i="56"/>
  <c r="O482" i="47"/>
  <c r="G482" i="47"/>
  <c r="D505" i="56" l="1"/>
  <c r="L504" i="56"/>
  <c r="E507" i="51"/>
  <c r="N507" i="51"/>
  <c r="D510" i="53"/>
  <c r="L509" i="53"/>
  <c r="B506" i="42"/>
  <c r="O506" i="42"/>
  <c r="J505" i="55"/>
  <c r="G508" i="51"/>
  <c r="L482" i="47"/>
  <c r="I483" i="47"/>
  <c r="J507" i="42"/>
  <c r="N505" i="57"/>
  <c r="J505" i="57"/>
  <c r="J511" i="53"/>
  <c r="J506" i="56"/>
  <c r="O504" i="55"/>
  <c r="B504" i="55"/>
  <c r="N505" i="56" l="1"/>
  <c r="E505" i="56"/>
  <c r="O507" i="51"/>
  <c r="B507" i="51"/>
  <c r="E510" i="53"/>
  <c r="N510" i="53"/>
  <c r="D507" i="42"/>
  <c r="L506" i="42"/>
  <c r="G506" i="56"/>
  <c r="O505" i="57"/>
  <c r="G505" i="57"/>
  <c r="G507" i="42"/>
  <c r="I509" i="51"/>
  <c r="G505" i="55"/>
  <c r="G511" i="53"/>
  <c r="D505" i="55"/>
  <c r="L504" i="55"/>
  <c r="N483" i="47"/>
  <c r="J483" i="47"/>
  <c r="B505" i="56" l="1"/>
  <c r="O505" i="56"/>
  <c r="L507" i="51"/>
  <c r="D508" i="51"/>
  <c r="O510" i="53"/>
  <c r="B510" i="53"/>
  <c r="E507" i="42"/>
  <c r="N507" i="42"/>
  <c r="I506" i="55"/>
  <c r="L505" i="57"/>
  <c r="I506" i="57"/>
  <c r="E505" i="55"/>
  <c r="N505" i="55"/>
  <c r="I507" i="56"/>
  <c r="I512" i="53"/>
  <c r="J509" i="51"/>
  <c r="O483" i="47"/>
  <c r="G483" i="47"/>
  <c r="I508" i="42"/>
  <c r="D506" i="56" l="1"/>
  <c r="L505" i="56"/>
  <c r="N508" i="51"/>
  <c r="E508" i="51"/>
  <c r="D511" i="53"/>
  <c r="L510" i="53"/>
  <c r="B507" i="42"/>
  <c r="O507" i="42"/>
  <c r="L483" i="47"/>
  <c r="I484" i="47"/>
  <c r="N506" i="57"/>
  <c r="J506" i="57"/>
  <c r="G509" i="51"/>
  <c r="J507" i="56"/>
  <c r="B505" i="55"/>
  <c r="O505" i="55"/>
  <c r="J508" i="42"/>
  <c r="J512" i="53"/>
  <c r="J506" i="55"/>
  <c r="N506" i="56" l="1"/>
  <c r="E506" i="56"/>
  <c r="O508" i="51"/>
  <c r="B508" i="51"/>
  <c r="E511" i="53"/>
  <c r="N511" i="53"/>
  <c r="D508" i="42"/>
  <c r="L507" i="42"/>
  <c r="O506" i="57"/>
  <c r="G506" i="57"/>
  <c r="D506" i="55"/>
  <c r="L505" i="55"/>
  <c r="G507" i="56"/>
  <c r="N484" i="47"/>
  <c r="J484" i="47"/>
  <c r="G508" i="42"/>
  <c r="G512" i="53"/>
  <c r="G506" i="55"/>
  <c r="I510" i="51"/>
  <c r="B506" i="56" l="1"/>
  <c r="O506" i="56"/>
  <c r="D509" i="51"/>
  <c r="L508" i="51"/>
  <c r="O511" i="53"/>
  <c r="B511" i="53"/>
  <c r="E508" i="42"/>
  <c r="N508" i="42"/>
  <c r="I507" i="55"/>
  <c r="O484" i="47"/>
  <c r="G484" i="47"/>
  <c r="I507" i="57"/>
  <c r="L506" i="57"/>
  <c r="E506" i="55"/>
  <c r="N506" i="55"/>
  <c r="I509" i="42"/>
  <c r="I513" i="53"/>
  <c r="I508" i="56"/>
  <c r="J510" i="51"/>
  <c r="D507" i="56" l="1"/>
  <c r="L506" i="56"/>
  <c r="N509" i="51"/>
  <c r="E509" i="51"/>
  <c r="D512" i="53"/>
  <c r="L511" i="53"/>
  <c r="B508" i="42"/>
  <c r="O508" i="42"/>
  <c r="O506" i="55"/>
  <c r="B506" i="55"/>
  <c r="J513" i="53"/>
  <c r="J508" i="56"/>
  <c r="N507" i="57"/>
  <c r="J507" i="57"/>
  <c r="J507" i="55"/>
  <c r="G510" i="51"/>
  <c r="J509" i="42"/>
  <c r="L484" i="47"/>
  <c r="I485" i="47"/>
  <c r="E507" i="56" l="1"/>
  <c r="N507" i="56"/>
  <c r="B509" i="51"/>
  <c r="O509" i="51"/>
  <c r="E512" i="53"/>
  <c r="N512" i="53"/>
  <c r="D509" i="42"/>
  <c r="L508" i="42"/>
  <c r="O507" i="57"/>
  <c r="G507" i="57"/>
  <c r="I511" i="51"/>
  <c r="G507" i="55"/>
  <c r="D507" i="55"/>
  <c r="L506" i="55"/>
  <c r="G513" i="53"/>
  <c r="G509" i="42"/>
  <c r="G508" i="56"/>
  <c r="N485" i="47"/>
  <c r="J485" i="47"/>
  <c r="O507" i="56" l="1"/>
  <c r="B507" i="56"/>
  <c r="D510" i="51"/>
  <c r="L509" i="51"/>
  <c r="O512" i="53"/>
  <c r="B512" i="53"/>
  <c r="E509" i="42"/>
  <c r="N509" i="42"/>
  <c r="I508" i="55"/>
  <c r="I514" i="53"/>
  <c r="J511" i="51"/>
  <c r="O485" i="47"/>
  <c r="G485" i="47"/>
  <c r="E507" i="55"/>
  <c r="N507" i="55"/>
  <c r="L507" i="57"/>
  <c r="I508" i="57"/>
  <c r="I510" i="42"/>
  <c r="I509" i="56"/>
  <c r="D508" i="56" l="1"/>
  <c r="L507" i="56"/>
  <c r="E510" i="51"/>
  <c r="N510" i="51"/>
  <c r="D513" i="53"/>
  <c r="L512" i="53"/>
  <c r="B509" i="42"/>
  <c r="O509" i="42"/>
  <c r="J509" i="56"/>
  <c r="B507" i="55"/>
  <c r="O507" i="55"/>
  <c r="J510" i="42"/>
  <c r="N508" i="57"/>
  <c r="J508" i="57"/>
  <c r="G511" i="51"/>
  <c r="J514" i="53"/>
  <c r="L485" i="47"/>
  <c r="I486" i="47"/>
  <c r="J508" i="55"/>
  <c r="N508" i="56" l="1"/>
  <c r="E508" i="56"/>
  <c r="O510" i="51"/>
  <c r="B510" i="51"/>
  <c r="E513" i="53"/>
  <c r="N513" i="53"/>
  <c r="D510" i="42"/>
  <c r="L509" i="42"/>
  <c r="G514" i="53"/>
  <c r="D508" i="55"/>
  <c r="L507" i="55"/>
  <c r="G508" i="55"/>
  <c r="O508" i="57"/>
  <c r="G508" i="57"/>
  <c r="I512" i="51"/>
  <c r="N486" i="47"/>
  <c r="J486" i="47"/>
  <c r="G509" i="56"/>
  <c r="G510" i="42"/>
  <c r="B508" i="56" l="1"/>
  <c r="O508" i="56"/>
  <c r="L510" i="51"/>
  <c r="D511" i="51"/>
  <c r="B513" i="53"/>
  <c r="O513" i="53"/>
  <c r="E510" i="42"/>
  <c r="N510" i="42"/>
  <c r="I510" i="56"/>
  <c r="I511" i="42"/>
  <c r="I509" i="55"/>
  <c r="J512" i="51"/>
  <c r="O486" i="47"/>
  <c r="G486" i="47"/>
  <c r="E508" i="55"/>
  <c r="N508" i="55"/>
  <c r="I515" i="53"/>
  <c r="I509" i="57"/>
  <c r="L508" i="57"/>
  <c r="D509" i="56" l="1"/>
  <c r="L508" i="56"/>
  <c r="E511" i="51"/>
  <c r="N511" i="51"/>
  <c r="D514" i="53"/>
  <c r="L513" i="53"/>
  <c r="B510" i="42"/>
  <c r="O510" i="42"/>
  <c r="N509" i="57"/>
  <c r="J509" i="57"/>
  <c r="J509" i="55"/>
  <c r="J511" i="42"/>
  <c r="G512" i="51"/>
  <c r="O508" i="55"/>
  <c r="B508" i="55"/>
  <c r="L486" i="47"/>
  <c r="I487" i="47"/>
  <c r="J515" i="53"/>
  <c r="J510" i="56"/>
  <c r="E509" i="56" l="1"/>
  <c r="N509" i="56"/>
  <c r="B511" i="51"/>
  <c r="O511" i="51"/>
  <c r="E514" i="53"/>
  <c r="N514" i="53"/>
  <c r="D511" i="42"/>
  <c r="L510" i="42"/>
  <c r="N487" i="47"/>
  <c r="J487" i="47"/>
  <c r="I513" i="51"/>
  <c r="G510" i="56"/>
  <c r="G509" i="55"/>
  <c r="D509" i="55"/>
  <c r="L508" i="55"/>
  <c r="O509" i="57"/>
  <c r="G509" i="57"/>
  <c r="G511" i="42"/>
  <c r="G515" i="53"/>
  <c r="B509" i="56" l="1"/>
  <c r="O509" i="56"/>
  <c r="D512" i="51"/>
  <c r="L511" i="51"/>
  <c r="B514" i="53"/>
  <c r="O514" i="53"/>
  <c r="E511" i="42"/>
  <c r="N511" i="42"/>
  <c r="I516" i="53"/>
  <c r="L509" i="57"/>
  <c r="I510" i="57"/>
  <c r="J513" i="51"/>
  <c r="I512" i="42"/>
  <c r="O487" i="47"/>
  <c r="G487" i="47"/>
  <c r="E509" i="55"/>
  <c r="N509" i="55"/>
  <c r="I510" i="55"/>
  <c r="I511" i="56"/>
  <c r="D510" i="56" l="1"/>
  <c r="L509" i="56"/>
  <c r="N512" i="51"/>
  <c r="E512" i="51"/>
  <c r="D515" i="53"/>
  <c r="L514" i="53"/>
  <c r="B511" i="42"/>
  <c r="O511" i="42"/>
  <c r="L487" i="47"/>
  <c r="I488" i="47"/>
  <c r="O509" i="55"/>
  <c r="B509" i="55"/>
  <c r="N510" i="57"/>
  <c r="J510" i="57"/>
  <c r="J512" i="42"/>
  <c r="J516" i="53"/>
  <c r="G513" i="51"/>
  <c r="J511" i="56"/>
  <c r="J510" i="55"/>
  <c r="E510" i="56" l="1"/>
  <c r="N510" i="56"/>
  <c r="O512" i="51"/>
  <c r="B512" i="51"/>
  <c r="E515" i="53"/>
  <c r="N515" i="53"/>
  <c r="D512" i="42"/>
  <c r="L511" i="42"/>
  <c r="I514" i="51"/>
  <c r="G510" i="55"/>
  <c r="G516" i="53"/>
  <c r="D510" i="55"/>
  <c r="L509" i="55"/>
  <c r="N488" i="47"/>
  <c r="J488" i="47"/>
  <c r="O510" i="57"/>
  <c r="G510" i="57"/>
  <c r="G511" i="56"/>
  <c r="G512" i="42"/>
  <c r="B510" i="56" l="1"/>
  <c r="O510" i="56"/>
  <c r="L512" i="51"/>
  <c r="D513" i="51"/>
  <c r="B515" i="53"/>
  <c r="O515" i="53"/>
  <c r="E512" i="42"/>
  <c r="N512" i="42"/>
  <c r="I511" i="55"/>
  <c r="I511" i="57"/>
  <c r="L510" i="57"/>
  <c r="I513" i="42"/>
  <c r="I517" i="53"/>
  <c r="J514" i="51"/>
  <c r="E510" i="55"/>
  <c r="N510" i="55"/>
  <c r="O488" i="47"/>
  <c r="G488" i="47"/>
  <c r="I512" i="56"/>
  <c r="D511" i="56" l="1"/>
  <c r="L510" i="56"/>
  <c r="E513" i="51"/>
  <c r="N513" i="51"/>
  <c r="D516" i="53"/>
  <c r="L515" i="53"/>
  <c r="B512" i="42"/>
  <c r="O512" i="42"/>
  <c r="L488" i="47"/>
  <c r="I489" i="47"/>
  <c r="N511" i="57"/>
  <c r="J511" i="57"/>
  <c r="G514" i="51"/>
  <c r="J517" i="53"/>
  <c r="J513" i="42"/>
  <c r="J511" i="55"/>
  <c r="J512" i="56"/>
  <c r="B510" i="55"/>
  <c r="O510" i="55"/>
  <c r="E511" i="56" l="1"/>
  <c r="N511" i="56"/>
  <c r="B513" i="51"/>
  <c r="O513" i="51"/>
  <c r="E516" i="53"/>
  <c r="N516" i="53"/>
  <c r="D513" i="42"/>
  <c r="L512" i="42"/>
  <c r="O511" i="57"/>
  <c r="G511" i="57"/>
  <c r="G512" i="56"/>
  <c r="D511" i="55"/>
  <c r="L510" i="55"/>
  <c r="N489" i="47"/>
  <c r="J489" i="47"/>
  <c r="I515" i="51"/>
  <c r="G511" i="55"/>
  <c r="G513" i="42"/>
  <c r="G517" i="53"/>
  <c r="B511" i="56" l="1"/>
  <c r="O511" i="56"/>
  <c r="D514" i="51"/>
  <c r="L513" i="51"/>
  <c r="B516" i="53"/>
  <c r="O516" i="53"/>
  <c r="E513" i="42"/>
  <c r="N513" i="42"/>
  <c r="E511" i="55"/>
  <c r="N511" i="55"/>
  <c r="I518" i="53"/>
  <c r="I513" i="56"/>
  <c r="L511" i="57"/>
  <c r="I512" i="57"/>
  <c r="I512" i="55"/>
  <c r="J515" i="51"/>
  <c r="I514" i="42"/>
  <c r="O489" i="47"/>
  <c r="G489" i="47"/>
  <c r="D512" i="56" l="1"/>
  <c r="L511" i="56"/>
  <c r="N514" i="51"/>
  <c r="E514" i="51"/>
  <c r="D517" i="53"/>
  <c r="L516" i="53"/>
  <c r="B513" i="42"/>
  <c r="O513" i="42"/>
  <c r="L489" i="47"/>
  <c r="I490" i="47"/>
  <c r="J514" i="42"/>
  <c r="J513" i="56"/>
  <c r="N512" i="57"/>
  <c r="J512" i="57"/>
  <c r="J512" i="55"/>
  <c r="J518" i="53"/>
  <c r="G515" i="51"/>
  <c r="B511" i="55"/>
  <c r="O511" i="55"/>
  <c r="E512" i="56" l="1"/>
  <c r="N512" i="56"/>
  <c r="O514" i="51"/>
  <c r="B514" i="51"/>
  <c r="E517" i="53"/>
  <c r="N517" i="53"/>
  <c r="D514" i="42"/>
  <c r="L513" i="42"/>
  <c r="G513" i="56"/>
  <c r="G518" i="53"/>
  <c r="G512" i="55"/>
  <c r="N490" i="47"/>
  <c r="J490" i="47"/>
  <c r="I516" i="51"/>
  <c r="G514" i="42"/>
  <c r="D512" i="55"/>
  <c r="L511" i="55"/>
  <c r="O512" i="57"/>
  <c r="G512" i="57"/>
  <c r="B512" i="56" l="1"/>
  <c r="O512" i="56"/>
  <c r="D515" i="51"/>
  <c r="L514" i="51"/>
  <c r="B517" i="53"/>
  <c r="O517" i="53"/>
  <c r="E514" i="42"/>
  <c r="N514" i="42"/>
  <c r="E512" i="55"/>
  <c r="N512" i="55"/>
  <c r="I513" i="57"/>
  <c r="L512" i="57"/>
  <c r="I513" i="55"/>
  <c r="I519" i="53"/>
  <c r="J516" i="51"/>
  <c r="X196" i="51"/>
  <c r="O490" i="47"/>
  <c r="G490" i="47"/>
  <c r="I515" i="42"/>
  <c r="I514" i="56"/>
  <c r="D513" i="56" l="1"/>
  <c r="L512" i="56"/>
  <c r="E515" i="51"/>
  <c r="N515" i="51"/>
  <c r="D518" i="53"/>
  <c r="L517" i="53"/>
  <c r="B514" i="42"/>
  <c r="O514" i="42"/>
  <c r="J514" i="56"/>
  <c r="X194" i="56"/>
  <c r="N513" i="57"/>
  <c r="J513" i="57"/>
  <c r="X193" i="57"/>
  <c r="AC193" i="57" s="1"/>
  <c r="L490" i="47"/>
  <c r="I491" i="47"/>
  <c r="J513" i="55"/>
  <c r="X193" i="55"/>
  <c r="Y196" i="51"/>
  <c r="G516" i="51"/>
  <c r="J519" i="53"/>
  <c r="X199" i="53"/>
  <c r="J515" i="42"/>
  <c r="X195" i="42"/>
  <c r="B512" i="55"/>
  <c r="O512" i="55"/>
  <c r="E513" i="56" l="1"/>
  <c r="N513" i="56"/>
  <c r="B515" i="51"/>
  <c r="O515" i="51"/>
  <c r="E518" i="53"/>
  <c r="N518" i="53"/>
  <c r="D515" i="42"/>
  <c r="L514" i="42"/>
  <c r="O513" i="57"/>
  <c r="Y193" i="57"/>
  <c r="AD193" i="57" s="1"/>
  <c r="G513" i="57"/>
  <c r="Y193" i="55"/>
  <c r="G513" i="55"/>
  <c r="Y199" i="53"/>
  <c r="G519" i="53"/>
  <c r="Y195" i="42"/>
  <c r="G515" i="42"/>
  <c r="Y194" i="56"/>
  <c r="G514" i="56"/>
  <c r="I517" i="51"/>
  <c r="V196" i="51"/>
  <c r="N491" i="47"/>
  <c r="J491" i="47"/>
  <c r="D513" i="55"/>
  <c r="L512" i="55"/>
  <c r="O513" i="56" l="1"/>
  <c r="B513" i="56"/>
  <c r="D516" i="51"/>
  <c r="L515" i="51"/>
  <c r="B518" i="53"/>
  <c r="O518" i="53"/>
  <c r="E515" i="42"/>
  <c r="S195" i="42"/>
  <c r="AC195" i="42" s="1"/>
  <c r="N515" i="42"/>
  <c r="O491" i="47"/>
  <c r="G491" i="47"/>
  <c r="I515" i="56"/>
  <c r="V194" i="56"/>
  <c r="I514" i="55"/>
  <c r="V193" i="55"/>
  <c r="V195" i="42"/>
  <c r="I516" i="42"/>
  <c r="L513" i="57"/>
  <c r="V193" i="57"/>
  <c r="AA193" i="57" s="1"/>
  <c r="I514" i="57"/>
  <c r="J517" i="51"/>
  <c r="E513" i="55"/>
  <c r="S193" i="55"/>
  <c r="AC193" i="55" s="1"/>
  <c r="N513" i="55"/>
  <c r="I520" i="53"/>
  <c r="V199" i="53"/>
  <c r="L513" i="56" l="1"/>
  <c r="D514" i="56"/>
  <c r="N516" i="51"/>
  <c r="S196" i="51"/>
  <c r="AC196" i="51" s="1"/>
  <c r="E516" i="51"/>
  <c r="D519" i="53"/>
  <c r="L518" i="53"/>
  <c r="T195" i="42"/>
  <c r="AD195" i="42" s="1"/>
  <c r="B515" i="42"/>
  <c r="O515" i="42"/>
  <c r="J514" i="55"/>
  <c r="J515" i="56"/>
  <c r="J520" i="53"/>
  <c r="J516" i="42"/>
  <c r="N514" i="57"/>
  <c r="J514" i="57"/>
  <c r="L491" i="47"/>
  <c r="I492" i="47"/>
  <c r="G517" i="51"/>
  <c r="T193" i="55"/>
  <c r="AD193" i="55" s="1"/>
  <c r="B513" i="55"/>
  <c r="O513" i="55"/>
  <c r="N514" i="56" l="1"/>
  <c r="S194" i="56"/>
  <c r="AC194" i="56" s="1"/>
  <c r="E514" i="56"/>
  <c r="O516" i="51"/>
  <c r="B516" i="51"/>
  <c r="T196" i="51"/>
  <c r="AD196" i="51" s="1"/>
  <c r="E519" i="53"/>
  <c r="S199" i="53"/>
  <c r="AC199" i="53" s="1"/>
  <c r="N519" i="53"/>
  <c r="D516" i="42"/>
  <c r="Q195" i="42"/>
  <c r="AA195" i="42" s="1"/>
  <c r="L515" i="42"/>
  <c r="G520" i="53"/>
  <c r="G516" i="42"/>
  <c r="D514" i="55"/>
  <c r="Q193" i="55"/>
  <c r="AA193" i="55" s="1"/>
  <c r="L513" i="55"/>
  <c r="O514" i="57"/>
  <c r="G514" i="57"/>
  <c r="G514" i="55"/>
  <c r="G515" i="56"/>
  <c r="N492" i="47"/>
  <c r="J492" i="47"/>
  <c r="X172" i="47"/>
  <c r="AC172" i="47" s="1"/>
  <c r="I518" i="51"/>
  <c r="O514" i="56" l="1"/>
  <c r="B514" i="56"/>
  <c r="T194" i="56"/>
  <c r="AD194" i="56" s="1"/>
  <c r="L516" i="51"/>
  <c r="D517" i="51"/>
  <c r="Q196" i="51"/>
  <c r="AA196" i="51" s="1"/>
  <c r="T199" i="53"/>
  <c r="AD199" i="53" s="1"/>
  <c r="O519" i="53"/>
  <c r="B519" i="53"/>
  <c r="E516" i="42"/>
  <c r="N516" i="42"/>
  <c r="O492" i="47"/>
  <c r="Y172" i="47"/>
  <c r="AD172" i="47" s="1"/>
  <c r="G492" i="47"/>
  <c r="I515" i="57"/>
  <c r="L514" i="57"/>
  <c r="J518" i="51"/>
  <c r="I516" i="56"/>
  <c r="I521" i="53"/>
  <c r="E514" i="55"/>
  <c r="N514" i="55"/>
  <c r="I515" i="55"/>
  <c r="I517" i="42"/>
  <c r="Q194" i="56" l="1"/>
  <c r="AA194" i="56" s="1"/>
  <c r="D515" i="56"/>
  <c r="L514" i="56"/>
  <c r="E517" i="51"/>
  <c r="N517" i="51"/>
  <c r="Q199" i="53"/>
  <c r="AA199" i="53" s="1"/>
  <c r="D520" i="53"/>
  <c r="L519" i="53"/>
  <c r="O516" i="42"/>
  <c r="B516" i="42"/>
  <c r="N515" i="57"/>
  <c r="J515" i="57"/>
  <c r="V172" i="47"/>
  <c r="AA172" i="47" s="1"/>
  <c r="L492" i="47"/>
  <c r="I493" i="47"/>
  <c r="J515" i="55"/>
  <c r="J521" i="53"/>
  <c r="J517" i="42"/>
  <c r="J516" i="56"/>
  <c r="G518" i="51"/>
  <c r="O514" i="55"/>
  <c r="B514" i="55"/>
  <c r="E515" i="56" l="1"/>
  <c r="N515" i="56"/>
  <c r="O517" i="51"/>
  <c r="B517" i="51"/>
  <c r="E520" i="53"/>
  <c r="N520" i="53"/>
  <c r="D517" i="42"/>
  <c r="L516" i="42"/>
  <c r="N493" i="47"/>
  <c r="J493" i="47"/>
  <c r="D515" i="55"/>
  <c r="L514" i="55"/>
  <c r="G516" i="56"/>
  <c r="O515" i="57"/>
  <c r="G515" i="57"/>
  <c r="G517" i="42"/>
  <c r="I519" i="51"/>
  <c r="G521" i="53"/>
  <c r="G515" i="55"/>
  <c r="O515" i="56" l="1"/>
  <c r="B515" i="56"/>
  <c r="D518" i="51"/>
  <c r="L517" i="51"/>
  <c r="O520" i="53"/>
  <c r="B520" i="53"/>
  <c r="E517" i="42"/>
  <c r="N517" i="42"/>
  <c r="J519" i="51"/>
  <c r="O493" i="47"/>
  <c r="G493" i="47"/>
  <c r="I522" i="53"/>
  <c r="L515" i="57"/>
  <c r="I516" i="57"/>
  <c r="I517" i="56"/>
  <c r="I518" i="42"/>
  <c r="E515" i="55"/>
  <c r="N515" i="55"/>
  <c r="I516" i="55"/>
  <c r="D516" i="56" l="1"/>
  <c r="L515" i="56"/>
  <c r="E518" i="51"/>
  <c r="N518" i="51"/>
  <c r="D521" i="53"/>
  <c r="L520" i="53"/>
  <c r="B517" i="42"/>
  <c r="O517" i="42"/>
  <c r="G519" i="51"/>
  <c r="N516" i="57"/>
  <c r="J516" i="57"/>
  <c r="J522" i="53"/>
  <c r="J517" i="56"/>
  <c r="O515" i="55"/>
  <c r="B515" i="55"/>
  <c r="J518" i="42"/>
  <c r="J516" i="55"/>
  <c r="L493" i="47"/>
  <c r="I494" i="47"/>
  <c r="E516" i="56" l="1"/>
  <c r="N516" i="56"/>
  <c r="O518" i="51"/>
  <c r="B518" i="51"/>
  <c r="E521" i="53"/>
  <c r="N521" i="53"/>
  <c r="D518" i="42"/>
  <c r="L517" i="42"/>
  <c r="G516" i="55"/>
  <c r="G517" i="56"/>
  <c r="I520" i="51"/>
  <c r="G522" i="53"/>
  <c r="O516" i="57"/>
  <c r="G516" i="57"/>
  <c r="D516" i="55"/>
  <c r="L515" i="55"/>
  <c r="G518" i="42"/>
  <c r="N494" i="47"/>
  <c r="J494" i="47"/>
  <c r="B516" i="56" l="1"/>
  <c r="O516" i="56"/>
  <c r="D519" i="51"/>
  <c r="L518" i="51"/>
  <c r="O521" i="53"/>
  <c r="B521" i="53"/>
  <c r="E518" i="42"/>
  <c r="N518" i="42"/>
  <c r="I519" i="42"/>
  <c r="J520" i="51"/>
  <c r="I517" i="55"/>
  <c r="E516" i="55"/>
  <c r="N516" i="55"/>
  <c r="L516" i="57"/>
  <c r="I517" i="57"/>
  <c r="I523" i="53"/>
  <c r="I518" i="56"/>
  <c r="O494" i="47"/>
  <c r="G494" i="47"/>
  <c r="L516" i="56" l="1"/>
  <c r="D517" i="56"/>
  <c r="E519" i="51"/>
  <c r="N519" i="51"/>
  <c r="D522" i="53"/>
  <c r="L521" i="53"/>
  <c r="B518" i="42"/>
  <c r="O518" i="42"/>
  <c r="J523" i="53"/>
  <c r="G520" i="51"/>
  <c r="O516" i="55"/>
  <c r="B516" i="55"/>
  <c r="L494" i="47"/>
  <c r="I495" i="47"/>
  <c r="J517" i="55"/>
  <c r="J518" i="56"/>
  <c r="N517" i="57"/>
  <c r="J517" i="57"/>
  <c r="J519" i="42"/>
  <c r="E517" i="56" l="1"/>
  <c r="N517" i="56"/>
  <c r="B519" i="51"/>
  <c r="O519" i="51"/>
  <c r="E522" i="53"/>
  <c r="N522" i="53"/>
  <c r="D519" i="42"/>
  <c r="L518" i="42"/>
  <c r="I521" i="51"/>
  <c r="O517" i="57"/>
  <c r="G517" i="57"/>
  <c r="G523" i="53"/>
  <c r="G517" i="55"/>
  <c r="N495" i="47"/>
  <c r="J495" i="47"/>
  <c r="G519" i="42"/>
  <c r="G518" i="56"/>
  <c r="D517" i="55"/>
  <c r="L516" i="55"/>
  <c r="B517" i="56" l="1"/>
  <c r="O517" i="56"/>
  <c r="L519" i="51"/>
  <c r="D520" i="51"/>
  <c r="O522" i="53"/>
  <c r="B522" i="53"/>
  <c r="E519" i="42"/>
  <c r="N519" i="42"/>
  <c r="J521" i="51"/>
  <c r="I524" i="53"/>
  <c r="I519" i="56"/>
  <c r="I518" i="55"/>
  <c r="I520" i="42"/>
  <c r="E517" i="55"/>
  <c r="N517" i="55"/>
  <c r="O495" i="47"/>
  <c r="G495" i="47"/>
  <c r="L517" i="57"/>
  <c r="I518" i="57"/>
  <c r="D518" i="56" l="1"/>
  <c r="L517" i="56"/>
  <c r="E520" i="51"/>
  <c r="N520" i="51"/>
  <c r="D523" i="53"/>
  <c r="L522" i="53"/>
  <c r="B519" i="42"/>
  <c r="O519" i="42"/>
  <c r="B517" i="55"/>
  <c r="O517" i="55"/>
  <c r="J520" i="42"/>
  <c r="J524" i="53"/>
  <c r="J519" i="56"/>
  <c r="L495" i="47"/>
  <c r="I496" i="47"/>
  <c r="N518" i="57"/>
  <c r="J518" i="57"/>
  <c r="J518" i="55"/>
  <c r="G521" i="51"/>
  <c r="E518" i="56" l="1"/>
  <c r="N518" i="56"/>
  <c r="B520" i="51"/>
  <c r="O520" i="51"/>
  <c r="E523" i="53"/>
  <c r="N523" i="53"/>
  <c r="D520" i="42"/>
  <c r="L519" i="42"/>
  <c r="I522" i="51"/>
  <c r="G524" i="53"/>
  <c r="G520" i="42"/>
  <c r="G519" i="56"/>
  <c r="N496" i="47"/>
  <c r="J496" i="47"/>
  <c r="D518" i="55"/>
  <c r="L517" i="55"/>
  <c r="G518" i="55"/>
  <c r="O518" i="57"/>
  <c r="G518" i="57"/>
  <c r="O518" i="56" l="1"/>
  <c r="B518" i="56"/>
  <c r="D521" i="51"/>
  <c r="L520" i="51"/>
  <c r="O523" i="53"/>
  <c r="B523" i="53"/>
  <c r="E520" i="42"/>
  <c r="N520" i="42"/>
  <c r="I519" i="55"/>
  <c r="I525" i="53"/>
  <c r="I519" i="57"/>
  <c r="L518" i="57"/>
  <c r="E518" i="55"/>
  <c r="N518" i="55"/>
  <c r="O496" i="47"/>
  <c r="G496" i="47"/>
  <c r="I520" i="56"/>
  <c r="I521" i="42"/>
  <c r="J522" i="51"/>
  <c r="D519" i="56" l="1"/>
  <c r="L518" i="56"/>
  <c r="N521" i="51"/>
  <c r="E521" i="51"/>
  <c r="D524" i="53"/>
  <c r="L523" i="53"/>
  <c r="B520" i="42"/>
  <c r="O520" i="42"/>
  <c r="O518" i="55"/>
  <c r="B518" i="55"/>
  <c r="J520" i="56"/>
  <c r="J521" i="42"/>
  <c r="N519" i="57"/>
  <c r="J519" i="57"/>
  <c r="J525" i="53"/>
  <c r="G522" i="51"/>
  <c r="J519" i="55"/>
  <c r="L496" i="47"/>
  <c r="I497" i="47"/>
  <c r="E519" i="56" l="1"/>
  <c r="N519" i="56"/>
  <c r="B521" i="51"/>
  <c r="O521" i="51"/>
  <c r="E524" i="53"/>
  <c r="N524" i="53"/>
  <c r="D521" i="42"/>
  <c r="L520" i="42"/>
  <c r="G520" i="56"/>
  <c r="D519" i="55"/>
  <c r="L518" i="55"/>
  <c r="I523" i="51"/>
  <c r="G525" i="53"/>
  <c r="G519" i="55"/>
  <c r="G521" i="42"/>
  <c r="N497" i="47"/>
  <c r="J497" i="47"/>
  <c r="O519" i="57"/>
  <c r="G519" i="57"/>
  <c r="B519" i="56" l="1"/>
  <c r="O519" i="56"/>
  <c r="D522" i="51"/>
  <c r="L521" i="51"/>
  <c r="O524" i="53"/>
  <c r="B524" i="53"/>
  <c r="E521" i="42"/>
  <c r="N521" i="42"/>
  <c r="L519" i="57"/>
  <c r="I520" i="57"/>
  <c r="I522" i="42"/>
  <c r="I520" i="55"/>
  <c r="E519" i="55"/>
  <c r="N519" i="55"/>
  <c r="I526" i="53"/>
  <c r="O497" i="47"/>
  <c r="G497" i="47"/>
  <c r="J523" i="51"/>
  <c r="I521" i="56"/>
  <c r="D520" i="56" l="1"/>
  <c r="L519" i="56"/>
  <c r="E522" i="51"/>
  <c r="N522" i="51"/>
  <c r="D525" i="53"/>
  <c r="L524" i="53"/>
  <c r="B521" i="42"/>
  <c r="O521" i="42"/>
  <c r="J520" i="55"/>
  <c r="J526" i="53"/>
  <c r="N520" i="57"/>
  <c r="J520" i="57"/>
  <c r="J522" i="42"/>
  <c r="G523" i="51"/>
  <c r="O519" i="55"/>
  <c r="B519" i="55"/>
  <c r="J521" i="56"/>
  <c r="L497" i="47"/>
  <c r="I498" i="47"/>
  <c r="E520" i="56" l="1"/>
  <c r="N520" i="56"/>
  <c r="B522" i="51"/>
  <c r="O522" i="51"/>
  <c r="E525" i="53"/>
  <c r="N525" i="53"/>
  <c r="D522" i="42"/>
  <c r="L521" i="42"/>
  <c r="G522" i="42"/>
  <c r="N498" i="47"/>
  <c r="J498" i="47"/>
  <c r="G526" i="53"/>
  <c r="I524" i="51"/>
  <c r="G520" i="55"/>
  <c r="O520" i="57"/>
  <c r="G520" i="57"/>
  <c r="D520" i="55"/>
  <c r="L519" i="55"/>
  <c r="G521" i="56"/>
  <c r="B520" i="56" l="1"/>
  <c r="O520" i="56"/>
  <c r="D523" i="51"/>
  <c r="L522" i="51"/>
  <c r="B525" i="53"/>
  <c r="O525" i="53"/>
  <c r="E522" i="42"/>
  <c r="N522" i="42"/>
  <c r="I527" i="53"/>
  <c r="I522" i="56"/>
  <c r="I521" i="57"/>
  <c r="L520" i="57"/>
  <c r="O498" i="47"/>
  <c r="G498" i="47"/>
  <c r="I523" i="42"/>
  <c r="J524" i="51"/>
  <c r="E520" i="55"/>
  <c r="N520" i="55"/>
  <c r="I521" i="55"/>
  <c r="D521" i="56" l="1"/>
  <c r="L520" i="56"/>
  <c r="E523" i="51"/>
  <c r="N523" i="51"/>
  <c r="D526" i="53"/>
  <c r="L525" i="53"/>
  <c r="B522" i="42"/>
  <c r="O522" i="42"/>
  <c r="N521" i="57"/>
  <c r="J521" i="57"/>
  <c r="G524" i="51"/>
  <c r="J521" i="55"/>
  <c r="L498" i="47"/>
  <c r="I499" i="47"/>
  <c r="J522" i="56"/>
  <c r="J527" i="53"/>
  <c r="J523" i="42"/>
  <c r="B520" i="55"/>
  <c r="O520" i="55"/>
  <c r="N521" i="56" l="1"/>
  <c r="E521" i="56"/>
  <c r="B523" i="51"/>
  <c r="O523" i="51"/>
  <c r="E526" i="53"/>
  <c r="N526" i="53"/>
  <c r="D523" i="42"/>
  <c r="L522" i="42"/>
  <c r="G527" i="53"/>
  <c r="G522" i="56"/>
  <c r="G523" i="42"/>
  <c r="O521" i="57"/>
  <c r="G521" i="57"/>
  <c r="G521" i="55"/>
  <c r="I525" i="51"/>
  <c r="D521" i="55"/>
  <c r="L520" i="55"/>
  <c r="N499" i="47"/>
  <c r="J499" i="47"/>
  <c r="B521" i="56" l="1"/>
  <c r="O521" i="56"/>
  <c r="D524" i="51"/>
  <c r="L523" i="51"/>
  <c r="B526" i="53"/>
  <c r="O526" i="53"/>
  <c r="E523" i="42"/>
  <c r="N523" i="42"/>
  <c r="E521" i="55"/>
  <c r="N521" i="55"/>
  <c r="O499" i="47"/>
  <c r="G499" i="47"/>
  <c r="I524" i="42"/>
  <c r="J525" i="51"/>
  <c r="I523" i="56"/>
  <c r="L521" i="57"/>
  <c r="I522" i="57"/>
  <c r="I528" i="53"/>
  <c r="I522" i="55"/>
  <c r="D522" i="56" l="1"/>
  <c r="L521" i="56"/>
  <c r="N524" i="51"/>
  <c r="E524" i="51"/>
  <c r="D527" i="53"/>
  <c r="L526" i="53"/>
  <c r="B523" i="42"/>
  <c r="O523" i="42"/>
  <c r="J524" i="42"/>
  <c r="J522" i="55"/>
  <c r="J523" i="56"/>
  <c r="G525" i="51"/>
  <c r="L499" i="47"/>
  <c r="I500" i="47"/>
  <c r="J528" i="53"/>
  <c r="N522" i="57"/>
  <c r="J522" i="57"/>
  <c r="B521" i="55"/>
  <c r="O521" i="55"/>
  <c r="E522" i="56" l="1"/>
  <c r="N522" i="56"/>
  <c r="O524" i="51"/>
  <c r="B524" i="51"/>
  <c r="E527" i="53"/>
  <c r="N527" i="53"/>
  <c r="D524" i="42"/>
  <c r="L523" i="42"/>
  <c r="I526" i="51"/>
  <c r="G528" i="53"/>
  <c r="N500" i="47"/>
  <c r="J500" i="47"/>
  <c r="G522" i="55"/>
  <c r="G524" i="42"/>
  <c r="G523" i="56"/>
  <c r="D522" i="55"/>
  <c r="L521" i="55"/>
  <c r="O522" i="57"/>
  <c r="G522" i="57"/>
  <c r="B522" i="56" l="1"/>
  <c r="O522" i="56"/>
  <c r="L524" i="51"/>
  <c r="D525" i="51"/>
  <c r="B527" i="53"/>
  <c r="O527" i="53"/>
  <c r="E524" i="42"/>
  <c r="N524" i="42"/>
  <c r="I529" i="53"/>
  <c r="I523" i="57"/>
  <c r="L522" i="57"/>
  <c r="O500" i="47"/>
  <c r="G500" i="47"/>
  <c r="I525" i="42"/>
  <c r="J526" i="51"/>
  <c r="I524" i="56"/>
  <c r="E522" i="55"/>
  <c r="N522" i="55"/>
  <c r="I523" i="55"/>
  <c r="D523" i="56" l="1"/>
  <c r="L522" i="56"/>
  <c r="N525" i="51"/>
  <c r="E525" i="51"/>
  <c r="D528" i="53"/>
  <c r="L527" i="53"/>
  <c r="B524" i="42"/>
  <c r="O524" i="42"/>
  <c r="N523" i="57"/>
  <c r="J523" i="57"/>
  <c r="L500" i="47"/>
  <c r="I501" i="47"/>
  <c r="J523" i="55"/>
  <c r="J529" i="53"/>
  <c r="J524" i="56"/>
  <c r="G526" i="51"/>
  <c r="O522" i="55"/>
  <c r="B522" i="55"/>
  <c r="J525" i="42"/>
  <c r="N523" i="56" l="1"/>
  <c r="E523" i="56"/>
  <c r="O525" i="51"/>
  <c r="B525" i="51"/>
  <c r="E528" i="53"/>
  <c r="N528" i="53"/>
  <c r="D525" i="42"/>
  <c r="L524" i="42"/>
  <c r="I527" i="51"/>
  <c r="G525" i="42"/>
  <c r="N501" i="47"/>
  <c r="J501" i="47"/>
  <c r="G524" i="56"/>
  <c r="G523" i="55"/>
  <c r="O523" i="57"/>
  <c r="G523" i="57"/>
  <c r="G529" i="53"/>
  <c r="D523" i="55"/>
  <c r="L522" i="55"/>
  <c r="B523" i="56" l="1"/>
  <c r="O523" i="56"/>
  <c r="L525" i="51"/>
  <c r="D526" i="51"/>
  <c r="B528" i="53"/>
  <c r="O528" i="53"/>
  <c r="E525" i="42"/>
  <c r="N525" i="42"/>
  <c r="O501" i="47"/>
  <c r="G501" i="47"/>
  <c r="I526" i="42"/>
  <c r="E523" i="55"/>
  <c r="N523" i="55"/>
  <c r="L523" i="57"/>
  <c r="I524" i="57"/>
  <c r="I524" i="55"/>
  <c r="I530" i="53"/>
  <c r="I525" i="56"/>
  <c r="J527" i="51"/>
  <c r="D524" i="56" l="1"/>
  <c r="L523" i="56"/>
  <c r="N526" i="51"/>
  <c r="E526" i="51"/>
  <c r="D529" i="53"/>
  <c r="L528" i="53"/>
  <c r="B525" i="42"/>
  <c r="O525" i="42"/>
  <c r="N524" i="57"/>
  <c r="J524" i="57"/>
  <c r="G527" i="51"/>
  <c r="J525" i="56"/>
  <c r="J526" i="42"/>
  <c r="J524" i="55"/>
  <c r="L501" i="47"/>
  <c r="I502" i="47"/>
  <c r="B523" i="55"/>
  <c r="O523" i="55"/>
  <c r="J530" i="53"/>
  <c r="E524" i="56" l="1"/>
  <c r="N524" i="56"/>
  <c r="O526" i="51"/>
  <c r="B526" i="51"/>
  <c r="E529" i="53"/>
  <c r="N529" i="53"/>
  <c r="D526" i="42"/>
  <c r="L525" i="42"/>
  <c r="G525" i="56"/>
  <c r="G526" i="42"/>
  <c r="D524" i="55"/>
  <c r="L523" i="55"/>
  <c r="I528" i="51"/>
  <c r="G524" i="55"/>
  <c r="O524" i="57"/>
  <c r="G524" i="57"/>
  <c r="N502" i="47"/>
  <c r="J502" i="47"/>
  <c r="G530" i="53"/>
  <c r="B524" i="56" l="1"/>
  <c r="O524" i="56"/>
  <c r="L526" i="51"/>
  <c r="D527" i="51"/>
  <c r="B529" i="53"/>
  <c r="O529" i="53"/>
  <c r="E526" i="42"/>
  <c r="N526" i="42"/>
  <c r="I531" i="53"/>
  <c r="L524" i="57"/>
  <c r="I525" i="57"/>
  <c r="O502" i="47"/>
  <c r="G502" i="47"/>
  <c r="I527" i="42"/>
  <c r="I526" i="56"/>
  <c r="E524" i="55"/>
  <c r="N524" i="55"/>
  <c r="I525" i="55"/>
  <c r="J528" i="51"/>
  <c r="X197" i="51"/>
  <c r="D525" i="56" l="1"/>
  <c r="L524" i="56"/>
  <c r="N527" i="51"/>
  <c r="E527" i="51"/>
  <c r="D530" i="53"/>
  <c r="L529" i="53"/>
  <c r="B526" i="42"/>
  <c r="O526" i="42"/>
  <c r="L502" i="47"/>
  <c r="I503" i="47"/>
  <c r="Y197" i="51"/>
  <c r="G528" i="51"/>
  <c r="J527" i="42"/>
  <c r="X196" i="42"/>
  <c r="J531" i="53"/>
  <c r="X200" i="53"/>
  <c r="O524" i="55"/>
  <c r="B524" i="55"/>
  <c r="N525" i="57"/>
  <c r="J525" i="57"/>
  <c r="X194" i="57"/>
  <c r="AC194" i="57" s="1"/>
  <c r="J526" i="56"/>
  <c r="X195" i="56"/>
  <c r="J525" i="55"/>
  <c r="X194" i="55"/>
  <c r="N525" i="56" l="1"/>
  <c r="E525" i="56"/>
  <c r="O527" i="51"/>
  <c r="B527" i="51"/>
  <c r="E530" i="53"/>
  <c r="N530" i="53"/>
  <c r="D527" i="42"/>
  <c r="L526" i="42"/>
  <c r="Y196" i="42"/>
  <c r="G527" i="42"/>
  <c r="Y195" i="56"/>
  <c r="G526" i="56"/>
  <c r="O525" i="57"/>
  <c r="Y194" i="57"/>
  <c r="AD194" i="57" s="1"/>
  <c r="G525" i="57"/>
  <c r="N503" i="47"/>
  <c r="J503" i="47"/>
  <c r="Y200" i="53"/>
  <c r="G531" i="53"/>
  <c r="V197" i="51"/>
  <c r="Y194" i="55"/>
  <c r="G525" i="55"/>
  <c r="D525" i="55"/>
  <c r="L524" i="55"/>
  <c r="O525" i="56" l="1"/>
  <c r="B525" i="56"/>
  <c r="L527" i="51"/>
  <c r="D528" i="51"/>
  <c r="B530" i="53"/>
  <c r="O530" i="53"/>
  <c r="E527" i="42"/>
  <c r="S196" i="42"/>
  <c r="AC196" i="42" s="1"/>
  <c r="N527" i="42"/>
  <c r="V194" i="55"/>
  <c r="AH129" i="55" s="1"/>
  <c r="AH130" i="55" s="1"/>
  <c r="AH143" i="55" s="1"/>
  <c r="E525" i="55"/>
  <c r="S194" i="55"/>
  <c r="AC194" i="55" s="1"/>
  <c r="N525" i="55"/>
  <c r="V195" i="56"/>
  <c r="V196" i="42"/>
  <c r="O503" i="47"/>
  <c r="G503" i="47"/>
  <c r="AH159" i="51"/>
  <c r="AH132" i="51"/>
  <c r="AH133" i="51" s="1"/>
  <c r="AH146" i="51" s="1"/>
  <c r="V200" i="53"/>
  <c r="V194" i="57"/>
  <c r="L525" i="57"/>
  <c r="L525" i="56" l="1"/>
  <c r="D526" i="56"/>
  <c r="S197" i="51"/>
  <c r="AC197" i="51" s="1"/>
  <c r="N528" i="51"/>
  <c r="E528" i="51"/>
  <c r="D531" i="53"/>
  <c r="L530" i="53"/>
  <c r="T196" i="42"/>
  <c r="AD196" i="42" s="1"/>
  <c r="B527" i="42"/>
  <c r="O527" i="42"/>
  <c r="AH158" i="51"/>
  <c r="AH160" i="51" s="1"/>
  <c r="AH147" i="51"/>
  <c r="L503" i="47"/>
  <c r="I504" i="47"/>
  <c r="T194" i="55"/>
  <c r="AD194" i="55" s="1"/>
  <c r="B525" i="55"/>
  <c r="O525" i="55"/>
  <c r="AH156" i="57"/>
  <c r="AH129" i="57"/>
  <c r="AH130" i="57" s="1"/>
  <c r="AH143" i="57" s="1"/>
  <c r="AA194" i="57"/>
  <c r="AH157" i="56"/>
  <c r="AH130" i="56"/>
  <c r="AH131" i="56" s="1"/>
  <c r="AH144" i="56" s="1"/>
  <c r="AH135" i="53"/>
  <c r="AH136" i="53" s="1"/>
  <c r="AH149" i="53" s="1"/>
  <c r="AH131" i="42"/>
  <c r="AH132" i="42" s="1"/>
  <c r="AH145" i="42" s="1"/>
  <c r="AH155" i="55"/>
  <c r="AH157" i="55" s="1"/>
  <c r="AH144" i="55"/>
  <c r="N526" i="56" l="1"/>
  <c r="S195" i="56"/>
  <c r="AC195" i="56" s="1"/>
  <c r="E526" i="56"/>
  <c r="B528" i="51"/>
  <c r="T197" i="51"/>
  <c r="AD197" i="51" s="1"/>
  <c r="O528" i="51"/>
  <c r="E531" i="53"/>
  <c r="S200" i="53"/>
  <c r="AC200" i="53" s="1"/>
  <c r="N531" i="53"/>
  <c r="Q196" i="42"/>
  <c r="AA196" i="42" s="1"/>
  <c r="L527" i="42"/>
  <c r="AH156" i="56"/>
  <c r="AH158" i="56" s="1"/>
  <c r="AH145" i="56"/>
  <c r="N504" i="47"/>
  <c r="J504" i="47"/>
  <c r="X173" i="47"/>
  <c r="AC173" i="47" s="1"/>
  <c r="Q194" i="55"/>
  <c r="AA194" i="55" s="1"/>
  <c r="L525" i="55"/>
  <c r="AH155" i="57"/>
  <c r="AH157" i="57" s="1"/>
  <c r="AH144" i="57"/>
  <c r="AH157" i="42"/>
  <c r="AH159" i="42" s="1"/>
  <c r="AH146" i="42"/>
  <c r="AH148" i="51"/>
  <c r="E7" i="51" s="1"/>
  <c r="I8" i="47" s="1"/>
  <c r="AH149" i="51"/>
  <c r="F7" i="51" s="1"/>
  <c r="AH161" i="53"/>
  <c r="AH163" i="53" s="1"/>
  <c r="AH150" i="53"/>
  <c r="AH161" i="51"/>
  <c r="E9" i="51" s="1"/>
  <c r="I10" i="47" s="1"/>
  <c r="AH162" i="51"/>
  <c r="F9" i="51" s="1"/>
  <c r="O526" i="56" l="1"/>
  <c r="B526" i="56"/>
  <c r="T195" i="56"/>
  <c r="AD195" i="56" s="1"/>
  <c r="L528" i="51"/>
  <c r="Q197" i="51"/>
  <c r="AA197" i="51" s="1"/>
  <c r="T200" i="53"/>
  <c r="AD200" i="53" s="1"/>
  <c r="O531" i="53"/>
  <c r="B531" i="53"/>
  <c r="AH158" i="57"/>
  <c r="E9" i="57" s="1"/>
  <c r="M10" i="47" s="1"/>
  <c r="AH159" i="57"/>
  <c r="F9" i="57" s="1"/>
  <c r="O504" i="47"/>
  <c r="Y173" i="47"/>
  <c r="AD173" i="47" s="1"/>
  <c r="G504" i="47"/>
  <c r="AH147" i="56"/>
  <c r="F7" i="56" s="1"/>
  <c r="AH146" i="56"/>
  <c r="E7" i="56" s="1"/>
  <c r="K8" i="47" s="1"/>
  <c r="AH146" i="57"/>
  <c r="F7" i="57" s="1"/>
  <c r="AH145" i="57"/>
  <c r="E7" i="57" s="1"/>
  <c r="M8" i="47" s="1"/>
  <c r="AH159" i="56"/>
  <c r="E9" i="56" s="1"/>
  <c r="K10" i="47" s="1"/>
  <c r="AH160" i="56"/>
  <c r="F9" i="56" s="1"/>
  <c r="Q195" i="56" l="1"/>
  <c r="AA195" i="56" s="1"/>
  <c r="L526" i="56"/>
  <c r="Q200" i="53"/>
  <c r="AA200" i="53" s="1"/>
  <c r="L531" i="53"/>
  <c r="V173" i="47"/>
  <c r="AA173" i="47" s="1"/>
  <c r="AF107" i="47" s="1"/>
  <c r="L504" i="47"/>
  <c r="AF108" i="47" l="1"/>
  <c r="AF115" i="47" l="1"/>
  <c r="S7" i="47" s="1"/>
  <c r="AF116" i="47"/>
  <c r="AF121" i="47"/>
  <c r="S6" i="47"/>
  <c r="AF134" i="47"/>
  <c r="AF133" i="47" l="1"/>
  <c r="AF135" i="47" s="1"/>
  <c r="AF122" i="47"/>
  <c r="AF124" i="47" l="1"/>
  <c r="AF123" i="47"/>
  <c r="S8" i="47" s="1"/>
  <c r="AF136" i="47"/>
  <c r="S10" i="47" s="1"/>
  <c r="AF137" i="47"/>
</calcChain>
</file>

<file path=xl/sharedStrings.xml><?xml version="1.0" encoding="utf-8"?>
<sst xmlns="http://schemas.openxmlformats.org/spreadsheetml/2006/main" count="3503" uniqueCount="578">
  <si>
    <t>Retail</t>
  </si>
  <si>
    <t>Office</t>
  </si>
  <si>
    <t>Industrial</t>
  </si>
  <si>
    <t>Total</t>
  </si>
  <si>
    <t>Net Operating Income</t>
  </si>
  <si>
    <t>NPV</t>
  </si>
  <si>
    <t>Cap Rate</t>
  </si>
  <si>
    <t>Quick Start Guide</t>
  </si>
  <si>
    <t>A few quick and easy steps will get you started at modeling prototype buildings and testing land use regulations.</t>
  </si>
  <si>
    <t xml:space="preserve"> </t>
  </si>
  <si>
    <t>SzdKY3vq/QQ=</t>
  </si>
  <si>
    <t>SzdKY3vq/QU=</t>
  </si>
  <si>
    <t>SzdKY3vq/QY=</t>
  </si>
  <si>
    <t>SzdKY3vq/Qc=</t>
  </si>
  <si>
    <t>SzdKY3vq/Qg=</t>
  </si>
  <si>
    <t>SzdKY3vq/Qk=</t>
  </si>
  <si>
    <t xml:space="preserve">1. Save this file with a new name. </t>
  </si>
  <si>
    <t>Project Value</t>
  </si>
  <si>
    <t>Investment Targets and Performance</t>
  </si>
  <si>
    <t>Target</t>
  </si>
  <si>
    <t>Actual</t>
  </si>
  <si>
    <t>Cash-on-Cash (After Year 3)</t>
  </si>
  <si>
    <t>IRR on Project Cost (Unleveraged Return)</t>
  </si>
  <si>
    <t>IRR on Investor Equity (Leveraged Return Before Tax)</t>
  </si>
  <si>
    <t>Debt Service Coverage Ratio (Year 3)</t>
  </si>
  <si>
    <t>IRR on Public Participation</t>
  </si>
  <si>
    <t>Project Baseline</t>
  </si>
  <si>
    <t xml:space="preserve">     Interim Financing Amount</t>
  </si>
  <si>
    <t xml:space="preserve">     Residential Units</t>
  </si>
  <si>
    <t xml:space="preserve">     Net Sales Proceeds</t>
  </si>
  <si>
    <t xml:space="preserve">     Net Project Return</t>
  </si>
  <si>
    <t>Performance Assessment</t>
  </si>
  <si>
    <t xml:space="preserve">     Project Profit (Loss)</t>
  </si>
  <si>
    <t xml:space="preserve">     Return to Equity</t>
  </si>
  <si>
    <t>Public Leveraging Tools</t>
  </si>
  <si>
    <t>Project Rate of Return</t>
  </si>
  <si>
    <t>Performance Indicator</t>
  </si>
  <si>
    <t>Cash-on-Cash After Year 3</t>
  </si>
  <si>
    <t>Tax Credits net to project</t>
  </si>
  <si>
    <t>Fee Reductions</t>
  </si>
  <si>
    <t>Grants</t>
  </si>
  <si>
    <t>Total Development Offsets (Contributions to Equity)</t>
  </si>
  <si>
    <t>Local Property Tax Rate Available for abatement</t>
  </si>
  <si>
    <t>Project</t>
  </si>
  <si>
    <t>Total Development Costs</t>
  </si>
  <si>
    <t>Project Feature</t>
  </si>
  <si>
    <t>Rent</t>
  </si>
  <si>
    <t>Total Rent</t>
  </si>
  <si>
    <t>Rent PSF</t>
  </si>
  <si>
    <t>Number of units</t>
  </si>
  <si>
    <t>Total project size, square feet</t>
  </si>
  <si>
    <t>Gross Potential Rent  (GPI)</t>
  </si>
  <si>
    <t>Other Income (vending, fines)</t>
  </si>
  <si>
    <t>Total Income</t>
  </si>
  <si>
    <t>Less: Vacancy</t>
  </si>
  <si>
    <t>Less: Concessions, Bad Debt</t>
  </si>
  <si>
    <t>Effective Gross Income  (EGI)</t>
  </si>
  <si>
    <t>Less: Operating Costs</t>
  </si>
  <si>
    <t>Initial Project Value Analysis</t>
  </si>
  <si>
    <t>CAP RATE (Yield to Costs)</t>
  </si>
  <si>
    <t>Debt Service</t>
  </si>
  <si>
    <t>Cash Flow</t>
  </si>
  <si>
    <t>Return on Equity (Year 1)</t>
  </si>
  <si>
    <t>Property Value (Year 1)</t>
  </si>
  <si>
    <t>NOI</t>
  </si>
  <si>
    <t>Going in Cap Rate</t>
  </si>
  <si>
    <t>Project Market Value</t>
  </si>
  <si>
    <t>Debt Financing</t>
  </si>
  <si>
    <t>Rate</t>
  </si>
  <si>
    <t>Amortization Period, Years</t>
  </si>
  <si>
    <t>Annual Debt Service (Amortized)</t>
  </si>
  <si>
    <t>Total Debt</t>
  </si>
  <si>
    <t>Summary</t>
  </si>
  <si>
    <t>Equity Required</t>
  </si>
  <si>
    <t>Net Equity Required</t>
  </si>
  <si>
    <t>Total Project Cost</t>
  </si>
  <si>
    <t>Public Participation</t>
  </si>
  <si>
    <t>Capital Recovery (from grants)</t>
  </si>
  <si>
    <t>Annual Cash Throw Off</t>
  </si>
  <si>
    <t>Share of Net Sales Price</t>
  </si>
  <si>
    <t>Target IRR</t>
  </si>
  <si>
    <t>PTA (%)</t>
  </si>
  <si>
    <t>STA (%)</t>
  </si>
  <si>
    <t>TIF ($)</t>
  </si>
  <si>
    <t>IRA ($)</t>
  </si>
  <si>
    <t>Year 1</t>
  </si>
  <si>
    <t>Year 2</t>
  </si>
  <si>
    <t>Year 3</t>
  </si>
  <si>
    <t>Year 4</t>
  </si>
  <si>
    <t>Year 5</t>
  </si>
  <si>
    <t>Year 6</t>
  </si>
  <si>
    <t>Year 7</t>
  </si>
  <si>
    <t>Year 8</t>
  </si>
  <si>
    <t>Year 9</t>
  </si>
  <si>
    <t>Year 10</t>
  </si>
  <si>
    <t>Operating Statement</t>
  </si>
  <si>
    <t>Escalation</t>
  </si>
  <si>
    <t>Other Income</t>
  </si>
  <si>
    <t>Less: Concessions, Market Loss</t>
  </si>
  <si>
    <t>EGI</t>
  </si>
  <si>
    <t>Plus: Property Tax Abatement</t>
  </si>
  <si>
    <t>Less: Debt Service</t>
  </si>
  <si>
    <t>Net Cash Flow</t>
  </si>
  <si>
    <t>Cash on Cash Return (Equity Dividend Rate)</t>
  </si>
  <si>
    <t>Year 0</t>
  </si>
  <si>
    <t>Terminal Cap Rate, Gross Sales Price</t>
  </si>
  <si>
    <t>Net Sales = Price Less Sales Cost</t>
  </si>
  <si>
    <t>Less Mortgage Balance</t>
  </si>
  <si>
    <t>Net Sales Proceeds</t>
  </si>
  <si>
    <t>IRR - Unleveraged (Project Cost)</t>
  </si>
  <si>
    <t>Project NOI</t>
  </si>
  <si>
    <t>Net Sales Price</t>
  </si>
  <si>
    <t>IRR - Project Cost</t>
  </si>
  <si>
    <t>NPV - Project Cost</t>
  </si>
  <si>
    <t>IRR - Leveraged (Before Tax)</t>
  </si>
  <si>
    <t>Project Cash Flow</t>
  </si>
  <si>
    <t>IRR - Equity</t>
  </si>
  <si>
    <t>NPV - Equity</t>
  </si>
  <si>
    <t>IRR - Public Participation</t>
  </si>
  <si>
    <t>Mezzanine Financing</t>
  </si>
  <si>
    <t>Cash Throw Off</t>
  </si>
  <si>
    <t>Sale Proceeds</t>
  </si>
  <si>
    <t>Loan Balance</t>
  </si>
  <si>
    <t>DEBT SERVICE MORTIZATION TABLES</t>
  </si>
  <si>
    <t>Total Debt Amortization</t>
  </si>
  <si>
    <t>Period</t>
  </si>
  <si>
    <t>Balance</t>
  </si>
  <si>
    <t>Payment</t>
  </si>
  <si>
    <t>Interest</t>
  </si>
  <si>
    <t>Principal</t>
  </si>
  <si>
    <t>Year</t>
  </si>
  <si>
    <t>Local Sales Tax Rate Available for abatement</t>
  </si>
  <si>
    <t>Capital Investment</t>
  </si>
  <si>
    <t>Plus Sales Tax Abatement</t>
  </si>
  <si>
    <t>Projected Sales per Square Foot</t>
  </si>
  <si>
    <t>Rental Income from Sales Assessment</t>
  </si>
  <si>
    <t>Average Daily Rent</t>
  </si>
  <si>
    <t>Total Rent @ 365 Days</t>
  </si>
  <si>
    <t>Occupied Rooms</t>
  </si>
  <si>
    <t>PUBLIC LEVERAGING TOOLS</t>
  </si>
  <si>
    <t>Property Tax Abatement (PTA)</t>
  </si>
  <si>
    <t>Many local communities may eliminate or reduce real and personal property taxes over a scheduled period of time as an incentive to new and expanding businesses. Usually, property tax abatement allows a property owner to phase in payment of property taxes over a designated period. Depending on state enabling legislation, this period may be any number of years between one and 20 or longer with abatements usually ranging from 100 percent down to 10 percent for any given year. Sometimes property tax abatement is used to offset capital investments made by the investor (see Tax Increment Finance and Infrastructure Reimbursement Agreements).</t>
  </si>
  <si>
    <t>Sales Tax Abatement (STA)</t>
  </si>
  <si>
    <t>Some states allow local communities to eliminate or reduce sales taxes over a scheduled period of time as an incentive to new and expanding businesses. Usually, sales tax abatement allows a retail operation to phase in payment of sales taxes over a designated period. Depending on state enabling legislation, this period may be any number of years between one and usually no more than 10 but it could be longer, with abatements usually ranging from 100 percent down to 10 percent for any given year. Sometimes sales tax abatement is used to offset capital investments made by the investor (see Tax Increment Finance and Infrastructure Reimbursement Agreements).</t>
  </si>
  <si>
    <t>Tax Increment Financing (TIF)</t>
  </si>
  <si>
    <t>Infrastructure Reimbursement Agreements (IRA)</t>
  </si>
  <si>
    <t>Fee Waivers -- Effect is to buy down total project cost</t>
  </si>
  <si>
    <t>Fee Waivers (FW)</t>
  </si>
  <si>
    <t>Local governments assess a wide range of fees to process new development. Collectively, they can account for up to 5 percent or more of the total construction costs. Waiver of fees, or their payment through such alternatives as CDBG funds, can reduce the cost.</t>
  </si>
  <si>
    <t>Utility Fee Reductions (UFR)</t>
  </si>
  <si>
    <t>Many local governments charge connection fees to link new development to water and sewer services. They can account for up to 5 percent or more of the total construction costs. Some local governments reduce or waive these fees for economic development, redevelopment, affordable housing, or other public policy purpose.</t>
  </si>
  <si>
    <t>Impact Fee Reductions (IFR)</t>
  </si>
  <si>
    <t>Many local governments charge impact fees so that the impacts of new development on public facilities can be mitigated. They can account for up to 5 percent or more of the total construction costs. Normally impact fees must be paid to assure legal defensibility but they may be paid from such alternatives as CDBG funds, local housing or economic development funds, or paid over time through a loan arrangement.</t>
  </si>
  <si>
    <t>Grants -- Proceeds used to buy down land and/or building costs</t>
  </si>
  <si>
    <t>Community Development Block Grants (CDBG)</t>
  </si>
  <si>
    <t>Surface Transportation Program (STP)</t>
  </si>
  <si>
    <t>The STP provides flexible funding that may be used by States and localities for projects on any Federal-aid highway, including the NHS, bridge projects on any public road, transit capital projects, and intracity and intercity bus terminals and facilities. A portion of funds reserved for rural areas may be spent on rural minor collectors. http://www.fhwa.dot.gov/tea21/factsheets/stp.htm</t>
  </si>
  <si>
    <t>Economic Development Administration (EDA) Grants</t>
  </si>
  <si>
    <t>The EDA is an agency in the U.S. Department of Commerce that provides grants to economically distressed communities to generate new employment, help retain existing jobs and stimulate industrial and commercial growth.</t>
  </si>
  <si>
    <t>Local Improvement District; Community Improvement District; Special Assessment District; Benefit Assessment District; Related (LID)</t>
  </si>
  <si>
    <t>These are mechanisms for property owners with common concerns to band together and assess themselves for purely local improvements such as sidewalk repair, neighborhood park rehabilitation, streets, and so forth. They must be authorized by state law and follow specific state procedures for formation, governance, and the issuance of bonds to finance the projects. They are funded through such sources as general taxes, special assessments, or fees based on formulas (such as street front-foot). Although property owners pay the benefits to new investment could be considered a grant. (See also Business Improvement Districts.)</t>
  </si>
  <si>
    <t>Business Improvement Districts (BID)</t>
  </si>
  <si>
    <t>A business improvement district (BID) is a defined area within which businesses pay an additional tax or fee in order to fund improvements within the district's boundaries. Grant funds acquired by the city for special programs and/or incentives such as tax abatements can be made available to assist businesses or to recruit new business. BIDs may go by other names, such as business improvement area (BIA), business revitalization zone (BRZ), community improvement district (CID), special services area (SSA), or special improvement district (SID). BIDs provide services, such as cleaning streets, providing security, making capital improvements, construction of pedestrian and streetscape enhancements, and marketing the area. The services provided by BIDs are supplemental to those already provided by the municipality. BIDs may generate revenue used to underwrite investments in new development.</t>
  </si>
  <si>
    <t>Revenue Bonds (RB)</t>
  </si>
  <si>
    <t>A revenue bond is a special type of municipal bond distinguished by its guarantee of repayment solely from revenues generated by a specified revenue-generating entity associated with the purpose of the bonds, rather than from a tax. Unlike general obligation bonds, only the revenues specified in the legal contract between the bond holder and bond issuer are required to be used for repayment of the principal and interest of the bonds; other revenues (notably tax revenues) and the general credit of the issuing agency are not so encumbered. Because the pledge of security is not as great as that of general obligation bonds, revenue bonds may carry a slightly higher interest rate than G.O. bonds; however, they are usually considered the second-most secure type of municipal bonds.</t>
  </si>
  <si>
    <t>Parking Districts (PD)</t>
  </si>
  <si>
    <t>These are a variant of the Local Improvement District but focusing on providing parking usually for downtowns and suburban centers. A Revenue Bond is used finance the capital construction while parking fees retire the debt and help with maintenance. Sometimes a BID will underwrite the revenue bond and use parking revenues for O&amp;M. Parking districts can shift the cost of providing expensive decked or underground parking from an investment project to a larger pool of properties.</t>
  </si>
  <si>
    <t>General Obligation Bonds (GOB)</t>
  </si>
  <si>
    <t>A general obligation bond is a common type of municipal bond in the nation that is secured by a state or local government's pledge to use legally available resources, including tax revenues, to repay bond holders. Most general obligation pledges at the local government level include a pledge to levy a property tax to meet debt service requirements, in which case holders of general obligation bonds have a right to compel the borrowing government to levy that tax to satisfy the local government's obligation. Because property owners are usually reluctant to risk losing their holding due to unpaid property tax bills, credit rating agencies often consider a general obligation pledge to have very strong credit quality and frequently assign them investment grade ratings. If local property owners do not pay their property taxes on time in any given year, a government entity is required to increase its property tax rate by as much as is legally allowable in a following year to make up for any delinquencies. In the interim between the taxpayer delinquency and the higher property tax rate in the following year, the general obligation pledge requires the local government to pay debt service coming due with its available resources. GO Bonds can be used for a wide range of purposes that benefit investment property.</t>
  </si>
  <si>
    <t>Grant Anticipation Revenue (GARVEE) Bonds</t>
  </si>
  <si>
    <t xml:space="preserve">Grant Anticipation Revenue Vehicle, or GARVEE, is a type of bond issued by a state or state infrastructure bank under federal guidelines. States must repay the bonds using federal funds expected to be received in the future. Federal guidelines state "an eligible debt financing instrument is a bond, note, certificate, mortgage, lease, or other debt financing instrument issued by a State or political subdivision of a State or a public authority, the proceeds of which are used to fund a project eligible for assistance under Title 23.” GARVEE bonds may be used for major projects receiving federal funding. They do not guarantee that the federal government will provide the expected financing, and they are not guaranteed by the federal government. Eligible costs for projects may include interest, retirement of principal, costs for issuing bonds, and other incidental costs which must be approved. </t>
  </si>
  <si>
    <t>Lease Revenue Bonds/Certificates of Participation (COPs)</t>
  </si>
  <si>
    <t xml:space="preserve">Lease-revenue bonds are a variant of revenue bonds.  The revenue stream backing the bond is created from lease payments made by the occupying department to the governmental financing entity which constructs the facility.  The financing authority constructs the facility, issues financing bonds, and retains title to the facility until the debt is retired.  Lease-revenue bonds do not require voter approval because the transaction is set up to mirror a typical financing lease, i.e., lease payments are due on a year-to-year basis and required only if the facility can be occupied.  </t>
  </si>
  <si>
    <t xml:space="preserve">A further variant are Certificates of Participation (COPs) in which an investor buys a share in the improvements or infrastructure the government entity intends to fund. This contrasts with a bond, in which the investor loans the government or municipality money in order to make these improvements. This is used primarily when the government or municipality has a charter-mandated debt ceiling. </t>
  </si>
  <si>
    <t>The TIFIA program provides Federal credit assistance to nationally or regionally significant surface transportation projects, including highway, transit and rail. The program is designed to fill market gaps and leverage substantial private co-investment by providing projects with supplemental or subordinate debt.</t>
  </si>
  <si>
    <t>Foundation Grants (FG)</t>
  </si>
  <si>
    <t xml:space="preserve">Foundations, especially those whose purpose is to advance the well being of local communities, may be interested in providing grants or lower interest loans. </t>
  </si>
  <si>
    <t>Loan Support -- Effect is to reduce equity requirements and if below-market rates also reduce debt service obligations</t>
  </si>
  <si>
    <t>Private Activity Bonds (PAB)</t>
  </si>
  <si>
    <t>This is a form of a tax-exempt municipal bond in which a local government entity is seeking to raise money for a private company. A municipality issues a private activity bond when it wishes to attract a business and the jobs it brings to the area, especially when the business may be otherwise unable to obtain financing for the project. The municipality issuing the bond must be able to prove that a public benefit derives from the private activity bond in order to qualify for tax-exempt status. Private activity bonds generally are not guaranteed by the revenue of the municipality.</t>
  </si>
  <si>
    <t>Revolving Loan Funds (RLF)</t>
  </si>
  <si>
    <t>Low-Interest Loans (LIL)</t>
  </si>
  <si>
    <t>Local governments may have access to funds that can be used to provide below-market loans for all or part of an investment. If it is just for part, it is often used for “mezzanine” financing.</t>
  </si>
  <si>
    <t>Tax Credits -- Net proceeds used to buy down construction costs</t>
  </si>
  <si>
    <t>Low/Moderate Income Housing Tax Credits (L/MIHTC)</t>
  </si>
  <si>
    <t>The federal Low/Moderate Income Housing Tax Credit (LIHTC - often pronounced "lie-tech" or MIHTC – “my-tech” housing credit) program is a dollar-for-dollar tax credit in the for affordable housing investments. It was created under the Tax Reform Act of 1986 (TRA86) that gives incentives for the utilization of private equity in the development of affordable housing aimed at low- or moderate-income households. L/MIHTC accounts for the majority - approximately 90 percent - of all affordable rental housing created in the United States today. The credits are also commonly called Section 42 credits in reference to the applicable section of the Internal Revenue Service. The tax credits are more attractive than tax deductions as they provide a dollar-for-dollar reduction in a taxpayer's federal income tax, whereas a tax deduction only provides a reduction in taxable income. The "passive loss rules" and similar tax changes made by TRA86 greatly reduced the value of tax credits and deductions to individual taxpayers. As a result, almost all investors in L/MIHTC projects are corporations.</t>
  </si>
  <si>
    <t>New Market Tax Credits (NMTC)</t>
  </si>
  <si>
    <t xml:space="preserve">The New Markets Tax Credit (NMTC) Program was established in 2000 as part of the Community Renewal Tax Relief Act of 2000. The goal of the program is to induce revitalization efforts of low-income and impoverished communities. The NMTC Program provides tax credit incentives to investors for equity investments in certified Community Development Entities, which invest in low-income communities. The credit equals 39-percent of the investment paid out as 5-percent in each of the first three years and then 6-percent in the final four years (actually six years and plus one day of the seventh year) . A Community Development Entity must have a primary mission of investing in low-income communities and persons. </t>
  </si>
  <si>
    <t>Historic Preservation Tax Credits (HPTC)</t>
  </si>
  <si>
    <t>Residential (Owner)</t>
  </si>
  <si>
    <t>Residential (Rental)</t>
  </si>
  <si>
    <t>Return to Equity</t>
  </si>
  <si>
    <t>TOTAL</t>
  </si>
  <si>
    <t>LEVERAGING TOOLS</t>
  </si>
  <si>
    <t>Fee Waivers Total</t>
  </si>
  <si>
    <t>Grants Total</t>
  </si>
  <si>
    <t>CDBG</t>
  </si>
  <si>
    <t>CMAQ</t>
  </si>
  <si>
    <t>STP</t>
  </si>
  <si>
    <t>EDA</t>
  </si>
  <si>
    <t>LID</t>
  </si>
  <si>
    <t>TIF</t>
  </si>
  <si>
    <t>.</t>
  </si>
  <si>
    <t>GARVEE</t>
  </si>
  <si>
    <t>COPs</t>
  </si>
  <si>
    <t>TIFIA</t>
  </si>
  <si>
    <t>RRIF</t>
  </si>
  <si>
    <t>Urbanized Area Formula (UAF) Program</t>
  </si>
  <si>
    <t>Tax Credits Total</t>
  </si>
  <si>
    <t>State Infrastructure Banks (SIB)</t>
  </si>
  <si>
    <t>Mixed-Use Performance Indicator</t>
  </si>
  <si>
    <t>RENTAL SUMMARY</t>
  </si>
  <si>
    <t>With Leveraging Tools</t>
  </si>
  <si>
    <t>Res. (Rental)</t>
  </si>
  <si>
    <t>Rental Summary</t>
  </si>
  <si>
    <t>Res. (Owner)</t>
  </si>
  <si>
    <t>Development Costs ( Per Unit or Per Sq.Ft)</t>
  </si>
  <si>
    <t xml:space="preserve">Net Operating Income Analysis </t>
  </si>
  <si>
    <t xml:space="preserve">     Average Unit Market Price</t>
  </si>
  <si>
    <t>Less: Operating Costs ($/unit: $/sq.ft: %ofGPI)</t>
  </si>
  <si>
    <t>Operating Statement Summary</t>
  </si>
  <si>
    <t>The Community Development Block Grant (CDBG) program is one of the longest-running programs of the U.S. Department of Housing and Urban Development. It funds local community development activities such as affordable housing, anti-poverty programs, and infrastructure development. CDBG are subject to less federal oversight and are largely used at the discretion of the state and local governments and their sub grantees.</t>
  </si>
  <si>
    <t>Railroad Rehabilitation &amp; Improvement Financing (RRIF) Program</t>
  </si>
  <si>
    <t>The RRIF program was established by the Transportation Equity Act for the 21st Century (TEA-21) and amended by the Safe Accountable, Flexible and Efficient Transportation Equity Act: a Legacy for Users (SAFETEA-LU). The RRIF Program provides direct federal loans and loan guarantees to finance development of railroad infrastructure.</t>
  </si>
  <si>
    <t>The UAF makes Federal resources available to urbanized areas and to Governors for transit capital and operating assistance in urbanized areas and for transportation related planning. Activities include planning, engineering design and evaluation of transit projects and other technical transportation-related studies.</t>
  </si>
  <si>
    <t>The SIB program gives states the capacity to increase the efficiency of their transportation investment and significantly leverage Federal resources by attracting non-Federal public and private investment. A SIB, much like a private bank, can offer a range of loans and credit assistance enhancement products to public and private sponsors of Title 23 highway construction projects or Title 49 transit capital projects. By offering SIB support for a project, the sponsor may be able to attract private, local, and additional state financial resources, leveraging a small amount of SIB assistance into a larger dollar investment. Alternatively, SIB capital can be used as collateral to borrow in the bond market or to establish a guaranteed reserve fund. (May not be available in all areas)</t>
  </si>
  <si>
    <t xml:space="preserve">2. What kind of development do you want to analyze </t>
  </si>
  <si>
    <t>- If you are analyzing a single use go to the proper tab below</t>
  </si>
  <si>
    <t>- If you are analyzing a mixed-use development please do the following</t>
  </si>
  <si>
    <t>Populate the desirable land use tabs (Res. Owner, Res. Rental, Office, Retail, or Accommodation)</t>
  </si>
  <si>
    <t xml:space="preserve">The mixed-use tab will provide the analysis summary. </t>
  </si>
  <si>
    <t>* You must enter input fields only in uses that are being analyzed</t>
  </si>
  <si>
    <t xml:space="preserve">3. Only input figures into the following: </t>
  </si>
  <si>
    <t>Red-Bold</t>
  </si>
  <si>
    <t>User Override</t>
  </si>
  <si>
    <t>Annual Debt Service Summary - Primary Debt</t>
  </si>
  <si>
    <t>Annual Debt Service Summary - Secondary Debt</t>
  </si>
  <si>
    <t>Annual Debt Service Summary - Total Debt</t>
  </si>
  <si>
    <t>Community Reinvestment Act (CRA)</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</si>
  <si>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</si>
  <si>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</si>
  <si>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</si>
  <si>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</si>
  <si>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</si>
  <si>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</si>
  <si>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</si>
  <si>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</si>
  <si>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</si>
  <si>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</si>
  <si>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</si>
  <si>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</si>
  <si>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</si>
  <si>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</si>
  <si>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</si>
  <si>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</si>
  <si>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</si>
  <si>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</si>
  <si>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</si>
  <si>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</si>
  <si>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ABSORPTION PERIOD</t>
  </si>
  <si>
    <r>
      <t xml:space="preserve">The number of months necessary to rent a specific number of units. If over 12 months, the absorption period is adjusted to reflect replacement for turnover (see </t>
    </r>
    <r>
      <rPr>
        <i/>
        <sz val="11"/>
        <color theme="1"/>
        <rFont val="Calibri"/>
        <family val="2"/>
        <scheme val="minor"/>
      </rPr>
      <t>aggregate absorption</t>
    </r>
    <r>
      <rPr>
        <sz val="10"/>
        <rFont val="Arial"/>
        <family val="2"/>
      </rPr>
      <t xml:space="preserve"> and </t>
    </r>
    <r>
      <rPr>
        <i/>
        <sz val="11"/>
        <color theme="1"/>
        <rFont val="Calibri"/>
        <family val="2"/>
        <scheme val="minor"/>
      </rPr>
      <t>net absorption</t>
    </r>
    <r>
      <rPr>
        <sz val="10"/>
        <rFont val="Arial"/>
        <family val="2"/>
      </rPr>
      <t>).</t>
    </r>
  </si>
  <si>
    <t>ABSORPTION RATE</t>
  </si>
  <si>
    <t>The number of units expected to be rented per month.</t>
  </si>
  <si>
    <t>AESTHETIC AMENITIES (CURBSIDE APPEAL)</t>
  </si>
  <si>
    <t>Used as part of the comparability index, this factor assigns a point rating to a project's physical appeal to potential tenants. Included in this rating are an evaluation of grounds appearance and landscaping, quality of maintenance, and quality of architecture and design.</t>
  </si>
  <si>
    <t>AGGREGATE ABSORPTION</t>
  </si>
  <si>
    <t>The total number of units absorbed by a subject site without accounting for turnover.</t>
  </si>
  <si>
    <t>COMPARABLE MARKET RENT</t>
  </si>
  <si>
    <t>The amount a potential renter would expect to pay for the subject unit without income restrictions given current and projected market conditions. Comparable market rent is based on a regression analysis for the market area. Factors influencing a property’s potential to achieve the comparable market rent include the number of units at that rent, the step-up base at that rent level and the age and condition of the property and its competitors.</t>
  </si>
  <si>
    <t>COMPARABILITY INDEX</t>
  </si>
  <si>
    <t>A factor used to determine the relative competitiveness of any given multifamily project. This index is established based on a scale developed by The Danter Company that assigns point values to a project's unit amenities, project amenities, and overall aesthetic rating (curbside appeal).</t>
  </si>
  <si>
    <t>CONTRACT RENT</t>
  </si>
  <si>
    <r>
      <t xml:space="preserve">See </t>
    </r>
    <r>
      <rPr>
        <i/>
        <sz val="11"/>
        <color theme="1"/>
        <rFont val="Calibri"/>
        <family val="2"/>
        <scheme val="minor"/>
      </rPr>
      <t>street rent</t>
    </r>
    <r>
      <rPr>
        <sz val="10"/>
        <rFont val="Arial"/>
        <family val="2"/>
      </rPr>
      <t>.</t>
    </r>
  </si>
  <si>
    <t>COOPERATIVE</t>
  </si>
  <si>
    <t>a type of multifamily housing in which each household is part-owner of the community. A cooperative will usually involve a purchase or "buy-in" of the unit, and decisions affecting the community are typically made by majority votes of unit holders. Unit holders also share in the project’s equity. Government subsidized units typically involve very low cost buy-ins and low rents geared towards low-income households.</t>
  </si>
  <si>
    <t>DENSITY</t>
  </si>
  <si>
    <t>The number of units per acre.</t>
  </si>
  <si>
    <t>ECONOMIC VACANCY</t>
  </si>
  <si>
    <r>
      <t xml:space="preserve">An existing unit that is not collecting book rent. Economic vacancies include manager's units, model units, units undergoing renovation, units being prepared for occupancy, and units being discounted. The Danter Company determines vacancies based on a </t>
    </r>
    <r>
      <rPr>
        <i/>
        <sz val="11"/>
        <color theme="1"/>
        <rFont val="Calibri"/>
        <family val="2"/>
        <scheme val="minor"/>
      </rPr>
      <t>market vacancy</t>
    </r>
    <r>
      <rPr>
        <sz val="10"/>
        <rFont val="Arial"/>
        <family val="2"/>
      </rPr>
      <t xml:space="preserve"> standard (see </t>
    </r>
    <r>
      <rPr>
        <i/>
        <sz val="11"/>
        <color theme="1"/>
        <rFont val="Calibri"/>
        <family val="2"/>
        <scheme val="minor"/>
      </rPr>
      <t>vacancy</t>
    </r>
    <r>
      <rPr>
        <sz val="10"/>
        <rFont val="Arial"/>
        <family val="2"/>
      </rPr>
      <t>).</t>
    </r>
  </si>
  <si>
    <r>
      <t>EFFECTIVE MARKET AREA (EMA)</t>
    </r>
    <r>
      <rPr>
        <vertAlign val="superscript"/>
        <sz val="11"/>
        <color rgb="FF000080"/>
        <rFont val="Calibri"/>
        <family val="2"/>
        <scheme val="minor"/>
      </rPr>
      <t>SM</t>
    </r>
  </si>
  <si>
    <t>The geographic area from which a proposed development is expected to draw between 60% and 70% of its support. Also the area from which an existing project actually draws 60% to 70% of its support. An EMA is determined based on the area's demographic and socioeconomic characteristics, mobility patterns, and existing geographic features (i.e. a river, mountain, or freeway).</t>
  </si>
  <si>
    <t>EMPTY-NESTER</t>
  </si>
  <si>
    <t>An older adult (age 55 or over). Typically, households in this age group contain no children under 18.</t>
  </si>
  <si>
    <t>ENTRY IMPACT</t>
  </si>
  <si>
    <t>A prospective tenant's perception of a unit's spaciousness on entering a unit; a first impression.</t>
  </si>
  <si>
    <t>EXTERNAL MOBILITY</t>
  </si>
  <si>
    <t>Households moving to an area from well outside a market area.</t>
  </si>
  <si>
    <t>FAIR MARKET RENT</t>
  </si>
  <si>
    <t>The maximum chargeable gross rent in an area for projects participating in the HUD Section 8 program. Determined by HUD.</t>
  </si>
  <si>
    <t>FIELD SURVEY</t>
  </si>
  <si>
    <t>The process of visiting existing developments as part of the information-gathering process. Each project listed in this survey has been visited on-site by an analyst employed by The Danter Company, unless specified otherwise. Also the name of the section detailing information gathered during the field trip.</t>
  </si>
  <si>
    <t>FmHA</t>
  </si>
  <si>
    <r>
      <t xml:space="preserve">Farmers Home Administration, former name for RD. See </t>
    </r>
    <r>
      <rPr>
        <i/>
        <sz val="11"/>
        <color theme="1"/>
        <rFont val="Calibri"/>
        <family val="2"/>
        <scheme val="minor"/>
      </rPr>
      <t>RD.</t>
    </r>
  </si>
  <si>
    <t>GARDEN UNIT</t>
  </si>
  <si>
    <t>A multifamily unit with living and sleeping space all on a single floor. May be in a multistory building.</t>
  </si>
  <si>
    <t>GOVERNMENT SUBSIDIZED</t>
  </si>
  <si>
    <t>Units for which all or part of the rent or operating expenses are paid for directly by a government agency. Government subsidy programs include HUD Sections 8 and 236, RHS Section 515, and other programs sponsored by local housing authorities or agencies. Typically, tenants are charged a percentage of their income (usually 30%) as rent if they are unable to pay the full cost of a unit.</t>
  </si>
  <si>
    <t>GROSS RENT</t>
  </si>
  <si>
    <t>Rent paid for a unit adjusted to include all utilities.</t>
  </si>
  <si>
    <t>HISTORIC TAX CREDIT</t>
  </si>
  <si>
    <r>
      <t xml:space="preserve">Program which gives income tax credits to investors who restore old or historic buildings in designated areas. This is a separate program from the low-income housing Tax Credit program (see </t>
    </r>
    <r>
      <rPr>
        <i/>
        <sz val="11"/>
        <color theme="1"/>
        <rFont val="Calibri"/>
        <family val="2"/>
        <scheme val="minor"/>
      </rPr>
      <t>Tax Credit</t>
    </r>
    <r>
      <rPr>
        <sz val="10"/>
        <rFont val="Arial"/>
        <family val="2"/>
      </rPr>
      <t>).</t>
    </r>
  </si>
  <si>
    <t>HUD</t>
  </si>
  <si>
    <t>The United States Department of Housing and Urban Development. The primary agency for sponsoring subsidized housing in the United States, particularly in urban areas.</t>
  </si>
  <si>
    <t>HOUSING CHOICE VOUCHER</t>
  </si>
  <si>
    <t>A government subsidized housing program administered by local public housing agencies through which income-qualified tenants can use government subsidies to reside at any project which meets certain qualifications. Qualified households pay 30% of adjusted income or 10% of gross income, whichever is greater. Government subsidies pay the housing unit owner the difference between what the qualified household pays and the area Payment Standard. Voucher holders may choose housing that rents for more than the area Payment Standard, but they will be responsible for paying the difference between the charged rent and the Payment Standard</t>
  </si>
  <si>
    <t>INTERNAL MOBILITY</t>
  </si>
  <si>
    <t>Households moving within the same market area.</t>
  </si>
  <si>
    <t>MARKET-DRIVEN RENT</t>
  </si>
  <si>
    <t>The rent for a unit with a given comparability index as determined by the regression analysis.</t>
  </si>
  <si>
    <t>MARKET VACANCY</t>
  </si>
  <si>
    <r>
      <t xml:space="preserve">See </t>
    </r>
    <r>
      <rPr>
        <i/>
        <sz val="11"/>
        <color theme="1"/>
        <rFont val="Calibri"/>
        <family val="2"/>
        <scheme val="minor"/>
      </rPr>
      <t>vacancy.</t>
    </r>
  </si>
  <si>
    <t>MAXIMUM ALLOWABLE INCOME</t>
  </si>
  <si>
    <t>The highest income a household can make and be eligible for the Tax Credit program. The maximum allowable income is set at 60% of the area's median household income unless otherwise noted.</t>
  </si>
  <si>
    <t>MEDIAN RENT</t>
  </si>
  <si>
    <t>The midpoint in the range of rents for a unit type at which exactly half of the units have higher rents and half have lower rents.</t>
  </si>
  <si>
    <t>MSA</t>
  </si>
  <si>
    <r>
      <t xml:space="preserve">Metropolitan Statistical Area. Denotes an area associated with an urban area. MSA determinations are made by the Census Bureau based on population and interaction. Nonurban areas included in an MSA are marked by a high rate of commuting and interaction. MSA boundaries are particularly important in determining maximum allowable rents for Tax Credit development (see </t>
    </r>
    <r>
      <rPr>
        <i/>
        <sz val="11"/>
        <color theme="1"/>
        <rFont val="Calibri"/>
        <family val="2"/>
        <scheme val="minor"/>
      </rPr>
      <t>PMSA</t>
    </r>
    <r>
      <rPr>
        <sz val="10"/>
        <rFont val="Arial"/>
        <family val="2"/>
      </rPr>
      <t>).</t>
    </r>
  </si>
  <si>
    <t>NET ABSORPTION</t>
  </si>
  <si>
    <t>The total number of units absorbed when accounting for turnover.</t>
  </si>
  <si>
    <t>NET RENT</t>
  </si>
  <si>
    <t>The rent paid by a tenant adjusted to assume that the landlord pays for water/sewer service and trash removal and that the tenant pays all other utilities.</t>
  </si>
  <si>
    <t>100% DATABASE</t>
  </si>
  <si>
    <t>When The Danter Company conducts a field survey, we gather data on all (100%) of the modern apartments in an EMA. This methodology allows us to examine the market at all price and amenity levels in order to determine step-up support and to use a regression analysis to determine market-driven rent for any given amenity level.</t>
  </si>
  <si>
    <t>PMSA</t>
  </si>
  <si>
    <r>
      <t xml:space="preserve">Primary Metropolitan Statistical Area. Used for Metropolitan Statistical Areas that have been combined with other adjacent MSAs into a larger Consolidated MSA. Each PMSA is defined in the same manner as a standard MSA (see </t>
    </r>
    <r>
      <rPr>
        <i/>
        <sz val="11"/>
        <color theme="1"/>
        <rFont val="Calibri"/>
        <family val="2"/>
        <scheme val="minor"/>
      </rPr>
      <t>MSA</t>
    </r>
    <r>
      <rPr>
        <sz val="10"/>
        <rFont val="Arial"/>
        <family val="2"/>
      </rPr>
      <t>).</t>
    </r>
  </si>
  <si>
    <t>PROJECT AMENITY</t>
  </si>
  <si>
    <t>An amenity that is available for all residents of a community. Project amenities include laundry facilities, swimming pools, clubhouses, exercise rooms, playgrounds, etc.</t>
  </si>
  <si>
    <t>RADIAL ANALYSIS</t>
  </si>
  <si>
    <t>An analysis focusing on the area within a set distance of a site (usually 1, 3, 5, or 10 miles). Such analyses usually disregard mobility patterns, geographic boundaries, or differences in socioeconomic characteristics which separate one area from another.</t>
  </si>
  <si>
    <t>RD</t>
  </si>
  <si>
    <t>Rural Development. Formerly Farmers Home Administration. The primary agency of the federal government for overseeing government subsidized housing programs in rural areas, primarily through its Section 515 program.</t>
  </si>
  <si>
    <t>REGRESSION ANALYSIS</t>
  </si>
  <si>
    <t>A mathematical analysis in which each project surveyed is plotted on a scatter diagram using rent by unit type and the project's comparability index. From this graph a regression line is identified which identifies the market-driven rent at any given comparability index level.</t>
  </si>
  <si>
    <t>RENT GAP</t>
  </si>
  <si>
    <t>The difference in price between a unit type and the next-largest unit type. For example, at a project where one-bedroom units rent for $350 and two-bedroom units rent at $425, the rent gap is $75. May also be used to identify premium rents or special amenities.</t>
  </si>
  <si>
    <t>REPLACEMENT ABSORPTION</t>
  </si>
  <si>
    <t>The number of tenants necessary for a project to attract to counteract the number of tenants who chose to break or not renew their lease.</t>
  </si>
  <si>
    <t>STEP-UP SUPPORT (OR STEP-UP BASE)</t>
  </si>
  <si>
    <t>The number of multifamily units existing within the EMA with rents within a specified dollar amount below the proposed rents at a proposed multifamily site. Step-up support is calculated separately for each unit type proposed, and may include units of another, smaller unit type (for example, step-up support for proposed one-bedroom units may include not only one-bedroom units but also studio units).</t>
  </si>
  <si>
    <t>STEP-DOWN SUPPORT</t>
  </si>
  <si>
    <t>The number of units within a given unit type and comparability index level but with rents above the proposed rent. This total measures the number of tenants in a market who may be willing to move to a new project that provides a similar or higher level of quality at a lower rent.</t>
  </si>
  <si>
    <t>STREET RENT</t>
  </si>
  <si>
    <t>The rent quoted by a leasing agent or manager to a prospective tenant, regardless of the utilities included. Also called contract rent.</t>
  </si>
  <si>
    <t>TAX CREDIT</t>
  </si>
  <si>
    <t>Short for the low-income housing Tax Credit program (LIHTC) or IRS Section 42. This program gives investors the opportunity to gain tax credits for investing in multifamily housing for low- to moderate-income households meeting certain income restrictions. This designation does not refer to the historic Tax Credit program (see historic tax credit).</t>
  </si>
  <si>
    <t>TOWNHOUSE UNIT</t>
  </si>
  <si>
    <t>A multifamily unit with a floor plan of two or more floors. Typically, townhouse floor plans living areas and sleeping areas on different floors.</t>
  </si>
  <si>
    <t>TURNOVER</t>
  </si>
  <si>
    <t>Units whose tenants choose to break or not renew their lease.</t>
  </si>
  <si>
    <t>UNIT AMENITIES</t>
  </si>
  <si>
    <t>Amenities available within an individual unit, or only to individual tenants. For example, a detached garage and external storage are considered unit amenities because they are generally available only to individual tenants.</t>
  </si>
  <si>
    <t>UNIT TYPE</t>
  </si>
  <si>
    <t>Based on the number of bedrooms: studio, one-bedroom, two-bedroom, etc.</t>
  </si>
  <si>
    <t>UPPER-QUARTILE RENTS</t>
  </si>
  <si>
    <t>The rent range including the 25% of units at the high end of the range scale.</t>
  </si>
  <si>
    <t>UTILITY ALLOWANCE</t>
  </si>
  <si>
    <t xml:space="preserve">Adjustment for utilities not included in the rent in the Tax Credit program. The adjustment is used to keep proposed rents within gross rent guidelines of the program. It is also used to adjust gross rents to compare with area net rents. </t>
  </si>
  <si>
    <t>VACANCY</t>
  </si>
  <si>
    <t>VOUCHER</t>
  </si>
  <si>
    <r>
      <t xml:space="preserve">See </t>
    </r>
    <r>
      <rPr>
        <i/>
        <sz val="11"/>
        <color rgb="FF000000"/>
        <rFont val="Calibri"/>
        <family val="2"/>
        <scheme val="minor"/>
      </rPr>
      <t>Housing Choice Voucher.</t>
    </r>
    <r>
      <rPr>
        <sz val="11"/>
        <color rgb="FF000000"/>
        <rFont val="Calibri"/>
        <family val="2"/>
        <scheme val="minor"/>
      </rPr>
      <t xml:space="preserve"> </t>
    </r>
  </si>
  <si>
    <t xml:space="preserve">A vacancy is a multifamily unit available for immediate occupancy. Manager's units and model units are not counted as vacant units, nor are units that are unrentable due to excessive damage or renovation. This definition of vacancy is often referred to as a market vacancy and is different from an economic vacancy (see economic vacancy). </t>
  </si>
  <si>
    <t>PRELIMINARY GLOSSARY. TO BE EDITED TO REMOVE EXTRANEOUS TERMS AND ADD OTHERS USED IN THE TEXT</t>
  </si>
  <si>
    <t>Adapted from</t>
  </si>
  <si>
    <t>http://www.danter.com/method/glossary.htm</t>
  </si>
  <si>
    <t>Parking Costs Per Space</t>
  </si>
  <si>
    <t>Surface</t>
  </si>
  <si>
    <t>Structured (above ground)</t>
  </si>
  <si>
    <t>Underground</t>
  </si>
  <si>
    <t>Internal (Tuck Under or Sandwich)</t>
  </si>
  <si>
    <t>Mechanical</t>
  </si>
  <si>
    <t>Parking Spaces by Type</t>
  </si>
  <si>
    <t>Commercial Parking</t>
  </si>
  <si>
    <t>Full day fee/space</t>
  </si>
  <si>
    <t># of spaces</t>
  </si>
  <si>
    <t>Valet/Franchise Program</t>
  </si>
  <si>
    <t>In-Lieu Parking Fees</t>
  </si>
  <si>
    <t>Occpuancy Tax</t>
  </si>
  <si>
    <t>Land and Air Right Leases</t>
  </si>
  <si>
    <t>Under a land lease publicly-owned land is rented to a real estate development entity who then builds structures and generates revenue. Part of the revenue is used to make the land lease payments. Land lease contracts often range from about 50 years to 99 years. Land leases can reduce investor development cost by up to the price of the land. Land leases are especially effective in transitioning areas and closer-in urban areas where the risk of development can be offset somewhat by lower overall costs or the high cost of development can be reduced if the land does not need to be purchased. </t>
  </si>
  <si>
    <t>Air rights leases (ARL)</t>
  </si>
  <si>
    <t>Public sector agencies also own air rights that on occasion can be leveraged to stimulate private real estate investment. Like land leases, the public sector may leverage private real estate development through lease of air rights, though in practice this may be limited to highly developed urban areas.</t>
  </si>
  <si>
    <t>Land  Leases (LL)</t>
  </si>
  <si>
    <t>Land leases (LL)</t>
  </si>
  <si>
    <t>Square feet per unit</t>
  </si>
  <si>
    <t>Soft Costs</t>
  </si>
  <si>
    <t xml:space="preserve">     Permit Fees</t>
  </si>
  <si>
    <t xml:space="preserve">     Impact Fees</t>
  </si>
  <si>
    <t xml:space="preserve">     Construction Fees</t>
  </si>
  <si>
    <t xml:space="preserve">     Marketing Fees</t>
  </si>
  <si>
    <t xml:space="preserve">     Design Fees</t>
  </si>
  <si>
    <t xml:space="preserve">     Total Soft Costs</t>
  </si>
  <si>
    <t>Land area, acres</t>
  </si>
  <si>
    <t>Units per acre</t>
  </si>
  <si>
    <t>Floor Area Ratio (FAR)</t>
  </si>
  <si>
    <t>Vacancy</t>
  </si>
  <si>
    <t>Concessions, Bad Debt</t>
  </si>
  <si>
    <t>Monthly Rent/unit</t>
  </si>
  <si>
    <t>Net Operating Income Assumptions</t>
  </si>
  <si>
    <t>Land Cost</t>
  </si>
  <si>
    <t>Loan Support</t>
  </si>
  <si>
    <t>Project Parameters</t>
  </si>
  <si>
    <t>Loan Support*</t>
  </si>
  <si>
    <t>Square Feet/acre</t>
  </si>
  <si>
    <t>Initial retail sq. ft. planned</t>
  </si>
  <si>
    <t>Rent per sq.ft./year</t>
  </si>
  <si>
    <t>Annual Operating Costs/unit*</t>
  </si>
  <si>
    <t>*Includes Replacement Reserve</t>
  </si>
  <si>
    <t>Figure</t>
  </si>
  <si>
    <t>Project Purchase Price</t>
  </si>
  <si>
    <t>Project Development Costs</t>
  </si>
  <si>
    <t>Sales Cost</t>
  </si>
  <si>
    <t>Terminal Cap Rate</t>
  </si>
  <si>
    <t>Project Sale Assumptions</t>
  </si>
  <si>
    <t>LTV</t>
  </si>
  <si>
    <t>Senior Debt</t>
  </si>
  <si>
    <t>Mezzanine Debt</t>
  </si>
  <si>
    <t>Return on Project Cost (Unleveraged Return)</t>
  </si>
  <si>
    <t>Return on Investor Equity (Leveraged Return Before Tax)</t>
  </si>
  <si>
    <t>Return on Public Participation</t>
  </si>
  <si>
    <t>PUBLIC PARTNER FINANCING TOOLS</t>
  </si>
  <si>
    <t>Gross Scheduled Income (GSI)</t>
  </si>
  <si>
    <t>Miscellaneous Income</t>
  </si>
  <si>
    <t>Less: Operating Costs/unit</t>
  </si>
  <si>
    <t>Hard Costs</t>
  </si>
  <si>
    <t>Target Return</t>
  </si>
  <si>
    <t>GSI</t>
  </si>
  <si>
    <t>INVESTMENT ANALYSIS: Residential Rental</t>
  </si>
  <si>
    <t>Holding period, years</t>
  </si>
  <si>
    <t>NOI, Going In</t>
  </si>
  <si>
    <t>Miscelleaneous Income, Annual</t>
  </si>
  <si>
    <t>Potential Gross Income (PGI)</t>
  </si>
  <si>
    <t>Project Cost</t>
  </si>
  <si>
    <t>Net Project Costs</t>
  </si>
  <si>
    <t>Return - Unleveraged (Project Cost)</t>
  </si>
  <si>
    <t>Return - Leveraged (Before Tax)</t>
  </si>
  <si>
    <t>Return - Public Partner Participation</t>
  </si>
  <si>
    <t>Before Tax Cash Flow</t>
  </si>
  <si>
    <t>Mortgage amount</t>
  </si>
  <si>
    <t>Operating Expenses</t>
  </si>
  <si>
    <t>Debt Financing and Equity Requirements</t>
  </si>
  <si>
    <t>Public Partner Tools Summary</t>
  </si>
  <si>
    <t>Fee Reductions Total</t>
  </si>
  <si>
    <t>Annual Land/Air Lease</t>
  </si>
  <si>
    <t>Public Partner Participation</t>
  </si>
  <si>
    <t>PGI</t>
  </si>
  <si>
    <t>Plus: TIF &amp; IRA Tax Benefits</t>
  </si>
  <si>
    <t>Less: Land/Air Lease to Public Partner</t>
  </si>
  <si>
    <t>Less: Cash Throw-Off to Public Partner</t>
  </si>
  <si>
    <t>Proceeds from Sale</t>
  </si>
  <si>
    <t>Net Project Cost</t>
  </si>
  <si>
    <t>Equity</t>
  </si>
  <si>
    <t>Cash on Cash (Equity Dividend Rate)</t>
  </si>
  <si>
    <t>Loan</t>
  </si>
  <si>
    <t>Total Public Participation</t>
  </si>
  <si>
    <t>Mezzanine Debt Service</t>
  </si>
  <si>
    <t>Cash Throw-Off</t>
  </si>
  <si>
    <t>Land/Air Lease Payments</t>
  </si>
  <si>
    <t>Tax Abatements and Reimbursements</t>
  </si>
  <si>
    <t>Other (insert)</t>
  </si>
  <si>
    <t>Initial Hotel units planned</t>
  </si>
  <si>
    <t>Sq. Ft. per acre</t>
  </si>
  <si>
    <t xml:space="preserve">Percentage of Sales to Rent </t>
  </si>
  <si>
    <t>(FIXED ADDITION/SUBTRACTION)</t>
  </si>
  <si>
    <t>Annual Operating Costs/sq. ft.*</t>
  </si>
  <si>
    <t>Development Costs Per Space</t>
  </si>
  <si>
    <t>Plus: Valet/Franchise Program</t>
  </si>
  <si>
    <t>Plus: In-Lieu Parking Fees</t>
  </si>
  <si>
    <t>Plus: Occupancy Tax</t>
  </si>
  <si>
    <t>Hotel</t>
  </si>
  <si>
    <t>Parking</t>
  </si>
  <si>
    <r>
      <t xml:space="preserve">Sometimes local government cannot finance facility improvements needed to attract investment. In these situations, the investor may be willing to finance the improvements provided the investor is reimbursed through property and/or sales </t>
    </r>
    <r>
      <rPr>
        <b/>
        <sz val="12"/>
        <rFont val="Times New Roman"/>
        <family val="1"/>
      </rPr>
      <t>tax abatements</t>
    </r>
    <r>
      <rPr>
        <sz val="12"/>
        <rFont val="Times New Roman"/>
        <family val="1"/>
      </rPr>
      <t>. Another alternative is to have local government assess subsequent new development a proportionate share of its cost of facility improvements though a “late-comer” fee.</t>
    </r>
  </si>
  <si>
    <r>
      <t>Application</t>
    </r>
    <r>
      <rPr>
        <sz val="12"/>
        <rFont val="Times New Roman"/>
        <family val="1"/>
      </rPr>
      <t xml:space="preserve"> – Reduced property and/or sales tax assessments over the applicable years.</t>
    </r>
  </si>
  <si>
    <r>
      <t>Application</t>
    </r>
    <r>
      <rPr>
        <sz val="12"/>
        <rFont val="Times New Roman"/>
        <family val="1"/>
      </rPr>
      <t xml:space="preserve"> – Reduced property tax assessments over the applicable years.</t>
    </r>
  </si>
  <si>
    <r>
      <t>Application –</t>
    </r>
    <r>
      <rPr>
        <sz val="12"/>
        <rFont val="Times New Roman"/>
        <family val="1"/>
      </rPr>
      <t xml:space="preserve"> Reduced sales tax assessments over the applicable years.</t>
    </r>
  </si>
  <si>
    <r>
      <t xml:space="preserve">TIF uses future gains in taxes to finance improvements which in theory create the very value recaptured for this purpose – it is a form of </t>
    </r>
    <r>
      <rPr>
        <b/>
        <i/>
        <sz val="12"/>
        <rFont val="Times New Roman"/>
        <family val="1"/>
      </rPr>
      <t>value recapture</t>
    </r>
    <r>
      <rPr>
        <sz val="12"/>
        <rFont val="Times New Roman"/>
        <family val="1"/>
      </rPr>
      <t>. When a development or public project is carried out, there is often an increase in the value of surrounding real estate and perhaps new investment such as new or rehabilitated buildings. This increased site value and investment sometimes generates increased tax revenues. The increased tax revenues are the "tax increment." Tax Increment Financing dedicates tax increments within a certain defined district to finance debt issued to pay for the project. TIF is designed to channel funding toward improvements in distressed or underdeveloped areas where development might not otherwise occur. TIF creates funding for "public" projects that may otherwise be unaffordable to localities, by borrowing against future property tax revenues. TIF can also be applied to increased sales taxes generated by new development. TIF revenues may be used to retire bonds issued to finance qualifying public purpose investments, or used to reimburse the investor directly from property and/or sales taxes (see Infrastructure Reimbursement Agreements).</t>
    </r>
  </si>
  <si>
    <r>
      <t>Application</t>
    </r>
    <r>
      <rPr>
        <sz val="12"/>
        <rFont val="Times New Roman"/>
        <family val="1"/>
      </rPr>
      <t xml:space="preserve"> – Where TIF bonds are used, the tool is considered a grant. Where property and/or sales tax abatement is used, abatement would be the application.</t>
    </r>
  </si>
  <si>
    <r>
      <t>Application –</t>
    </r>
    <r>
      <rPr>
        <sz val="12"/>
        <rFont val="Times New Roman"/>
        <family val="1"/>
      </rPr>
      <t xml:space="preserve"> Grant for qualifying capital improvements.</t>
    </r>
  </si>
  <si>
    <r>
      <t>Application –</t>
    </r>
    <r>
      <rPr>
        <sz val="12"/>
        <rFont val="Times New Roman"/>
        <family val="1"/>
      </rPr>
      <t xml:space="preserve"> Fee waiver/reduction.</t>
    </r>
  </si>
  <si>
    <r>
      <rPr>
        <b/>
        <i/>
        <sz val="12"/>
        <rFont val="Times New Roman"/>
        <family val="1"/>
      </rPr>
      <t>Application –</t>
    </r>
    <r>
      <rPr>
        <sz val="12"/>
        <rFont val="Times New Roman"/>
        <family val="1"/>
      </rPr>
      <t xml:space="preserve"> Grant for qualifying capital improvements.</t>
    </r>
  </si>
  <si>
    <r>
      <t>Congestion Mitigation and Air Quality</t>
    </r>
    <r>
      <rPr>
        <b/>
        <i/>
        <sz val="12"/>
        <rFont val="Times New Roman"/>
        <family val="1"/>
      </rPr>
      <t xml:space="preserve"> </t>
    </r>
    <r>
      <rPr>
        <b/>
        <sz val="12"/>
        <rFont val="Times New Roman"/>
        <family val="1"/>
      </rPr>
      <t>Improvement (CMAQ) Funds</t>
    </r>
  </si>
  <si>
    <r>
      <t xml:space="preserve">The CMAQ program was created under the Intermodal Surface Transportation Efficiency Act (ISTEA) of 1991, continued under the Transportation Equity Act for the 21st Century (TEA-21), and reauthorized by the Safe, Accountable, Flexible, Efficient Transportation Equity Act: A Legacy for Users (SAFETEA-LU). The purpose of the CMAQ program is to fund transportation projects or programs that will contribute to attainment or maintenance of the national ambient air quality standards (NAAQS) for ozone, carbon monoxide (CO), and particulate matter (PM). </t>
    </r>
    <r>
      <rPr>
        <sz val="12"/>
        <color rgb="FF000000"/>
        <rFont val="Times New Roman"/>
        <family val="1"/>
      </rPr>
      <t>CMAQ funds may be used to establish new or expanded transportation projects or programs that reduce emissions, including capital investments in transportation infrastructure, congestion relief efforts, diesel engine retrofits, or other capital projects.</t>
    </r>
  </si>
  <si>
    <r>
      <t>Application –</t>
    </r>
    <r>
      <rPr>
        <sz val="12"/>
        <rFont val="Times New Roman"/>
        <family val="1"/>
      </rPr>
      <t xml:space="preserve"> Grant for qualifying capital improvements and or debt service usually with below-market interest.</t>
    </r>
  </si>
  <si>
    <r>
      <t>Application –</t>
    </r>
    <r>
      <rPr>
        <sz val="12"/>
        <rFont val="Times New Roman"/>
        <family val="1"/>
      </rPr>
      <t xml:space="preserve"> Where the tool generates revenue to finance improvements, they may be considered a form of long-term financing. Where they generate funds to build a facility for a public purpose and the tenant such as a government entity retires the debt through lease payments, they may be considered a grant for construction but rent revenue pledged to the lease must be reduced from cash flow available to the investor.</t>
    </r>
  </si>
  <si>
    <r>
      <t>Application –</t>
    </r>
    <r>
      <rPr>
        <sz val="12"/>
        <rFont val="Times New Roman"/>
        <family val="1"/>
      </rPr>
      <t xml:space="preserve"> Grant for qualifying capital improvements, usually the parking structures costs otherwise incurred by new investment.</t>
    </r>
  </si>
  <si>
    <r>
      <t xml:space="preserve">Transportation Infrastructure Finance and Innovation Act </t>
    </r>
    <r>
      <rPr>
        <b/>
        <i/>
        <sz val="12"/>
        <rFont val="Times New Roman"/>
        <family val="1"/>
      </rPr>
      <t>(</t>
    </r>
    <r>
      <rPr>
        <b/>
        <sz val="12"/>
        <rFont val="Times New Roman"/>
        <family val="1"/>
      </rPr>
      <t>TIFIA)</t>
    </r>
  </si>
  <si>
    <r>
      <t>Application –</t>
    </r>
    <r>
      <rPr>
        <sz val="12"/>
        <rFont val="Times New Roman"/>
        <family val="1"/>
      </rPr>
      <t xml:space="preserve"> Debt service usually with below-market interest.</t>
    </r>
  </si>
  <si>
    <t>Revolving Loan Funds (RLF) are a self-replenishing pool of money where interest and principal payments on current or retired loans are used to issue new ones. RLFs are an access to capital lending tool used for development and other purposes. While RLFs must generate enough of interest to replenish the fund for future loans, because proceeds are usually tax free (when managed by a government or nonprofit agency), the interest charged can be below market.  The funds' initial capital can come from many sources such as direct appropriations from the state or local government, banks and other lending institutions especially when combined with the Community Reinvestment Act, utility  companies, and private foundations. Federal sources, which often include restrictions on the activities for which loans are made, include Community Development  Block Grants (HUD),  Community Adjustment and Investment Program (USDA), Economic Adjustment  Assistance Program (EDA), and Brownfields Revolving Loan Fund (EPA).</t>
  </si>
  <si>
    <r>
      <rPr>
        <b/>
        <i/>
        <sz val="12"/>
        <rFont val="Times New Roman"/>
        <family val="1"/>
      </rPr>
      <t>Application –</t>
    </r>
    <r>
      <rPr>
        <sz val="12"/>
        <rFont val="Times New Roman"/>
        <family val="1"/>
      </rPr>
      <t xml:space="preserve"> establish infrastructure revolving funds eligible to be capitalized with Federal transportation funds </t>
    </r>
  </si>
  <si>
    <t>An owner of rental/income-producing property listed by the National Park Service’s Register of National Historic Places (or properties that are contributing resources within a National Register Historic District) may be eligible for a 20 percent investment tax credit for the rehabilitation of the historic structure. The rehabilitation may include commercial, industrial, or residential rental property. In addition, the tax incentive program allows for a 10 percent tax credit for rehabilitation of non-historic, nonresidential buildings built before 1936.</t>
  </si>
  <si>
    <r>
      <t>Application –</t>
    </r>
    <r>
      <rPr>
        <sz val="12"/>
        <rFont val="Times New Roman"/>
        <family val="1"/>
      </rPr>
      <t xml:space="preserve"> The tax credit is considered a grant against a share of the construction cost of the project for each year in which the credit is applicable, up to 10 years. The credit is 9-percent per year for qualifying low-income housing for a total of 90 percent over 10 years, and 4-percent per year for qualifying moderate income housing for a total of 40 percent also over 10 years. The credits apply only to individually qualifying units, and may include a mix of low-income (9-percent/year credit), moderate-income (4-percent/year credit), and market rate (no credit) units.</t>
    </r>
  </si>
  <si>
    <t xml:space="preserve">Capital Recovery (from grants)
</t>
  </si>
  <si>
    <t>Holding Period, Years</t>
  </si>
  <si>
    <t>Parking Revenue Bonds (PRB)</t>
  </si>
  <si>
    <t xml:space="preserve">Applicable when a public entity such as a PDA borrows money to build a structure and retires the debt through property tax assessments on benefiting property in a defined are. Because the revenue bonds are often double tax-exempt, meaning bond holders receive interest payments free from federal and states taxes, and can extend 20 or more years, the annual tax assessment can be small. </t>
  </si>
  <si>
    <t>Transient Occupancy Tax (TOT)</t>
  </si>
  <si>
    <t>Applicable when there a special tax is assessed on hotels, motels, and even retail sales occurring in a benefit district which is used to retire parking bond debt as well as help finance operations and maintenance.</t>
  </si>
  <si>
    <t>Collected from hourly and money parking fees charged to shoppers, hotel guest, and employees working in the area among others</t>
  </si>
  <si>
    <t>Parking Fees (PF)</t>
  </si>
  <si>
    <t>By using a  special tax  assessed on hotels, motels, and even retail sales occurring in a benefit district which is used to retire parking bond debt as well as help finance operations and maintenance.</t>
  </si>
  <si>
    <t>FOUNDATIONS OF REAL ESTATE DEVELOPMENT FINANCE</t>
  </si>
  <si>
    <t>A Guide to Public-Private Partnerships</t>
  </si>
  <si>
    <t>Workbook</t>
  </si>
  <si>
    <t>Arthur C. Nelson, Ph.D., FAICP</t>
  </si>
  <si>
    <t>Dejan Eskic, MRED</t>
  </si>
  <si>
    <t>Disclaimer:</t>
  </si>
  <si>
    <t>For instructional use only.</t>
  </si>
  <si>
    <t>No warranty is given for errors or ommissions.</t>
  </si>
  <si>
    <t>Permit Fee Waiver</t>
  </si>
  <si>
    <t>Land Write Down</t>
  </si>
  <si>
    <t>Building Write Down</t>
  </si>
  <si>
    <t>Permit Fees</t>
  </si>
  <si>
    <t>Version 2.2 [September 2016]</t>
  </si>
  <si>
    <t xml:space="preserve">Note: Assumptions related to grants, fee reductions, and other leveraging tools must be entered in the proper use tab. Public tools that reduce development costs also reduce the amount needed to finance the project. This is a clarification if the book text. </t>
  </si>
  <si>
    <t xml:space="preserve">     LTV</t>
  </si>
  <si>
    <t xml:space="preserve">     Mortgage amount</t>
  </si>
  <si>
    <t xml:space="preserve">     Rate</t>
  </si>
  <si>
    <t xml:space="preserve">     Amortization Period, Years</t>
  </si>
  <si>
    <t xml:space="preserve">     Total Value</t>
  </si>
  <si>
    <t xml:space="preserve">     Debt LTV</t>
  </si>
  <si>
    <t xml:space="preserve">     Annual Debt Service (Amortized)</t>
  </si>
  <si>
    <t xml:space="preserve">     Loan Support</t>
  </si>
  <si>
    <t>$0 if turnkey acquisition.</t>
  </si>
  <si>
    <t>Mezzanine Debt from Public Partner</t>
  </si>
  <si>
    <t xml:space="preserve">     Loan*</t>
  </si>
  <si>
    <t>*More debt financing blocks and amortization tables may be needed.</t>
  </si>
  <si>
    <t>Use this cell if a turnkey acquisition.</t>
  </si>
  <si>
    <t>Debt Financing Assumptions</t>
  </si>
  <si>
    <t>INVESTMENT ANALYSIS: Office</t>
  </si>
  <si>
    <t>Detailed Development Costs if appliocable</t>
  </si>
  <si>
    <t>Residential units</t>
  </si>
  <si>
    <t xml:space="preserve">Office Square Feet </t>
  </si>
  <si>
    <t>Miscelleaneous Income, Percent of GSI</t>
  </si>
  <si>
    <t>Net project cost is reduced by total development offsets.</t>
  </si>
  <si>
    <t>Total Development Offsets</t>
  </si>
  <si>
    <t>Net project Cost</t>
  </si>
  <si>
    <t>Net Project Cost per Square Foot</t>
  </si>
  <si>
    <t>Projected Sales</t>
  </si>
  <si>
    <t>Base Rental Income</t>
  </si>
  <si>
    <t xml:space="preserve">     Net Project Cost</t>
  </si>
  <si>
    <t xml:space="preserve">     Total Debt Service</t>
  </si>
  <si>
    <t>Senior Debt Amortization</t>
  </si>
  <si>
    <t>Mezzanine Loan Amortization</t>
  </si>
  <si>
    <t>Project Cost Per Unit</t>
  </si>
  <si>
    <t>Net Project Cost Per Square Foot</t>
  </si>
  <si>
    <t>Net Project Cost Per Unit</t>
  </si>
  <si>
    <t>INVESTMENT ANALYSIS: Hotel</t>
  </si>
  <si>
    <t>INVESTMENT ANALYSIS: Retail &amp; Restaurant</t>
  </si>
  <si>
    <t>INVESTMENT ANALYSIS: Industrial</t>
  </si>
  <si>
    <t>INVESTMENT ANALYSIS: Parking</t>
  </si>
  <si>
    <t>INVESTMENT ANALYSIS: Mixed-Use</t>
  </si>
  <si>
    <t>Initial industrial square feet</t>
  </si>
  <si>
    <t>Includes land</t>
  </si>
  <si>
    <t>Average Monthly Rent</t>
  </si>
  <si>
    <t>Financial Analysis</t>
  </si>
  <si>
    <t>Total Project Costs</t>
  </si>
  <si>
    <t>Must be for 10, 15, 20, 25 or 30 years.</t>
  </si>
  <si>
    <t xml:space="preserve">     LTV Ratio</t>
  </si>
  <si>
    <t>Rent, annualized</t>
  </si>
  <si>
    <t>Total project size, occupied square feet</t>
  </si>
  <si>
    <t>Net Economic Gain</t>
  </si>
  <si>
    <t xml:space="preserve">     Debt</t>
  </si>
  <si>
    <t xml:space="preserve">      LTV</t>
  </si>
  <si>
    <t xml:space="preserve">     Average Net Sale Price</t>
  </si>
  <si>
    <t xml:space="preserve">     Sales Cost Rate</t>
  </si>
  <si>
    <t xml:space="preserve">     Sales Expense</t>
  </si>
  <si>
    <t xml:space="preserve">     Gross Sales Revenue</t>
  </si>
  <si>
    <t xml:space="preserve">     Target Project Return</t>
  </si>
  <si>
    <t xml:space="preserve">Project Costs </t>
  </si>
  <si>
    <t xml:space="preserve">     Average Project Cost Per Home</t>
  </si>
  <si>
    <t>Tax Credits</t>
  </si>
  <si>
    <t>Target Project Rate of Return</t>
  </si>
  <si>
    <t>Equivalent to General Partner Return</t>
  </si>
  <si>
    <t>Equivalent to Limited Partner Return</t>
  </si>
  <si>
    <t>Investment Analysis - Residential Owner</t>
  </si>
  <si>
    <t>Target Investor Rate of Return</t>
  </si>
  <si>
    <t xml:space="preserve">     Investor (Developer) Equity</t>
  </si>
  <si>
    <t>Includes loan fees, interest</t>
  </si>
  <si>
    <t xml:space="preserve">     Investory Profit (Loss)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</si>
</sst>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0.0%"/>
    <numFmt numFmtId="167" formatCode="&quot;$&quot;#,##0"/>
    <numFmt numFmtId="168" formatCode="0.0000%"/>
    <numFmt numFmtId="169" formatCode="&quot;$&quot;#,##0.00"/>
    <numFmt numFmtId="170" formatCode="&quot;$&quot;#,##0.0"/>
    <numFmt numFmtId="171" formatCode="_(* #,##0_);_(* \(#,##0\);_(* &quot;-&quot;??_);_(@_)"/>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name val="Verdana"/>
      <family val="2"/>
    </font>
    <font>
      <b/>
      <sz val="10"/>
      <name val="Arial"/>
      <family val="2"/>
    </font>
    <font>
      <b/>
      <sz val="9"/>
      <color theme="3"/>
      <name val="Arial"/>
      <family val="2"/>
    </font>
    <font>
      <sz val="9"/>
      <name val="Arial"/>
      <family val="2"/>
    </font>
    <font>
      <i/>
      <sz val="9"/>
      <name val="Arial"/>
      <family val="2"/>
    </font>
    <font>
      <sz val="10"/>
      <name val="Arial"/>
      <family val="2"/>
    </font>
    <font>
      <sz val="12"/>
      <name val="Calibri"/>
      <family val="2"/>
      <scheme val="minor"/>
    </font>
    <font>
      <b/>
      <sz val="12"/>
      <color theme="1"/>
      <name val="Calibri"/>
      <family val="2"/>
      <scheme val="minor"/>
    </font>
    <font>
      <b/>
      <sz val="12"/>
      <name val="Calibri"/>
      <family val="2"/>
      <scheme val="minor"/>
    </font>
    <font>
      <sz val="12"/>
      <color theme="1"/>
      <name val="Calibri"/>
      <family val="2"/>
      <scheme val="minor"/>
    </font>
    <font>
      <b/>
      <sz val="12"/>
      <color rgb="FFFF0000"/>
      <name val="Calibri"/>
      <family val="2"/>
      <scheme val="minor"/>
    </font>
    <font>
      <b/>
      <sz val="12"/>
      <color indexed="8"/>
      <name val="Calibri"/>
      <family val="2"/>
      <scheme val="minor"/>
    </font>
    <font>
      <b/>
      <u/>
      <sz val="12"/>
      <color indexed="8"/>
      <name val="Calibri"/>
      <family val="2"/>
      <scheme val="minor"/>
    </font>
    <font>
      <sz val="12"/>
      <color indexed="8"/>
      <name val="Calibri"/>
      <family val="2"/>
      <scheme val="minor"/>
    </font>
    <font>
      <sz val="12"/>
      <color rgb="FFFF0000"/>
      <name val="Calibri"/>
      <family val="2"/>
      <scheme val="minor"/>
    </font>
    <font>
      <u val="singleAccounting"/>
      <sz val="12"/>
      <color indexed="8"/>
      <name val="Calibri"/>
      <family val="2"/>
      <scheme val="minor"/>
    </font>
    <font>
      <u/>
      <sz val="12"/>
      <color indexed="8"/>
      <name val="Calibri"/>
      <family val="2"/>
      <scheme val="minor"/>
    </font>
    <font>
      <b/>
      <sz val="12"/>
      <color rgb="FF0070C0"/>
      <name val="Calibri"/>
      <family val="2"/>
      <scheme val="minor"/>
    </font>
    <font>
      <b/>
      <sz val="14"/>
      <name val="Garamond"/>
      <family val="1"/>
    </font>
    <font>
      <b/>
      <sz val="12"/>
      <name val="Garamond"/>
      <family val="1"/>
    </font>
    <font>
      <sz val="12"/>
      <name val="Garamond"/>
      <family val="1"/>
    </font>
    <font>
      <u/>
      <sz val="10"/>
      <color theme="10"/>
      <name val="Arial"/>
      <family val="2"/>
    </font>
    <font>
      <sz val="10"/>
      <name val="Calibri"/>
      <family val="2"/>
    </font>
    <font>
      <b/>
      <sz val="12"/>
      <color rgb="FFFF0000"/>
      <name val="Calibri"/>
      <family val="2"/>
    </font>
    <font>
      <b/>
      <sz val="12"/>
      <name val="Calibri"/>
      <family val="2"/>
    </font>
    <font>
      <sz val="12"/>
      <name val="Calibri"/>
      <family val="2"/>
    </font>
    <font>
      <sz val="10"/>
      <name val="Calibri"/>
      <family val="2"/>
      <scheme val="minor"/>
    </font>
    <font>
      <b/>
      <sz val="10"/>
      <name val="Calibri"/>
      <family val="2"/>
      <scheme val="minor"/>
    </font>
    <font>
      <b/>
      <sz val="18"/>
      <color indexed="8"/>
      <name val="Calibri"/>
      <family val="2"/>
      <scheme val="minor"/>
    </font>
    <font>
      <b/>
      <sz val="9"/>
      <color rgb="FFFF0000"/>
      <name val="Arial"/>
      <family val="2"/>
    </font>
    <font>
      <sz val="11"/>
      <color rgb="FF000080"/>
      <name val="Calibri"/>
      <family val="2"/>
      <scheme val="minor"/>
    </font>
    <font>
      <i/>
      <sz val="11"/>
      <color theme="1"/>
      <name val="Calibri"/>
      <family val="2"/>
      <scheme val="minor"/>
    </font>
    <font>
      <vertAlign val="superscript"/>
      <sz val="11"/>
      <color rgb="FF000080"/>
      <name val="Calibri"/>
      <family val="2"/>
      <scheme val="minor"/>
    </font>
    <font>
      <sz val="11"/>
      <color rgb="FF000000"/>
      <name val="Calibri"/>
      <family val="2"/>
      <scheme val="minor"/>
    </font>
    <font>
      <i/>
      <sz val="11"/>
      <color rgb="FF000000"/>
      <name val="Calibri"/>
      <family val="2"/>
      <scheme val="minor"/>
    </font>
    <font>
      <b/>
      <sz val="16"/>
      <name val="Times New Roman"/>
      <family val="1"/>
    </font>
    <font>
      <sz val="10"/>
      <name val="Times New Roman"/>
      <family val="1"/>
    </font>
    <font>
      <b/>
      <sz val="14"/>
      <name val="Times New Roman"/>
      <family val="1"/>
    </font>
    <font>
      <b/>
      <i/>
      <sz val="12"/>
      <name val="Times New Roman"/>
      <family val="1"/>
    </font>
    <font>
      <b/>
      <sz val="12"/>
      <name val="Times New Roman"/>
      <family val="1"/>
    </font>
    <font>
      <sz val="12"/>
      <name val="Times New Roman"/>
      <family val="1"/>
    </font>
    <font>
      <i/>
      <sz val="12"/>
      <name val="Times New Roman"/>
      <family val="1"/>
    </font>
    <font>
      <sz val="12"/>
      <color rgb="FF000000"/>
      <name val="Times New Roman"/>
      <family val="1"/>
    </font>
    <font>
      <u/>
      <sz val="12"/>
      <name val="Calibri"/>
      <family val="2"/>
      <scheme val="minor"/>
    </font>
    <font>
      <b/>
      <i/>
      <sz val="12"/>
      <name val="Calibri"/>
      <family val="2"/>
      <scheme val="minor"/>
    </font>
    <font>
      <i/>
      <sz val="12"/>
      <name val="Calibri"/>
      <family val="2"/>
      <scheme val="minor"/>
    </font>
    <font>
      <b/>
      <i/>
      <sz val="12"/>
      <color rgb="FFFF0000"/>
      <name val="Calibri"/>
      <family val="2"/>
      <scheme val="minor"/>
    </font>
    <font>
      <sz val="12"/>
      <color theme="3"/>
      <name val="Calibri"/>
      <family val="2"/>
      <scheme val="minor"/>
    </font>
    <font>
      <b/>
      <sz val="12"/>
      <color theme="3"/>
      <name val="Calibri"/>
      <family val="2"/>
      <scheme val="minor"/>
    </font>
    <font>
      <b/>
      <i/>
      <sz val="12"/>
      <color theme="3"/>
      <name val="Calibri"/>
      <family val="2"/>
      <scheme val="minor"/>
    </font>
    <font>
      <b/>
      <u/>
      <sz val="12"/>
      <name val="Calibri"/>
      <family val="2"/>
      <scheme val="minor"/>
    </font>
    <font>
      <u val="singleAccounting"/>
      <sz val="12"/>
      <name val="Calibri"/>
      <family val="2"/>
      <scheme val="minor"/>
    </font>
    <font>
      <u/>
      <sz val="10"/>
      <color theme="11"/>
      <name val="Arial"/>
      <family val="2"/>
    </font>
    <font>
      <b/>
      <sz val="12"/>
      <color rgb="FF7030A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FFFFF"/>
        <bgColor indexed="64"/>
      </patternFill>
    </fill>
    <fill>
      <patternFill patternType="solid">
        <fgColor theme="4" tint="0.59999389629810485"/>
        <bgColor indexed="65"/>
      </patternFill>
    </fill>
    <fill>
      <patternFill patternType="solid">
        <fgColor theme="0"/>
        <bgColor indexed="64"/>
      </patternFill>
    </fill>
    <fill>
      <patternFill patternType="solid">
        <fgColor theme="4" tint="0.59999389629810485"/>
        <bgColor indexed="64"/>
      </patternFill>
    </fill>
  </fills>
  <borders count="119">
    <border>
      <left/>
      <right/>
      <top/>
      <bottom/>
      <diagonal/>
    </border>
    <border>
      <left style="thin">
        <color auto="1"/>
      </left>
      <right/>
      <top/>
      <bottom/>
      <diagonal/>
    </border>
    <border>
      <left style="medium">
        <color theme="4"/>
      </left>
      <right/>
      <top/>
      <bottom style="medium">
        <color theme="4"/>
      </bottom>
      <diagonal/>
    </border>
    <border>
      <left/>
      <right/>
      <top style="medium">
        <color theme="4"/>
      </top>
      <bottom style="thin">
        <color theme="4"/>
      </bottom>
      <diagonal/>
    </border>
    <border>
      <left/>
      <right style="medium">
        <color theme="4"/>
      </right>
      <top style="medium">
        <color theme="4"/>
      </top>
      <bottom style="thin">
        <color theme="4"/>
      </bottom>
      <diagonal/>
    </border>
    <border>
      <left style="medium">
        <color theme="4"/>
      </left>
      <right/>
      <top style="medium">
        <color theme="4"/>
      </top>
      <bottom style="thin">
        <color theme="4"/>
      </bottom>
      <diagonal/>
    </border>
    <border>
      <left style="medium">
        <color theme="4"/>
      </left>
      <right style="dotted">
        <color theme="4"/>
      </right>
      <top style="medium">
        <color theme="4"/>
      </top>
      <bottom style="thin">
        <color theme="4"/>
      </bottom>
      <diagonal/>
    </border>
    <border>
      <left/>
      <right style="dotted">
        <color theme="4"/>
      </right>
      <top style="medium">
        <color theme="4"/>
      </top>
      <bottom style="thin">
        <color theme="4"/>
      </bottom>
      <diagonal/>
    </border>
    <border>
      <left style="medium">
        <color theme="4"/>
      </left>
      <right style="thin">
        <color theme="4"/>
      </right>
      <top style="thin">
        <color theme="4"/>
      </top>
      <bottom style="thin">
        <color theme="4"/>
      </bottom>
      <diagonal/>
    </border>
    <border>
      <left/>
      <right style="medium">
        <color theme="4"/>
      </right>
      <top style="thin">
        <color theme="4"/>
      </top>
      <bottom style="thin">
        <color theme="4"/>
      </bottom>
      <diagonal/>
    </border>
    <border>
      <left/>
      <right/>
      <top style="thin">
        <color theme="4"/>
      </top>
      <bottom style="thin">
        <color theme="4"/>
      </bottom>
      <diagonal/>
    </border>
    <border>
      <left/>
      <right style="thin">
        <color theme="4"/>
      </right>
      <top/>
      <bottom style="medium">
        <color theme="4"/>
      </bottom>
      <diagonal/>
    </border>
    <border>
      <left/>
      <right style="medium">
        <color theme="4"/>
      </right>
      <top/>
      <bottom style="medium">
        <color theme="4"/>
      </bottom>
      <diagonal/>
    </border>
    <border>
      <left/>
      <right/>
      <top/>
      <bottom style="medium">
        <color theme="4"/>
      </bottom>
      <diagonal/>
    </border>
    <border>
      <left/>
      <right style="dotted">
        <color theme="4"/>
      </right>
      <top/>
      <bottom style="medium">
        <color theme="4"/>
      </bottom>
      <diagonal/>
    </border>
    <border>
      <left/>
      <right style="medium">
        <color theme="4"/>
      </right>
      <top/>
      <bottom/>
      <diagonal/>
    </border>
    <border>
      <left/>
      <right/>
      <top style="medium">
        <color theme="4"/>
      </top>
      <bottom style="medium">
        <color theme="4"/>
      </bottom>
      <diagonal/>
    </border>
    <border>
      <left/>
      <right style="medium">
        <color theme="4"/>
      </right>
      <top style="medium">
        <color theme="4"/>
      </top>
      <bottom/>
      <diagonal/>
    </border>
    <border>
      <left style="thin">
        <color theme="4"/>
      </left>
      <right/>
      <top/>
      <bottom/>
      <diagonal/>
    </border>
    <border>
      <left style="thin">
        <color theme="4"/>
      </left>
      <right style="thin">
        <color theme="4"/>
      </right>
      <top/>
      <bottom style="medium">
        <color theme="4"/>
      </bottom>
      <diagonal/>
    </border>
    <border>
      <left style="thin">
        <color theme="4"/>
      </left>
      <right/>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style="thin">
        <color theme="4"/>
      </left>
      <right style="medium">
        <color theme="4"/>
      </right>
      <top/>
      <bottom/>
      <diagonal/>
    </border>
    <border>
      <left style="thin">
        <color theme="4"/>
      </left>
      <right style="medium">
        <color theme="4"/>
      </right>
      <top/>
      <bottom style="medium">
        <color theme="4"/>
      </bottom>
      <diagonal/>
    </border>
    <border>
      <left style="medium">
        <color theme="4"/>
      </left>
      <right style="thin">
        <color theme="4"/>
      </right>
      <top style="medium">
        <color theme="4"/>
      </top>
      <bottom style="medium">
        <color theme="4"/>
      </bottom>
      <diagonal/>
    </border>
    <border>
      <left style="thin">
        <color theme="4"/>
      </left>
      <right/>
      <top style="medium">
        <color theme="4"/>
      </top>
      <bottom style="medium">
        <color theme="4"/>
      </bottom>
      <diagonal/>
    </border>
    <border>
      <left style="medium">
        <color theme="4"/>
      </left>
      <right style="medium">
        <color theme="4"/>
      </right>
      <top style="medium">
        <color theme="4"/>
      </top>
      <bottom style="medium">
        <color theme="4"/>
      </bottom>
      <diagonal/>
    </border>
    <border>
      <left style="medium">
        <color theme="4"/>
      </left>
      <right style="medium">
        <color theme="4"/>
      </right>
      <top/>
      <bottom style="medium">
        <color theme="4"/>
      </bottom>
      <diagonal/>
    </border>
    <border>
      <left/>
      <right style="medium">
        <color theme="4"/>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thin">
        <color theme="4"/>
      </right>
      <top style="medium">
        <color theme="4"/>
      </top>
      <bottom/>
      <diagonal/>
    </border>
    <border>
      <left/>
      <right/>
      <top style="medium">
        <color theme="4"/>
      </top>
      <bottom/>
      <diagonal/>
    </border>
    <border>
      <left style="medium">
        <color theme="4"/>
      </left>
      <right/>
      <top/>
      <bottom/>
      <diagonal/>
    </border>
    <border>
      <left/>
      <right style="medium">
        <color theme="4"/>
      </right>
      <top/>
      <bottom style="thin">
        <color theme="4"/>
      </bottom>
      <diagonal/>
    </border>
    <border>
      <left style="medium">
        <color theme="4"/>
      </left>
      <right/>
      <top style="medium">
        <color theme="4"/>
      </top>
      <bottom/>
      <diagonal/>
    </border>
    <border>
      <left style="thin">
        <color theme="4"/>
      </left>
      <right style="thin">
        <color theme="4"/>
      </right>
      <top/>
      <bottom/>
      <diagonal/>
    </border>
    <border>
      <left style="thin">
        <color auto="1"/>
      </left>
      <right/>
      <top style="medium">
        <color auto="1"/>
      </top>
      <bottom/>
      <diagonal/>
    </border>
    <border>
      <left/>
      <right/>
      <top style="medium">
        <color auto="1"/>
      </top>
      <bottom/>
      <diagonal/>
    </border>
    <border>
      <left style="medium">
        <color theme="4"/>
      </left>
      <right/>
      <top style="thin">
        <color theme="4"/>
      </top>
      <bottom style="medium">
        <color theme="4"/>
      </bottom>
      <diagonal/>
    </border>
    <border>
      <left/>
      <right/>
      <top style="thin">
        <color theme="4"/>
      </top>
      <bottom style="medium">
        <color theme="4"/>
      </bottom>
      <diagonal/>
    </border>
    <border>
      <left/>
      <right style="medium">
        <color theme="4"/>
      </right>
      <top style="thin">
        <color theme="4"/>
      </top>
      <bottom style="medium">
        <color theme="4"/>
      </bottom>
      <diagonal/>
    </border>
    <border>
      <left/>
      <right/>
      <top/>
      <bottom style="thin">
        <color theme="4"/>
      </bottom>
      <diagonal/>
    </border>
    <border>
      <left style="medium">
        <color theme="4"/>
      </left>
      <right/>
      <top style="thin">
        <color theme="4"/>
      </top>
      <bottom style="thin">
        <color theme="4"/>
      </bottom>
      <diagonal/>
    </border>
    <border>
      <left style="thin">
        <color theme="4"/>
      </left>
      <right style="thin">
        <color theme="4"/>
      </right>
      <top style="thin">
        <color theme="4"/>
      </top>
      <bottom style="medium">
        <color theme="4"/>
      </bottom>
      <diagonal/>
    </border>
    <border>
      <left/>
      <right style="thin">
        <color theme="4"/>
      </right>
      <top/>
      <bottom/>
      <diagonal/>
    </border>
    <border>
      <left/>
      <right style="thin">
        <color theme="4"/>
      </right>
      <top style="thin">
        <color theme="4"/>
      </top>
      <bottom style="medium">
        <color theme="4"/>
      </bottom>
      <diagonal/>
    </border>
    <border>
      <left/>
      <right style="thin">
        <color theme="4"/>
      </right>
      <top style="medium">
        <color theme="4"/>
      </top>
      <bottom/>
      <diagonal/>
    </border>
    <border>
      <left style="thin">
        <color theme="4"/>
      </left>
      <right style="medium">
        <color theme="4"/>
      </right>
      <top style="thin">
        <color theme="4"/>
      </top>
      <bottom style="medium">
        <color theme="4"/>
      </bottom>
      <diagonal/>
    </border>
    <border>
      <left/>
      <right style="thin">
        <color auto="1"/>
      </right>
      <top style="medium">
        <color theme="4"/>
      </top>
      <bottom style="medium">
        <color theme="4"/>
      </bottom>
      <diagonal/>
    </border>
    <border>
      <left style="medium">
        <color theme="4"/>
      </left>
      <right/>
      <top/>
      <bottom style="thin">
        <color theme="4"/>
      </bottom>
      <diagonal/>
    </border>
    <border>
      <left style="thin">
        <color theme="4"/>
      </left>
      <right style="thin">
        <color theme="4"/>
      </right>
      <top/>
      <bottom style="thin">
        <color theme="4"/>
      </bottom>
      <diagonal/>
    </border>
    <border>
      <left style="thin">
        <color theme="4"/>
      </left>
      <right/>
      <top style="thin">
        <color theme="4"/>
      </top>
      <bottom style="medium">
        <color theme="4"/>
      </bottom>
      <diagonal/>
    </border>
    <border>
      <left style="thin">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medium">
        <color theme="4"/>
      </left>
      <right style="medium">
        <color theme="4"/>
      </right>
      <top/>
      <bottom/>
      <diagonal/>
    </border>
    <border>
      <left style="medium">
        <color theme="4"/>
      </left>
      <right style="thin">
        <color theme="4"/>
      </right>
      <top style="thin">
        <color theme="4"/>
      </top>
      <bottom style="medium">
        <color theme="4"/>
      </bottom>
      <diagonal/>
    </border>
    <border>
      <left style="medium">
        <color theme="4"/>
      </left>
      <right/>
      <top/>
      <bottom style="dotted">
        <color theme="4"/>
      </bottom>
      <diagonal/>
    </border>
    <border>
      <left style="medium">
        <color theme="4"/>
      </left>
      <right style="dotted">
        <color theme="4"/>
      </right>
      <top/>
      <bottom style="dotted">
        <color theme="4"/>
      </bottom>
      <diagonal/>
    </border>
    <border>
      <left style="dotted">
        <color theme="4"/>
      </left>
      <right/>
      <top/>
      <bottom style="dotted">
        <color theme="4"/>
      </bottom>
      <diagonal/>
    </border>
    <border>
      <left style="medium">
        <color theme="4"/>
      </left>
      <right/>
      <top style="dotted">
        <color theme="4"/>
      </top>
      <bottom style="dotted">
        <color theme="4"/>
      </bottom>
      <diagonal/>
    </border>
    <border>
      <left style="medium">
        <color theme="4"/>
      </left>
      <right/>
      <top/>
      <bottom style="hair">
        <color theme="4"/>
      </bottom>
      <diagonal/>
    </border>
    <border>
      <left style="medium">
        <color theme="4"/>
      </left>
      <right/>
      <top style="hair">
        <color theme="4"/>
      </top>
      <bottom style="medium">
        <color theme="4"/>
      </bottom>
      <diagonal/>
    </border>
    <border>
      <left style="thin">
        <color theme="4"/>
      </left>
      <right/>
      <top/>
      <bottom style="dotted">
        <color theme="4"/>
      </bottom>
      <diagonal/>
    </border>
    <border>
      <left style="medium">
        <color theme="4"/>
      </left>
      <right style="medium">
        <color theme="4"/>
      </right>
      <top/>
      <bottom style="dotted">
        <color theme="4"/>
      </bottom>
      <diagonal/>
    </border>
    <border>
      <left style="thin">
        <color theme="4"/>
      </left>
      <right/>
      <top style="dotted">
        <color theme="4"/>
      </top>
      <bottom style="dotted">
        <color theme="4"/>
      </bottom>
      <diagonal/>
    </border>
    <border>
      <left style="medium">
        <color theme="4"/>
      </left>
      <right style="medium">
        <color theme="4"/>
      </right>
      <top style="dotted">
        <color theme="4"/>
      </top>
      <bottom style="dotted">
        <color theme="4"/>
      </bottom>
      <diagonal/>
    </border>
    <border>
      <left style="medium">
        <color theme="4"/>
      </left>
      <right/>
      <top style="dotted">
        <color theme="4"/>
      </top>
      <bottom/>
      <diagonal/>
    </border>
    <border>
      <left style="thin">
        <color theme="4"/>
      </left>
      <right/>
      <top style="dotted">
        <color theme="4"/>
      </top>
      <bottom/>
      <diagonal/>
    </border>
    <border>
      <left style="medium">
        <color theme="4"/>
      </left>
      <right style="medium">
        <color theme="4"/>
      </right>
      <top style="dotted">
        <color theme="4"/>
      </top>
      <bottom/>
      <diagonal/>
    </border>
    <border>
      <left style="thin">
        <color theme="4"/>
      </left>
      <right style="dotted">
        <color theme="4"/>
      </right>
      <top/>
      <bottom style="dotted">
        <color theme="4"/>
      </bottom>
      <diagonal/>
    </border>
    <border>
      <left style="thin">
        <color theme="4"/>
      </left>
      <right style="medium">
        <color theme="4"/>
      </right>
      <top/>
      <bottom style="dotted">
        <color theme="4"/>
      </bottom>
      <diagonal/>
    </border>
    <border>
      <left style="medium">
        <color theme="4"/>
      </left>
      <right/>
      <top style="medium">
        <color theme="4"/>
      </top>
      <bottom style="dotted">
        <color theme="4"/>
      </bottom>
      <diagonal/>
    </border>
    <border>
      <left style="medium">
        <color theme="4"/>
      </left>
      <right style="medium">
        <color theme="4"/>
      </right>
      <top style="medium">
        <color theme="4"/>
      </top>
      <bottom style="dotted">
        <color theme="4"/>
      </bottom>
      <diagonal/>
    </border>
    <border>
      <left style="dotted">
        <color theme="4"/>
      </left>
      <right/>
      <top style="dotted">
        <color theme="4"/>
      </top>
      <bottom style="dotted">
        <color theme="4"/>
      </bottom>
      <diagonal/>
    </border>
    <border>
      <left style="thin">
        <color theme="4"/>
      </left>
      <right style="dotted">
        <color theme="4"/>
      </right>
      <top style="dotted">
        <color theme="4"/>
      </top>
      <bottom style="dotted">
        <color theme="4"/>
      </bottom>
      <diagonal/>
    </border>
    <border>
      <left style="thin">
        <color theme="4"/>
      </left>
      <right style="medium">
        <color theme="4"/>
      </right>
      <top style="dotted">
        <color theme="4"/>
      </top>
      <bottom style="dotted">
        <color theme="4"/>
      </bottom>
      <diagonal/>
    </border>
    <border>
      <left/>
      <right/>
      <top style="dotted">
        <color theme="4"/>
      </top>
      <bottom style="medium">
        <color theme="4"/>
      </bottom>
      <diagonal/>
    </border>
    <border>
      <left style="medium">
        <color theme="4"/>
      </left>
      <right style="medium">
        <color theme="4"/>
      </right>
      <top style="dotted">
        <color theme="4"/>
      </top>
      <bottom style="medium">
        <color theme="4"/>
      </bottom>
      <diagonal/>
    </border>
    <border>
      <left style="medium">
        <color theme="4"/>
      </left>
      <right style="dotted">
        <color theme="4"/>
      </right>
      <top style="dotted">
        <color theme="4"/>
      </top>
      <bottom/>
      <diagonal/>
    </border>
    <border>
      <left style="dotted">
        <color theme="4"/>
      </left>
      <right style="dotted">
        <color theme="4"/>
      </right>
      <top/>
      <bottom style="dotted">
        <color theme="4"/>
      </bottom>
      <diagonal/>
    </border>
    <border>
      <left style="dotted">
        <color theme="4"/>
      </left>
      <right style="dotted">
        <color theme="4"/>
      </right>
      <top style="dotted">
        <color theme="4"/>
      </top>
      <bottom style="medium">
        <color theme="4"/>
      </bottom>
      <diagonal/>
    </border>
    <border>
      <left style="medium">
        <color theme="4"/>
      </left>
      <right style="dotted">
        <color theme="4"/>
      </right>
      <top/>
      <bottom style="thin">
        <color theme="4"/>
      </bottom>
      <diagonal/>
    </border>
    <border>
      <left style="dotted">
        <color theme="4"/>
      </left>
      <right style="dotted">
        <color theme="4"/>
      </right>
      <top/>
      <bottom style="thin">
        <color theme="4"/>
      </bottom>
      <diagonal/>
    </border>
    <border>
      <left style="dotted">
        <color theme="4"/>
      </left>
      <right/>
      <top/>
      <bottom style="thin">
        <color theme="4"/>
      </bottom>
      <diagonal/>
    </border>
    <border>
      <left style="medium">
        <color theme="4"/>
      </left>
      <right style="medium">
        <color theme="4"/>
      </right>
      <top/>
      <bottom style="thin">
        <color theme="4"/>
      </bottom>
      <diagonal/>
    </border>
    <border>
      <left style="dotted">
        <color theme="4"/>
      </left>
      <right style="dotted">
        <color theme="4"/>
      </right>
      <top style="dotted">
        <color theme="4"/>
      </top>
      <bottom/>
      <diagonal/>
    </border>
    <border>
      <left style="dotted">
        <color theme="4"/>
      </left>
      <right/>
      <top style="dotted">
        <color theme="4"/>
      </top>
      <bottom/>
      <diagonal/>
    </border>
    <border>
      <left style="medium">
        <color theme="4"/>
      </left>
      <right style="dotted">
        <color theme="4"/>
      </right>
      <top style="medium">
        <color theme="4"/>
      </top>
      <bottom style="medium">
        <color theme="4"/>
      </bottom>
      <diagonal/>
    </border>
    <border>
      <left style="dotted">
        <color theme="4"/>
      </left>
      <right style="dotted">
        <color theme="4"/>
      </right>
      <top style="medium">
        <color theme="4"/>
      </top>
      <bottom style="medium">
        <color theme="4"/>
      </bottom>
      <diagonal/>
    </border>
    <border>
      <left style="dotted">
        <color theme="4"/>
      </left>
      <right/>
      <top style="medium">
        <color theme="4"/>
      </top>
      <bottom style="medium">
        <color theme="4"/>
      </bottom>
      <diagonal/>
    </border>
    <border>
      <left style="medium">
        <color theme="4"/>
      </left>
      <right style="medium">
        <color theme="4"/>
      </right>
      <top style="medium">
        <color theme="4"/>
      </top>
      <bottom style="thin">
        <color theme="4"/>
      </bottom>
      <diagonal/>
    </border>
    <border>
      <left style="dotted">
        <color theme="4"/>
      </left>
      <right style="dotted">
        <color theme="4"/>
      </right>
      <top style="medium">
        <color theme="4"/>
      </top>
      <bottom style="thin">
        <color theme="4"/>
      </bottom>
      <diagonal/>
    </border>
    <border>
      <left style="dotted">
        <color theme="4"/>
      </left>
      <right/>
      <top style="medium">
        <color theme="4"/>
      </top>
      <bottom style="thin">
        <color theme="4"/>
      </bottom>
      <diagonal/>
    </border>
    <border>
      <left/>
      <right style="dotted">
        <color theme="4"/>
      </right>
      <top/>
      <bottom style="dotted">
        <color theme="4"/>
      </bottom>
      <diagonal/>
    </border>
    <border>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right style="dotted">
        <color theme="4"/>
      </right>
      <top style="dotted">
        <color theme="4"/>
      </top>
      <bottom style="medium">
        <color theme="4"/>
      </bottom>
      <diagonal/>
    </border>
    <border>
      <left style="dotted">
        <color theme="4"/>
      </left>
      <right/>
      <top style="dotted">
        <color theme="4"/>
      </top>
      <bottom style="medium">
        <color theme="4"/>
      </bottom>
      <diagonal/>
    </border>
    <border>
      <left style="medium">
        <color theme="4"/>
      </left>
      <right style="medium">
        <color theme="4"/>
      </right>
      <top style="dotted">
        <color theme="4"/>
      </top>
      <bottom style="thin">
        <color theme="4"/>
      </bottom>
      <diagonal/>
    </border>
    <border>
      <left/>
      <right style="dotted">
        <color theme="4"/>
      </right>
      <top style="dotted">
        <color theme="4"/>
      </top>
      <bottom style="thin">
        <color theme="4"/>
      </bottom>
      <diagonal/>
    </border>
    <border>
      <left/>
      <right style="dotted">
        <color theme="4"/>
      </right>
      <top style="medium">
        <color theme="4"/>
      </top>
      <bottom style="medium">
        <color theme="4"/>
      </bottom>
      <diagonal/>
    </border>
    <border>
      <left style="thin">
        <color theme="4"/>
      </left>
      <right style="medium">
        <color theme="4"/>
      </right>
      <top/>
      <bottom style="thin">
        <color theme="4"/>
      </bottom>
      <diagonal/>
    </border>
    <border>
      <left style="medium">
        <color theme="4"/>
      </left>
      <right style="thin">
        <color theme="4"/>
      </right>
      <top/>
      <bottom/>
      <diagonal/>
    </border>
    <border>
      <left style="medium">
        <color theme="4"/>
      </left>
      <right style="thin">
        <color theme="4"/>
      </right>
      <top/>
      <bottom style="medium">
        <color theme="4"/>
      </bottom>
      <diagonal/>
    </border>
    <border>
      <left style="thin">
        <color theme="4"/>
      </left>
      <right style="medium">
        <color theme="4"/>
      </right>
      <top style="medium">
        <color theme="4"/>
      </top>
      <bottom style="thin">
        <color theme="4"/>
      </bottom>
      <diagonal/>
    </border>
    <border>
      <left style="thin">
        <color theme="4"/>
      </left>
      <right/>
      <top style="thin">
        <color theme="4"/>
      </top>
      <bottom style="thin">
        <color theme="4"/>
      </bottom>
      <diagonal/>
    </border>
    <border>
      <left style="thin">
        <color theme="4"/>
      </left>
      <right style="medium">
        <color theme="4"/>
      </right>
      <top style="dotted">
        <color theme="4"/>
      </top>
      <bottom style="medium">
        <color theme="4"/>
      </bottom>
      <diagonal/>
    </border>
    <border>
      <left style="thin">
        <color theme="4"/>
      </left>
      <right style="medium">
        <color theme="4"/>
      </right>
      <top style="thin">
        <color theme="4"/>
      </top>
      <bottom style="dotted">
        <color theme="4"/>
      </bottom>
      <diagonal/>
    </border>
    <border>
      <left style="thin">
        <color theme="4"/>
      </left>
      <right/>
      <top style="thin">
        <color theme="4"/>
      </top>
      <bottom/>
      <diagonal/>
    </border>
    <border>
      <left style="thin">
        <color theme="4"/>
      </left>
      <right style="medium">
        <color theme="4"/>
      </right>
      <top style="thin">
        <color theme="4"/>
      </top>
      <bottom/>
      <diagonal/>
    </border>
    <border>
      <left style="thin">
        <color theme="4"/>
      </left>
      <right/>
      <top style="medium">
        <color theme="4"/>
      </top>
      <bottom/>
      <diagonal/>
    </border>
    <border>
      <left/>
      <right/>
      <top style="thin">
        <color theme="4"/>
      </top>
      <bottom/>
      <diagonal/>
    </border>
    <border>
      <left/>
      <right style="medium">
        <color theme="4"/>
      </right>
      <top style="thin">
        <color theme="4"/>
      </top>
      <bottom/>
      <diagonal/>
    </border>
    <border>
      <left style="medium">
        <color theme="4"/>
      </left>
      <right style="thin">
        <color theme="4"/>
      </right>
      <top style="thin">
        <color theme="4"/>
      </top>
      <bottom/>
      <diagonal/>
    </border>
    <border>
      <left style="thin">
        <color theme="4"/>
      </left>
      <right style="medium">
        <color theme="4"/>
      </right>
      <top style="medium">
        <color theme="4"/>
      </top>
      <bottom/>
      <diagonal/>
    </border>
    <border>
      <left style="medium">
        <color theme="4"/>
      </left>
      <right style="medium">
        <color theme="4"/>
      </right>
      <top style="dotted">
        <color theme="4"/>
      </top>
      <bottom style="thick">
        <color theme="4"/>
      </bottom>
      <diagonal/>
    </border>
    <border>
      <left style="medium">
        <color theme="4"/>
      </left>
      <right style="medium">
        <color theme="4"/>
      </right>
      <top style="thick">
        <color theme="4"/>
      </top>
      <bottom style="thick">
        <color theme="4"/>
      </bottom>
      <diagonal/>
    </border>
  </borders>
  <cellStyleXfs count="196">
    <xf numFmtId="0" fontId="0" fillId="0" borderId="0"/>
    <xf numFmtId="43"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9" fillId="0" borderId="0"/>
    <xf numFmtId="9" fontId="6"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6" fillId="0" borderId="0"/>
    <xf numFmtId="0" fontId="6" fillId="0" borderId="0"/>
    <xf numFmtId="0" fontId="30" fillId="0" borderId="0" applyNumberForma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5" fillId="10" borderId="0" applyNumberFormat="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0" borderId="0" applyNumberFormat="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10"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0"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6" fillId="0" borderId="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9" fontId="6"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cellStyleXfs>
  <cellXfs count="889">
    <xf numFmtId="0" fontId="0" fillId="0" borderId="0" xfId="0"/>
    <xf numFmtId="9" fontId="0" fillId="0" borderId="0" xfId="7" applyFont="1"/>
    <xf numFmtId="0" fontId="7" fillId="0" borderId="0" xfId="5"/>
    <xf numFmtId="43" fontId="0" fillId="0" borderId="0" xfId="1" applyFont="1"/>
    <xf numFmtId="44" fontId="0" fillId="0" borderId="0" xfId="2" applyFont="1"/>
    <xf numFmtId="0" fontId="9" fillId="0" borderId="0" xfId="6"/>
    <xf numFmtId="0" fontId="0" fillId="0" borderId="0" xfId="0" applyAlignment="1">
      <alignment vertical="top"/>
    </xf>
    <xf numFmtId="0" fontId="0" fillId="0" borderId="0" xfId="0" applyFill="1" applyAlignment="1">
      <alignment vertical="top"/>
    </xf>
    <xf numFmtId="0" fontId="0" fillId="0" borderId="0" xfId="0" applyFill="1"/>
    <xf numFmtId="0" fontId="6" fillId="0" borderId="0" xfId="0" applyFont="1" applyFill="1"/>
    <xf numFmtId="0" fontId="0" fillId="0" borderId="0" xfId="0" applyFill="1" applyBorder="1"/>
    <xf numFmtId="0" fontId="15" fillId="0" borderId="0" xfId="0" applyFont="1" applyFill="1"/>
    <xf numFmtId="0" fontId="16" fillId="5" borderId="16" xfId="0" applyFont="1" applyFill="1" applyBorder="1"/>
    <xf numFmtId="0" fontId="16" fillId="5" borderId="30" xfId="0" applyFont="1" applyFill="1" applyBorder="1" applyAlignment="1">
      <alignment horizontal="center"/>
    </xf>
    <xf numFmtId="0" fontId="15" fillId="5" borderId="33" xfId="0" applyFont="1" applyFill="1" applyBorder="1"/>
    <xf numFmtId="0" fontId="15" fillId="5" borderId="16" xfId="0" applyFont="1" applyFill="1" applyBorder="1"/>
    <xf numFmtId="0" fontId="15" fillId="5" borderId="30" xfId="0" applyFont="1" applyFill="1" applyBorder="1"/>
    <xf numFmtId="0" fontId="18" fillId="6" borderId="34" xfId="0" applyFont="1" applyFill="1" applyBorder="1"/>
    <xf numFmtId="0" fontId="18" fillId="6" borderId="0" xfId="0" applyFont="1" applyFill="1" applyBorder="1"/>
    <xf numFmtId="0" fontId="16" fillId="6" borderId="23" xfId="0" applyFont="1" applyFill="1" applyBorder="1"/>
    <xf numFmtId="0" fontId="16" fillId="6" borderId="16" xfId="0" applyFont="1" applyFill="1" applyBorder="1"/>
    <xf numFmtId="0" fontId="16" fillId="6" borderId="16" xfId="0" applyFont="1" applyFill="1" applyBorder="1" applyAlignment="1">
      <alignment horizontal="right"/>
    </xf>
    <xf numFmtId="0" fontId="17" fillId="6" borderId="30" xfId="0" applyFont="1" applyFill="1" applyBorder="1" applyAlignment="1">
      <alignment horizontal="right"/>
    </xf>
    <xf numFmtId="5" fontId="19" fillId="0" borderId="0" xfId="2" applyNumberFormat="1" applyFont="1" applyFill="1" applyBorder="1"/>
    <xf numFmtId="0" fontId="15" fillId="6" borderId="0" xfId="0" applyFont="1" applyFill="1" applyBorder="1"/>
    <xf numFmtId="10" fontId="17" fillId="0" borderId="0" xfId="0" applyNumberFormat="1" applyFont="1" applyFill="1" applyBorder="1"/>
    <xf numFmtId="0" fontId="15" fillId="0" borderId="15" xfId="0" applyFont="1" applyFill="1" applyBorder="1"/>
    <xf numFmtId="0" fontId="15" fillId="6" borderId="43" xfId="0" applyFont="1" applyFill="1" applyBorder="1"/>
    <xf numFmtId="167" fontId="16" fillId="0" borderId="35" xfId="0" applyNumberFormat="1" applyFont="1" applyFill="1" applyBorder="1"/>
    <xf numFmtId="0" fontId="20" fillId="6" borderId="40" xfId="0" applyFont="1" applyFill="1" applyBorder="1"/>
    <xf numFmtId="0" fontId="18" fillId="6" borderId="41" xfId="0" applyFont="1" applyFill="1" applyBorder="1"/>
    <xf numFmtId="0" fontId="18" fillId="6" borderId="13" xfId="0" applyFont="1" applyFill="1" applyBorder="1"/>
    <xf numFmtId="167" fontId="20" fillId="0" borderId="12" xfId="0" applyNumberFormat="1" applyFont="1" applyFill="1" applyBorder="1"/>
    <xf numFmtId="2" fontId="16" fillId="0" borderId="0" xfId="0" applyNumberFormat="1" applyFont="1" applyFill="1" applyBorder="1"/>
    <xf numFmtId="0" fontId="17" fillId="0" borderId="15" xfId="0" applyFont="1" applyFill="1" applyBorder="1"/>
    <xf numFmtId="0" fontId="18" fillId="6" borderId="2" xfId="0" applyFont="1" applyFill="1" applyBorder="1"/>
    <xf numFmtId="0" fontId="15" fillId="6" borderId="13" xfId="0" applyFont="1" applyFill="1" applyBorder="1"/>
    <xf numFmtId="10" fontId="15" fillId="0" borderId="13" xfId="0" applyNumberFormat="1" applyFont="1" applyFill="1" applyBorder="1"/>
    <xf numFmtId="0" fontId="18" fillId="0" borderId="0" xfId="0" applyFont="1" applyFill="1" applyBorder="1"/>
    <xf numFmtId="0" fontId="15" fillId="0" borderId="0" xfId="0" applyFont="1" applyFill="1" applyBorder="1"/>
    <xf numFmtId="0" fontId="15" fillId="5" borderId="23" xfId="0" applyFont="1" applyFill="1" applyBorder="1"/>
    <xf numFmtId="0" fontId="31" fillId="6" borderId="3" xfId="0" applyFont="1" applyFill="1" applyBorder="1"/>
    <xf numFmtId="0" fontId="31" fillId="6" borderId="4" xfId="0" applyFont="1" applyFill="1" applyBorder="1"/>
    <xf numFmtId="0" fontId="17" fillId="7" borderId="23" xfId="0" applyFont="1" applyFill="1" applyBorder="1"/>
    <xf numFmtId="0" fontId="15" fillId="7" borderId="16" xfId="0" applyFont="1" applyFill="1" applyBorder="1"/>
    <xf numFmtId="0" fontId="15" fillId="7" borderId="30" xfId="0" applyFont="1" applyFill="1" applyBorder="1"/>
    <xf numFmtId="0" fontId="33" fillId="6" borderId="0" xfId="0" applyFont="1" applyFill="1" applyBorder="1" applyAlignment="1">
      <alignment vertical="center"/>
    </xf>
    <xf numFmtId="0" fontId="31" fillId="6" borderId="0" xfId="0" applyFont="1" applyFill="1" applyBorder="1"/>
    <xf numFmtId="0" fontId="31" fillId="6" borderId="15" xfId="0" applyFont="1" applyFill="1" applyBorder="1"/>
    <xf numFmtId="0" fontId="16" fillId="6" borderId="34" xfId="0" applyFont="1" applyFill="1" applyBorder="1"/>
    <xf numFmtId="0" fontId="15" fillId="7" borderId="23" xfId="0" applyFont="1" applyFill="1" applyBorder="1"/>
    <xf numFmtId="0" fontId="18" fillId="7" borderId="16" xfId="0" applyFont="1" applyFill="1" applyBorder="1"/>
    <xf numFmtId="0" fontId="21" fillId="7" borderId="16" xfId="0" applyFont="1" applyFill="1" applyBorder="1" applyAlignment="1">
      <alignment horizontal="right"/>
    </xf>
    <xf numFmtId="0" fontId="21" fillId="7" borderId="30" xfId="0" applyFont="1" applyFill="1" applyBorder="1" applyAlignment="1">
      <alignment horizontal="right"/>
    </xf>
    <xf numFmtId="0" fontId="22" fillId="6" borderId="34" xfId="0" applyFont="1" applyFill="1" applyBorder="1" applyAlignment="1">
      <alignment horizontal="left"/>
    </xf>
    <xf numFmtId="0" fontId="34" fillId="6" borderId="3" xfId="0" applyFont="1" applyFill="1" applyBorder="1"/>
    <xf numFmtId="0" fontId="34" fillId="6" borderId="4" xfId="0" applyFont="1" applyFill="1" applyBorder="1"/>
    <xf numFmtId="0" fontId="15" fillId="6" borderId="44" xfId="0" applyFont="1" applyFill="1" applyBorder="1"/>
    <xf numFmtId="0" fontId="15" fillId="6" borderId="10" xfId="0" applyFont="1" applyFill="1" applyBorder="1"/>
    <xf numFmtId="0" fontId="18" fillId="6" borderId="34" xfId="0" applyFont="1" applyFill="1" applyBorder="1" applyAlignment="1">
      <alignment horizontal="left" indent="1"/>
    </xf>
    <xf numFmtId="0" fontId="16" fillId="7" borderId="36" xfId="0" applyFont="1" applyFill="1" applyBorder="1"/>
    <xf numFmtId="0" fontId="20" fillId="7" borderId="33" xfId="0" applyFont="1" applyFill="1" applyBorder="1"/>
    <xf numFmtId="0" fontId="18" fillId="7" borderId="17" xfId="0" applyFont="1" applyFill="1" applyBorder="1"/>
    <xf numFmtId="0" fontId="18" fillId="0" borderId="30" xfId="0" applyFont="1" applyFill="1" applyBorder="1"/>
    <xf numFmtId="0" fontId="20" fillId="6" borderId="36" xfId="0" applyFont="1" applyFill="1" applyBorder="1"/>
    <xf numFmtId="0" fontId="18" fillId="6" borderId="33" xfId="0" applyFont="1" applyFill="1" applyBorder="1"/>
    <xf numFmtId="0" fontId="18" fillId="0" borderId="17" xfId="0" applyFont="1" applyFill="1" applyBorder="1"/>
    <xf numFmtId="0" fontId="18" fillId="6" borderId="36" xfId="0" applyFont="1" applyFill="1" applyBorder="1"/>
    <xf numFmtId="0" fontId="20" fillId="6" borderId="2" xfId="0" applyFont="1" applyFill="1" applyBorder="1"/>
    <xf numFmtId="0" fontId="15" fillId="0" borderId="12" xfId="0" applyFont="1" applyFill="1" applyBorder="1"/>
    <xf numFmtId="0" fontId="17" fillId="6" borderId="23" xfId="0" applyFont="1" applyFill="1" applyBorder="1"/>
    <xf numFmtId="0" fontId="15" fillId="6" borderId="16" xfId="0" applyFont="1" applyFill="1" applyBorder="1"/>
    <xf numFmtId="0" fontId="15" fillId="6" borderId="34" xfId="0" applyFont="1" applyFill="1" applyBorder="1"/>
    <xf numFmtId="0" fontId="15" fillId="6" borderId="2" xfId="0" applyFont="1" applyFill="1" applyBorder="1"/>
    <xf numFmtId="0" fontId="31" fillId="6" borderId="13" xfId="0" applyFont="1" applyFill="1" applyBorder="1"/>
    <xf numFmtId="0" fontId="31" fillId="6" borderId="12" xfId="0" applyFont="1" applyFill="1" applyBorder="1"/>
    <xf numFmtId="10" fontId="17" fillId="7" borderId="16" xfId="0" applyNumberFormat="1" applyFont="1" applyFill="1" applyBorder="1" applyAlignment="1">
      <alignment horizontal="right"/>
    </xf>
    <xf numFmtId="0" fontId="17" fillId="7" borderId="16" xfId="0" applyFont="1" applyFill="1" applyBorder="1" applyAlignment="1">
      <alignment horizontal="right"/>
    </xf>
    <xf numFmtId="0" fontId="17" fillId="7" borderId="30" xfId="0" applyFont="1" applyFill="1" applyBorder="1" applyAlignment="1">
      <alignment horizontal="right"/>
    </xf>
    <xf numFmtId="0" fontId="21" fillId="7" borderId="23" xfId="0" applyFont="1" applyFill="1" applyBorder="1"/>
    <xf numFmtId="0" fontId="18" fillId="7" borderId="30" xfId="0" applyFont="1" applyFill="1" applyBorder="1"/>
    <xf numFmtId="0" fontId="20" fillId="6" borderId="34" xfId="0" applyFont="1" applyFill="1" applyBorder="1" applyAlignment="1">
      <alignment horizontal="left" indent="1"/>
    </xf>
    <xf numFmtId="0" fontId="15" fillId="6" borderId="33" xfId="0" applyFont="1" applyFill="1" applyBorder="1"/>
    <xf numFmtId="0" fontId="15" fillId="6" borderId="41" xfId="0" applyFont="1" applyFill="1" applyBorder="1"/>
    <xf numFmtId="0" fontId="17" fillId="7" borderId="36" xfId="0" applyFont="1" applyFill="1" applyBorder="1"/>
    <xf numFmtId="0" fontId="15" fillId="7" borderId="33" xfId="0" applyFont="1" applyFill="1" applyBorder="1"/>
    <xf numFmtId="0" fontId="15" fillId="7" borderId="17" xfId="0" applyFont="1" applyFill="1" applyBorder="1"/>
    <xf numFmtId="0" fontId="16" fillId="6" borderId="36" xfId="0" applyFont="1" applyFill="1" applyBorder="1"/>
    <xf numFmtId="167" fontId="17" fillId="0" borderId="33" xfId="0" applyNumberFormat="1" applyFont="1" applyFill="1" applyBorder="1"/>
    <xf numFmtId="0" fontId="15" fillId="0" borderId="33" xfId="0" applyFont="1" applyFill="1" applyBorder="1"/>
    <xf numFmtId="0" fontId="20" fillId="6" borderId="34" xfId="0" applyFont="1" applyFill="1" applyBorder="1"/>
    <xf numFmtId="0" fontId="18" fillId="0" borderId="15" xfId="0" applyFont="1" applyFill="1" applyBorder="1"/>
    <xf numFmtId="0" fontId="17" fillId="0" borderId="0" xfId="0" applyFont="1" applyFill="1" applyBorder="1" applyAlignment="1">
      <alignment horizontal="right"/>
    </xf>
    <xf numFmtId="41" fontId="17" fillId="0" borderId="10" xfId="0" applyNumberFormat="1" applyFont="1" applyFill="1" applyBorder="1" applyAlignment="1">
      <alignment horizontal="right"/>
    </xf>
    <xf numFmtId="167" fontId="17" fillId="0" borderId="10" xfId="0" applyNumberFormat="1" applyFont="1" applyFill="1" applyBorder="1"/>
    <xf numFmtId="167" fontId="20" fillId="0" borderId="10" xfId="0" applyNumberFormat="1" applyFont="1" applyFill="1" applyBorder="1"/>
    <xf numFmtId="169" fontId="20" fillId="0" borderId="9" xfId="0" applyNumberFormat="1" applyFont="1" applyFill="1" applyBorder="1"/>
    <xf numFmtId="0" fontId="23" fillId="0" borderId="0" xfId="0" applyFont="1" applyFill="1" applyBorder="1"/>
    <xf numFmtId="167" fontId="18" fillId="0" borderId="0" xfId="0" applyNumberFormat="1" applyFont="1" applyFill="1" applyBorder="1"/>
    <xf numFmtId="166" fontId="17" fillId="0" borderId="0" xfId="0" applyNumberFormat="1" applyFont="1" applyFill="1" applyBorder="1"/>
    <xf numFmtId="0" fontId="19" fillId="0" borderId="0" xfId="0" applyFont="1" applyFill="1" applyBorder="1"/>
    <xf numFmtId="5" fontId="17" fillId="0" borderId="0" xfId="0" applyNumberFormat="1" applyFont="1" applyFill="1" applyBorder="1"/>
    <xf numFmtId="0" fontId="20" fillId="6" borderId="23" xfId="0" applyFont="1" applyFill="1" applyBorder="1"/>
    <xf numFmtId="0" fontId="20" fillId="6" borderId="16" xfId="0" applyFont="1" applyFill="1" applyBorder="1"/>
    <xf numFmtId="0" fontId="18" fillId="0" borderId="16" xfId="0" applyFont="1" applyFill="1" applyBorder="1"/>
    <xf numFmtId="42" fontId="20" fillId="0" borderId="16" xfId="0" applyNumberFormat="1" applyFont="1" applyFill="1" applyBorder="1"/>
    <xf numFmtId="10" fontId="20" fillId="0" borderId="17" xfId="0" applyNumberFormat="1" applyFont="1" applyFill="1" applyBorder="1"/>
    <xf numFmtId="0" fontId="18" fillId="6" borderId="36" xfId="0" applyFont="1" applyFill="1" applyBorder="1" applyAlignment="1">
      <alignment horizontal="left" indent="1"/>
    </xf>
    <xf numFmtId="0" fontId="18" fillId="6" borderId="33" xfId="0" applyFont="1" applyFill="1" applyBorder="1" applyAlignment="1">
      <alignment horizontal="left" indent="1"/>
    </xf>
    <xf numFmtId="5" fontId="18" fillId="0" borderId="17" xfId="0" applyNumberFormat="1" applyFont="1" applyFill="1" applyBorder="1"/>
    <xf numFmtId="0" fontId="18" fillId="6" borderId="0" xfId="0" applyFont="1" applyFill="1" applyBorder="1" applyAlignment="1">
      <alignment horizontal="left" indent="1"/>
    </xf>
    <xf numFmtId="5" fontId="18" fillId="0" borderId="15" xfId="0" applyNumberFormat="1" applyFont="1" applyFill="1" applyBorder="1"/>
    <xf numFmtId="10" fontId="20" fillId="0" borderId="30" xfId="0" applyNumberFormat="1" applyFont="1" applyFill="1" applyBorder="1"/>
    <xf numFmtId="0" fontId="21" fillId="6" borderId="23" xfId="0" applyFont="1" applyFill="1" applyBorder="1"/>
    <xf numFmtId="0" fontId="18" fillId="6" borderId="16" xfId="0" applyFont="1" applyFill="1" applyBorder="1"/>
    <xf numFmtId="5" fontId="16" fillId="0" borderId="15" xfId="0" applyNumberFormat="1" applyFont="1" applyFill="1" applyBorder="1"/>
    <xf numFmtId="10" fontId="17" fillId="0" borderId="15" xfId="0" applyNumberFormat="1" applyFont="1" applyFill="1" applyBorder="1"/>
    <xf numFmtId="5" fontId="17" fillId="0" borderId="30" xfId="0" applyNumberFormat="1" applyFont="1" applyFill="1" applyBorder="1"/>
    <xf numFmtId="0" fontId="16" fillId="6" borderId="2" xfId="0" applyFont="1" applyFill="1" applyBorder="1"/>
    <xf numFmtId="5" fontId="17" fillId="0" borderId="12" xfId="0" applyNumberFormat="1" applyFont="1" applyFill="1" applyBorder="1"/>
    <xf numFmtId="0" fontId="16" fillId="0" borderId="0" xfId="0" applyFont="1" applyFill="1" applyBorder="1"/>
    <xf numFmtId="0" fontId="20" fillId="6" borderId="5" xfId="0" applyFont="1" applyFill="1" applyBorder="1"/>
    <xf numFmtId="0" fontId="18" fillId="6" borderId="3" xfId="0" applyFont="1" applyFill="1" applyBorder="1"/>
    <xf numFmtId="0" fontId="18" fillId="0" borderId="3" xfId="0" applyFont="1" applyFill="1" applyBorder="1"/>
    <xf numFmtId="0" fontId="18" fillId="0" borderId="4" xfId="0" applyFont="1" applyFill="1" applyBorder="1"/>
    <xf numFmtId="0" fontId="18" fillId="6" borderId="40" xfId="0" applyFont="1" applyFill="1" applyBorder="1"/>
    <xf numFmtId="0" fontId="18" fillId="0" borderId="41" xfId="0" applyFont="1" applyFill="1" applyBorder="1"/>
    <xf numFmtId="5" fontId="17" fillId="0" borderId="42" xfId="0" applyNumberFormat="1" applyFont="1" applyFill="1" applyBorder="1"/>
    <xf numFmtId="0" fontId="15" fillId="6" borderId="3" xfId="0" applyFont="1" applyFill="1" applyBorder="1"/>
    <xf numFmtId="0" fontId="15" fillId="0" borderId="3" xfId="0" applyFont="1" applyFill="1" applyBorder="1"/>
    <xf numFmtId="0" fontId="15" fillId="0" borderId="4" xfId="0" applyFont="1" applyFill="1" applyBorder="1"/>
    <xf numFmtId="5" fontId="17" fillId="0" borderId="15" xfId="0" applyNumberFormat="1" applyFont="1" applyFill="1" applyBorder="1"/>
    <xf numFmtId="5" fontId="15" fillId="0" borderId="15" xfId="0" applyNumberFormat="1" applyFont="1" applyFill="1" applyBorder="1"/>
    <xf numFmtId="41" fontId="20" fillId="0" borderId="0" xfId="0" applyNumberFormat="1" applyFont="1" applyFill="1" applyBorder="1"/>
    <xf numFmtId="167" fontId="15" fillId="0" borderId="15" xfId="0" applyNumberFormat="1" applyFont="1" applyFill="1" applyBorder="1"/>
    <xf numFmtId="0" fontId="16" fillId="6" borderId="40" xfId="0" applyFont="1" applyFill="1" applyBorder="1"/>
    <xf numFmtId="0" fontId="16" fillId="6" borderId="41" xfId="0" applyFont="1" applyFill="1" applyBorder="1"/>
    <xf numFmtId="0" fontId="16" fillId="0" borderId="41" xfId="0" applyFont="1" applyFill="1" applyBorder="1"/>
    <xf numFmtId="5" fontId="20" fillId="0" borderId="42" xfId="0" applyNumberFormat="1" applyFont="1" applyFill="1" applyBorder="1"/>
    <xf numFmtId="0" fontId="16" fillId="6" borderId="0" xfId="0" applyFont="1" applyFill="1" applyBorder="1"/>
    <xf numFmtId="42" fontId="20" fillId="0" borderId="30" xfId="0" applyNumberFormat="1" applyFont="1" applyFill="1" applyBorder="1"/>
    <xf numFmtId="0" fontId="15" fillId="0" borderId="13" xfId="0" applyFont="1" applyFill="1" applyBorder="1"/>
    <xf numFmtId="0" fontId="15" fillId="0" borderId="46" xfId="0" applyFont="1" applyFill="1" applyBorder="1"/>
    <xf numFmtId="0" fontId="18" fillId="0" borderId="46" xfId="0" applyFont="1" applyFill="1" applyBorder="1"/>
    <xf numFmtId="5" fontId="18" fillId="0" borderId="46" xfId="0" applyNumberFormat="1" applyFont="1" applyFill="1" applyBorder="1"/>
    <xf numFmtId="5" fontId="24" fillId="0" borderId="46" xfId="0" applyNumberFormat="1" applyFont="1" applyFill="1" applyBorder="1"/>
    <xf numFmtId="0" fontId="15" fillId="0" borderId="47" xfId="0" applyFont="1" applyFill="1" applyBorder="1"/>
    <xf numFmtId="0" fontId="18" fillId="0" borderId="47" xfId="0" applyFont="1" applyFill="1" applyBorder="1"/>
    <xf numFmtId="42" fontId="15" fillId="0" borderId="37" xfId="0" applyNumberFormat="1" applyFont="1" applyFill="1" applyBorder="1"/>
    <xf numFmtId="167" fontId="15" fillId="0" borderId="37" xfId="0" applyNumberFormat="1" applyFont="1" applyFill="1" applyBorder="1"/>
    <xf numFmtId="0" fontId="15" fillId="0" borderId="31" xfId="0" applyFont="1" applyFill="1" applyBorder="1"/>
    <xf numFmtId="0" fontId="15" fillId="0" borderId="21" xfId="0" applyFont="1" applyFill="1" applyBorder="1"/>
    <xf numFmtId="10" fontId="16" fillId="0" borderId="30" xfId="0" applyNumberFormat="1" applyFont="1" applyFill="1" applyBorder="1"/>
    <xf numFmtId="0" fontId="18" fillId="0" borderId="21" xfId="0" applyFont="1" applyFill="1" applyBorder="1"/>
    <xf numFmtId="0" fontId="16" fillId="0" borderId="1" xfId="0" applyFont="1" applyFill="1" applyBorder="1"/>
    <xf numFmtId="6" fontId="18" fillId="0" borderId="0" xfId="0" applyNumberFormat="1" applyFont="1" applyFill="1" applyBorder="1"/>
    <xf numFmtId="0" fontId="16" fillId="0" borderId="46" xfId="0" applyFont="1" applyFill="1" applyBorder="1"/>
    <xf numFmtId="6" fontId="15" fillId="0" borderId="0" xfId="0" applyNumberFormat="1" applyFont="1" applyFill="1"/>
    <xf numFmtId="167" fontId="18" fillId="0" borderId="46" xfId="0" applyNumberFormat="1" applyFont="1" applyFill="1" applyBorder="1"/>
    <xf numFmtId="0" fontId="15" fillId="0" borderId="37" xfId="0" applyFont="1" applyFill="1" applyBorder="1"/>
    <xf numFmtId="5" fontId="18" fillId="0" borderId="37" xfId="0" applyNumberFormat="1" applyFont="1" applyFill="1" applyBorder="1"/>
    <xf numFmtId="167" fontId="15" fillId="0" borderId="46" xfId="0" applyNumberFormat="1" applyFont="1" applyFill="1" applyBorder="1"/>
    <xf numFmtId="167" fontId="18" fillId="0" borderId="45" xfId="0" applyNumberFormat="1" applyFont="1" applyFill="1" applyBorder="1"/>
    <xf numFmtId="0" fontId="16" fillId="0" borderId="21" xfId="0" applyFont="1" applyFill="1" applyBorder="1"/>
    <xf numFmtId="0" fontId="18" fillId="0" borderId="19" xfId="0" applyFont="1" applyFill="1" applyBorder="1"/>
    <xf numFmtId="164" fontId="15" fillId="0" borderId="0" xfId="0" applyNumberFormat="1" applyFont="1" applyFill="1"/>
    <xf numFmtId="0" fontId="17" fillId="0" borderId="0" xfId="0" applyFont="1" applyFill="1"/>
    <xf numFmtId="0" fontId="15" fillId="7" borderId="34" xfId="0" applyFont="1" applyFill="1" applyBorder="1"/>
    <xf numFmtId="0" fontId="15" fillId="7" borderId="0" xfId="0" applyFont="1" applyFill="1" applyBorder="1"/>
    <xf numFmtId="7" fontId="15" fillId="7" borderId="15" xfId="0" applyNumberFormat="1" applyFont="1" applyFill="1" applyBorder="1"/>
    <xf numFmtId="0" fontId="15" fillId="7" borderId="15" xfId="0" applyFont="1" applyFill="1" applyBorder="1"/>
    <xf numFmtId="0" fontId="15" fillId="7" borderId="3" xfId="0" applyFont="1" applyFill="1" applyBorder="1"/>
    <xf numFmtId="0" fontId="15" fillId="7" borderId="4" xfId="0" applyFont="1" applyFill="1" applyBorder="1"/>
    <xf numFmtId="0" fontId="15" fillId="7" borderId="40" xfId="0" applyFont="1" applyFill="1" applyBorder="1" applyAlignment="1">
      <alignment horizontal="right"/>
    </xf>
    <xf numFmtId="0" fontId="15" fillId="7" borderId="45" xfId="0" applyFont="1" applyFill="1" applyBorder="1" applyAlignment="1">
      <alignment horizontal="right"/>
    </xf>
    <xf numFmtId="0" fontId="15" fillId="7" borderId="41" xfId="0" applyFont="1" applyFill="1" applyBorder="1" applyAlignment="1">
      <alignment horizontal="right"/>
    </xf>
    <xf numFmtId="0" fontId="15" fillId="7" borderId="42" xfId="0" applyFont="1" applyFill="1" applyBorder="1" applyAlignment="1">
      <alignment horizontal="right"/>
    </xf>
    <xf numFmtId="0" fontId="15" fillId="7" borderId="19" xfId="0" applyFont="1" applyFill="1" applyBorder="1" applyAlignment="1">
      <alignment horizontal="right"/>
    </xf>
    <xf numFmtId="0" fontId="15" fillId="7" borderId="13" xfId="0" applyFont="1" applyFill="1" applyBorder="1" applyAlignment="1">
      <alignment horizontal="right"/>
    </xf>
    <xf numFmtId="0" fontId="15" fillId="7" borderId="15" xfId="0" applyFont="1" applyFill="1" applyBorder="1" applyAlignment="1">
      <alignment horizontal="right"/>
    </xf>
    <xf numFmtId="5" fontId="15" fillId="0" borderId="37" xfId="0" applyNumberFormat="1" applyFont="1" applyFill="1" applyBorder="1"/>
    <xf numFmtId="5" fontId="15" fillId="0" borderId="0" xfId="0" applyNumberFormat="1" applyFont="1" applyFill="1" applyBorder="1"/>
    <xf numFmtId="5" fontId="15" fillId="0" borderId="32" xfId="0" applyNumberFormat="1" applyFont="1" applyFill="1" applyBorder="1"/>
    <xf numFmtId="3" fontId="15" fillId="0" borderId="37" xfId="0" applyNumberFormat="1" applyFont="1" applyFill="1" applyBorder="1"/>
    <xf numFmtId="3" fontId="15" fillId="0" borderId="0" xfId="0" applyNumberFormat="1" applyFont="1" applyFill="1" applyBorder="1"/>
    <xf numFmtId="3" fontId="15" fillId="0" borderId="15" xfId="0" applyNumberFormat="1" applyFont="1" applyFill="1" applyBorder="1"/>
    <xf numFmtId="6" fontId="15" fillId="0" borderId="0" xfId="0" applyNumberFormat="1" applyFont="1" applyFill="1" applyBorder="1"/>
    <xf numFmtId="6" fontId="15" fillId="0" borderId="15" xfId="0" applyNumberFormat="1" applyFont="1" applyFill="1" applyBorder="1"/>
    <xf numFmtId="5" fontId="15" fillId="0" borderId="19" xfId="0" applyNumberFormat="1" applyFont="1" applyFill="1" applyBorder="1"/>
    <xf numFmtId="5" fontId="15" fillId="0" borderId="13" xfId="0" applyNumberFormat="1" applyFont="1" applyFill="1" applyBorder="1"/>
    <xf numFmtId="5" fontId="15" fillId="0" borderId="12" xfId="0" applyNumberFormat="1" applyFont="1" applyFill="1" applyBorder="1"/>
    <xf numFmtId="3" fontId="15" fillId="0" borderId="19" xfId="0" applyNumberFormat="1" applyFont="1" applyFill="1" applyBorder="1"/>
    <xf numFmtId="3" fontId="15" fillId="0" borderId="13" xfId="0" applyNumberFormat="1" applyFont="1" applyFill="1" applyBorder="1"/>
    <xf numFmtId="3" fontId="15" fillId="0" borderId="12" xfId="0" applyNumberFormat="1" applyFont="1" applyFill="1" applyBorder="1"/>
    <xf numFmtId="6" fontId="15" fillId="0" borderId="13" xfId="0" applyNumberFormat="1" applyFont="1" applyFill="1" applyBorder="1"/>
    <xf numFmtId="167" fontId="15" fillId="0" borderId="19" xfId="0" applyNumberFormat="1" applyFont="1" applyFill="1" applyBorder="1"/>
    <xf numFmtId="6" fontId="15" fillId="0" borderId="12" xfId="0" applyNumberFormat="1" applyFont="1" applyFill="1" applyBorder="1"/>
    <xf numFmtId="0" fontId="31" fillId="0" borderId="0" xfId="0" applyFont="1" applyFill="1" applyBorder="1"/>
    <xf numFmtId="5" fontId="18" fillId="0" borderId="0" xfId="0" applyNumberFormat="1" applyFont="1" applyFill="1" applyBorder="1"/>
    <xf numFmtId="0" fontId="16" fillId="7" borderId="23" xfId="0" applyFont="1" applyFill="1" applyBorder="1"/>
    <xf numFmtId="167" fontId="15" fillId="0" borderId="0" xfId="0" applyNumberFormat="1" applyFont="1" applyFill="1" applyBorder="1"/>
    <xf numFmtId="167" fontId="20" fillId="0" borderId="0" xfId="0" applyNumberFormat="1" applyFont="1" applyFill="1" applyBorder="1"/>
    <xf numFmtId="41" fontId="17" fillId="0" borderId="0" xfId="0" applyNumberFormat="1" applyFont="1" applyFill="1" applyBorder="1" applyAlignment="1">
      <alignment horizontal="right"/>
    </xf>
    <xf numFmtId="167" fontId="18" fillId="0" borderId="37" xfId="0" applyNumberFormat="1" applyFont="1" applyFill="1" applyBorder="1"/>
    <xf numFmtId="167" fontId="20" fillId="0" borderId="49" xfId="0" applyNumberFormat="1" applyFont="1" applyFill="1" applyBorder="1"/>
    <xf numFmtId="167" fontId="15" fillId="0" borderId="24" xfId="0" applyNumberFormat="1" applyFont="1" applyFill="1" applyBorder="1"/>
    <xf numFmtId="41" fontId="20" fillId="0" borderId="37" xfId="0" applyNumberFormat="1" applyFont="1" applyFill="1" applyBorder="1"/>
    <xf numFmtId="10" fontId="18" fillId="0" borderId="37" xfId="0" applyNumberFormat="1" applyFont="1" applyFill="1" applyBorder="1"/>
    <xf numFmtId="10" fontId="18" fillId="0" borderId="46" xfId="0" applyNumberFormat="1" applyFont="1" applyFill="1" applyBorder="1"/>
    <xf numFmtId="10" fontId="18" fillId="0" borderId="0" xfId="0" applyNumberFormat="1" applyFont="1" applyFill="1" applyBorder="1"/>
    <xf numFmtId="10" fontId="17" fillId="0" borderId="37" xfId="0" applyNumberFormat="1" applyFont="1" applyFill="1" applyBorder="1"/>
    <xf numFmtId="0" fontId="18" fillId="0" borderId="37" xfId="0" applyFont="1" applyFill="1" applyBorder="1"/>
    <xf numFmtId="5" fontId="15" fillId="0" borderId="24" xfId="0" applyNumberFormat="1" applyFont="1" applyFill="1" applyBorder="1"/>
    <xf numFmtId="42" fontId="15" fillId="0" borderId="0" xfId="0" applyNumberFormat="1" applyFont="1" applyFill="1" applyBorder="1"/>
    <xf numFmtId="0" fontId="15" fillId="0" borderId="45" xfId="0" applyFont="1" applyFill="1" applyBorder="1"/>
    <xf numFmtId="0" fontId="15" fillId="0" borderId="41" xfId="0" applyFont="1" applyFill="1" applyBorder="1"/>
    <xf numFmtId="10" fontId="16" fillId="0" borderId="42" xfId="0" applyNumberFormat="1" applyFont="1" applyFill="1" applyBorder="1"/>
    <xf numFmtId="167" fontId="18" fillId="0" borderId="15" xfId="0" applyNumberFormat="1" applyFont="1" applyFill="1" applyBorder="1"/>
    <xf numFmtId="0" fontId="15" fillId="7" borderId="36" xfId="0" applyFont="1" applyFill="1" applyBorder="1"/>
    <xf numFmtId="0" fontId="15" fillId="0" borderId="44" xfId="0" applyFont="1" applyFill="1" applyBorder="1" applyAlignment="1">
      <alignment horizontal="right"/>
    </xf>
    <xf numFmtId="0" fontId="15" fillId="0" borderId="54" xfId="0" applyFont="1" applyFill="1" applyBorder="1" applyAlignment="1">
      <alignment horizontal="right"/>
    </xf>
    <xf numFmtId="0" fontId="15" fillId="0" borderId="10" xfId="0" applyFont="1" applyFill="1" applyBorder="1" applyAlignment="1">
      <alignment horizontal="right"/>
    </xf>
    <xf numFmtId="0" fontId="15" fillId="0" borderId="9" xfId="0" applyFont="1" applyFill="1" applyBorder="1" applyAlignment="1">
      <alignment horizontal="right"/>
    </xf>
    <xf numFmtId="0" fontId="20" fillId="0" borderId="0" xfId="0" applyFont="1" applyFill="1" applyBorder="1"/>
    <xf numFmtId="0" fontId="15" fillId="6" borderId="0" xfId="0" applyFont="1" applyFill="1"/>
    <xf numFmtId="10" fontId="16" fillId="0" borderId="45" xfId="0" applyNumberFormat="1" applyFont="1" applyFill="1" applyBorder="1"/>
    <xf numFmtId="5" fontId="22" fillId="0" borderId="37" xfId="0" applyNumberFormat="1" applyFont="1" applyFill="1" applyBorder="1"/>
    <xf numFmtId="5" fontId="20" fillId="0" borderId="45" xfId="0" applyNumberFormat="1" applyFont="1" applyFill="1" applyBorder="1"/>
    <xf numFmtId="0" fontId="37" fillId="0" borderId="38" xfId="0" applyFont="1" applyFill="1" applyBorder="1"/>
    <xf numFmtId="0" fontId="35" fillId="0" borderId="0" xfId="0" applyFont="1" applyFill="1"/>
    <xf numFmtId="0" fontId="36" fillId="0" borderId="0" xfId="0" applyFont="1" applyFill="1"/>
    <xf numFmtId="167" fontId="20" fillId="0" borderId="41" xfId="0" applyNumberFormat="1" applyFont="1" applyFill="1" applyBorder="1"/>
    <xf numFmtId="167" fontId="20" fillId="0" borderId="45" xfId="0" applyNumberFormat="1" applyFont="1" applyFill="1" applyBorder="1"/>
    <xf numFmtId="0" fontId="11" fillId="2" borderId="0" xfId="12" applyFont="1" applyFill="1" applyAlignment="1">
      <alignment vertical="top"/>
    </xf>
    <xf numFmtId="0" fontId="12" fillId="2" borderId="0" xfId="12" applyFont="1" applyFill="1" applyAlignment="1">
      <alignment vertical="top"/>
    </xf>
    <xf numFmtId="0" fontId="11" fillId="2" borderId="0" xfId="12" applyFont="1" applyFill="1" applyAlignment="1">
      <alignment horizontal="left" vertical="top"/>
    </xf>
    <xf numFmtId="0" fontId="12" fillId="2" borderId="0" xfId="12" applyFont="1" applyFill="1" applyAlignment="1">
      <alignment horizontal="left" vertical="top"/>
    </xf>
    <xf numFmtId="0" fontId="12" fillId="0" borderId="0" xfId="12" applyFont="1" applyAlignment="1">
      <alignment horizontal="left" vertical="top"/>
    </xf>
    <xf numFmtId="0" fontId="13" fillId="2" borderId="0" xfId="12" applyFont="1" applyFill="1" applyAlignment="1">
      <alignment horizontal="left" vertical="top" indent="1"/>
    </xf>
    <xf numFmtId="0" fontId="38" fillId="3" borderId="0" xfId="12" applyFont="1" applyFill="1" applyAlignment="1">
      <alignment vertical="top"/>
    </xf>
    <xf numFmtId="0" fontId="38" fillId="8" borderId="0" xfId="12" applyFont="1" applyFill="1" applyAlignment="1">
      <alignment vertical="top"/>
    </xf>
    <xf numFmtId="0" fontId="13" fillId="2" borderId="0" xfId="12" applyFont="1" applyFill="1" applyAlignment="1">
      <alignment horizontal="left" vertical="top"/>
    </xf>
    <xf numFmtId="167" fontId="20" fillId="7" borderId="16" xfId="0" applyNumberFormat="1" applyFont="1" applyFill="1" applyBorder="1" applyAlignment="1">
      <alignment horizontal="right"/>
    </xf>
    <xf numFmtId="167" fontId="19" fillId="0" borderId="0" xfId="0" applyNumberFormat="1" applyFont="1" applyFill="1" applyBorder="1"/>
    <xf numFmtId="5" fontId="15" fillId="0" borderId="25" xfId="0" applyNumberFormat="1" applyFont="1" applyFill="1" applyBorder="1"/>
    <xf numFmtId="167" fontId="20" fillId="0" borderId="42" xfId="0" applyNumberFormat="1" applyFont="1" applyFill="1" applyBorder="1"/>
    <xf numFmtId="168" fontId="19" fillId="0" borderId="30" xfId="0" applyNumberFormat="1" applyFont="1" applyFill="1" applyBorder="1"/>
    <xf numFmtId="10" fontId="19" fillId="0" borderId="0" xfId="0" applyNumberFormat="1" applyFont="1" applyFill="1" applyBorder="1"/>
    <xf numFmtId="10" fontId="19" fillId="0" borderId="12" xfId="0" applyNumberFormat="1" applyFont="1" applyFill="1" applyBorder="1"/>
    <xf numFmtId="9" fontId="19" fillId="0" borderId="17" xfId="0" applyNumberFormat="1" applyFont="1" applyFill="1" applyBorder="1"/>
    <xf numFmtId="10" fontId="19" fillId="0" borderId="15" xfId="0" applyNumberFormat="1" applyFont="1" applyFill="1" applyBorder="1"/>
    <xf numFmtId="0" fontId="19" fillId="0" borderId="12" xfId="0" applyFont="1" applyFill="1" applyBorder="1"/>
    <xf numFmtId="167" fontId="19" fillId="0" borderId="15" xfId="0" applyNumberFormat="1" applyFont="1" applyFill="1" applyBorder="1"/>
    <xf numFmtId="10" fontId="19" fillId="0" borderId="13" xfId="0" applyNumberFormat="1" applyFont="1" applyFill="1" applyBorder="1"/>
    <xf numFmtId="167" fontId="19" fillId="0" borderId="13" xfId="0" applyNumberFormat="1" applyFont="1" applyFill="1" applyBorder="1"/>
    <xf numFmtId="167" fontId="19" fillId="0" borderId="12" xfId="0" applyNumberFormat="1" applyFont="1" applyFill="1" applyBorder="1"/>
    <xf numFmtId="166" fontId="19" fillId="0" borderId="12" xfId="0" applyNumberFormat="1" applyFont="1" applyFill="1" applyBorder="1"/>
    <xf numFmtId="10" fontId="19" fillId="0" borderId="42" xfId="0" applyNumberFormat="1" applyFont="1" applyFill="1" applyBorder="1"/>
    <xf numFmtId="0" fontId="15" fillId="6" borderId="104" xfId="0" applyFont="1" applyFill="1" applyBorder="1"/>
    <xf numFmtId="167" fontId="15" fillId="0" borderId="32" xfId="0" applyNumberFormat="1" applyFont="1" applyFill="1" applyBorder="1"/>
    <xf numFmtId="5" fontId="15" fillId="0" borderId="0" xfId="0" applyNumberFormat="1" applyFont="1" applyFill="1" applyBorder="1" applyAlignment="1"/>
    <xf numFmtId="5" fontId="15" fillId="0" borderId="0" xfId="0" applyNumberFormat="1" applyFont="1" applyFill="1"/>
    <xf numFmtId="9" fontId="15" fillId="0" borderId="0" xfId="0" applyNumberFormat="1" applyFont="1" applyFill="1"/>
    <xf numFmtId="0" fontId="17" fillId="0" borderId="0" xfId="0" applyFont="1" applyFill="1" applyAlignment="1">
      <alignment vertical="center"/>
    </xf>
    <xf numFmtId="5" fontId="19" fillId="0" borderId="34" xfId="14" applyNumberFormat="1" applyFont="1" applyFill="1" applyBorder="1"/>
    <xf numFmtId="0" fontId="17" fillId="6" borderId="0" xfId="0" applyFont="1" applyFill="1" applyBorder="1" applyAlignment="1">
      <alignment vertical="center"/>
    </xf>
    <xf numFmtId="0" fontId="17" fillId="6" borderId="0" xfId="0" applyFont="1" applyFill="1" applyBorder="1"/>
    <xf numFmtId="0" fontId="15" fillId="6" borderId="4" xfId="0" applyFont="1" applyFill="1" applyBorder="1"/>
    <xf numFmtId="5" fontId="19" fillId="0" borderId="2" xfId="14" applyNumberFormat="1" applyFont="1" applyFill="1" applyBorder="1"/>
    <xf numFmtId="0" fontId="17" fillId="6" borderId="13" xfId="0" applyFont="1" applyFill="1" applyBorder="1" applyAlignment="1">
      <alignment vertical="center"/>
    </xf>
    <xf numFmtId="0" fontId="15" fillId="0" borderId="39" xfId="0" applyFont="1" applyFill="1" applyBorder="1"/>
    <xf numFmtId="0" fontId="20" fillId="5" borderId="36" xfId="0" applyFont="1" applyFill="1" applyBorder="1"/>
    <xf numFmtId="10" fontId="15" fillId="0" borderId="0" xfId="7" applyNumberFormat="1" applyFont="1" applyFill="1"/>
    <xf numFmtId="5" fontId="15" fillId="0" borderId="5" xfId="0" applyNumberFormat="1" applyFont="1" applyFill="1" applyBorder="1"/>
    <xf numFmtId="0" fontId="17" fillId="6" borderId="3" xfId="0" applyFont="1" applyFill="1" applyBorder="1"/>
    <xf numFmtId="0" fontId="15" fillId="6" borderId="15" xfId="0" applyFont="1" applyFill="1" applyBorder="1"/>
    <xf numFmtId="0" fontId="15" fillId="0" borderId="16" xfId="0" applyFont="1" applyFill="1" applyBorder="1"/>
    <xf numFmtId="0" fontId="15" fillId="6" borderId="12" xfId="0" applyFont="1" applyFill="1" applyBorder="1"/>
    <xf numFmtId="10" fontId="26" fillId="0" borderId="0" xfId="0" applyNumberFormat="1" applyFont="1" applyFill="1" applyBorder="1"/>
    <xf numFmtId="10" fontId="26" fillId="0" borderId="41" xfId="0" applyNumberFormat="1" applyFont="1" applyFill="1" applyBorder="1"/>
    <xf numFmtId="10" fontId="15" fillId="0" borderId="0" xfId="0" applyNumberFormat="1" applyFont="1" applyFill="1" applyBorder="1"/>
    <xf numFmtId="4" fontId="18" fillId="0" borderId="37" xfId="0" applyNumberFormat="1" applyFont="1" applyFill="1" applyBorder="1"/>
    <xf numFmtId="10" fontId="18" fillId="0" borderId="15" xfId="0" applyNumberFormat="1" applyFont="1" applyFill="1" applyBorder="1"/>
    <xf numFmtId="167" fontId="18" fillId="0" borderId="52" xfId="0" applyNumberFormat="1" applyFont="1" applyFill="1" applyBorder="1"/>
    <xf numFmtId="167" fontId="18" fillId="0" borderId="18" xfId="0" applyNumberFormat="1" applyFont="1" applyFill="1" applyBorder="1"/>
    <xf numFmtId="167" fontId="20" fillId="0" borderId="53" xfId="0" applyNumberFormat="1" applyFont="1" applyFill="1" applyBorder="1"/>
    <xf numFmtId="10" fontId="16" fillId="0" borderId="41" xfId="0" applyNumberFormat="1" applyFont="1" applyFill="1" applyBorder="1"/>
    <xf numFmtId="167" fontId="18" fillId="0" borderId="32" xfId="0" applyNumberFormat="1" applyFont="1" applyFill="1" applyBorder="1"/>
    <xf numFmtId="5" fontId="22" fillId="0" borderId="0" xfId="0" applyNumberFormat="1" applyFont="1" applyFill="1" applyBorder="1"/>
    <xf numFmtId="5" fontId="20" fillId="0" borderId="41" xfId="0" applyNumberFormat="1" applyFont="1" applyFill="1" applyBorder="1"/>
    <xf numFmtId="0" fontId="15" fillId="0" borderId="17" xfId="0" applyFont="1" applyFill="1" applyBorder="1"/>
    <xf numFmtId="0" fontId="15" fillId="0" borderId="19" xfId="0" applyFont="1" applyFill="1" applyBorder="1"/>
    <xf numFmtId="10" fontId="16" fillId="0" borderId="16" xfId="0" applyNumberFormat="1" applyFont="1" applyFill="1" applyBorder="1"/>
    <xf numFmtId="10" fontId="16" fillId="0" borderId="21" xfId="0" applyNumberFormat="1" applyFont="1" applyFill="1" applyBorder="1"/>
    <xf numFmtId="10" fontId="16" fillId="0" borderId="27" xfId="0" applyNumberFormat="1" applyFont="1" applyFill="1" applyBorder="1"/>
    <xf numFmtId="9" fontId="15" fillId="0" borderId="21" xfId="0" applyNumberFormat="1" applyFont="1" applyFill="1" applyBorder="1"/>
    <xf numFmtId="9" fontId="15" fillId="0" borderId="16" xfId="0" applyNumberFormat="1" applyFont="1" applyFill="1" applyBorder="1"/>
    <xf numFmtId="6" fontId="15" fillId="0" borderId="21" xfId="0" applyNumberFormat="1" applyFont="1" applyFill="1" applyBorder="1"/>
    <xf numFmtId="6" fontId="15" fillId="0" borderId="16" xfId="0" applyNumberFormat="1" applyFont="1" applyFill="1" applyBorder="1"/>
    <xf numFmtId="9" fontId="15" fillId="0" borderId="19" xfId="0" applyNumberFormat="1" applyFont="1" applyFill="1" applyBorder="1"/>
    <xf numFmtId="9" fontId="15" fillId="0" borderId="13" xfId="0" applyNumberFormat="1" applyFont="1" applyFill="1" applyBorder="1"/>
    <xf numFmtId="8" fontId="15" fillId="0" borderId="19" xfId="0" applyNumberFormat="1" applyFont="1" applyFill="1" applyBorder="1"/>
    <xf numFmtId="6" fontId="15" fillId="0" borderId="19" xfId="0" applyNumberFormat="1" applyFont="1" applyFill="1" applyBorder="1"/>
    <xf numFmtId="8" fontId="15" fillId="0" borderId="21" xfId="0" applyNumberFormat="1" applyFont="1" applyFill="1" applyBorder="1"/>
    <xf numFmtId="0" fontId="18" fillId="4" borderId="26" xfId="0" applyFont="1" applyFill="1" applyBorder="1"/>
    <xf numFmtId="0" fontId="19" fillId="0" borderId="30" xfId="0" applyFont="1" applyFill="1" applyBorder="1"/>
    <xf numFmtId="167" fontId="15" fillId="0" borderId="13" xfId="0" applyNumberFormat="1" applyFont="1" applyFill="1" applyBorder="1"/>
    <xf numFmtId="0" fontId="15" fillId="6" borderId="105" xfId="0" applyFont="1" applyFill="1" applyBorder="1"/>
    <xf numFmtId="167" fontId="15" fillId="0" borderId="11" xfId="0" applyNumberFormat="1" applyFont="1" applyFill="1" applyBorder="1"/>
    <xf numFmtId="3" fontId="15" fillId="0" borderId="20" xfId="0" applyNumberFormat="1" applyFont="1" applyFill="1" applyBorder="1"/>
    <xf numFmtId="10" fontId="19" fillId="0" borderId="33" xfId="0" applyNumberFormat="1" applyFont="1" applyFill="1" applyBorder="1"/>
    <xf numFmtId="10" fontId="17" fillId="0" borderId="33" xfId="0" applyNumberFormat="1" applyFont="1" applyFill="1" applyBorder="1"/>
    <xf numFmtId="10" fontId="15" fillId="0" borderId="0" xfId="7" applyNumberFormat="1" applyFont="1" applyFill="1" applyBorder="1"/>
    <xf numFmtId="6" fontId="15" fillId="0" borderId="15" xfId="7" applyNumberFormat="1" applyFont="1" applyFill="1" applyBorder="1"/>
    <xf numFmtId="10" fontId="15" fillId="0" borderId="13" xfId="7" applyNumberFormat="1" applyFont="1" applyFill="1" applyBorder="1"/>
    <xf numFmtId="6" fontId="15" fillId="0" borderId="12" xfId="7" applyNumberFormat="1" applyFont="1" applyFill="1" applyBorder="1"/>
    <xf numFmtId="167" fontId="15" fillId="0" borderId="15" xfId="0" applyNumberFormat="1" applyFont="1" applyFill="1" applyBorder="1" applyAlignment="1">
      <alignment horizontal="right"/>
    </xf>
    <xf numFmtId="167" fontId="22" fillId="0" borderId="15" xfId="0" applyNumberFormat="1" applyFont="1" applyFill="1" applyBorder="1"/>
    <xf numFmtId="0" fontId="39" fillId="0" borderId="0" xfId="0" applyFont="1"/>
    <xf numFmtId="0" fontId="0" fillId="0" borderId="0" xfId="0" applyAlignment="1">
      <alignment horizontal="left" vertical="center" indent="1"/>
    </xf>
    <xf numFmtId="0" fontId="42" fillId="0" borderId="0" xfId="0" applyFont="1" applyAlignment="1">
      <alignment horizontal="left" vertical="center" indent="1"/>
    </xf>
    <xf numFmtId="0" fontId="10" fillId="0" borderId="0" xfId="0" applyFont="1"/>
    <xf numFmtId="167" fontId="19" fillId="0" borderId="34" xfId="0" applyNumberFormat="1" applyFont="1" applyFill="1" applyBorder="1"/>
    <xf numFmtId="169" fontId="15" fillId="0" borderId="15" xfId="0" applyNumberFormat="1" applyFont="1" applyFill="1" applyBorder="1"/>
    <xf numFmtId="167" fontId="19" fillId="0" borderId="2" xfId="0" applyNumberFormat="1" applyFont="1" applyFill="1" applyBorder="1"/>
    <xf numFmtId="0" fontId="19" fillId="0" borderId="13" xfId="0" applyFont="1" applyFill="1" applyBorder="1"/>
    <xf numFmtId="169" fontId="15" fillId="0" borderId="12" xfId="0" applyNumberFormat="1" applyFont="1" applyFill="1" applyBorder="1"/>
    <xf numFmtId="0" fontId="18" fillId="6" borderId="5" xfId="0" applyFont="1" applyFill="1" applyBorder="1"/>
    <xf numFmtId="0" fontId="18" fillId="6" borderId="4" xfId="0" applyFont="1" applyFill="1" applyBorder="1"/>
    <xf numFmtId="167" fontId="19" fillId="0" borderId="56" xfId="0" applyNumberFormat="1" applyFont="1" applyFill="1" applyBorder="1"/>
    <xf numFmtId="167" fontId="19" fillId="0" borderId="29" xfId="0" applyNumberFormat="1" applyFont="1" applyFill="1" applyBorder="1"/>
    <xf numFmtId="0" fontId="18" fillId="6" borderId="92" xfId="0" applyFont="1" applyFill="1" applyBorder="1"/>
    <xf numFmtId="0" fontId="17" fillId="7" borderId="28" xfId="0" applyFont="1" applyFill="1" applyBorder="1" applyAlignment="1">
      <alignment horizontal="right"/>
    </xf>
    <xf numFmtId="0" fontId="15" fillId="6" borderId="34" xfId="0" applyFont="1" applyFill="1" applyBorder="1" applyAlignment="1">
      <alignment horizontal="left" indent="1"/>
    </xf>
    <xf numFmtId="0" fontId="15" fillId="6" borderId="2" xfId="0" applyFont="1" applyFill="1" applyBorder="1" applyAlignment="1">
      <alignment horizontal="left" indent="1"/>
    </xf>
    <xf numFmtId="0" fontId="15" fillId="6" borderId="36" xfId="0" applyFont="1" applyFill="1" applyBorder="1"/>
    <xf numFmtId="0" fontId="19" fillId="0" borderId="0" xfId="0" applyFont="1" applyFill="1"/>
    <xf numFmtId="5" fontId="19" fillId="0" borderId="0" xfId="0" applyNumberFormat="1" applyFont="1" applyFill="1" applyBorder="1"/>
    <xf numFmtId="9" fontId="15" fillId="0" borderId="15" xfId="0" applyNumberFormat="1" applyFont="1" applyFill="1" applyBorder="1"/>
    <xf numFmtId="0" fontId="19" fillId="0" borderId="37" xfId="0" applyFont="1" applyFill="1" applyBorder="1"/>
    <xf numFmtId="0" fontId="16" fillId="7" borderId="16" xfId="0" applyFont="1" applyFill="1" applyBorder="1" applyAlignment="1">
      <alignment horizontal="right"/>
    </xf>
    <xf numFmtId="0" fontId="17" fillId="0" borderId="30" xfId="0" applyFont="1" applyFill="1" applyBorder="1" applyAlignment="1">
      <alignment horizontal="right"/>
    </xf>
    <xf numFmtId="10" fontId="15" fillId="0" borderId="46" xfId="0" applyNumberFormat="1" applyFont="1" applyFill="1" applyBorder="1"/>
    <xf numFmtId="166" fontId="15" fillId="0" borderId="46" xfId="0" applyNumberFormat="1" applyFont="1" applyFill="1" applyBorder="1"/>
    <xf numFmtId="0" fontId="17" fillId="5" borderId="23" xfId="0" applyFont="1" applyFill="1" applyBorder="1"/>
    <xf numFmtId="0" fontId="15" fillId="6" borderId="0" xfId="0" applyFont="1" applyFill="1" applyBorder="1" applyAlignment="1">
      <alignment horizontal="right"/>
    </xf>
    <xf numFmtId="0" fontId="15" fillId="6" borderId="16" xfId="0" applyFont="1" applyFill="1" applyBorder="1" applyAlignment="1">
      <alignment horizontal="right"/>
    </xf>
    <xf numFmtId="10" fontId="15" fillId="0" borderId="31" xfId="0" applyNumberFormat="1" applyFont="1" applyFill="1" applyBorder="1"/>
    <xf numFmtId="10" fontId="18" fillId="0" borderId="31" xfId="0" applyNumberFormat="1" applyFont="1" applyFill="1" applyBorder="1"/>
    <xf numFmtId="0" fontId="18" fillId="6" borderId="41" xfId="0" applyFont="1" applyFill="1" applyBorder="1" applyAlignment="1">
      <alignment horizontal="right"/>
    </xf>
    <xf numFmtId="10" fontId="18" fillId="0" borderId="41" xfId="0" applyNumberFormat="1" applyFont="1" applyFill="1" applyBorder="1"/>
    <xf numFmtId="10" fontId="15" fillId="0" borderId="11" xfId="0" applyNumberFormat="1" applyFont="1" applyFill="1" applyBorder="1"/>
    <xf numFmtId="167" fontId="22" fillId="0" borderId="37" xfId="0" applyNumberFormat="1" applyFont="1" applyFill="1" applyBorder="1"/>
    <xf numFmtId="167" fontId="22" fillId="0" borderId="0" xfId="0" applyNumberFormat="1" applyFont="1" applyFill="1" applyBorder="1"/>
    <xf numFmtId="167" fontId="22" fillId="0" borderId="18" xfId="0" applyNumberFormat="1" applyFont="1" applyFill="1" applyBorder="1"/>
    <xf numFmtId="0" fontId="20" fillId="7" borderId="21" xfId="0" applyFont="1" applyFill="1" applyBorder="1" applyAlignment="1">
      <alignment horizontal="right"/>
    </xf>
    <xf numFmtId="0" fontId="20" fillId="7" borderId="16" xfId="0" applyFont="1" applyFill="1" applyBorder="1" applyAlignment="1">
      <alignment horizontal="right"/>
    </xf>
    <xf numFmtId="0" fontId="16" fillId="7" borderId="27" xfId="0" applyFont="1" applyFill="1" applyBorder="1" applyAlignment="1">
      <alignment horizontal="right"/>
    </xf>
    <xf numFmtId="0" fontId="16" fillId="7" borderId="21" xfId="0" applyFont="1" applyFill="1" applyBorder="1" applyAlignment="1">
      <alignment horizontal="right"/>
    </xf>
    <xf numFmtId="0" fontId="16" fillId="7" borderId="30" xfId="0" applyFont="1" applyFill="1" applyBorder="1" applyAlignment="1">
      <alignment horizontal="right"/>
    </xf>
    <xf numFmtId="0" fontId="20" fillId="7" borderId="31" xfId="0" applyFont="1" applyFill="1" applyBorder="1" applyAlignment="1">
      <alignment horizontal="right"/>
    </xf>
    <xf numFmtId="0" fontId="20" fillId="7" borderId="50" xfId="0" applyFont="1" applyFill="1" applyBorder="1" applyAlignment="1">
      <alignment horizontal="right"/>
    </xf>
    <xf numFmtId="0" fontId="16" fillId="5" borderId="30" xfId="0" applyFont="1" applyFill="1" applyBorder="1" applyAlignment="1">
      <alignment horizontal="right"/>
    </xf>
    <xf numFmtId="167" fontId="19" fillId="0" borderId="33" xfId="0" applyNumberFormat="1" applyFont="1" applyFill="1" applyBorder="1"/>
    <xf numFmtId="167" fontId="19" fillId="0" borderId="17" xfId="0" applyNumberFormat="1" applyFont="1" applyFill="1" applyBorder="1"/>
    <xf numFmtId="9" fontId="17" fillId="0" borderId="0" xfId="0" applyNumberFormat="1" applyFont="1" applyFill="1" applyBorder="1"/>
    <xf numFmtId="171" fontId="15" fillId="0" borderId="15" xfId="1" applyNumberFormat="1" applyFont="1" applyFill="1" applyBorder="1"/>
    <xf numFmtId="171" fontId="17" fillId="0" borderId="0" xfId="1" applyNumberFormat="1" applyFont="1" applyFill="1" applyBorder="1" applyAlignment="1">
      <alignment horizontal="right"/>
    </xf>
    <xf numFmtId="169" fontId="17" fillId="0" borderId="0" xfId="0" applyNumberFormat="1" applyFont="1" applyFill="1" applyBorder="1"/>
    <xf numFmtId="5" fontId="19" fillId="0" borderId="0" xfId="2" applyNumberFormat="1" applyFont="1" applyFill="1" applyBorder="1"/>
    <xf numFmtId="6" fontId="15" fillId="0" borderId="0" xfId="7" applyNumberFormat="1" applyFont="1" applyFill="1" applyBorder="1"/>
    <xf numFmtId="0" fontId="15" fillId="6" borderId="0" xfId="12" applyFont="1" applyFill="1" applyBorder="1"/>
    <xf numFmtId="0" fontId="18" fillId="6" borderId="13" xfId="12" applyFont="1" applyFill="1" applyBorder="1"/>
    <xf numFmtId="0" fontId="18" fillId="6" borderId="2" xfId="12" applyFont="1" applyFill="1" applyBorder="1"/>
    <xf numFmtId="0" fontId="15" fillId="0" borderId="0" xfId="12" applyFont="1" applyFill="1" applyBorder="1"/>
    <xf numFmtId="0" fontId="15" fillId="6" borderId="34" xfId="12" applyFont="1" applyFill="1" applyBorder="1"/>
    <xf numFmtId="0" fontId="23" fillId="0" borderId="0" xfId="12" applyFont="1" applyFill="1" applyBorder="1"/>
    <xf numFmtId="41" fontId="15" fillId="7" borderId="16" xfId="12" applyNumberFormat="1" applyFont="1" applyFill="1" applyBorder="1"/>
    <xf numFmtId="165" fontId="19" fillId="0" borderId="12" xfId="17" applyNumberFormat="1" applyFont="1" applyFill="1" applyBorder="1" applyAlignment="1" applyProtection="1">
      <alignment horizontal="right" vertical="center"/>
      <protection locked="0"/>
    </xf>
    <xf numFmtId="41" fontId="17" fillId="7" borderId="23" xfId="12" applyNumberFormat="1" applyFont="1" applyFill="1" applyBorder="1"/>
    <xf numFmtId="41" fontId="15" fillId="7" borderId="30" xfId="12" applyNumberFormat="1" applyFont="1" applyFill="1" applyBorder="1"/>
    <xf numFmtId="165" fontId="19" fillId="0" borderId="15" xfId="17" applyNumberFormat="1" applyFont="1" applyFill="1" applyBorder="1" applyAlignment="1" applyProtection="1">
      <alignment horizontal="right" vertical="center"/>
      <protection locked="0"/>
    </xf>
    <xf numFmtId="165" fontId="19" fillId="0" borderId="17" xfId="17" applyNumberFormat="1" applyFont="1" applyFill="1" applyBorder="1" applyAlignment="1" applyProtection="1">
      <alignment horizontal="right" vertical="center"/>
      <protection locked="0"/>
    </xf>
    <xf numFmtId="0" fontId="6" fillId="0" borderId="0" xfId="12"/>
    <xf numFmtId="0" fontId="18" fillId="6" borderId="34" xfId="12" applyFont="1" applyFill="1" applyBorder="1"/>
    <xf numFmtId="0" fontId="15" fillId="6" borderId="0" xfId="12" applyFont="1" applyFill="1" applyBorder="1"/>
    <xf numFmtId="0" fontId="15" fillId="0" borderId="0" xfId="12" applyFont="1" applyFill="1" applyBorder="1"/>
    <xf numFmtId="0" fontId="31" fillId="6" borderId="0" xfId="12" applyFont="1" applyFill="1" applyBorder="1"/>
    <xf numFmtId="0" fontId="17" fillId="6" borderId="23" xfId="12" applyFont="1" applyFill="1" applyBorder="1"/>
    <xf numFmtId="0" fontId="34" fillId="6" borderId="34" xfId="12" applyFont="1" applyFill="1" applyBorder="1"/>
    <xf numFmtId="41" fontId="15" fillId="7" borderId="16" xfId="12" applyNumberFormat="1" applyFont="1" applyFill="1" applyBorder="1"/>
    <xf numFmtId="0" fontId="27" fillId="0" borderId="0" xfId="12" applyFont="1"/>
    <xf numFmtId="0" fontId="28" fillId="0" borderId="0" xfId="12" applyFont="1" applyAlignment="1">
      <alignment vertical="center"/>
    </xf>
    <xf numFmtId="0" fontId="15" fillId="6" borderId="34" xfId="12" applyFont="1" applyFill="1" applyBorder="1"/>
    <xf numFmtId="5" fontId="32" fillId="0" borderId="34" xfId="14" applyNumberFormat="1" applyFont="1" applyFill="1" applyBorder="1"/>
    <xf numFmtId="169" fontId="32" fillId="0" borderId="15" xfId="12" applyNumberFormat="1" applyFont="1" applyFill="1" applyBorder="1"/>
    <xf numFmtId="5" fontId="19" fillId="0" borderId="34" xfId="14" applyNumberFormat="1" applyFont="1" applyFill="1" applyBorder="1"/>
    <xf numFmtId="5" fontId="19" fillId="0" borderId="2" xfId="14" applyNumberFormat="1" applyFont="1" applyFill="1" applyBorder="1"/>
    <xf numFmtId="41" fontId="17" fillId="7" borderId="23" xfId="12" applyNumberFormat="1" applyFont="1" applyFill="1" applyBorder="1"/>
    <xf numFmtId="41" fontId="15" fillId="7" borderId="30" xfId="12" applyNumberFormat="1" applyFont="1" applyFill="1" applyBorder="1"/>
    <xf numFmtId="0" fontId="19" fillId="0" borderId="15" xfId="17" applyNumberFormat="1" applyFont="1" applyFill="1" applyBorder="1" applyAlignment="1" applyProtection="1">
      <alignment horizontal="right" vertical="center"/>
      <protection locked="0"/>
    </xf>
    <xf numFmtId="0" fontId="19" fillId="0" borderId="17" xfId="17" applyNumberFormat="1" applyFont="1" applyFill="1" applyBorder="1" applyAlignment="1" applyProtection="1">
      <alignment horizontal="right" vertical="center"/>
      <protection locked="0"/>
    </xf>
    <xf numFmtId="0" fontId="18" fillId="6" borderId="0" xfId="12" applyFont="1" applyFill="1" applyBorder="1"/>
    <xf numFmtId="0" fontId="45" fillId="0" borderId="0" xfId="12" applyFont="1" applyFill="1" applyAlignment="1">
      <alignment vertical="center"/>
    </xf>
    <xf numFmtId="0" fontId="45" fillId="0" borderId="0" xfId="12" applyFont="1" applyFill="1" applyAlignment="1">
      <alignment vertical="center" wrapText="1"/>
    </xf>
    <xf numFmtId="0" fontId="46" fillId="0" borderId="0" xfId="12" applyFont="1" applyFill="1" applyAlignment="1">
      <alignment vertical="center"/>
    </xf>
    <xf numFmtId="0" fontId="47" fillId="0" borderId="0" xfId="12" applyFont="1" applyFill="1" applyAlignment="1">
      <alignment vertical="center" wrapText="1"/>
    </xf>
    <xf numFmtId="0" fontId="48" fillId="0" borderId="0" xfId="12" applyFont="1" applyFill="1" applyAlignment="1">
      <alignment vertical="center"/>
    </xf>
    <xf numFmtId="0" fontId="49" fillId="0" borderId="0" xfId="12" applyFont="1" applyFill="1" applyAlignment="1">
      <alignment vertical="center" wrapText="1"/>
    </xf>
    <xf numFmtId="0" fontId="50" fillId="0" borderId="0" xfId="12" applyFont="1" applyFill="1" applyAlignment="1">
      <alignment vertical="center" wrapText="1"/>
    </xf>
    <xf numFmtId="0" fontId="45" fillId="0" borderId="0" xfId="13" applyFont="1" applyFill="1" applyAlignment="1">
      <alignment vertical="center" wrapText="1"/>
    </xf>
    <xf numFmtId="167" fontId="15" fillId="0" borderId="9" xfId="0" applyNumberFormat="1" applyFont="1" applyFill="1" applyBorder="1"/>
    <xf numFmtId="167" fontId="15" fillId="0" borderId="35" xfId="0" applyNumberFormat="1" applyFont="1" applyFill="1" applyBorder="1"/>
    <xf numFmtId="0" fontId="15" fillId="6" borderId="51" xfId="0" applyFont="1" applyFill="1" applyBorder="1"/>
    <xf numFmtId="0" fontId="16" fillId="6" borderId="5" xfId="0" applyFont="1" applyFill="1" applyBorder="1"/>
    <xf numFmtId="167" fontId="19" fillId="9" borderId="4" xfId="0" applyNumberFormat="1" applyFont="1" applyFill="1" applyBorder="1" applyAlignment="1">
      <alignment horizontal="right" wrapText="1"/>
    </xf>
    <xf numFmtId="0" fontId="17" fillId="6" borderId="44" xfId="0" applyFont="1" applyFill="1" applyBorder="1"/>
    <xf numFmtId="0" fontId="17" fillId="4" borderId="34" xfId="0" applyFont="1" applyFill="1" applyBorder="1"/>
    <xf numFmtId="0" fontId="16" fillId="6" borderId="51" xfId="0" applyFont="1" applyFill="1" applyBorder="1"/>
    <xf numFmtId="167" fontId="19" fillId="0" borderId="35" xfId="0" applyNumberFormat="1" applyFont="1" applyFill="1" applyBorder="1"/>
    <xf numFmtId="0" fontId="15" fillId="4" borderId="34" xfId="0" applyFont="1" applyFill="1" applyBorder="1"/>
    <xf numFmtId="167" fontId="15" fillId="9" borderId="12" xfId="0" applyNumberFormat="1" applyFont="1" applyFill="1" applyBorder="1" applyAlignment="1">
      <alignment horizontal="right" wrapText="1"/>
    </xf>
    <xf numFmtId="3" fontId="19" fillId="0" borderId="15" xfId="0" applyNumberFormat="1" applyFont="1" applyFill="1" applyBorder="1" applyAlignment="1">
      <alignment horizontal="right"/>
    </xf>
    <xf numFmtId="3" fontId="15" fillId="0" borderId="15" xfId="0" applyNumberFormat="1" applyFont="1" applyFill="1" applyBorder="1" applyAlignment="1">
      <alignment horizontal="right"/>
    </xf>
    <xf numFmtId="4" fontId="19" fillId="0" borderId="15" xfId="0" applyNumberFormat="1" applyFont="1" applyFill="1" applyBorder="1" applyAlignment="1">
      <alignment horizontal="right"/>
    </xf>
    <xf numFmtId="4" fontId="15" fillId="0" borderId="15" xfId="0" applyNumberFormat="1" applyFont="1" applyFill="1" applyBorder="1" applyAlignment="1">
      <alignment horizontal="right"/>
    </xf>
    <xf numFmtId="41" fontId="15" fillId="0" borderId="9" xfId="0" applyNumberFormat="1" applyFont="1" applyFill="1" applyBorder="1" applyAlignment="1">
      <alignment horizontal="right"/>
    </xf>
    <xf numFmtId="39" fontId="15" fillId="0" borderId="12" xfId="0" applyNumberFormat="1" applyFont="1" applyFill="1" applyBorder="1" applyAlignment="1">
      <alignment horizontal="right"/>
    </xf>
    <xf numFmtId="0" fontId="20" fillId="6" borderId="2" xfId="0" applyFont="1" applyFill="1" applyBorder="1" applyAlignment="1">
      <alignment horizontal="left" indent="1"/>
    </xf>
    <xf numFmtId="0" fontId="20" fillId="6" borderId="5" xfId="0" applyFont="1" applyFill="1" applyBorder="1" applyAlignment="1">
      <alignment horizontal="left" indent="1"/>
    </xf>
    <xf numFmtId="0" fontId="18" fillId="6" borderId="113" xfId="0" applyFont="1" applyFill="1" applyBorder="1"/>
    <xf numFmtId="5" fontId="15" fillId="0" borderId="114" xfId="0" applyNumberFormat="1" applyFont="1" applyFill="1" applyBorder="1"/>
    <xf numFmtId="169" fontId="19" fillId="0" borderId="114" xfId="0" applyNumberFormat="1" applyFont="1" applyFill="1" applyBorder="1"/>
    <xf numFmtId="0" fontId="48" fillId="0" borderId="0" xfId="12" applyFont="1" applyFill="1" applyAlignment="1">
      <alignment horizontal="center" vertical="center" wrapText="1"/>
    </xf>
    <xf numFmtId="0" fontId="20" fillId="6" borderId="44" xfId="12" applyFont="1" applyFill="1" applyBorder="1"/>
    <xf numFmtId="0" fontId="20" fillId="6" borderId="10" xfId="12" applyFont="1" applyFill="1" applyBorder="1"/>
    <xf numFmtId="0" fontId="17" fillId="0" borderId="9" xfId="17" applyNumberFormat="1" applyFont="1" applyFill="1" applyBorder="1" applyAlignment="1" applyProtection="1">
      <alignment horizontal="right" vertical="center"/>
      <protection locked="0"/>
    </xf>
    <xf numFmtId="5" fontId="15" fillId="0" borderId="4" xfId="0" applyNumberFormat="1" applyFont="1" applyFill="1" applyBorder="1"/>
    <xf numFmtId="0" fontId="15" fillId="6" borderId="5" xfId="0" applyFont="1" applyFill="1" applyBorder="1"/>
    <xf numFmtId="5" fontId="15" fillId="0" borderId="46" xfId="0" applyNumberFormat="1" applyFont="1" applyFill="1" applyBorder="1"/>
    <xf numFmtId="167" fontId="18" fillId="0" borderId="49" xfId="0" applyNumberFormat="1" applyFont="1" applyFill="1" applyBorder="1"/>
    <xf numFmtId="167" fontId="15" fillId="0" borderId="47" xfId="0" applyNumberFormat="1" applyFont="1" applyFill="1" applyBorder="1"/>
    <xf numFmtId="167" fontId="15" fillId="0" borderId="45" xfId="0" applyNumberFormat="1" applyFont="1" applyFill="1" applyBorder="1"/>
    <xf numFmtId="167" fontId="15" fillId="0" borderId="41" xfId="0" applyNumberFormat="1" applyFont="1" applyFill="1" applyBorder="1"/>
    <xf numFmtId="167" fontId="15" fillId="0" borderId="42" xfId="0" applyNumberFormat="1" applyFont="1" applyFill="1" applyBorder="1"/>
    <xf numFmtId="167" fontId="16" fillId="0" borderId="13" xfId="0" applyNumberFormat="1" applyFont="1" applyFill="1" applyBorder="1"/>
    <xf numFmtId="167" fontId="15" fillId="0" borderId="21" xfId="0" applyNumberFormat="1" applyFont="1" applyFill="1" applyBorder="1"/>
    <xf numFmtId="167" fontId="15" fillId="0" borderId="16" xfId="0" applyNumberFormat="1" applyFont="1" applyFill="1" applyBorder="1"/>
    <xf numFmtId="167" fontId="16" fillId="0" borderId="21" xfId="0" applyNumberFormat="1" applyFont="1" applyFill="1" applyBorder="1"/>
    <xf numFmtId="167" fontId="16" fillId="0" borderId="16" xfId="0" applyNumberFormat="1" applyFont="1" applyFill="1" applyBorder="1"/>
    <xf numFmtId="167" fontId="16" fillId="0" borderId="30" xfId="0" applyNumberFormat="1" applyFont="1" applyFill="1" applyBorder="1"/>
    <xf numFmtId="167" fontId="18" fillId="0" borderId="47" xfId="0" applyNumberFormat="1" applyFont="1" applyFill="1" applyBorder="1"/>
    <xf numFmtId="167" fontId="25" fillId="0" borderId="46" xfId="0" applyNumberFormat="1" applyFont="1" applyFill="1" applyBorder="1"/>
    <xf numFmtId="167" fontId="25" fillId="0" borderId="0" xfId="0" applyNumberFormat="1" applyFont="1" applyFill="1" applyBorder="1"/>
    <xf numFmtId="167" fontId="18" fillId="0" borderId="41" xfId="0" applyNumberFormat="1" applyFont="1" applyFill="1" applyBorder="1"/>
    <xf numFmtId="167" fontId="18" fillId="0" borderId="42" xfId="0" applyNumberFormat="1" applyFont="1" applyFill="1" applyBorder="1"/>
    <xf numFmtId="167" fontId="16" fillId="0" borderId="19" xfId="0" applyNumberFormat="1" applyFont="1" applyFill="1" applyBorder="1"/>
    <xf numFmtId="167" fontId="16" fillId="0" borderId="12" xfId="0" applyNumberFormat="1" applyFont="1" applyFill="1" applyBorder="1"/>
    <xf numFmtId="167" fontId="19" fillId="0" borderId="37" xfId="0" applyNumberFormat="1" applyFont="1" applyFill="1" applyBorder="1"/>
    <xf numFmtId="167" fontId="22" fillId="0" borderId="24" xfId="0" applyNumberFormat="1" applyFont="1" applyFill="1" applyBorder="1"/>
    <xf numFmtId="167" fontId="18" fillId="0" borderId="19" xfId="0" applyNumberFormat="1" applyFont="1" applyFill="1" applyBorder="1"/>
    <xf numFmtId="167" fontId="52" fillId="0" borderId="46" xfId="0" applyNumberFormat="1" applyFont="1" applyFill="1" applyBorder="1"/>
    <xf numFmtId="167" fontId="22" fillId="0" borderId="46" xfId="0" applyNumberFormat="1" applyFont="1" applyFill="1" applyBorder="1"/>
    <xf numFmtId="6" fontId="15" fillId="0" borderId="30" xfId="0" applyNumberFormat="1" applyFont="1" applyFill="1" applyBorder="1"/>
    <xf numFmtId="169" fontId="19" fillId="0" borderId="12" xfId="7" applyNumberFormat="1" applyFont="1" applyFill="1" applyBorder="1"/>
    <xf numFmtId="167" fontId="17" fillId="0" borderId="9" xfId="0" applyNumberFormat="1" applyFont="1" applyFill="1" applyBorder="1"/>
    <xf numFmtId="167" fontId="20" fillId="0" borderId="9" xfId="0" applyNumberFormat="1" applyFont="1" applyFill="1" applyBorder="1"/>
    <xf numFmtId="0" fontId="18" fillId="6" borderId="44" xfId="0" applyFont="1" applyFill="1" applyBorder="1"/>
    <xf numFmtId="0" fontId="18" fillId="6" borderId="10" xfId="0" applyFont="1" applyFill="1" applyBorder="1"/>
    <xf numFmtId="5" fontId="15" fillId="0" borderId="9" xfId="0" applyNumberFormat="1" applyFont="1" applyFill="1" applyBorder="1"/>
    <xf numFmtId="167" fontId="16" fillId="0" borderId="41" xfId="0" applyNumberFormat="1" applyFont="1" applyFill="1" applyBorder="1"/>
    <xf numFmtId="167" fontId="16" fillId="0" borderId="42" xfId="0" applyNumberFormat="1" applyFont="1" applyFill="1" applyBorder="1"/>
    <xf numFmtId="167" fontId="15" fillId="0" borderId="18" xfId="0" applyNumberFormat="1" applyFont="1" applyFill="1" applyBorder="1"/>
    <xf numFmtId="41" fontId="20" fillId="0" borderId="18" xfId="0" applyNumberFormat="1" applyFont="1" applyFill="1" applyBorder="1"/>
    <xf numFmtId="167" fontId="16" fillId="0" borderId="53" xfId="0" applyNumberFormat="1" applyFont="1" applyFill="1" applyBorder="1"/>
    <xf numFmtId="10" fontId="18" fillId="0" borderId="18" xfId="0" applyNumberFormat="1" applyFont="1" applyFill="1" applyBorder="1"/>
    <xf numFmtId="10" fontId="19" fillId="0" borderId="4" xfId="0" applyNumberFormat="1" applyFont="1" applyFill="1" applyBorder="1"/>
    <xf numFmtId="0" fontId="18" fillId="0" borderId="32" xfId="0" applyFont="1" applyFill="1" applyBorder="1"/>
    <xf numFmtId="167" fontId="18" fillId="0" borderId="21" xfId="0" applyNumberFormat="1" applyFont="1" applyFill="1" applyBorder="1"/>
    <xf numFmtId="41" fontId="15" fillId="0" borderId="15" xfId="0" applyNumberFormat="1" applyFont="1" applyFill="1" applyBorder="1" applyAlignment="1">
      <alignment horizontal="right"/>
    </xf>
    <xf numFmtId="167" fontId="21" fillId="7" borderId="23" xfId="0" applyNumberFormat="1" applyFont="1" applyFill="1" applyBorder="1"/>
    <xf numFmtId="167" fontId="18" fillId="7" borderId="16" xfId="0" applyNumberFormat="1" applyFont="1" applyFill="1" applyBorder="1"/>
    <xf numFmtId="167" fontId="20" fillId="7" borderId="21" xfId="0" applyNumberFormat="1" applyFont="1" applyFill="1" applyBorder="1" applyAlignment="1">
      <alignment horizontal="right"/>
    </xf>
    <xf numFmtId="167" fontId="16" fillId="7" borderId="27" xfId="0" applyNumberFormat="1" applyFont="1" applyFill="1" applyBorder="1" applyAlignment="1">
      <alignment horizontal="right"/>
    </xf>
    <xf numFmtId="167" fontId="16" fillId="7" borderId="21" xfId="0" applyNumberFormat="1" applyFont="1" applyFill="1" applyBorder="1" applyAlignment="1">
      <alignment horizontal="right"/>
    </xf>
    <xf numFmtId="167" fontId="16" fillId="7" borderId="16" xfId="0" applyNumberFormat="1" applyFont="1" applyFill="1" applyBorder="1" applyAlignment="1">
      <alignment horizontal="right"/>
    </xf>
    <xf numFmtId="167" fontId="16" fillId="7" borderId="30" xfId="0" applyNumberFormat="1" applyFont="1" applyFill="1" applyBorder="1" applyAlignment="1">
      <alignment horizontal="right"/>
    </xf>
    <xf numFmtId="167" fontId="20" fillId="6" borderId="34" xfId="0" applyNumberFormat="1" applyFont="1" applyFill="1" applyBorder="1"/>
    <xf numFmtId="167" fontId="18" fillId="6" borderId="0" xfId="0" applyNumberFormat="1" applyFont="1" applyFill="1" applyBorder="1"/>
    <xf numFmtId="167" fontId="15" fillId="6" borderId="0" xfId="0" applyNumberFormat="1" applyFont="1" applyFill="1" applyBorder="1" applyAlignment="1">
      <alignment horizontal="right"/>
    </xf>
    <xf numFmtId="167" fontId="18" fillId="6" borderId="34" xfId="0" applyNumberFormat="1" applyFont="1" applyFill="1" applyBorder="1"/>
    <xf numFmtId="167" fontId="15" fillId="6" borderId="0" xfId="0" applyNumberFormat="1" applyFont="1" applyFill="1" applyBorder="1"/>
    <xf numFmtId="167" fontId="20" fillId="6" borderId="40" xfId="0" applyNumberFormat="1" applyFont="1" applyFill="1" applyBorder="1"/>
    <xf numFmtId="167" fontId="18" fillId="6" borderId="41" xfId="0" applyNumberFormat="1" applyFont="1" applyFill="1" applyBorder="1"/>
    <xf numFmtId="167" fontId="15" fillId="6" borderId="41" xfId="0" applyNumberFormat="1" applyFont="1" applyFill="1" applyBorder="1"/>
    <xf numFmtId="167" fontId="20" fillId="0" borderId="37" xfId="0" applyNumberFormat="1" applyFont="1" applyFill="1" applyBorder="1"/>
    <xf numFmtId="167" fontId="16" fillId="6" borderId="40" xfId="0" applyNumberFormat="1" applyFont="1" applyFill="1" applyBorder="1"/>
    <xf numFmtId="167" fontId="16" fillId="6" borderId="41" xfId="0" applyNumberFormat="1" applyFont="1" applyFill="1" applyBorder="1"/>
    <xf numFmtId="167" fontId="18" fillId="6" borderId="41" xfId="0" applyNumberFormat="1" applyFont="1" applyFill="1" applyBorder="1" applyAlignment="1">
      <alignment horizontal="right"/>
    </xf>
    <xf numFmtId="169" fontId="17" fillId="0" borderId="9" xfId="0" applyNumberFormat="1" applyFont="1" applyFill="1" applyBorder="1"/>
    <xf numFmtId="0" fontId="16" fillId="0" borderId="34" xfId="0" applyFont="1" applyFill="1" applyBorder="1"/>
    <xf numFmtId="0" fontId="15" fillId="4" borderId="34" xfId="104" applyFont="1" applyFill="1" applyBorder="1"/>
    <xf numFmtId="0" fontId="18" fillId="4" borderId="34" xfId="104" applyFont="1" applyFill="1" applyBorder="1"/>
    <xf numFmtId="0" fontId="15" fillId="0" borderId="0" xfId="0" applyFont="1"/>
    <xf numFmtId="0" fontId="17" fillId="4" borderId="36" xfId="0" applyFont="1" applyFill="1" applyBorder="1" applyAlignment="1" applyProtection="1">
      <alignment vertical="center"/>
    </xf>
    <xf numFmtId="0" fontId="15" fillId="4" borderId="36" xfId="0" applyFont="1" applyFill="1" applyBorder="1" applyAlignment="1"/>
    <xf numFmtId="0" fontId="15" fillId="4" borderId="17" xfId="0" applyFont="1" applyFill="1" applyBorder="1" applyAlignment="1"/>
    <xf numFmtId="0" fontId="53" fillId="4" borderId="5" xfId="0" applyFont="1" applyFill="1" applyBorder="1" applyAlignment="1" applyProtection="1">
      <alignment horizontal="center"/>
    </xf>
    <xf numFmtId="0" fontId="53" fillId="4" borderId="3" xfId="0" applyFont="1" applyFill="1" applyBorder="1" applyAlignment="1" applyProtection="1">
      <alignment horizontal="center"/>
    </xf>
    <xf numFmtId="0" fontId="53" fillId="4" borderId="4" xfId="0" applyFont="1" applyFill="1" applyBorder="1" applyAlignment="1" applyProtection="1">
      <alignment horizontal="center"/>
    </xf>
    <xf numFmtId="0" fontId="17" fillId="4" borderId="2" xfId="0" applyFont="1" applyFill="1" applyBorder="1" applyAlignment="1" applyProtection="1">
      <alignment vertical="center"/>
    </xf>
    <xf numFmtId="0" fontId="53" fillId="6" borderId="34" xfId="0" applyFont="1" applyFill="1" applyBorder="1" applyAlignment="1" applyProtection="1">
      <alignment horizontal="center"/>
    </xf>
    <xf numFmtId="0" fontId="53" fillId="6" borderId="24" xfId="0" applyFont="1" applyFill="1" applyBorder="1" applyAlignment="1" applyProtection="1">
      <alignment horizontal="center"/>
    </xf>
    <xf numFmtId="0" fontId="53" fillId="6" borderId="111" xfId="0" applyFont="1" applyFill="1" applyBorder="1" applyAlignment="1" applyProtection="1">
      <alignment horizontal="center"/>
    </xf>
    <xf numFmtId="0" fontId="15" fillId="4" borderId="12" xfId="0" applyFont="1" applyFill="1" applyBorder="1" applyAlignment="1"/>
    <xf numFmtId="0" fontId="53" fillId="4" borderId="2" xfId="0" applyFont="1" applyFill="1" applyBorder="1" applyAlignment="1" applyProtection="1"/>
    <xf numFmtId="0" fontId="53" fillId="4" borderId="20" xfId="0" applyFont="1" applyFill="1" applyBorder="1" applyAlignment="1" applyProtection="1"/>
    <xf numFmtId="0" fontId="53" fillId="4" borderId="25" xfId="0" applyFont="1" applyFill="1" applyBorder="1" applyAlignment="1" applyProtection="1"/>
    <xf numFmtId="0" fontId="15" fillId="4" borderId="36" xfId="0" applyFont="1" applyFill="1" applyBorder="1" applyAlignment="1" applyProtection="1">
      <alignment vertical="center"/>
    </xf>
    <xf numFmtId="10" fontId="54" fillId="0" borderId="8" xfId="0" applyNumberFormat="1" applyFont="1" applyFill="1" applyBorder="1" applyAlignment="1"/>
    <xf numFmtId="10" fontId="15" fillId="0" borderId="55" xfId="0" applyNumberFormat="1" applyFont="1" applyFill="1" applyBorder="1" applyAlignment="1"/>
    <xf numFmtId="10" fontId="15" fillId="0" borderId="10" xfId="0" applyNumberFormat="1" applyFont="1" applyFill="1" applyBorder="1" applyAlignment="1"/>
    <xf numFmtId="10" fontId="55" fillId="0" borderId="8" xfId="0" applyNumberFormat="1" applyFont="1" applyBorder="1"/>
    <xf numFmtId="10" fontId="17" fillId="0" borderId="107" xfId="0" applyNumberFormat="1" applyFont="1" applyBorder="1"/>
    <xf numFmtId="0" fontId="15" fillId="4" borderId="34" xfId="0" applyFont="1" applyFill="1" applyBorder="1" applyAlignment="1" applyProtection="1">
      <alignment vertical="center"/>
    </xf>
    <xf numFmtId="0" fontId="15" fillId="4" borderId="0" xfId="0" applyFont="1" applyFill="1" applyBorder="1" applyAlignment="1"/>
    <xf numFmtId="166" fontId="17" fillId="0" borderId="62" xfId="15" applyNumberFormat="1" applyFont="1" applyFill="1" applyBorder="1" applyAlignment="1" applyProtection="1">
      <alignment horizontal="right"/>
      <protection locked="0"/>
    </xf>
    <xf numFmtId="10" fontId="15" fillId="0" borderId="18" xfId="0" applyNumberFormat="1" applyFont="1" applyBorder="1" applyAlignment="1"/>
    <xf numFmtId="10" fontId="15" fillId="0" borderId="24" xfId="0" applyNumberFormat="1" applyFont="1" applyBorder="1" applyAlignment="1"/>
    <xf numFmtId="0" fontId="15" fillId="4" borderId="13" xfId="0" applyFont="1" applyFill="1" applyBorder="1" applyAlignment="1"/>
    <xf numFmtId="166" fontId="17" fillId="0" borderId="63" xfId="15" applyNumberFormat="1" applyFont="1" applyFill="1" applyBorder="1" applyAlignment="1" applyProtection="1">
      <alignment horizontal="right"/>
      <protection locked="0"/>
    </xf>
    <xf numFmtId="10" fontId="15" fillId="0" borderId="20" xfId="0" applyNumberFormat="1" applyFont="1" applyBorder="1" applyAlignment="1"/>
    <xf numFmtId="10" fontId="15" fillId="0" borderId="25" xfId="0" applyNumberFormat="1" applyFont="1" applyBorder="1" applyAlignment="1"/>
    <xf numFmtId="0" fontId="15" fillId="4" borderId="34" xfId="0" applyFont="1" applyFill="1" applyBorder="1" applyAlignment="1"/>
    <xf numFmtId="0" fontId="15" fillId="4" borderId="15" xfId="0" applyFont="1" applyFill="1" applyBorder="1"/>
    <xf numFmtId="2" fontId="54" fillId="0" borderId="8" xfId="0" applyNumberFormat="1" applyFont="1" applyFill="1" applyBorder="1" applyAlignment="1"/>
    <xf numFmtId="2" fontId="15" fillId="0" borderId="55" xfId="0" applyNumberFormat="1" applyFont="1" applyFill="1" applyBorder="1" applyAlignment="1"/>
    <xf numFmtId="2" fontId="54" fillId="0" borderId="44" xfId="0" applyNumberFormat="1" applyFont="1" applyFill="1" applyBorder="1" applyAlignment="1"/>
    <xf numFmtId="2" fontId="55" fillId="0" borderId="8" xfId="0" applyNumberFormat="1" applyFont="1" applyBorder="1"/>
    <xf numFmtId="2" fontId="17" fillId="0" borderId="107" xfId="0" applyNumberFormat="1" applyFont="1" applyBorder="1"/>
    <xf numFmtId="0" fontId="15" fillId="4" borderId="13" xfId="0" applyFont="1" applyFill="1" applyBorder="1"/>
    <xf numFmtId="0" fontId="15" fillId="4" borderId="12" xfId="0" applyFont="1" applyFill="1" applyBorder="1"/>
    <xf numFmtId="10" fontId="54" fillId="0" borderId="115" xfId="0" applyNumberFormat="1" applyFont="1" applyFill="1" applyBorder="1" applyAlignment="1"/>
    <xf numFmtId="10" fontId="15" fillId="0" borderId="111" xfId="0" applyNumberFormat="1" applyFont="1" applyFill="1" applyBorder="1" applyAlignment="1"/>
    <xf numFmtId="10" fontId="15" fillId="0" borderId="113" xfId="0" applyNumberFormat="1" applyFont="1" applyFill="1" applyBorder="1" applyAlignment="1"/>
    <xf numFmtId="0" fontId="15" fillId="0" borderId="0" xfId="0" applyFont="1" applyBorder="1"/>
    <xf numFmtId="0" fontId="15" fillId="4" borderId="23" xfId="0" applyFont="1" applyFill="1" applyBorder="1" applyAlignment="1" applyProtection="1">
      <alignment vertical="center"/>
    </xf>
    <xf numFmtId="166" fontId="17" fillId="4" borderId="16" xfId="16" applyNumberFormat="1" applyFont="1" applyFill="1" applyBorder="1" applyAlignment="1" applyProtection="1">
      <alignment horizontal="right"/>
      <protection locked="0"/>
    </xf>
    <xf numFmtId="0" fontId="15" fillId="4" borderId="16" xfId="0" applyFont="1" applyFill="1" applyBorder="1"/>
    <xf numFmtId="0" fontId="15" fillId="4" borderId="30" xfId="0" applyFont="1" applyFill="1" applyBorder="1"/>
    <xf numFmtId="0" fontId="56" fillId="0" borderId="0" xfId="0" applyFont="1" applyFill="1" applyBorder="1"/>
    <xf numFmtId="165" fontId="15" fillId="0" borderId="0" xfId="0" applyNumberFormat="1" applyFont="1" applyFill="1"/>
    <xf numFmtId="0" fontId="17" fillId="4" borderId="23" xfId="12" applyFont="1" applyFill="1" applyBorder="1" applyAlignment="1" applyProtection="1">
      <alignment vertical="center"/>
    </xf>
    <xf numFmtId="0" fontId="15" fillId="4" borderId="23" xfId="12" applyFont="1" applyFill="1" applyBorder="1" applyProtection="1"/>
    <xf numFmtId="0" fontId="15" fillId="4" borderId="27" xfId="12" applyFont="1" applyFill="1" applyBorder="1" applyProtection="1"/>
    <xf numFmtId="0" fontId="15" fillId="4" borderId="28" xfId="0" applyFont="1" applyFill="1" applyBorder="1" applyAlignment="1" applyProtection="1"/>
    <xf numFmtId="0" fontId="17" fillId="4" borderId="28" xfId="0" applyFont="1" applyFill="1" applyBorder="1" applyAlignment="1" applyProtection="1"/>
    <xf numFmtId="0" fontId="17" fillId="4" borderId="28" xfId="12" applyFont="1" applyFill="1" applyBorder="1" applyProtection="1"/>
    <xf numFmtId="0" fontId="58" fillId="0" borderId="0" xfId="0" applyFont="1" applyFill="1" applyBorder="1" applyProtection="1"/>
    <xf numFmtId="0" fontId="58" fillId="0" borderId="0" xfId="0" applyFont="1" applyFill="1" applyBorder="1" applyAlignment="1" applyProtection="1">
      <alignment horizontal="center"/>
    </xf>
    <xf numFmtId="0" fontId="17" fillId="4" borderId="34" xfId="12" applyFont="1" applyFill="1" applyBorder="1" applyAlignment="1" applyProtection="1">
      <alignment vertical="center"/>
    </xf>
    <xf numFmtId="6" fontId="17" fillId="0" borderId="34" xfId="12" applyNumberFormat="1" applyFont="1" applyFill="1" applyBorder="1" applyProtection="1"/>
    <xf numFmtId="6" fontId="17" fillId="0" borderId="18" xfId="12" applyNumberFormat="1" applyFont="1" applyFill="1" applyBorder="1" applyProtection="1"/>
    <xf numFmtId="6" fontId="17" fillId="0" borderId="56" xfId="0" applyNumberFormat="1" applyFont="1" applyFill="1" applyBorder="1" applyAlignment="1" applyProtection="1"/>
    <xf numFmtId="0" fontId="17" fillId="0" borderId="0" xfId="0" applyFont="1"/>
    <xf numFmtId="0" fontId="57" fillId="0" borderId="0" xfId="0" applyFont="1" applyFill="1" applyBorder="1" applyProtection="1"/>
    <xf numFmtId="0" fontId="57" fillId="0" borderId="0" xfId="0" applyFont="1" applyFill="1" applyBorder="1" applyAlignment="1" applyProtection="1">
      <alignment horizontal="center"/>
    </xf>
    <xf numFmtId="0" fontId="57" fillId="0" borderId="0" xfId="0" applyFont="1" applyFill="1" applyBorder="1"/>
    <xf numFmtId="0" fontId="17" fillId="0" borderId="0" xfId="0" applyFont="1" applyBorder="1"/>
    <xf numFmtId="0" fontId="15" fillId="4" borderId="58" xfId="12" applyFont="1" applyFill="1" applyBorder="1" applyAlignment="1" applyProtection="1">
      <alignment vertical="center"/>
    </xf>
    <xf numFmtId="6" fontId="15" fillId="0" borderId="58" xfId="17" applyNumberFormat="1" applyFont="1" applyFill="1" applyBorder="1" applyAlignment="1" applyProtection="1">
      <alignment horizontal="right"/>
    </xf>
    <xf numFmtId="6" fontId="15" fillId="0" borderId="64" xfId="17" applyNumberFormat="1" applyFont="1" applyFill="1" applyBorder="1" applyAlignment="1" applyProtection="1">
      <alignment horizontal="right"/>
    </xf>
    <xf numFmtId="6" fontId="17" fillId="0" borderId="65" xfId="0" applyNumberFormat="1" applyFont="1" applyBorder="1"/>
    <xf numFmtId="6" fontId="15" fillId="0" borderId="65" xfId="17" applyNumberFormat="1" applyFont="1" applyFill="1" applyBorder="1" applyAlignment="1" applyProtection="1">
      <alignment horizontal="right"/>
    </xf>
    <xf numFmtId="0" fontId="15" fillId="4" borderId="61" xfId="12" applyFont="1" applyFill="1" applyBorder="1" applyAlignment="1" applyProtection="1">
      <alignment vertical="center"/>
    </xf>
    <xf numFmtId="6" fontId="15" fillId="0" borderId="61" xfId="17" applyNumberFormat="1" applyFont="1" applyFill="1" applyBorder="1" applyAlignment="1" applyProtection="1">
      <alignment horizontal="right"/>
    </xf>
    <xf numFmtId="6" fontId="15" fillId="0" borderId="66" xfId="17" applyNumberFormat="1" applyFont="1" applyFill="1" applyBorder="1" applyAlignment="1" applyProtection="1">
      <alignment horizontal="right"/>
    </xf>
    <xf numFmtId="6" fontId="17" fillId="0" borderId="67" xfId="0" applyNumberFormat="1" applyFont="1" applyBorder="1"/>
    <xf numFmtId="6" fontId="15" fillId="0" borderId="67" xfId="17" applyNumberFormat="1" applyFont="1" applyFill="1" applyBorder="1" applyAlignment="1" applyProtection="1">
      <alignment horizontal="right"/>
    </xf>
    <xf numFmtId="0" fontId="15" fillId="4" borderId="68" xfId="12" applyFont="1" applyFill="1" applyBorder="1" applyAlignment="1" applyProtection="1">
      <alignment vertical="center"/>
    </xf>
    <xf numFmtId="6" fontId="15" fillId="0" borderId="68" xfId="17" applyNumberFormat="1" applyFont="1" applyFill="1" applyBorder="1" applyAlignment="1" applyProtection="1">
      <alignment horizontal="right"/>
    </xf>
    <xf numFmtId="6" fontId="15" fillId="0" borderId="69" xfId="17" applyNumberFormat="1" applyFont="1" applyFill="1" applyBorder="1" applyAlignment="1" applyProtection="1">
      <alignment horizontal="right"/>
    </xf>
    <xf numFmtId="6" fontId="17" fillId="0" borderId="70" xfId="0" applyNumberFormat="1" applyFont="1" applyBorder="1"/>
    <xf numFmtId="6" fontId="15" fillId="0" borderId="70" xfId="17" applyNumberFormat="1" applyFont="1" applyFill="1" applyBorder="1" applyAlignment="1" applyProtection="1">
      <alignment horizontal="right"/>
    </xf>
    <xf numFmtId="0" fontId="17" fillId="4" borderId="28" xfId="12" applyFont="1" applyFill="1" applyBorder="1" applyAlignment="1" applyProtection="1">
      <alignment horizontal="center"/>
    </xf>
    <xf numFmtId="6" fontId="15" fillId="0" borderId="23" xfId="17" applyNumberFormat="1" applyFont="1" applyFill="1" applyBorder="1" applyAlignment="1" applyProtection="1">
      <alignment horizontal="right"/>
    </xf>
    <xf numFmtId="6" fontId="15" fillId="0" borderId="27" xfId="17" applyNumberFormat="1" applyFont="1" applyFill="1" applyBorder="1" applyAlignment="1" applyProtection="1">
      <alignment horizontal="right"/>
    </xf>
    <xf numFmtId="6" fontId="17" fillId="0" borderId="28" xfId="0" applyNumberFormat="1" applyFont="1" applyBorder="1"/>
    <xf numFmtId="165" fontId="17" fillId="0" borderId="28" xfId="0" applyNumberFormat="1" applyFont="1" applyBorder="1"/>
    <xf numFmtId="6" fontId="17" fillId="0" borderId="28" xfId="2" applyNumberFormat="1" applyFont="1" applyBorder="1"/>
    <xf numFmtId="0" fontId="56" fillId="0" borderId="0" xfId="12" applyFont="1" applyFill="1" applyBorder="1"/>
    <xf numFmtId="0" fontId="53" fillId="6" borderId="16" xfId="0" applyFont="1" applyFill="1" applyBorder="1" applyProtection="1"/>
    <xf numFmtId="0" fontId="53" fillId="6" borderId="16" xfId="0" applyFont="1" applyFill="1" applyBorder="1" applyAlignment="1" applyProtection="1">
      <alignment horizontal="center"/>
    </xf>
    <xf numFmtId="0" fontId="53" fillId="6" borderId="23" xfId="0" applyFont="1" applyFill="1" applyBorder="1" applyProtection="1"/>
    <xf numFmtId="0" fontId="53" fillId="6" borderId="30" xfId="0" applyFont="1" applyFill="1" applyBorder="1" applyProtection="1"/>
    <xf numFmtId="0" fontId="57" fillId="0" borderId="0" xfId="0" applyFont="1" applyFill="1" applyBorder="1" applyAlignment="1">
      <alignment horizontal="right"/>
    </xf>
    <xf numFmtId="0" fontId="57" fillId="0" borderId="0" xfId="0" applyFont="1" applyFill="1" applyBorder="1" applyAlignment="1">
      <alignment horizontal="right" wrapText="1"/>
    </xf>
    <xf numFmtId="0" fontId="15" fillId="4" borderId="23" xfId="0" applyFont="1" applyFill="1" applyBorder="1"/>
    <xf numFmtId="0" fontId="17" fillId="4" borderId="2" xfId="0" applyFont="1" applyFill="1" applyBorder="1"/>
    <xf numFmtId="165" fontId="15" fillId="0" borderId="16" xfId="2" applyNumberFormat="1" applyFont="1" applyFill="1" applyBorder="1"/>
    <xf numFmtId="165" fontId="17" fillId="0" borderId="22" xfId="0" applyNumberFormat="1" applyFont="1" applyBorder="1"/>
    <xf numFmtId="0" fontId="15" fillId="4" borderId="13" xfId="12" applyFont="1" applyFill="1" applyBorder="1"/>
    <xf numFmtId="165" fontId="15" fillId="0" borderId="28" xfId="2" applyNumberFormat="1" applyFont="1" applyFill="1" applyBorder="1"/>
    <xf numFmtId="0" fontId="17" fillId="4" borderId="36" xfId="0" applyFont="1" applyFill="1" applyBorder="1"/>
    <xf numFmtId="165" fontId="15" fillId="0" borderId="0" xfId="2" applyNumberFormat="1" applyFont="1" applyFill="1" applyBorder="1"/>
    <xf numFmtId="0" fontId="17" fillId="0" borderId="24" xfId="0" applyFont="1" applyFill="1" applyBorder="1"/>
    <xf numFmtId="0" fontId="17" fillId="6" borderId="16" xfId="0" applyFont="1" applyFill="1" applyBorder="1" applyAlignment="1" applyProtection="1"/>
    <xf numFmtId="0" fontId="17" fillId="6" borderId="22" xfId="0" applyFont="1" applyFill="1" applyBorder="1"/>
    <xf numFmtId="0" fontId="17" fillId="4" borderId="23" xfId="0" applyFont="1" applyFill="1" applyBorder="1"/>
    <xf numFmtId="0" fontId="15" fillId="4" borderId="27" xfId="0" applyFont="1" applyFill="1" applyBorder="1" applyAlignment="1" applyProtection="1">
      <alignment horizontal="center"/>
    </xf>
    <xf numFmtId="0" fontId="15" fillId="4" borderId="22" xfId="12" applyFont="1" applyFill="1" applyBorder="1" applyAlignment="1">
      <alignment horizontal="center"/>
    </xf>
    <xf numFmtId="0" fontId="17" fillId="4" borderId="23" xfId="12" applyFont="1" applyFill="1" applyBorder="1" applyAlignment="1">
      <alignment horizontal="right"/>
    </xf>
    <xf numFmtId="0" fontId="17" fillId="4" borderId="16" xfId="12" applyFont="1" applyFill="1" applyBorder="1" applyAlignment="1">
      <alignment horizontal="right"/>
    </xf>
    <xf numFmtId="0" fontId="15" fillId="4" borderId="30" xfId="12" applyFont="1" applyFill="1" applyBorder="1" applyAlignment="1">
      <alignment horizontal="center"/>
    </xf>
    <xf numFmtId="0" fontId="15" fillId="4" borderId="58" xfId="12" applyFont="1" applyFill="1" applyBorder="1" applyAlignment="1">
      <alignment horizontal="left"/>
    </xf>
    <xf numFmtId="1" fontId="15" fillId="0" borderId="71" xfId="12" applyNumberFormat="1" applyFont="1" applyFill="1" applyBorder="1"/>
    <xf numFmtId="1" fontId="15" fillId="0" borderId="64" xfId="0" applyNumberFormat="1" applyFont="1" applyFill="1" applyBorder="1"/>
    <xf numFmtId="1" fontId="15" fillId="0" borderId="71" xfId="0" applyNumberFormat="1" applyFont="1" applyFill="1" applyBorder="1"/>
    <xf numFmtId="1" fontId="17" fillId="0" borderId="72" xfId="0" applyNumberFormat="1" applyFont="1" applyFill="1" applyBorder="1"/>
    <xf numFmtId="1" fontId="15" fillId="4" borderId="73" xfId="12" applyNumberFormat="1" applyFont="1" applyFill="1" applyBorder="1"/>
    <xf numFmtId="1" fontId="15" fillId="4" borderId="0" xfId="0" applyNumberFormat="1" applyFont="1" applyFill="1" applyBorder="1"/>
    <xf numFmtId="1" fontId="15" fillId="0" borderId="74" xfId="0" applyNumberFormat="1" applyFont="1" applyBorder="1"/>
    <xf numFmtId="0" fontId="15" fillId="4" borderId="61" xfId="12" applyFont="1" applyFill="1" applyBorder="1"/>
    <xf numFmtId="41" fontId="15" fillId="0" borderId="71" xfId="12" applyNumberFormat="1" applyFont="1" applyFill="1" applyBorder="1"/>
    <xf numFmtId="41" fontId="15" fillId="0" borderId="76" xfId="0" applyNumberFormat="1" applyFont="1" applyFill="1" applyBorder="1"/>
    <xf numFmtId="41" fontId="17" fillId="0" borderId="77" xfId="0" applyNumberFormat="1" applyFont="1" applyFill="1" applyBorder="1"/>
    <xf numFmtId="0" fontId="15" fillId="4" borderId="2" xfId="12" applyFont="1" applyFill="1" applyBorder="1"/>
    <xf numFmtId="0" fontId="15" fillId="4" borderId="78" xfId="0" applyFont="1" applyFill="1" applyBorder="1"/>
    <xf numFmtId="165" fontId="15" fillId="0" borderId="79" xfId="2" applyNumberFormat="1" applyFont="1" applyBorder="1" applyAlignment="1"/>
    <xf numFmtId="167" fontId="15" fillId="0" borderId="71" xfId="2" applyNumberFormat="1" applyFont="1" applyFill="1" applyBorder="1"/>
    <xf numFmtId="170" fontId="15" fillId="0" borderId="76" xfId="2" applyNumberFormat="1" applyFont="1" applyFill="1" applyBorder="1"/>
    <xf numFmtId="167" fontId="15" fillId="0" borderId="76" xfId="2" applyNumberFormat="1" applyFont="1" applyFill="1" applyBorder="1"/>
    <xf numFmtId="165" fontId="17" fillId="0" borderId="77" xfId="2" applyNumberFormat="1" applyFont="1" applyFill="1" applyBorder="1"/>
    <xf numFmtId="165" fontId="15" fillId="0" borderId="66" xfId="2" applyNumberFormat="1" applyFont="1" applyBorder="1"/>
    <xf numFmtId="165" fontId="17" fillId="0" borderId="77" xfId="2" applyNumberFormat="1" applyFont="1" applyBorder="1"/>
    <xf numFmtId="165" fontId="17" fillId="0" borderId="77" xfId="0" applyNumberFormat="1" applyFont="1" applyBorder="1"/>
    <xf numFmtId="0" fontId="15" fillId="4" borderId="61" xfId="12" applyFont="1" applyFill="1" applyBorder="1" applyAlignment="1">
      <alignment horizontal="left" indent="1"/>
    </xf>
    <xf numFmtId="0" fontId="15" fillId="4" borderId="68" xfId="12" applyFont="1" applyFill="1" applyBorder="1" applyAlignment="1">
      <alignment horizontal="left" indent="1"/>
    </xf>
    <xf numFmtId="42" fontId="15" fillId="0" borderId="27" xfId="0" applyNumberFormat="1" applyFont="1" applyBorder="1"/>
    <xf numFmtId="42" fontId="17" fillId="0" borderId="22" xfId="0" applyNumberFormat="1" applyFont="1" applyBorder="1"/>
    <xf numFmtId="0" fontId="17" fillId="4" borderId="51" xfId="12" applyFont="1" applyFill="1" applyBorder="1"/>
    <xf numFmtId="10" fontId="15" fillId="0" borderId="83" xfId="0" applyNumberFormat="1" applyFont="1" applyBorder="1"/>
    <xf numFmtId="10" fontId="15" fillId="0" borderId="84" xfId="0" applyNumberFormat="1" applyFont="1" applyBorder="1"/>
    <xf numFmtId="10" fontId="15" fillId="0" borderId="85" xfId="0" applyNumberFormat="1" applyFont="1" applyBorder="1"/>
    <xf numFmtId="10" fontId="17" fillId="0" borderId="86" xfId="0" applyNumberFormat="1" applyFont="1" applyBorder="1"/>
    <xf numFmtId="0" fontId="15" fillId="4" borderId="34" xfId="12" applyFont="1" applyFill="1" applyBorder="1" applyAlignment="1">
      <alignment horizontal="left" indent="1"/>
    </xf>
    <xf numFmtId="165" fontId="15" fillId="0" borderId="59" xfId="2" applyNumberFormat="1" applyFont="1" applyBorder="1"/>
    <xf numFmtId="165" fontId="15" fillId="0" borderId="81" xfId="2" applyNumberFormat="1" applyFont="1" applyBorder="1"/>
    <xf numFmtId="165" fontId="15" fillId="0" borderId="60" xfId="2" applyNumberFormat="1" applyFont="1" applyBorder="1"/>
    <xf numFmtId="165" fontId="17" fillId="0" borderId="65" xfId="0" applyNumberFormat="1" applyFont="1" applyBorder="1"/>
    <xf numFmtId="165" fontId="15" fillId="0" borderId="0" xfId="0" applyNumberFormat="1" applyFont="1"/>
    <xf numFmtId="165" fontId="15" fillId="0" borderId="80" xfId="2" applyNumberFormat="1" applyFont="1" applyBorder="1"/>
    <xf numFmtId="165" fontId="15" fillId="0" borderId="87" xfId="2" applyNumberFormat="1" applyFont="1" applyBorder="1"/>
    <xf numFmtId="165" fontId="15" fillId="0" borderId="88" xfId="2" applyNumberFormat="1" applyFont="1" applyBorder="1"/>
    <xf numFmtId="165" fontId="17" fillId="0" borderId="70" xfId="0" applyNumberFormat="1" applyFont="1" applyBorder="1"/>
    <xf numFmtId="0" fontId="17" fillId="4" borderId="23" xfId="12" applyFont="1" applyFill="1" applyBorder="1"/>
    <xf numFmtId="10" fontId="15" fillId="0" borderId="89" xfId="0" applyNumberFormat="1" applyFont="1" applyBorder="1"/>
    <xf numFmtId="10" fontId="15" fillId="0" borderId="90" xfId="0" applyNumberFormat="1" applyFont="1" applyBorder="1"/>
    <xf numFmtId="10" fontId="15" fillId="0" borderId="91" xfId="0" applyNumberFormat="1" applyFont="1" applyBorder="1"/>
    <xf numFmtId="10" fontId="17" fillId="0" borderId="28" xfId="0" applyNumberFormat="1" applyFont="1" applyBorder="1"/>
    <xf numFmtId="0" fontId="59" fillId="4" borderId="51" xfId="12" applyFont="1" applyFill="1" applyBorder="1"/>
    <xf numFmtId="10" fontId="15" fillId="0" borderId="83" xfId="0" applyNumberFormat="1" applyFont="1" applyFill="1" applyBorder="1"/>
    <xf numFmtId="10" fontId="15" fillId="0" borderId="84" xfId="0" applyNumberFormat="1" applyFont="1" applyFill="1" applyBorder="1"/>
    <xf numFmtId="10" fontId="15" fillId="0" borderId="85" xfId="0" applyNumberFormat="1" applyFont="1" applyFill="1" applyBorder="1"/>
    <xf numFmtId="0" fontId="17" fillId="0" borderId="86" xfId="0" applyFont="1" applyBorder="1"/>
    <xf numFmtId="10" fontId="15" fillId="0" borderId="80" xfId="0" applyNumberFormat="1" applyFont="1" applyBorder="1"/>
    <xf numFmtId="10" fontId="15" fillId="0" borderId="87" xfId="0" applyNumberFormat="1" applyFont="1" applyBorder="1"/>
    <xf numFmtId="10" fontId="15" fillId="0" borderId="88" xfId="0" applyNumberFormat="1" applyFont="1" applyBorder="1"/>
    <xf numFmtId="10" fontId="17" fillId="0" borderId="70" xfId="0" applyNumberFormat="1" applyFont="1" applyBorder="1"/>
    <xf numFmtId="165" fontId="15" fillId="0" borderId="89" xfId="2" applyNumberFormat="1" applyFont="1" applyBorder="1"/>
    <xf numFmtId="165" fontId="15" fillId="0" borderId="90" xfId="2" applyNumberFormat="1" applyFont="1" applyBorder="1"/>
    <xf numFmtId="165" fontId="15" fillId="0" borderId="91" xfId="2" applyNumberFormat="1" applyFont="1" applyBorder="1"/>
    <xf numFmtId="0" fontId="15" fillId="0" borderId="0" xfId="12" applyFont="1"/>
    <xf numFmtId="0" fontId="17" fillId="6" borderId="28" xfId="12" applyFont="1" applyFill="1" applyBorder="1"/>
    <xf numFmtId="0" fontId="17" fillId="4" borderId="92" xfId="12" applyFont="1" applyFill="1" applyBorder="1"/>
    <xf numFmtId="0" fontId="15" fillId="0" borderId="6" xfId="12" applyFont="1" applyFill="1" applyBorder="1"/>
    <xf numFmtId="0" fontId="15" fillId="0" borderId="93" xfId="0" applyFont="1" applyBorder="1"/>
    <xf numFmtId="0" fontId="15" fillId="0" borderId="94" xfId="0" applyFont="1" applyBorder="1"/>
    <xf numFmtId="0" fontId="17" fillId="0" borderId="106" xfId="0" applyFont="1" applyBorder="1"/>
    <xf numFmtId="0" fontId="15" fillId="4" borderId="65" xfId="12" applyFont="1" applyFill="1" applyBorder="1"/>
    <xf numFmtId="167" fontId="15" fillId="0" borderId="95" xfId="2" applyNumberFormat="1" applyFont="1" applyFill="1" applyBorder="1"/>
    <xf numFmtId="167" fontId="17" fillId="0" borderId="72" xfId="0" applyNumberFormat="1" applyFont="1" applyBorder="1"/>
    <xf numFmtId="6" fontId="15" fillId="0" borderId="0" xfId="0" applyNumberFormat="1" applyFont="1"/>
    <xf numFmtId="9" fontId="15" fillId="0" borderId="95" xfId="7" applyFont="1" applyFill="1" applyBorder="1"/>
    <xf numFmtId="9" fontId="15" fillId="0" borderId="81" xfId="7" applyFont="1" applyBorder="1"/>
    <xf numFmtId="9" fontId="15" fillId="0" borderId="60" xfId="7" applyFont="1" applyBorder="1"/>
    <xf numFmtId="9" fontId="17" fillId="0" borderId="72" xfId="7" applyFont="1" applyBorder="1"/>
    <xf numFmtId="0" fontId="15" fillId="4" borderId="67" xfId="12" applyFont="1" applyFill="1" applyBorder="1"/>
    <xf numFmtId="167" fontId="15" fillId="0" borderId="96" xfId="2" applyNumberFormat="1" applyFont="1" applyFill="1" applyBorder="1"/>
    <xf numFmtId="167" fontId="15" fillId="0" borderId="97" xfId="2" applyNumberFormat="1" applyFont="1" applyBorder="1"/>
    <xf numFmtId="167" fontId="15" fillId="0" borderId="75" xfId="2" applyNumberFormat="1" applyFont="1" applyBorder="1"/>
    <xf numFmtId="166" fontId="15" fillId="0" borderId="96" xfId="7" applyNumberFormat="1" applyFont="1" applyFill="1" applyBorder="1"/>
    <xf numFmtId="166" fontId="15" fillId="0" borderId="97" xfId="7" applyNumberFormat="1" applyFont="1" applyBorder="1"/>
    <xf numFmtId="166" fontId="15" fillId="0" borderId="75" xfId="7" applyNumberFormat="1" applyFont="1" applyBorder="1"/>
    <xf numFmtId="10" fontId="17" fillId="0" borderId="77" xfId="0" applyNumberFormat="1" applyFont="1" applyBorder="1"/>
    <xf numFmtId="10" fontId="15" fillId="0" borderId="0" xfId="0" applyNumberFormat="1" applyFont="1"/>
    <xf numFmtId="0" fontId="15" fillId="0" borderId="96" xfId="12" applyNumberFormat="1" applyFont="1" applyFill="1" applyBorder="1"/>
    <xf numFmtId="0" fontId="15" fillId="0" borderId="97" xfId="0" applyNumberFormat="1" applyFont="1" applyBorder="1"/>
    <xf numFmtId="0" fontId="15" fillId="0" borderId="75" xfId="0" applyNumberFormat="1" applyFont="1" applyBorder="1"/>
    <xf numFmtId="0" fontId="17" fillId="0" borderId="77" xfId="0" applyNumberFormat="1" applyFont="1" applyBorder="1"/>
    <xf numFmtId="0" fontId="15" fillId="4" borderId="79" xfId="12" applyFont="1" applyFill="1" applyBorder="1"/>
    <xf numFmtId="167" fontId="15" fillId="0" borderId="98" xfId="2" applyNumberFormat="1" applyFont="1" applyFill="1" applyBorder="1"/>
    <xf numFmtId="167" fontId="15" fillId="0" borderId="82" xfId="2" applyNumberFormat="1" applyFont="1" applyBorder="1"/>
    <xf numFmtId="167" fontId="15" fillId="0" borderId="99" xfId="2" applyNumberFormat="1" applyFont="1" applyBorder="1"/>
    <xf numFmtId="167" fontId="17" fillId="0" borderId="108" xfId="2" applyNumberFormat="1" applyFont="1" applyBorder="1"/>
    <xf numFmtId="44" fontId="15" fillId="0" borderId="6" xfId="2" applyFont="1" applyFill="1" applyBorder="1"/>
    <xf numFmtId="5" fontId="15" fillId="0" borderId="93" xfId="0" applyNumberFormat="1" applyFont="1" applyBorder="1"/>
    <xf numFmtId="5" fontId="15" fillId="0" borderId="94" xfId="0" applyNumberFormat="1" applyFont="1" applyBorder="1"/>
    <xf numFmtId="167" fontId="17" fillId="0" borderId="72" xfId="2" applyNumberFormat="1" applyFont="1" applyBorder="1"/>
    <xf numFmtId="166" fontId="17" fillId="0" borderId="77" xfId="0" applyNumberFormat="1" applyFont="1" applyBorder="1"/>
    <xf numFmtId="0" fontId="15" fillId="0" borderId="96" xfId="2" applyNumberFormat="1" applyFont="1" applyFill="1" applyBorder="1"/>
    <xf numFmtId="167" fontId="17" fillId="0" borderId="77" xfId="2" applyNumberFormat="1" applyFont="1" applyBorder="1"/>
    <xf numFmtId="44" fontId="15" fillId="0" borderId="7" xfId="2" applyFont="1" applyFill="1" applyBorder="1"/>
    <xf numFmtId="0" fontId="15" fillId="4" borderId="100" xfId="12" applyFont="1" applyFill="1" applyBorder="1"/>
    <xf numFmtId="167" fontId="15" fillId="0" borderId="101" xfId="2" applyNumberFormat="1" applyFont="1" applyFill="1" applyBorder="1"/>
    <xf numFmtId="0" fontId="17" fillId="4" borderId="29" xfId="12" applyFont="1" applyFill="1" applyBorder="1"/>
    <xf numFmtId="167" fontId="15" fillId="0" borderId="14" xfId="2" applyNumberFormat="1" applyFont="1" applyFill="1" applyBorder="1"/>
    <xf numFmtId="0" fontId="17" fillId="4" borderId="28" xfId="12" applyFont="1" applyFill="1" applyBorder="1"/>
    <xf numFmtId="167" fontId="15" fillId="0" borderId="102" xfId="2" applyNumberFormat="1" applyFont="1" applyFill="1" applyBorder="1"/>
    <xf numFmtId="44" fontId="17" fillId="0" borderId="6" xfId="2" applyFont="1" applyFill="1" applyBorder="1"/>
    <xf numFmtId="6" fontId="15" fillId="0" borderId="95" xfId="2" applyNumberFormat="1" applyFont="1" applyFill="1" applyBorder="1"/>
    <xf numFmtId="6" fontId="15" fillId="0" borderId="81" xfId="2" applyNumberFormat="1" applyFont="1" applyBorder="1"/>
    <xf numFmtId="6" fontId="15" fillId="0" borderId="60" xfId="2" applyNumberFormat="1" applyFont="1" applyBorder="1"/>
    <xf numFmtId="6" fontId="17" fillId="0" borderId="109" xfId="2" applyNumberFormat="1" applyFont="1" applyBorder="1"/>
    <xf numFmtId="6" fontId="15" fillId="0" borderId="96" xfId="2" applyNumberFormat="1" applyFont="1" applyFill="1" applyBorder="1"/>
    <xf numFmtId="6" fontId="15" fillId="0" borderId="97" xfId="2" applyNumberFormat="1" applyFont="1" applyBorder="1"/>
    <xf numFmtId="6" fontId="15" fillId="0" borderId="75" xfId="2" applyNumberFormat="1" applyFont="1" applyBorder="1"/>
    <xf numFmtId="6" fontId="17" fillId="0" borderId="77" xfId="2" applyNumberFormat="1" applyFont="1" applyBorder="1"/>
    <xf numFmtId="166" fontId="15" fillId="0" borderId="98" xfId="7" applyNumberFormat="1" applyFont="1" applyFill="1" applyBorder="1"/>
    <xf numFmtId="166" fontId="15" fillId="0" borderId="82" xfId="7" applyNumberFormat="1" applyFont="1" applyBorder="1"/>
    <xf numFmtId="166" fontId="15" fillId="0" borderId="99" xfId="7" applyNumberFormat="1" applyFont="1" applyBorder="1"/>
    <xf numFmtId="166" fontId="17" fillId="0" borderId="108" xfId="0" applyNumberFormat="1" applyFont="1" applyBorder="1"/>
    <xf numFmtId="5" fontId="15" fillId="0" borderId="0" xfId="0" applyNumberFormat="1" applyFont="1"/>
    <xf numFmtId="0" fontId="59" fillId="6" borderId="23" xfId="0" applyFont="1" applyFill="1" applyBorder="1"/>
    <xf numFmtId="0" fontId="15" fillId="6" borderId="21" xfId="0" applyFont="1" applyFill="1" applyBorder="1"/>
    <xf numFmtId="0" fontId="59" fillId="6" borderId="21" xfId="0" applyFont="1" applyFill="1" applyBorder="1" applyAlignment="1">
      <alignment horizontal="right"/>
    </xf>
    <xf numFmtId="0" fontId="59" fillId="6" borderId="30" xfId="0" applyFont="1" applyFill="1" applyBorder="1" applyAlignment="1">
      <alignment horizontal="right"/>
    </xf>
    <xf numFmtId="167" fontId="17" fillId="0" borderId="37" xfId="0" applyNumberFormat="1" applyFont="1" applyFill="1" applyBorder="1"/>
    <xf numFmtId="167" fontId="17" fillId="0" borderId="24" xfId="0" applyNumberFormat="1" applyFont="1" applyFill="1" applyBorder="1"/>
    <xf numFmtId="0" fontId="17" fillId="4" borderId="44" xfId="0" applyFont="1" applyFill="1" applyBorder="1"/>
    <xf numFmtId="10" fontId="17" fillId="0" borderId="54" xfId="0" applyNumberFormat="1" applyFont="1" applyFill="1" applyBorder="1"/>
    <xf numFmtId="167" fontId="17" fillId="0" borderId="54" xfId="0" applyNumberFormat="1" applyFont="1" applyFill="1" applyBorder="1"/>
    <xf numFmtId="0" fontId="17" fillId="4" borderId="107" xfId="0" applyFont="1" applyFill="1" applyBorder="1"/>
    <xf numFmtId="0" fontId="17" fillId="4" borderId="40" xfId="0" applyFont="1" applyFill="1" applyBorder="1"/>
    <xf numFmtId="167" fontId="17" fillId="0" borderId="45" xfId="0" applyNumberFormat="1" applyFont="1" applyFill="1" applyBorder="1"/>
    <xf numFmtId="167" fontId="17" fillId="0" borderId="49" xfId="0" applyNumberFormat="1" applyFont="1" applyFill="1" applyBorder="1"/>
    <xf numFmtId="167" fontId="60" fillId="0" borderId="37" xfId="0" applyNumberFormat="1" applyFont="1" applyFill="1" applyBorder="1"/>
    <xf numFmtId="167" fontId="60" fillId="0" borderId="24" xfId="0" applyNumberFormat="1" applyFont="1" applyFill="1" applyBorder="1"/>
    <xf numFmtId="41" fontId="17" fillId="0" borderId="37" xfId="0" applyNumberFormat="1" applyFont="1" applyFill="1" applyBorder="1"/>
    <xf numFmtId="41" fontId="17" fillId="0" borderId="24" xfId="0" applyNumberFormat="1" applyFont="1" applyFill="1" applyBorder="1"/>
    <xf numFmtId="0" fontId="15" fillId="4" borderId="51" xfId="0" applyFont="1" applyFill="1" applyBorder="1"/>
    <xf numFmtId="0" fontId="15" fillId="0" borderId="52" xfId="0" applyFont="1" applyFill="1" applyBorder="1"/>
    <xf numFmtId="10" fontId="15" fillId="0" borderId="52" xfId="7" applyNumberFormat="1" applyFont="1" applyFill="1" applyBorder="1"/>
    <xf numFmtId="10" fontId="15" fillId="0" borderId="103" xfId="7" applyNumberFormat="1" applyFont="1" applyFill="1" applyBorder="1"/>
    <xf numFmtId="0" fontId="17" fillId="0" borderId="19" xfId="0" applyFont="1" applyFill="1" applyBorder="1"/>
    <xf numFmtId="10" fontId="15" fillId="0" borderId="19" xfId="0" applyNumberFormat="1" applyFont="1" applyFill="1" applyBorder="1"/>
    <xf numFmtId="10" fontId="15" fillId="0" borderId="25" xfId="0" applyNumberFormat="1" applyFont="1" applyFill="1" applyBorder="1"/>
    <xf numFmtId="165" fontId="15" fillId="0" borderId="0" xfId="2" applyNumberFormat="1" applyFont="1"/>
    <xf numFmtId="0" fontId="59" fillId="6" borderId="31" xfId="0" applyFont="1" applyFill="1" applyBorder="1" applyAlignment="1">
      <alignment horizontal="right"/>
    </xf>
    <xf numFmtId="10" fontId="17" fillId="0" borderId="46" xfId="0" applyNumberFormat="1" applyFont="1" applyFill="1" applyBorder="1"/>
    <xf numFmtId="0" fontId="15" fillId="4" borderId="104" xfId="0" applyFont="1" applyFill="1" applyBorder="1"/>
    <xf numFmtId="166" fontId="17" fillId="0" borderId="46" xfId="0" applyNumberFormat="1" applyFont="1" applyFill="1" applyBorder="1"/>
    <xf numFmtId="5" fontId="60" fillId="0" borderId="46" xfId="0" applyNumberFormat="1" applyFont="1" applyFill="1" applyBorder="1"/>
    <xf numFmtId="5" fontId="60" fillId="0" borderId="37" xfId="0" applyNumberFormat="1" applyFont="1" applyFill="1" applyBorder="1"/>
    <xf numFmtId="0" fontId="15" fillId="4" borderId="40" xfId="0" applyFont="1" applyFill="1" applyBorder="1"/>
    <xf numFmtId="0" fontId="59" fillId="6" borderId="50" xfId="0" applyFont="1" applyFill="1" applyBorder="1" applyAlignment="1">
      <alignment horizontal="right"/>
    </xf>
    <xf numFmtId="10" fontId="17" fillId="0" borderId="45" xfId="7" applyNumberFormat="1" applyFont="1" applyFill="1" applyBorder="1"/>
    <xf numFmtId="10" fontId="17" fillId="0" borderId="47" xfId="7" applyNumberFormat="1" applyFont="1" applyFill="1" applyBorder="1"/>
    <xf numFmtId="10" fontId="17" fillId="0" borderId="42" xfId="7" applyNumberFormat="1" applyFont="1" applyFill="1" applyBorder="1"/>
    <xf numFmtId="167" fontId="15" fillId="0" borderId="31" xfId="0" applyNumberFormat="1" applyFont="1" applyFill="1" applyBorder="1"/>
    <xf numFmtId="167" fontId="15" fillId="0" borderId="12" xfId="0" applyNumberFormat="1" applyFont="1" applyFill="1" applyBorder="1"/>
    <xf numFmtId="0" fontId="17" fillId="0" borderId="1" xfId="0" applyFont="1" applyFill="1" applyBorder="1"/>
    <xf numFmtId="0" fontId="59" fillId="6" borderId="16" xfId="0" applyFont="1" applyFill="1" applyBorder="1" applyAlignment="1">
      <alignment horizontal="right"/>
    </xf>
    <xf numFmtId="0" fontId="59" fillId="6" borderId="22" xfId="0" applyFont="1" applyFill="1" applyBorder="1" applyAlignment="1">
      <alignment horizontal="right"/>
    </xf>
    <xf numFmtId="167" fontId="15" fillId="0" borderId="48" xfId="0" applyNumberFormat="1" applyFont="1" applyFill="1" applyBorder="1"/>
    <xf numFmtId="0" fontId="17" fillId="0" borderId="45" xfId="0" applyFont="1" applyFill="1" applyBorder="1"/>
    <xf numFmtId="0" fontId="17" fillId="0" borderId="47" xfId="0" applyFont="1" applyFill="1" applyBorder="1"/>
    <xf numFmtId="10" fontId="17" fillId="0" borderId="49" xfId="7" applyNumberFormat="1" applyFont="1" applyFill="1" applyBorder="1"/>
    <xf numFmtId="0" fontId="15" fillId="0" borderId="11" xfId="0" applyFont="1" applyFill="1" applyBorder="1"/>
    <xf numFmtId="167" fontId="15" fillId="0" borderId="25" xfId="0" applyNumberFormat="1" applyFont="1" applyFill="1" applyBorder="1"/>
    <xf numFmtId="167" fontId="17" fillId="0" borderId="47" xfId="0" applyNumberFormat="1" applyFont="1" applyFill="1" applyBorder="1"/>
    <xf numFmtId="5" fontId="15" fillId="7" borderId="0" xfId="0" applyNumberFormat="1" applyFont="1" applyFill="1" applyBorder="1"/>
    <xf numFmtId="0" fontId="15" fillId="0" borderId="107" xfId="0" applyFont="1" applyFill="1" applyBorder="1" applyAlignment="1">
      <alignment horizontal="right"/>
    </xf>
    <xf numFmtId="0" fontId="15" fillId="0" borderId="55" xfId="0" applyFont="1" applyFill="1" applyBorder="1" applyAlignment="1">
      <alignment horizontal="right"/>
    </xf>
    <xf numFmtId="165" fontId="15" fillId="0" borderId="37" xfId="2" applyNumberFormat="1" applyFont="1" applyFill="1" applyBorder="1"/>
    <xf numFmtId="165" fontId="15" fillId="0" borderId="15" xfId="2" applyNumberFormat="1" applyFont="1" applyFill="1" applyBorder="1"/>
    <xf numFmtId="165" fontId="15" fillId="0" borderId="18" xfId="2" applyNumberFormat="1" applyFont="1" applyFill="1" applyBorder="1"/>
    <xf numFmtId="165" fontId="15" fillId="0" borderId="110" xfId="2" applyNumberFormat="1" applyFont="1" applyFill="1" applyBorder="1"/>
    <xf numFmtId="165" fontId="15" fillId="0" borderId="111" xfId="2" applyNumberFormat="1" applyFont="1" applyFill="1" applyBorder="1"/>
    <xf numFmtId="165" fontId="15" fillId="0" borderId="24" xfId="2" applyNumberFormat="1" applyFont="1" applyFill="1" applyBorder="1"/>
    <xf numFmtId="165" fontId="15" fillId="0" borderId="18" xfId="0" applyNumberFormat="1" applyFont="1" applyFill="1" applyBorder="1"/>
    <xf numFmtId="165" fontId="15" fillId="0" borderId="24" xfId="0" applyNumberFormat="1" applyFont="1" applyFill="1" applyBorder="1"/>
    <xf numFmtId="165" fontId="15" fillId="0" borderId="0" xfId="0" applyNumberFormat="1" applyFont="1" applyFill="1" applyBorder="1"/>
    <xf numFmtId="165" fontId="15" fillId="0" borderId="18" xfId="0" applyNumberFormat="1" applyFont="1" applyBorder="1"/>
    <xf numFmtId="165" fontId="15" fillId="0" borderId="24" xfId="0" applyNumberFormat="1" applyFont="1" applyBorder="1"/>
    <xf numFmtId="165" fontId="15" fillId="0" borderId="13" xfId="0" applyNumberFormat="1" applyFont="1" applyFill="1" applyBorder="1"/>
    <xf numFmtId="165" fontId="15" fillId="0" borderId="20" xfId="0" applyNumberFormat="1" applyFont="1" applyFill="1" applyBorder="1"/>
    <xf numFmtId="165" fontId="15" fillId="0" borderId="25" xfId="0" applyNumberFormat="1" applyFont="1" applyFill="1" applyBorder="1"/>
    <xf numFmtId="165" fontId="15" fillId="0" borderId="19" xfId="2" applyNumberFormat="1" applyFont="1" applyFill="1" applyBorder="1"/>
    <xf numFmtId="165" fontId="15" fillId="0" borderId="25" xfId="2" applyNumberFormat="1" applyFont="1" applyFill="1" applyBorder="1"/>
    <xf numFmtId="165" fontId="15" fillId="0" borderId="13" xfId="2" applyNumberFormat="1" applyFont="1" applyFill="1" applyBorder="1"/>
    <xf numFmtId="165" fontId="15" fillId="0" borderId="12" xfId="2" applyNumberFormat="1" applyFont="1" applyFill="1" applyBorder="1"/>
    <xf numFmtId="0" fontId="17" fillId="4" borderId="13" xfId="0" applyFont="1" applyFill="1" applyBorder="1" applyAlignment="1" applyProtection="1">
      <alignment vertical="center"/>
    </xf>
    <xf numFmtId="0" fontId="15" fillId="4" borderId="0" xfId="0" applyFont="1" applyFill="1" applyBorder="1" applyAlignment="1" applyProtection="1">
      <alignment vertical="center"/>
    </xf>
    <xf numFmtId="0" fontId="15" fillId="4" borderId="13" xfId="0" applyFont="1" applyFill="1" applyBorder="1" applyAlignment="1" applyProtection="1">
      <alignment vertical="center"/>
    </xf>
    <xf numFmtId="0" fontId="53" fillId="6" borderId="36" xfId="0" applyFont="1" applyFill="1" applyBorder="1" applyAlignment="1" applyProtection="1">
      <alignment horizontal="center"/>
    </xf>
    <xf numFmtId="0" fontId="53" fillId="6" borderId="112" xfId="0" applyFont="1" applyFill="1" applyBorder="1" applyAlignment="1" applyProtection="1">
      <alignment horizontal="center"/>
    </xf>
    <xf numFmtId="0" fontId="53" fillId="6" borderId="116" xfId="0" applyFont="1" applyFill="1" applyBorder="1" applyAlignment="1" applyProtection="1">
      <alignment horizontal="center"/>
    </xf>
    <xf numFmtId="10" fontId="17" fillId="0" borderId="55" xfId="0" applyNumberFormat="1" applyFont="1" applyBorder="1"/>
    <xf numFmtId="2" fontId="17" fillId="0" borderId="55" xfId="0" applyNumberFormat="1" applyFont="1" applyBorder="1"/>
    <xf numFmtId="10" fontId="55" fillId="0" borderId="57" xfId="0" applyNumberFormat="1" applyFont="1" applyBorder="1"/>
    <xf numFmtId="10" fontId="17" fillId="0" borderId="53" xfId="0" applyNumberFormat="1" applyFont="1" applyBorder="1"/>
    <xf numFmtId="10" fontId="17" fillId="0" borderId="49" xfId="0" applyNumberFormat="1" applyFont="1" applyBorder="1"/>
    <xf numFmtId="0" fontId="6" fillId="0" borderId="0" xfId="0" applyFont="1"/>
    <xf numFmtId="0" fontId="62" fillId="0" borderId="0" xfId="0" applyFont="1" applyFill="1"/>
    <xf numFmtId="42" fontId="20" fillId="0" borderId="0" xfId="0" applyNumberFormat="1" applyFont="1" applyFill="1" applyBorder="1"/>
    <xf numFmtId="166" fontId="18" fillId="0" borderId="0" xfId="7" applyNumberFormat="1" applyFont="1" applyFill="1" applyBorder="1"/>
    <xf numFmtId="166" fontId="18" fillId="0" borderId="37" xfId="7" applyNumberFormat="1" applyFont="1" applyFill="1" applyBorder="1"/>
    <xf numFmtId="166" fontId="18" fillId="0" borderId="15" xfId="7" applyNumberFormat="1" applyFont="1" applyFill="1" applyBorder="1"/>
    <xf numFmtId="166" fontId="18" fillId="0" borderId="41" xfId="7" applyNumberFormat="1" applyFont="1" applyFill="1" applyBorder="1"/>
    <xf numFmtId="166" fontId="16" fillId="0" borderId="45" xfId="7" applyNumberFormat="1" applyFont="1" applyFill="1" applyBorder="1"/>
    <xf numFmtId="166" fontId="16" fillId="0" borderId="41" xfId="7" applyNumberFormat="1" applyFont="1" applyFill="1" applyBorder="1"/>
    <xf numFmtId="166" fontId="16" fillId="0" borderId="42" xfId="7" applyNumberFormat="1" applyFont="1" applyFill="1" applyBorder="1"/>
    <xf numFmtId="167" fontId="22" fillId="11" borderId="9" xfId="0" applyNumberFormat="1" applyFont="1" applyFill="1" applyBorder="1"/>
    <xf numFmtId="5" fontId="19" fillId="0" borderId="12" xfId="0" applyNumberFormat="1" applyFont="1" applyFill="1" applyBorder="1"/>
    <xf numFmtId="0" fontId="18" fillId="0" borderId="13" xfId="0" applyFont="1" applyFill="1" applyBorder="1"/>
    <xf numFmtId="5" fontId="20" fillId="0" borderId="12" xfId="0" applyNumberFormat="1" applyFont="1" applyFill="1" applyBorder="1"/>
    <xf numFmtId="167" fontId="17" fillId="0" borderId="15" xfId="0" applyNumberFormat="1" applyFont="1" applyFill="1" applyBorder="1"/>
    <xf numFmtId="3" fontId="17" fillId="0" borderId="0" xfId="0" applyNumberFormat="1" applyFont="1" applyFill="1" applyBorder="1" applyAlignment="1">
      <alignment horizontal="right"/>
    </xf>
    <xf numFmtId="0" fontId="16" fillId="4" borderId="26" xfId="0" applyFont="1" applyFill="1" applyBorder="1"/>
    <xf numFmtId="169" fontId="19" fillId="0" borderId="17" xfId="0" applyNumberFormat="1" applyFont="1" applyFill="1" applyBorder="1"/>
    <xf numFmtId="169" fontId="17" fillId="0" borderId="17" xfId="0" applyNumberFormat="1" applyFont="1" applyFill="1" applyBorder="1"/>
    <xf numFmtId="169" fontId="15" fillId="0" borderId="0" xfId="0" applyNumberFormat="1" applyFont="1" applyFill="1" applyBorder="1"/>
    <xf numFmtId="167" fontId="15" fillId="0" borderId="33" xfId="0" applyNumberFormat="1" applyFont="1" applyFill="1" applyBorder="1"/>
    <xf numFmtId="167" fontId="15" fillId="0" borderId="0" xfId="0" applyNumberFormat="1" applyFont="1" applyFill="1"/>
    <xf numFmtId="10" fontId="19" fillId="0" borderId="15" xfId="7" applyNumberFormat="1" applyFont="1" applyFill="1" applyBorder="1"/>
    <xf numFmtId="10" fontId="32" fillId="0" borderId="15" xfId="7" applyNumberFormat="1" applyFont="1" applyFill="1" applyBorder="1"/>
    <xf numFmtId="0" fontId="15" fillId="6" borderId="113" xfId="0" applyFont="1" applyFill="1" applyBorder="1"/>
    <xf numFmtId="10" fontId="19" fillId="0" borderId="12" xfId="7" applyNumberFormat="1" applyFont="1" applyFill="1" applyBorder="1"/>
    <xf numFmtId="0" fontId="15" fillId="0" borderId="34" xfId="0" applyFont="1" applyFill="1" applyBorder="1"/>
    <xf numFmtId="6" fontId="15" fillId="9" borderId="15" xfId="0" applyNumberFormat="1" applyFont="1" applyFill="1" applyBorder="1" applyAlignment="1">
      <alignment horizontal="right" wrapText="1"/>
    </xf>
    <xf numFmtId="0" fontId="53" fillId="4" borderId="23" xfId="0" applyFont="1" applyFill="1" applyBorder="1" applyAlignment="1" applyProtection="1">
      <alignment horizontal="center"/>
    </xf>
    <xf numFmtId="0" fontId="53" fillId="4" borderId="27" xfId="0" applyFont="1" applyFill="1" applyBorder="1" applyAlignment="1" applyProtection="1">
      <alignment horizontal="center"/>
    </xf>
    <xf numFmtId="0" fontId="53" fillId="4" borderId="22" xfId="0" applyFont="1" applyFill="1" applyBorder="1" applyAlignment="1" applyProtection="1">
      <alignment horizontal="center"/>
    </xf>
    <xf numFmtId="0" fontId="17" fillId="6" borderId="26" xfId="12" applyFont="1" applyFill="1" applyBorder="1" applyAlignment="1" applyProtection="1">
      <alignment horizontal="center"/>
    </xf>
    <xf numFmtId="0" fontId="17" fillId="6" borderId="16" xfId="12" applyFont="1" applyFill="1" applyBorder="1" applyAlignment="1" applyProtection="1">
      <alignment horizontal="center"/>
    </xf>
    <xf numFmtId="0" fontId="17" fillId="6" borderId="27" xfId="12" applyFont="1" applyFill="1" applyBorder="1" applyAlignment="1" applyProtection="1">
      <alignment horizontal="center"/>
    </xf>
    <xf numFmtId="0" fontId="17" fillId="4" borderId="27" xfId="0" applyFont="1" applyFill="1" applyBorder="1" applyAlignment="1" applyProtection="1">
      <alignment horizontal="center"/>
    </xf>
    <xf numFmtId="0" fontId="17" fillId="6" borderId="28" xfId="0" applyFont="1" applyFill="1" applyBorder="1" applyAlignment="1" applyProtection="1">
      <alignment horizontal="center"/>
    </xf>
    <xf numFmtId="0" fontId="17" fillId="6" borderId="31" xfId="12" applyFont="1" applyFill="1" applyBorder="1" applyAlignment="1" applyProtection="1">
      <alignment horizontal="center"/>
    </xf>
    <xf numFmtId="0" fontId="17" fillId="6" borderId="22" xfId="0" applyFont="1" applyFill="1" applyBorder="1" applyAlignment="1" applyProtection="1">
      <alignment horizontal="center"/>
    </xf>
    <xf numFmtId="169" fontId="15" fillId="0" borderId="76" xfId="2" applyNumberFormat="1" applyFont="1" applyFill="1" applyBorder="1"/>
    <xf numFmtId="0" fontId="15" fillId="4" borderId="29" xfId="12" applyFont="1" applyFill="1" applyBorder="1"/>
    <xf numFmtId="0" fontId="15" fillId="4" borderId="117" xfId="12" applyFont="1" applyFill="1" applyBorder="1"/>
    <xf numFmtId="0" fontId="17" fillId="12" borderId="118" xfId="12" applyFont="1" applyFill="1" applyBorder="1"/>
    <xf numFmtId="167" fontId="18" fillId="6" borderId="16" xfId="0" applyNumberFormat="1" applyFont="1" applyFill="1" applyBorder="1"/>
    <xf numFmtId="5" fontId="15" fillId="6" borderId="0" xfId="0" applyNumberFormat="1" applyFont="1" applyFill="1" applyBorder="1"/>
    <xf numFmtId="10" fontId="19" fillId="0" borderId="0" xfId="0" applyNumberFormat="1" applyFont="1" applyFill="1"/>
    <xf numFmtId="1" fontId="19" fillId="0" borderId="15" xfId="0" applyNumberFormat="1" applyFont="1" applyFill="1" applyBorder="1"/>
    <xf numFmtId="0" fontId="15" fillId="6" borderId="23" xfId="0" applyFont="1" applyFill="1" applyBorder="1"/>
    <xf numFmtId="10" fontId="19" fillId="0" borderId="30" xfId="0" applyNumberFormat="1" applyFont="1" applyFill="1" applyBorder="1"/>
    <xf numFmtId="10" fontId="15" fillId="0" borderId="15" xfId="0" applyNumberFormat="1" applyFont="1" applyFill="1" applyBorder="1"/>
    <xf numFmtId="0" fontId="12" fillId="2" borderId="0" xfId="12" applyFont="1" applyFill="1" applyAlignment="1">
      <alignment vertical="top" wrapText="1"/>
    </xf>
    <xf numFmtId="0" fontId="12" fillId="0" borderId="0" xfId="12" applyFont="1" applyAlignment="1">
      <alignment vertical="top" wrapText="1"/>
    </xf>
    <xf numFmtId="0" fontId="12" fillId="2" borderId="0" xfId="12" quotePrefix="1" applyFont="1" applyFill="1" applyAlignment="1">
      <alignment horizontal="left" vertical="top" wrapText="1"/>
    </xf>
    <xf numFmtId="0" fontId="12" fillId="0" borderId="0" xfId="12" applyFont="1" applyAlignment="1">
      <alignment horizontal="left" vertical="top" wrapText="1"/>
    </xf>
    <xf numFmtId="0" fontId="12" fillId="2" borderId="0" xfId="12" quotePrefix="1" applyFont="1" applyFill="1" applyAlignment="1">
      <alignment horizontal="left" vertical="top" wrapText="1" indent="2"/>
    </xf>
    <xf numFmtId="0" fontId="12" fillId="0" borderId="0" xfId="12" applyFont="1" applyAlignment="1">
      <alignment horizontal="left" vertical="top" wrapText="1" indent="2"/>
    </xf>
    <xf numFmtId="0" fontId="17" fillId="7" borderId="23" xfId="0" applyFont="1" applyFill="1" applyBorder="1" applyAlignment="1">
      <alignment horizontal="center"/>
    </xf>
    <xf numFmtId="0" fontId="17" fillId="7" borderId="16" xfId="0" applyFont="1" applyFill="1" applyBorder="1" applyAlignment="1">
      <alignment horizontal="center"/>
    </xf>
    <xf numFmtId="0" fontId="17" fillId="7" borderId="30" xfId="0" applyFont="1" applyFill="1" applyBorder="1" applyAlignment="1">
      <alignment horizontal="center"/>
    </xf>
    <xf numFmtId="0" fontId="17" fillId="6" borderId="23" xfId="12" applyFont="1" applyFill="1" applyBorder="1" applyAlignment="1">
      <alignment horizontal="center"/>
    </xf>
    <xf numFmtId="0" fontId="17" fillId="6" borderId="16" xfId="12" applyFont="1" applyFill="1" applyBorder="1" applyAlignment="1">
      <alignment horizontal="center"/>
    </xf>
    <xf numFmtId="0" fontId="17" fillId="6" borderId="30" xfId="12" applyFont="1" applyFill="1" applyBorder="1" applyAlignment="1">
      <alignment horizontal="center"/>
    </xf>
    <xf numFmtId="0" fontId="17" fillId="6" borderId="2" xfId="0" applyFont="1" applyFill="1" applyBorder="1" applyAlignment="1" applyProtection="1">
      <alignment horizontal="center" vertical="center"/>
    </xf>
    <xf numFmtId="0" fontId="17" fillId="6" borderId="13" xfId="0" applyFont="1" applyFill="1" applyBorder="1" applyAlignment="1" applyProtection="1">
      <alignment horizontal="center" vertical="center"/>
    </xf>
    <xf numFmtId="0" fontId="17" fillId="4" borderId="5" xfId="0" applyFont="1" applyFill="1" applyBorder="1" applyAlignment="1" applyProtection="1">
      <alignment horizontal="center"/>
    </xf>
    <xf numFmtId="0" fontId="17" fillId="4" borderId="4" xfId="0" applyFont="1" applyFill="1" applyBorder="1" applyAlignment="1" applyProtection="1">
      <alignment horizontal="center"/>
    </xf>
    <xf numFmtId="0" fontId="17" fillId="4" borderId="23" xfId="0" applyFont="1" applyFill="1" applyBorder="1" applyAlignment="1" applyProtection="1">
      <alignment horizontal="center"/>
    </xf>
    <xf numFmtId="0" fontId="17" fillId="4" borderId="16" xfId="0" applyFont="1" applyFill="1" applyBorder="1" applyAlignment="1" applyProtection="1">
      <alignment horizontal="center"/>
    </xf>
    <xf numFmtId="0" fontId="53" fillId="4" borderId="23" xfId="12" applyFont="1" applyFill="1" applyBorder="1" applyAlignment="1" applyProtection="1">
      <alignment horizontal="center"/>
    </xf>
    <xf numFmtId="0" fontId="53" fillId="4" borderId="16" xfId="12" applyFont="1" applyFill="1" applyBorder="1" applyAlignment="1" applyProtection="1">
      <alignment horizontal="center"/>
    </xf>
    <xf numFmtId="0" fontId="53" fillId="4" borderId="30" xfId="12" applyFont="1" applyFill="1" applyBorder="1" applyAlignment="1" applyProtection="1">
      <alignment horizontal="center"/>
    </xf>
    <xf numFmtId="0" fontId="44" fillId="0" borderId="0" xfId="12" applyFont="1" applyFill="1" applyAlignment="1">
      <alignment horizontal="center" vertical="center" wrapText="1"/>
    </xf>
    <xf numFmtId="0" fontId="29" fillId="0" borderId="0" xfId="12" applyFont="1" applyAlignment="1">
      <alignment horizontal="left" vertical="center" wrapText="1"/>
    </xf>
    <xf numFmtId="0" fontId="29" fillId="0" borderId="0" xfId="12" applyFont="1" applyAlignment="1">
      <alignment horizontal="left" vertical="top" wrapText="1"/>
    </xf>
    <xf numFmtId="0" fontId="49" fillId="0" borderId="0" xfId="12" applyFont="1" applyFill="1" applyAlignment="1">
      <alignment horizontal="left" vertical="top" wrapText="1"/>
    </xf>
    <xf numFmtId="0" fontId="48" fillId="0" borderId="0" xfId="12" applyFont="1" applyFill="1" applyAlignment="1">
      <alignment horizontal="center" vertical="center" wrapText="1"/>
    </xf>
    <xf numFmtId="0" fontId="49" fillId="0" borderId="0" xfId="12" applyFont="1" applyFill="1" applyAlignment="1">
      <alignment horizontal="left" vertical="center" wrapText="1"/>
    </xf>
  </cellXfs>
  <cellStyles count="196">
    <cellStyle name="40% - Accent1 2" xfId="30"/>
    <cellStyle name="40% - Accent1 2 2" xfId="38"/>
    <cellStyle name="40% - Accent1 2 2 2" xfId="58"/>
    <cellStyle name="40% - Accent1 2 2 2 2" xfId="98"/>
    <cellStyle name="40% - Accent1 2 2 2 2 2" xfId="174"/>
    <cellStyle name="40% - Accent1 2 2 2 3" xfId="134"/>
    <cellStyle name="40% - Accent1 2 2 3" xfId="46"/>
    <cellStyle name="40% - Accent1 2 2 3 2" xfId="86"/>
    <cellStyle name="40% - Accent1 2 2 3 2 2" xfId="162"/>
    <cellStyle name="40% - Accent1 2 2 3 3" xfId="122"/>
    <cellStyle name="40% - Accent1 2 2 4" xfId="78"/>
    <cellStyle name="40% - Accent1 2 2 4 2" xfId="154"/>
    <cellStyle name="40% - Accent1 2 2 5" xfId="66"/>
    <cellStyle name="40% - Accent1 2 2 5 2" xfId="142"/>
    <cellStyle name="40% - Accent1 2 2 6" xfId="109"/>
    <cellStyle name="40% - Accent1 2 3" xfId="34"/>
    <cellStyle name="40% - Accent1 2 3 2" xfId="54"/>
    <cellStyle name="40% - Accent1 2 3 2 2" xfId="94"/>
    <cellStyle name="40% - Accent1 2 3 2 2 2" xfId="170"/>
    <cellStyle name="40% - Accent1 2 3 2 3" xfId="130"/>
    <cellStyle name="40% - Accent1 2 3 3" xfId="74"/>
    <cellStyle name="40% - Accent1 2 3 3 2" xfId="150"/>
    <cellStyle name="40% - Accent1 2 3 4" xfId="114"/>
    <cellStyle name="40% - Accent1 2 4" xfId="50"/>
    <cellStyle name="40% - Accent1 2 4 2" xfId="90"/>
    <cellStyle name="40% - Accent1 2 4 2 2" xfId="166"/>
    <cellStyle name="40% - Accent1 2 4 3" xfId="126"/>
    <cellStyle name="40% - Accent1 2 5" xfId="42"/>
    <cellStyle name="40% - Accent1 2 5 2" xfId="82"/>
    <cellStyle name="40% - Accent1 2 5 2 2" xfId="158"/>
    <cellStyle name="40% - Accent1 2 5 3" xfId="118"/>
    <cellStyle name="40% - Accent1 2 6" xfId="70"/>
    <cellStyle name="40% - Accent1 2 6 2" xfId="146"/>
    <cellStyle name="40% - Accent1 2 7" xfId="62"/>
    <cellStyle name="40% - Accent1 2 7 2" xfId="138"/>
    <cellStyle name="40% - Accent1 2 8" xfId="105"/>
    <cellStyle name="Comma" xfId="1" builtinId="3"/>
    <cellStyle name="Comma 2" xfId="9"/>
    <cellStyle name="Comma 2 2" xfId="21"/>
    <cellStyle name="Comma 3" xfId="18"/>
    <cellStyle name="Comma 4" xfId="27"/>
    <cellStyle name="Comma 5" xfId="99"/>
    <cellStyle name="Currency" xfId="2" builtinId="4"/>
    <cellStyle name="Currency 2" xfId="3"/>
    <cellStyle name="Currency 2 2" xfId="17"/>
    <cellStyle name="Currency 3" xfId="10"/>
    <cellStyle name="Currency 3 2" xfId="22"/>
    <cellStyle name="Currency 4" xfId="14"/>
    <cellStyle name="Currency 4 2" xfId="19"/>
    <cellStyle name="Currency 5" xfId="20"/>
    <cellStyle name="Currency 6" xfId="28"/>
    <cellStyle name="Currency 7" xfId="24"/>
    <cellStyle name="Currency 7 2" xfId="36"/>
    <cellStyle name="Currency 7 2 2" xfId="56"/>
    <cellStyle name="Currency 7 2 2 2" xfId="96"/>
    <cellStyle name="Currency 7 2 2 2 2" xfId="172"/>
    <cellStyle name="Currency 7 2 2 3" xfId="132"/>
    <cellStyle name="Currency 7 2 3" xfId="44"/>
    <cellStyle name="Currency 7 2 3 2" xfId="84"/>
    <cellStyle name="Currency 7 2 3 2 2" xfId="160"/>
    <cellStyle name="Currency 7 2 3 3" xfId="120"/>
    <cellStyle name="Currency 7 2 4" xfId="76"/>
    <cellStyle name="Currency 7 2 4 2" xfId="152"/>
    <cellStyle name="Currency 7 2 5" xfId="64"/>
    <cellStyle name="Currency 7 2 5 2" xfId="140"/>
    <cellStyle name="Currency 7 2 6" xfId="107"/>
    <cellStyle name="Currency 7 3" xfId="32"/>
    <cellStyle name="Currency 7 3 2" xfId="52"/>
    <cellStyle name="Currency 7 3 2 2" xfId="92"/>
    <cellStyle name="Currency 7 3 2 2 2" xfId="168"/>
    <cellStyle name="Currency 7 3 2 3" xfId="128"/>
    <cellStyle name="Currency 7 3 3" xfId="72"/>
    <cellStyle name="Currency 7 3 3 2" xfId="148"/>
    <cellStyle name="Currency 7 3 4" xfId="112"/>
    <cellStyle name="Currency 7 4" xfId="48"/>
    <cellStyle name="Currency 7 4 2" xfId="88"/>
    <cellStyle name="Currency 7 4 2 2" xfId="164"/>
    <cellStyle name="Currency 7 4 3" xfId="124"/>
    <cellStyle name="Currency 7 5" xfId="40"/>
    <cellStyle name="Currency 7 5 2" xfId="80"/>
    <cellStyle name="Currency 7 5 2 2" xfId="156"/>
    <cellStyle name="Currency 7 5 3" xfId="116"/>
    <cellStyle name="Currency 7 6" xfId="68"/>
    <cellStyle name="Currency 7 6 2" xfId="144"/>
    <cellStyle name="Currency 7 7" xfId="60"/>
    <cellStyle name="Currency 7 7 2" xfId="136"/>
    <cellStyle name="Currency 7 8" xfId="102"/>
    <cellStyle name="Currency 8" xfId="100"/>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Hyperlink 2" xfId="13"/>
    <cellStyle name="Normal" xfId="0" builtinId="0"/>
    <cellStyle name="Normal 2" xfId="4"/>
    <cellStyle name="Normal 2 2" xfId="12"/>
    <cellStyle name="Normal 3" xfId="11"/>
    <cellStyle name="Normal 4" xfId="26"/>
    <cellStyle name="Normal 5" xfId="23"/>
    <cellStyle name="Normal 5 2" xfId="35"/>
    <cellStyle name="Normal 5 2 2" xfId="55"/>
    <cellStyle name="Normal 5 2 2 2" xfId="95"/>
    <cellStyle name="Normal 5 2 2 2 2" xfId="171"/>
    <cellStyle name="Normal 5 2 2 3" xfId="131"/>
    <cellStyle name="Normal 5 2 3" xfId="43"/>
    <cellStyle name="Normal 5 2 3 2" xfId="83"/>
    <cellStyle name="Normal 5 2 3 2 2" xfId="159"/>
    <cellStyle name="Normal 5 2 3 3" xfId="119"/>
    <cellStyle name="Normal 5 2 4" xfId="75"/>
    <cellStyle name="Normal 5 2 4 2" xfId="151"/>
    <cellStyle name="Normal 5 2 5" xfId="63"/>
    <cellStyle name="Normal 5 2 5 2" xfId="139"/>
    <cellStyle name="Normal 5 2 6" xfId="106"/>
    <cellStyle name="Normal 5 3" xfId="31"/>
    <cellStyle name="Normal 5 3 2" xfId="51"/>
    <cellStyle name="Normal 5 3 2 2" xfId="91"/>
    <cellStyle name="Normal 5 3 2 2 2" xfId="167"/>
    <cellStyle name="Normal 5 3 2 3" xfId="127"/>
    <cellStyle name="Normal 5 3 3" xfId="71"/>
    <cellStyle name="Normal 5 3 3 2" xfId="147"/>
    <cellStyle name="Normal 5 3 4" xfId="111"/>
    <cellStyle name="Normal 5 4" xfId="47"/>
    <cellStyle name="Normal 5 4 2" xfId="87"/>
    <cellStyle name="Normal 5 4 2 2" xfId="163"/>
    <cellStyle name="Normal 5 4 3" xfId="123"/>
    <cellStyle name="Normal 5 5" xfId="39"/>
    <cellStyle name="Normal 5 5 2" xfId="79"/>
    <cellStyle name="Normal 5 5 2 2" xfId="155"/>
    <cellStyle name="Normal 5 5 3" xfId="115"/>
    <cellStyle name="Normal 5 6" xfId="67"/>
    <cellStyle name="Normal 5 6 2" xfId="143"/>
    <cellStyle name="Normal 5 7" xfId="59"/>
    <cellStyle name="Normal 5 7 2" xfId="135"/>
    <cellStyle name="Normal 5 8" xfId="101"/>
    <cellStyle name="Normal 6" xfId="104"/>
    <cellStyle name="Normal_BoiseDevTypes_final" xfId="5"/>
    <cellStyle name="Normal_Fiscal Impact Model" xfId="6"/>
    <cellStyle name="Percent" xfId="7" builtinId="5"/>
    <cellStyle name="Percent 2" xfId="8"/>
    <cellStyle name="Percent 2 2" xfId="15"/>
    <cellStyle name="Percent 3" xfId="16"/>
    <cellStyle name="Percent 4" xfId="29"/>
    <cellStyle name="Percent 5" xfId="25"/>
    <cellStyle name="Percent 5 2" xfId="37"/>
    <cellStyle name="Percent 5 2 2" xfId="57"/>
    <cellStyle name="Percent 5 2 2 2" xfId="97"/>
    <cellStyle name="Percent 5 2 2 2 2" xfId="173"/>
    <cellStyle name="Percent 5 2 2 3" xfId="133"/>
    <cellStyle name="Percent 5 2 3" xfId="45"/>
    <cellStyle name="Percent 5 2 3 2" xfId="85"/>
    <cellStyle name="Percent 5 2 3 2 2" xfId="161"/>
    <cellStyle name="Percent 5 2 3 3" xfId="121"/>
    <cellStyle name="Percent 5 2 4" xfId="77"/>
    <cellStyle name="Percent 5 2 4 2" xfId="153"/>
    <cellStyle name="Percent 5 2 5" xfId="65"/>
    <cellStyle name="Percent 5 2 5 2" xfId="141"/>
    <cellStyle name="Percent 5 2 6" xfId="108"/>
    <cellStyle name="Percent 5 3" xfId="33"/>
    <cellStyle name="Percent 5 3 2" xfId="53"/>
    <cellStyle name="Percent 5 3 2 2" xfId="93"/>
    <cellStyle name="Percent 5 3 2 2 2" xfId="169"/>
    <cellStyle name="Percent 5 3 2 3" xfId="129"/>
    <cellStyle name="Percent 5 3 3" xfId="73"/>
    <cellStyle name="Percent 5 3 3 2" xfId="149"/>
    <cellStyle name="Percent 5 3 4" xfId="113"/>
    <cellStyle name="Percent 5 4" xfId="49"/>
    <cellStyle name="Percent 5 4 2" xfId="89"/>
    <cellStyle name="Percent 5 4 2 2" xfId="165"/>
    <cellStyle name="Percent 5 4 3" xfId="125"/>
    <cellStyle name="Percent 5 5" xfId="41"/>
    <cellStyle name="Percent 5 5 2" xfId="81"/>
    <cellStyle name="Percent 5 5 2 2" xfId="157"/>
    <cellStyle name="Percent 5 5 3" xfId="117"/>
    <cellStyle name="Percent 5 6" xfId="69"/>
    <cellStyle name="Percent 5 6 2" xfId="145"/>
    <cellStyle name="Percent 5 7" xfId="61"/>
    <cellStyle name="Percent 5 7 2" xfId="137"/>
    <cellStyle name="Percent 5 8" xfId="103"/>
    <cellStyle name="Percent 6" xfId="1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13.xml.rels><?xml version="1.0" encoding="UTF-8" standalone="yes"?>
<Relationships xmlns="http://schemas.openxmlformats.org/package/2006/relationships"><Relationship Id="rId1" Type="http://schemas.openxmlformats.org/officeDocument/2006/relationships/hyperlink" Target="http://www.fhwa.dot.gov/tea21/factsheets/stp.htm" TargetMode="External"/></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4"/>
  <sheetViews>
    <sheetView tabSelected="1" workbookViewId="0">
      <selection activeCell="A14" sqref="A14"/>
    </sheetView>
  </sheetViews>
  <sheetFormatPr defaultColWidth="8.85546875" defaultRowHeight="12.75" x14ac:dyDescent="0.2"/>
  <cols>
    <col min="1" max="1" width="55" customWidth="1"/>
  </cols>
  <sheetData>
    <row r="2" spans="1:1" x14ac:dyDescent="0.2">
      <c r="A2" s="321" t="s">
        <v>499</v>
      </c>
    </row>
    <row r="3" spans="1:1" x14ac:dyDescent="0.2">
      <c r="A3" s="321" t="s">
        <v>500</v>
      </c>
    </row>
    <row r="4" spans="1:1" x14ac:dyDescent="0.2">
      <c r="A4" s="321"/>
    </row>
    <row r="5" spans="1:1" x14ac:dyDescent="0.2">
      <c r="A5" s="321" t="s">
        <v>501</v>
      </c>
    </row>
    <row r="7" spans="1:1" x14ac:dyDescent="0.2">
      <c r="A7" s="813" t="s">
        <v>511</v>
      </c>
    </row>
    <row r="9" spans="1:1" x14ac:dyDescent="0.2">
      <c r="A9" s="813" t="s">
        <v>502</v>
      </c>
    </row>
    <row r="10" spans="1:1" x14ac:dyDescent="0.2">
      <c r="A10" s="813" t="s">
        <v>503</v>
      </c>
    </row>
    <row r="12" spans="1:1" x14ac:dyDescent="0.2">
      <c r="A12" s="813" t="s">
        <v>504</v>
      </c>
    </row>
    <row r="13" spans="1:1" x14ac:dyDescent="0.2">
      <c r="A13" s="813" t="s">
        <v>505</v>
      </c>
    </row>
    <row r="14" spans="1:1" x14ac:dyDescent="0.2">
      <c r="A14" s="813" t="s">
        <v>506</v>
      </c>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25"/>
  <sheetViews>
    <sheetView zoomScale="70" zoomScaleNormal="70" zoomScalePageLayoutView="70" workbookViewId="0"/>
  </sheetViews>
  <sheetFormatPr defaultColWidth="8.85546875" defaultRowHeight="15.75" x14ac:dyDescent="0.25"/>
  <cols>
    <col min="1" max="1" width="15.28515625" style="11" customWidth="1"/>
    <col min="2" max="2" width="20.28515625" style="11" customWidth="1"/>
    <col min="3" max="3" width="23.140625" style="11" customWidth="1"/>
    <col min="4" max="4" width="21.42578125" style="11" customWidth="1"/>
    <col min="5" max="5" width="17.85546875" style="11" customWidth="1"/>
    <col min="6" max="6" width="17" style="11" customWidth="1"/>
    <col min="7" max="7" width="14.85546875" style="11" customWidth="1"/>
    <col min="8" max="8" width="21.85546875" style="11" customWidth="1"/>
    <col min="9" max="9" width="13.28515625" style="11" customWidth="1"/>
    <col min="10" max="10" width="15" style="11" customWidth="1"/>
    <col min="11" max="11" width="13.42578125" style="11" customWidth="1"/>
    <col min="12" max="12" width="14.42578125" style="11" customWidth="1"/>
    <col min="13" max="13" width="19.140625" style="11" bestFit="1" customWidth="1"/>
    <col min="14" max="14" width="15" style="11" bestFit="1" customWidth="1"/>
    <col min="15" max="15" width="16.28515625" style="11" customWidth="1"/>
    <col min="16" max="16" width="20" style="11" customWidth="1"/>
    <col min="17" max="17" width="15" style="11" customWidth="1"/>
    <col min="18" max="18" width="16.42578125" style="11" customWidth="1"/>
    <col min="19" max="21" width="14.28515625" style="11" customWidth="1"/>
    <col min="22" max="22" width="17.140625" style="11" customWidth="1"/>
    <col min="23" max="23" width="14.2851562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3.71093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548</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431</v>
      </c>
      <c r="I4" s="114"/>
      <c r="J4" s="114"/>
      <c r="K4" s="114"/>
      <c r="L4" s="463">
        <f>C27</f>
        <v>13610700</v>
      </c>
      <c r="M4" s="336"/>
      <c r="S4" s="39"/>
      <c r="Y4" s="39"/>
      <c r="Z4" s="39"/>
      <c r="AA4" s="39"/>
    </row>
    <row r="5" spans="1:27" x14ac:dyDescent="0.25">
      <c r="A5" s="67" t="s">
        <v>37</v>
      </c>
      <c r="B5" s="65"/>
      <c r="C5" s="65"/>
      <c r="D5" s="310">
        <v>0.1</v>
      </c>
      <c r="E5" s="311">
        <f>G124</f>
        <v>0.192876237117826</v>
      </c>
      <c r="F5" s="290"/>
      <c r="G5" s="336"/>
      <c r="H5" s="17" t="s">
        <v>38</v>
      </c>
      <c r="I5" s="18"/>
      <c r="J5" s="18"/>
      <c r="K5" s="18"/>
      <c r="L5" s="134">
        <f>H74</f>
        <v>0</v>
      </c>
    </row>
    <row r="6" spans="1:27" x14ac:dyDescent="0.25">
      <c r="A6" s="17" t="s">
        <v>416</v>
      </c>
      <c r="B6" s="18"/>
      <c r="C6" s="18"/>
      <c r="D6" s="247">
        <v>0.12</v>
      </c>
      <c r="E6" s="312">
        <f>IF($C$11=10,N137,IF($C$11=15,S137,IF($C$11=20,X137,IF($C$11=25,AC137,IF($C$11=30,AH137)))))</f>
        <v>6.3086119622082215E-2</v>
      </c>
      <c r="F6" s="313">
        <f>IF($C$11=10,N138,IF($C$11=15,S138,IF($C$11=20,X138,IF($C$11=25,AC138,IF($C$11=30,AH138)))))</f>
        <v>-4084062.9589554667</v>
      </c>
      <c r="H6" s="17" t="s">
        <v>39</v>
      </c>
      <c r="I6" s="24"/>
      <c r="J6" s="24"/>
      <c r="K6" s="24"/>
      <c r="L6" s="134">
        <f>H48</f>
        <v>0</v>
      </c>
    </row>
    <row r="7" spans="1:27" x14ac:dyDescent="0.25">
      <c r="A7" s="17" t="s">
        <v>417</v>
      </c>
      <c r="B7" s="18"/>
      <c r="C7" s="18"/>
      <c r="D7" s="247">
        <v>0.25</v>
      </c>
      <c r="E7" s="312">
        <f>IF($C$11=10,N145,IF($C$11=15,S145,IF($C$11=20,X145,IF($C$11=25,AC145,IF($C$11=30,AH145)))))</f>
        <v>0.26247166808461087</v>
      </c>
      <c r="F7" s="313">
        <f>IF($C$11=10,N146,IF($C$11=15,S146,IF($C$11=20,X146,IF($C$11=25,AC146,IF($C$11=30,AH146)))))</f>
        <v>67935.700889450032</v>
      </c>
      <c r="G7" s="336"/>
      <c r="H7" s="17" t="s">
        <v>40</v>
      </c>
      <c r="I7" s="24"/>
      <c r="J7" s="24"/>
      <c r="K7" s="24"/>
      <c r="L7" s="134">
        <f>H54</f>
        <v>1000000</v>
      </c>
    </row>
    <row r="8" spans="1:27" x14ac:dyDescent="0.25">
      <c r="A8" s="17" t="s">
        <v>24</v>
      </c>
      <c r="B8" s="18"/>
      <c r="C8" s="18"/>
      <c r="D8" s="100">
        <v>1.25</v>
      </c>
      <c r="E8" s="33">
        <f>G118/G120</f>
        <v>1.3863931284217914</v>
      </c>
      <c r="F8" s="34"/>
      <c r="H8" s="17" t="s">
        <v>41</v>
      </c>
      <c r="I8" s="24"/>
      <c r="J8" s="27"/>
      <c r="K8" s="27"/>
      <c r="L8" s="28">
        <f>SUM(L5:L7)</f>
        <v>1000000</v>
      </c>
      <c r="P8" s="272"/>
    </row>
    <row r="9" spans="1:27" ht="16.5" thickBot="1" x14ac:dyDescent="0.3">
      <c r="A9" s="35" t="s">
        <v>418</v>
      </c>
      <c r="B9" s="36"/>
      <c r="C9" s="36"/>
      <c r="D9" s="37">
        <f>L99</f>
        <v>0.04</v>
      </c>
      <c r="E9" s="314">
        <f>IF($C$11=10,N158,IF($C$11=15,S158,IF($C$11=20,X158,IF($C$11=25,AC158,IF($C$11=30,AH158)))))</f>
        <v>2.5270429823639251E-2</v>
      </c>
      <c r="F9" s="315">
        <f>IF($C$11=10,N159,IF($C$11=15,S159,IF($C$11=20,X159,IF($C$11=25,AC159,IF($C$11=30,AH159)))))</f>
        <v>-1387512.3361649383</v>
      </c>
      <c r="H9" s="29" t="s">
        <v>432</v>
      </c>
      <c r="I9" s="30"/>
      <c r="J9" s="31"/>
      <c r="K9" s="31"/>
      <c r="L9" s="32">
        <f>(C39-L8)</f>
        <v>12610700</v>
      </c>
    </row>
    <row r="10" spans="1:27" ht="16.5" thickBot="1" x14ac:dyDescent="0.3">
      <c r="A10" s="280"/>
      <c r="B10" s="280"/>
      <c r="C10" s="280"/>
      <c r="D10" s="280"/>
      <c r="E10" s="312"/>
      <c r="F10" s="370"/>
      <c r="H10" s="223"/>
      <c r="I10" s="38"/>
      <c r="J10" s="38"/>
      <c r="K10" s="38"/>
      <c r="L10" s="201"/>
    </row>
    <row r="11" spans="1:27" ht="16.5" thickBot="1" x14ac:dyDescent="0.3">
      <c r="A11" s="829" t="s">
        <v>427</v>
      </c>
      <c r="B11" s="304"/>
      <c r="C11" s="305">
        <v>10</v>
      </c>
      <c r="D11" s="166" t="s">
        <v>555</v>
      </c>
      <c r="F11" s="38"/>
      <c r="G11" s="38"/>
      <c r="H11" s="344" t="s">
        <v>457</v>
      </c>
      <c r="I11" s="12"/>
      <c r="J11" s="12"/>
      <c r="K11" s="12"/>
      <c r="L11" s="13"/>
      <c r="U11" s="369"/>
      <c r="V11" s="263"/>
    </row>
    <row r="12" spans="1:27" ht="16.5" thickBot="1" x14ac:dyDescent="0.3">
      <c r="E12" s="38"/>
      <c r="H12" s="40" t="s">
        <v>42</v>
      </c>
      <c r="I12" s="15"/>
      <c r="J12" s="15"/>
      <c r="K12" s="15"/>
      <c r="L12" s="246">
        <v>2.5000000000000001E-3</v>
      </c>
      <c r="U12" s="369"/>
      <c r="V12" s="263"/>
    </row>
    <row r="13" spans="1:27" ht="16.5" thickBot="1" x14ac:dyDescent="0.3">
      <c r="A13" s="379" t="s">
        <v>364</v>
      </c>
      <c r="B13" s="377"/>
      <c r="C13" s="380"/>
      <c r="D13" s="263" t="s">
        <v>551</v>
      </c>
      <c r="H13" s="50" t="s">
        <v>131</v>
      </c>
      <c r="I13" s="44"/>
      <c r="J13" s="44"/>
      <c r="K13" s="15"/>
      <c r="L13" s="246">
        <v>2.5000000000000001E-3</v>
      </c>
      <c r="U13" s="369"/>
      <c r="V13" s="263"/>
    </row>
    <row r="14" spans="1:27" ht="16.5" thickBot="1" x14ac:dyDescent="0.3">
      <c r="A14" s="375" t="s">
        <v>365</v>
      </c>
      <c r="B14" s="371"/>
      <c r="C14" s="382">
        <v>3000</v>
      </c>
      <c r="D14" s="263"/>
      <c r="H14" s="327"/>
      <c r="I14" s="122"/>
      <c r="J14" s="122"/>
      <c r="K14" s="122"/>
      <c r="L14" s="328"/>
      <c r="M14" s="868" t="s">
        <v>374</v>
      </c>
      <c r="N14" s="869"/>
      <c r="O14" s="870"/>
      <c r="P14" s="332" t="s">
        <v>375</v>
      </c>
      <c r="Q14" s="332" t="s">
        <v>376</v>
      </c>
      <c r="U14" s="369"/>
      <c r="V14" s="263"/>
    </row>
    <row r="15" spans="1:27" ht="16.5" thickBot="1" x14ac:dyDescent="0.3">
      <c r="A15" s="375" t="s">
        <v>366</v>
      </c>
      <c r="B15" s="371"/>
      <c r="C15" s="381">
        <v>20000</v>
      </c>
      <c r="D15" s="263"/>
      <c r="H15" s="43" t="s">
        <v>61</v>
      </c>
      <c r="I15" s="76" t="s">
        <v>81</v>
      </c>
      <c r="J15" s="77" t="s">
        <v>82</v>
      </c>
      <c r="K15" s="77" t="s">
        <v>83</v>
      </c>
      <c r="L15" s="78" t="s">
        <v>84</v>
      </c>
      <c r="M15" s="327" t="s">
        <v>372</v>
      </c>
      <c r="N15" s="122" t="s">
        <v>373</v>
      </c>
      <c r="O15" s="328"/>
      <c r="P15" s="122"/>
      <c r="Q15" s="331"/>
      <c r="U15" s="369"/>
      <c r="V15" s="263"/>
    </row>
    <row r="16" spans="1:27" x14ac:dyDescent="0.25">
      <c r="A16" s="375" t="s">
        <v>367</v>
      </c>
      <c r="B16" s="371"/>
      <c r="C16" s="381">
        <v>25205</v>
      </c>
      <c r="D16" s="263"/>
      <c r="H16" s="335" t="s">
        <v>85</v>
      </c>
      <c r="I16" s="310">
        <v>0</v>
      </c>
      <c r="J16" s="310">
        <v>0</v>
      </c>
      <c r="K16" s="363">
        <v>0</v>
      </c>
      <c r="L16" s="364">
        <v>0</v>
      </c>
      <c r="M16" s="322">
        <v>280</v>
      </c>
      <c r="N16" s="100">
        <v>200</v>
      </c>
      <c r="O16" s="323">
        <f>M16*N16</f>
        <v>56000</v>
      </c>
      <c r="P16" s="243">
        <v>100000</v>
      </c>
      <c r="Q16" s="329">
        <v>50000</v>
      </c>
      <c r="U16" s="369"/>
      <c r="V16" s="263"/>
    </row>
    <row r="17" spans="1:22" x14ac:dyDescent="0.25">
      <c r="A17" s="375" t="s">
        <v>368</v>
      </c>
      <c r="B17" s="371"/>
      <c r="C17" s="381">
        <v>20000</v>
      </c>
      <c r="D17" s="263"/>
      <c r="H17" s="72" t="s">
        <v>86</v>
      </c>
      <c r="I17" s="247">
        <v>0</v>
      </c>
      <c r="J17" s="247">
        <v>0</v>
      </c>
      <c r="K17" s="243">
        <v>0</v>
      </c>
      <c r="L17" s="252">
        <v>0</v>
      </c>
      <c r="M17" s="322">
        <v>280</v>
      </c>
      <c r="N17" s="100">
        <v>200</v>
      </c>
      <c r="O17" s="323">
        <f t="shared" ref="O17:O44" si="0">M17*N17</f>
        <v>56000</v>
      </c>
      <c r="P17" s="243">
        <v>100000</v>
      </c>
      <c r="Q17" s="329">
        <v>50000</v>
      </c>
      <c r="U17" s="369"/>
      <c r="V17" s="263"/>
    </row>
    <row r="18" spans="1:22" ht="16.5" thickBot="1" x14ac:dyDescent="0.3">
      <c r="A18" s="373" t="s">
        <v>369</v>
      </c>
      <c r="B18" s="372"/>
      <c r="C18" s="378">
        <v>45000</v>
      </c>
      <c r="D18" s="263"/>
      <c r="H18" s="72" t="s">
        <v>87</v>
      </c>
      <c r="I18" s="247">
        <v>0</v>
      </c>
      <c r="J18" s="247">
        <v>0</v>
      </c>
      <c r="K18" s="243">
        <v>0</v>
      </c>
      <c r="L18" s="252">
        <v>0</v>
      </c>
      <c r="M18" s="322">
        <v>280</v>
      </c>
      <c r="N18" s="100">
        <v>200</v>
      </c>
      <c r="O18" s="323">
        <f t="shared" si="0"/>
        <v>56000</v>
      </c>
      <c r="P18" s="243">
        <v>100000</v>
      </c>
      <c r="Q18" s="329">
        <v>50000</v>
      </c>
      <c r="U18" s="369"/>
      <c r="V18" s="263"/>
    </row>
    <row r="19" spans="1:22" ht="16.5" thickBot="1" x14ac:dyDescent="0.3">
      <c r="A19" s="374"/>
      <c r="B19" s="374"/>
      <c r="C19" s="376"/>
      <c r="D19" s="263"/>
      <c r="H19" s="72" t="s">
        <v>88</v>
      </c>
      <c r="I19" s="247">
        <v>0</v>
      </c>
      <c r="J19" s="247">
        <v>0</v>
      </c>
      <c r="K19" s="243">
        <v>0</v>
      </c>
      <c r="L19" s="252">
        <v>0</v>
      </c>
      <c r="M19" s="322">
        <v>280</v>
      </c>
      <c r="N19" s="100">
        <v>200</v>
      </c>
      <c r="O19" s="323">
        <f t="shared" si="0"/>
        <v>56000</v>
      </c>
      <c r="P19" s="243">
        <v>100000</v>
      </c>
      <c r="Q19" s="329">
        <v>50000</v>
      </c>
      <c r="U19" s="369"/>
      <c r="V19" s="263"/>
    </row>
    <row r="20" spans="1:22" ht="16.5" thickBot="1" x14ac:dyDescent="0.3">
      <c r="A20" s="398" t="s">
        <v>370</v>
      </c>
      <c r="B20" s="390"/>
      <c r="C20" s="399"/>
      <c r="D20" s="263"/>
      <c r="H20" s="72" t="s">
        <v>89</v>
      </c>
      <c r="I20" s="247">
        <v>0</v>
      </c>
      <c r="J20" s="247">
        <v>0</v>
      </c>
      <c r="K20" s="243">
        <v>0</v>
      </c>
      <c r="L20" s="252">
        <v>0</v>
      </c>
      <c r="M20" s="322">
        <v>280</v>
      </c>
      <c r="N20" s="100">
        <v>200</v>
      </c>
      <c r="O20" s="323">
        <f t="shared" si="0"/>
        <v>56000</v>
      </c>
      <c r="P20" s="243">
        <v>100000</v>
      </c>
      <c r="Q20" s="329">
        <v>50000</v>
      </c>
      <c r="U20" s="369"/>
      <c r="V20" s="263"/>
    </row>
    <row r="21" spans="1:22" x14ac:dyDescent="0.25">
      <c r="A21" s="393" t="s">
        <v>365</v>
      </c>
      <c r="B21" s="385"/>
      <c r="C21" s="401">
        <v>0</v>
      </c>
      <c r="D21" s="263"/>
      <c r="H21" s="72" t="s">
        <v>90</v>
      </c>
      <c r="I21" s="247">
        <v>0</v>
      </c>
      <c r="J21" s="247">
        <v>0</v>
      </c>
      <c r="K21" s="243">
        <v>0</v>
      </c>
      <c r="L21" s="252">
        <v>0</v>
      </c>
      <c r="M21" s="322">
        <v>280</v>
      </c>
      <c r="N21" s="100">
        <v>200</v>
      </c>
      <c r="O21" s="323">
        <f t="shared" si="0"/>
        <v>56000</v>
      </c>
      <c r="P21" s="243">
        <v>100000</v>
      </c>
      <c r="Q21" s="329">
        <v>50000</v>
      </c>
      <c r="U21" s="369"/>
      <c r="V21" s="263"/>
    </row>
    <row r="22" spans="1:22" x14ac:dyDescent="0.25">
      <c r="A22" s="393" t="s">
        <v>366</v>
      </c>
      <c r="B22" s="385"/>
      <c r="C22" s="400">
        <v>0</v>
      </c>
      <c r="D22" s="263"/>
      <c r="H22" s="72" t="s">
        <v>91</v>
      </c>
      <c r="I22" s="247">
        <v>0</v>
      </c>
      <c r="J22" s="247">
        <v>0</v>
      </c>
      <c r="K22" s="243">
        <v>0</v>
      </c>
      <c r="L22" s="252">
        <v>0</v>
      </c>
      <c r="M22" s="322">
        <v>280</v>
      </c>
      <c r="N22" s="100">
        <v>200</v>
      </c>
      <c r="O22" s="323">
        <f t="shared" si="0"/>
        <v>56000</v>
      </c>
      <c r="P22" s="243">
        <v>100000</v>
      </c>
      <c r="Q22" s="329">
        <v>50000</v>
      </c>
      <c r="U22" s="369"/>
      <c r="V22" s="263"/>
    </row>
    <row r="23" spans="1:22" x14ac:dyDescent="0.25">
      <c r="A23" s="393" t="s">
        <v>367</v>
      </c>
      <c r="B23" s="385"/>
      <c r="C23" s="400">
        <v>540</v>
      </c>
      <c r="D23" s="263"/>
      <c r="H23" s="72" t="s">
        <v>92</v>
      </c>
      <c r="I23" s="247">
        <v>0</v>
      </c>
      <c r="J23" s="247">
        <v>0</v>
      </c>
      <c r="K23" s="243">
        <v>0</v>
      </c>
      <c r="L23" s="252">
        <v>0</v>
      </c>
      <c r="M23" s="322">
        <v>280</v>
      </c>
      <c r="N23" s="100">
        <v>200</v>
      </c>
      <c r="O23" s="323">
        <f t="shared" si="0"/>
        <v>56000</v>
      </c>
      <c r="P23" s="243">
        <v>100000</v>
      </c>
      <c r="Q23" s="329">
        <v>50000</v>
      </c>
      <c r="U23" s="369"/>
      <c r="V23" s="263"/>
    </row>
    <row r="24" spans="1:22" x14ac:dyDescent="0.25">
      <c r="A24" s="393" t="s">
        <v>371</v>
      </c>
      <c r="B24" s="385"/>
      <c r="C24" s="400">
        <v>0</v>
      </c>
      <c r="D24" s="263"/>
      <c r="H24" s="72" t="s">
        <v>93</v>
      </c>
      <c r="I24" s="247">
        <v>0</v>
      </c>
      <c r="J24" s="247">
        <v>0</v>
      </c>
      <c r="K24" s="243">
        <v>0</v>
      </c>
      <c r="L24" s="252">
        <v>0</v>
      </c>
      <c r="M24" s="322">
        <v>280</v>
      </c>
      <c r="N24" s="100">
        <v>200</v>
      </c>
      <c r="O24" s="323">
        <f t="shared" si="0"/>
        <v>56000</v>
      </c>
      <c r="P24" s="243">
        <v>100000</v>
      </c>
      <c r="Q24" s="329">
        <v>50000</v>
      </c>
      <c r="U24" s="369"/>
      <c r="V24" s="263"/>
    </row>
    <row r="25" spans="1:22" x14ac:dyDescent="0.25">
      <c r="A25" s="384" t="s">
        <v>368</v>
      </c>
      <c r="B25" s="402"/>
      <c r="C25" s="400">
        <v>0</v>
      </c>
      <c r="D25" s="263"/>
      <c r="H25" s="72" t="s">
        <v>94</v>
      </c>
      <c r="I25" s="247">
        <v>0</v>
      </c>
      <c r="J25" s="247">
        <v>0</v>
      </c>
      <c r="K25" s="243">
        <v>0</v>
      </c>
      <c r="L25" s="252">
        <v>0</v>
      </c>
      <c r="M25" s="322">
        <v>280</v>
      </c>
      <c r="N25" s="100">
        <v>200</v>
      </c>
      <c r="O25" s="323">
        <f t="shared" si="0"/>
        <v>56000</v>
      </c>
      <c r="P25" s="243">
        <v>100000</v>
      </c>
      <c r="Q25" s="329">
        <v>50000</v>
      </c>
      <c r="U25" s="369"/>
      <c r="V25" s="263"/>
    </row>
    <row r="26" spans="1:22" x14ac:dyDescent="0.25">
      <c r="A26" s="434" t="s">
        <v>3</v>
      </c>
      <c r="B26" s="435"/>
      <c r="C26" s="436">
        <v>540</v>
      </c>
      <c r="D26" s="263"/>
      <c r="H26" s="72" t="s">
        <v>239</v>
      </c>
      <c r="I26" s="247">
        <v>0</v>
      </c>
      <c r="J26" s="247">
        <v>0</v>
      </c>
      <c r="K26" s="243">
        <v>0</v>
      </c>
      <c r="L26" s="252">
        <v>0</v>
      </c>
      <c r="M26" s="322">
        <v>280</v>
      </c>
      <c r="N26" s="100">
        <v>200</v>
      </c>
      <c r="O26" s="323">
        <f t="shared" si="0"/>
        <v>56000</v>
      </c>
      <c r="P26" s="243">
        <v>100000</v>
      </c>
      <c r="Q26" s="329">
        <v>50000</v>
      </c>
      <c r="U26" s="369"/>
      <c r="V26" s="263"/>
    </row>
    <row r="27" spans="1:22" x14ac:dyDescent="0.25">
      <c r="A27" s="418" t="s">
        <v>44</v>
      </c>
      <c r="B27" s="27"/>
      <c r="C27" s="840">
        <f>(C14*C21)+(C15*C22)+(C16*C23)+(C17*C24)+(C18*C25)</f>
        <v>13610700</v>
      </c>
      <c r="H27" s="72" t="s">
        <v>240</v>
      </c>
      <c r="I27" s="247">
        <v>0</v>
      </c>
      <c r="J27" s="247">
        <v>0</v>
      </c>
      <c r="K27" s="243">
        <v>0</v>
      </c>
      <c r="L27" s="252">
        <v>0</v>
      </c>
      <c r="M27" s="322">
        <v>280</v>
      </c>
      <c r="N27" s="100">
        <v>200</v>
      </c>
      <c r="O27" s="323">
        <f t="shared" si="0"/>
        <v>56000</v>
      </c>
      <c r="P27" s="243">
        <v>100000</v>
      </c>
      <c r="Q27" s="329">
        <v>50000</v>
      </c>
      <c r="U27" s="369"/>
      <c r="V27" s="263"/>
    </row>
    <row r="28" spans="1:22" x14ac:dyDescent="0.25">
      <c r="A28" s="49" t="s">
        <v>533</v>
      </c>
      <c r="B28" s="24"/>
      <c r="C28" s="134">
        <f>L8</f>
        <v>1000000</v>
      </c>
      <c r="D28" s="839"/>
      <c r="H28" s="72" t="s">
        <v>241</v>
      </c>
      <c r="I28" s="247">
        <v>0</v>
      </c>
      <c r="J28" s="247">
        <v>0</v>
      </c>
      <c r="K28" s="243">
        <v>0</v>
      </c>
      <c r="L28" s="252">
        <v>0</v>
      </c>
      <c r="M28" s="322">
        <v>280</v>
      </c>
      <c r="N28" s="100">
        <v>200</v>
      </c>
      <c r="O28" s="323">
        <f t="shared" si="0"/>
        <v>56000</v>
      </c>
      <c r="P28" s="243">
        <v>100000</v>
      </c>
      <c r="Q28" s="329">
        <v>50000</v>
      </c>
      <c r="U28" s="369"/>
      <c r="V28" s="263"/>
    </row>
    <row r="29" spans="1:22" ht="16.5" thickBot="1" x14ac:dyDescent="0.3">
      <c r="A29" s="118" t="s">
        <v>534</v>
      </c>
      <c r="B29" s="36"/>
      <c r="C29" s="194">
        <f>C27-C28</f>
        <v>12610700</v>
      </c>
      <c r="D29" s="839"/>
      <c r="H29" s="72" t="s">
        <v>242</v>
      </c>
      <c r="I29" s="247">
        <v>0</v>
      </c>
      <c r="J29" s="247">
        <v>0</v>
      </c>
      <c r="K29" s="243">
        <v>0</v>
      </c>
      <c r="L29" s="252">
        <v>0</v>
      </c>
      <c r="M29" s="322">
        <v>280</v>
      </c>
      <c r="N29" s="100">
        <v>200</v>
      </c>
      <c r="O29" s="323">
        <f t="shared" si="0"/>
        <v>56000</v>
      </c>
      <c r="P29" s="243">
        <v>100000</v>
      </c>
      <c r="Q29" s="329">
        <v>50000</v>
      </c>
      <c r="U29" s="369"/>
      <c r="V29" s="263"/>
    </row>
    <row r="30" spans="1:22" ht="16.5" thickBot="1" x14ac:dyDescent="0.3">
      <c r="H30" s="72" t="s">
        <v>243</v>
      </c>
      <c r="I30" s="247">
        <v>0</v>
      </c>
      <c r="J30" s="247">
        <v>0</v>
      </c>
      <c r="K30" s="243">
        <v>0</v>
      </c>
      <c r="L30" s="252">
        <v>0</v>
      </c>
      <c r="M30" s="322">
        <v>280</v>
      </c>
      <c r="N30" s="100">
        <v>200</v>
      </c>
      <c r="O30" s="323">
        <f t="shared" si="0"/>
        <v>56000</v>
      </c>
      <c r="P30" s="243">
        <v>100000</v>
      </c>
      <c r="Q30" s="329">
        <v>50000</v>
      </c>
      <c r="U30" s="369"/>
      <c r="V30" s="263"/>
    </row>
    <row r="31" spans="1:22" ht="16.5" thickBot="1" x14ac:dyDescent="0.3">
      <c r="A31" s="43" t="s">
        <v>397</v>
      </c>
      <c r="B31" s="44"/>
      <c r="C31" s="45"/>
      <c r="H31" s="72" t="s">
        <v>244</v>
      </c>
      <c r="I31" s="247">
        <v>0</v>
      </c>
      <c r="J31" s="247">
        <v>0</v>
      </c>
      <c r="K31" s="243">
        <v>0</v>
      </c>
      <c r="L31" s="252">
        <v>0</v>
      </c>
      <c r="M31" s="322">
        <v>280</v>
      </c>
      <c r="N31" s="100">
        <v>200</v>
      </c>
      <c r="O31" s="323">
        <f t="shared" si="0"/>
        <v>56000</v>
      </c>
      <c r="P31" s="243">
        <v>100000</v>
      </c>
      <c r="Q31" s="329">
        <v>50000</v>
      </c>
      <c r="U31" s="369"/>
      <c r="V31" s="263"/>
    </row>
    <row r="32" spans="1:22" x14ac:dyDescent="0.25">
      <c r="A32" s="72" t="s">
        <v>552</v>
      </c>
      <c r="B32" s="24"/>
      <c r="C32" s="432">
        <v>200</v>
      </c>
      <c r="H32" s="72" t="s">
        <v>245</v>
      </c>
      <c r="I32" s="247">
        <v>0</v>
      </c>
      <c r="J32" s="247">
        <v>0</v>
      </c>
      <c r="K32" s="243">
        <v>0</v>
      </c>
      <c r="L32" s="252">
        <v>0</v>
      </c>
      <c r="M32" s="322">
        <v>280</v>
      </c>
      <c r="N32" s="100">
        <v>200</v>
      </c>
      <c r="O32" s="323">
        <f t="shared" si="0"/>
        <v>56000</v>
      </c>
      <c r="P32" s="243">
        <v>100000</v>
      </c>
      <c r="Q32" s="329">
        <v>50000</v>
      </c>
      <c r="U32" s="369"/>
      <c r="V32" s="263"/>
    </row>
    <row r="33" spans="1:22" x14ac:dyDescent="0.25">
      <c r="A33" s="72" t="s">
        <v>429</v>
      </c>
      <c r="B33" s="18"/>
      <c r="C33" s="835">
        <v>0.05</v>
      </c>
      <c r="H33" s="72" t="s">
        <v>246</v>
      </c>
      <c r="I33" s="247">
        <v>0</v>
      </c>
      <c r="J33" s="247">
        <v>0</v>
      </c>
      <c r="K33" s="243">
        <v>0</v>
      </c>
      <c r="L33" s="252">
        <v>0</v>
      </c>
      <c r="M33" s="322">
        <v>280</v>
      </c>
      <c r="N33" s="100">
        <v>200</v>
      </c>
      <c r="O33" s="323">
        <f t="shared" si="0"/>
        <v>56000</v>
      </c>
      <c r="P33" s="243">
        <v>100000</v>
      </c>
      <c r="Q33" s="329">
        <v>50000</v>
      </c>
      <c r="U33" s="369"/>
      <c r="V33" s="263"/>
    </row>
    <row r="34" spans="1:22" x14ac:dyDescent="0.25">
      <c r="A34" s="333" t="s">
        <v>394</v>
      </c>
      <c r="B34" s="18"/>
      <c r="C34" s="250">
        <v>0.25</v>
      </c>
      <c r="H34" s="72" t="s">
        <v>247</v>
      </c>
      <c r="I34" s="247">
        <v>0</v>
      </c>
      <c r="J34" s="247">
        <v>0</v>
      </c>
      <c r="K34" s="243">
        <v>0</v>
      </c>
      <c r="L34" s="252">
        <v>0</v>
      </c>
      <c r="M34" s="322">
        <v>280</v>
      </c>
      <c r="N34" s="100">
        <v>200</v>
      </c>
      <c r="O34" s="323">
        <f t="shared" si="0"/>
        <v>56000</v>
      </c>
      <c r="P34" s="243">
        <v>100000</v>
      </c>
      <c r="Q34" s="329">
        <v>50000</v>
      </c>
      <c r="U34" s="369"/>
      <c r="V34" s="263"/>
    </row>
    <row r="35" spans="1:22" x14ac:dyDescent="0.25">
      <c r="A35" s="333" t="s">
        <v>395</v>
      </c>
      <c r="B35" s="18"/>
      <c r="C35" s="250">
        <v>0.02</v>
      </c>
      <c r="H35" s="72" t="s">
        <v>248</v>
      </c>
      <c r="I35" s="247">
        <v>0</v>
      </c>
      <c r="J35" s="247">
        <v>0</v>
      </c>
      <c r="K35" s="243">
        <v>0</v>
      </c>
      <c r="L35" s="252">
        <v>0</v>
      </c>
      <c r="M35" s="322">
        <v>280</v>
      </c>
      <c r="N35" s="100">
        <v>200</v>
      </c>
      <c r="O35" s="323">
        <f t="shared" si="0"/>
        <v>56000</v>
      </c>
      <c r="P35" s="243">
        <v>100000</v>
      </c>
      <c r="Q35" s="329">
        <v>50000</v>
      </c>
    </row>
    <row r="36" spans="1:22" ht="16.5" thickBot="1" x14ac:dyDescent="0.3">
      <c r="A36" s="334" t="s">
        <v>463</v>
      </c>
      <c r="B36" s="31"/>
      <c r="C36" s="838">
        <v>0.35</v>
      </c>
      <c r="D36" s="11" t="s">
        <v>406</v>
      </c>
      <c r="H36" s="72" t="s">
        <v>249</v>
      </c>
      <c r="I36" s="247">
        <v>0</v>
      </c>
      <c r="J36" s="247">
        <v>0</v>
      </c>
      <c r="K36" s="243">
        <v>0</v>
      </c>
      <c r="L36" s="252">
        <v>0</v>
      </c>
      <c r="M36" s="322">
        <v>280</v>
      </c>
      <c r="N36" s="100">
        <v>200</v>
      </c>
      <c r="O36" s="323">
        <f t="shared" si="0"/>
        <v>56000</v>
      </c>
      <c r="P36" s="243">
        <v>100000</v>
      </c>
      <c r="Q36" s="329">
        <v>50000</v>
      </c>
    </row>
    <row r="37" spans="1:22" ht="16.5" thickBot="1" x14ac:dyDescent="0.3">
      <c r="H37" s="72" t="s">
        <v>250</v>
      </c>
      <c r="I37" s="247">
        <v>0</v>
      </c>
      <c r="J37" s="247">
        <v>0</v>
      </c>
      <c r="K37" s="243">
        <v>0</v>
      </c>
      <c r="L37" s="252">
        <v>0</v>
      </c>
      <c r="M37" s="322">
        <v>280</v>
      </c>
      <c r="N37" s="100">
        <v>200</v>
      </c>
      <c r="O37" s="323">
        <f t="shared" si="0"/>
        <v>56000</v>
      </c>
      <c r="P37" s="243">
        <v>100000</v>
      </c>
      <c r="Q37" s="329">
        <v>50000</v>
      </c>
    </row>
    <row r="38" spans="1:22" ht="16.5" thickBot="1" x14ac:dyDescent="0.3">
      <c r="A38" s="84" t="s">
        <v>428</v>
      </c>
      <c r="B38" s="85"/>
      <c r="C38" s="52" t="s">
        <v>43</v>
      </c>
      <c r="D38" s="86"/>
      <c r="H38" s="72" t="s">
        <v>251</v>
      </c>
      <c r="I38" s="247">
        <v>0</v>
      </c>
      <c r="J38" s="247">
        <v>0</v>
      </c>
      <c r="K38" s="243">
        <v>0</v>
      </c>
      <c r="L38" s="252">
        <v>0</v>
      </c>
      <c r="M38" s="322">
        <v>280</v>
      </c>
      <c r="N38" s="100">
        <v>200</v>
      </c>
      <c r="O38" s="323">
        <f t="shared" si="0"/>
        <v>56000</v>
      </c>
      <c r="P38" s="243">
        <v>100000</v>
      </c>
      <c r="Q38" s="329">
        <v>50000</v>
      </c>
    </row>
    <row r="39" spans="1:22" x14ac:dyDescent="0.25">
      <c r="A39" s="87" t="s">
        <v>44</v>
      </c>
      <c r="B39" s="82"/>
      <c r="C39" s="88">
        <f>C27</f>
        <v>13610700</v>
      </c>
      <c r="D39" s="290"/>
      <c r="H39" s="72" t="s">
        <v>252</v>
      </c>
      <c r="I39" s="247">
        <v>0</v>
      </c>
      <c r="J39" s="247">
        <v>0</v>
      </c>
      <c r="K39" s="243">
        <v>0</v>
      </c>
      <c r="L39" s="252">
        <v>0</v>
      </c>
      <c r="M39" s="322">
        <v>280</v>
      </c>
      <c r="N39" s="100">
        <v>200</v>
      </c>
      <c r="O39" s="323">
        <f t="shared" si="0"/>
        <v>56000</v>
      </c>
      <c r="P39" s="243">
        <v>100000</v>
      </c>
      <c r="Q39" s="329">
        <v>50000</v>
      </c>
    </row>
    <row r="40" spans="1:22" ht="16.5" thickBot="1" x14ac:dyDescent="0.3">
      <c r="A40" s="90" t="s">
        <v>464</v>
      </c>
      <c r="B40" s="24"/>
      <c r="C40" s="200">
        <f>C39/C26</f>
        <v>25205</v>
      </c>
      <c r="D40" s="91"/>
      <c r="H40" s="72" t="s">
        <v>253</v>
      </c>
      <c r="I40" s="247">
        <v>0</v>
      </c>
      <c r="J40" s="247">
        <v>0</v>
      </c>
      <c r="K40" s="243">
        <v>0</v>
      </c>
      <c r="L40" s="252">
        <v>0</v>
      </c>
      <c r="M40" s="322">
        <v>280</v>
      </c>
      <c r="N40" s="100">
        <v>200</v>
      </c>
      <c r="O40" s="323">
        <f t="shared" si="0"/>
        <v>56000</v>
      </c>
      <c r="P40" s="243">
        <v>100000</v>
      </c>
      <c r="Q40" s="329">
        <v>50000</v>
      </c>
    </row>
    <row r="41" spans="1:22" ht="16.5" thickBot="1" x14ac:dyDescent="0.3">
      <c r="A41" s="50" t="s">
        <v>45</v>
      </c>
      <c r="B41" s="51"/>
      <c r="C41" s="52" t="s">
        <v>43</v>
      </c>
      <c r="D41" s="53" t="s">
        <v>553</v>
      </c>
      <c r="E41" s="39"/>
      <c r="H41" s="72" t="s">
        <v>254</v>
      </c>
      <c r="I41" s="247">
        <v>0</v>
      </c>
      <c r="J41" s="247">
        <v>0</v>
      </c>
      <c r="K41" s="243">
        <v>0</v>
      </c>
      <c r="L41" s="252">
        <v>0</v>
      </c>
      <c r="M41" s="322">
        <v>280</v>
      </c>
      <c r="N41" s="100">
        <v>200</v>
      </c>
      <c r="O41" s="323">
        <f t="shared" si="0"/>
        <v>56000</v>
      </c>
      <c r="P41" s="243">
        <v>100000</v>
      </c>
      <c r="Q41" s="329">
        <v>50000</v>
      </c>
    </row>
    <row r="42" spans="1:22" x14ac:dyDescent="0.25">
      <c r="A42" s="54" t="s">
        <v>49</v>
      </c>
      <c r="B42" s="24"/>
      <c r="C42" s="92">
        <f>C26</f>
        <v>540</v>
      </c>
      <c r="D42" s="499">
        <f>C32</f>
        <v>200</v>
      </c>
      <c r="E42" s="39"/>
      <c r="H42" s="72" t="s">
        <v>255</v>
      </c>
      <c r="I42" s="247">
        <v>0</v>
      </c>
      <c r="J42" s="247">
        <v>0</v>
      </c>
      <c r="K42" s="243">
        <v>0</v>
      </c>
      <c r="L42" s="252">
        <v>0</v>
      </c>
      <c r="M42" s="322">
        <v>280</v>
      </c>
      <c r="N42" s="100">
        <v>200</v>
      </c>
      <c r="O42" s="323">
        <f t="shared" si="0"/>
        <v>56000</v>
      </c>
      <c r="P42" s="243">
        <v>100000</v>
      </c>
      <c r="Q42" s="329">
        <v>50000</v>
      </c>
    </row>
    <row r="43" spans="1:22" x14ac:dyDescent="0.25">
      <c r="A43" s="57"/>
      <c r="B43" s="58"/>
      <c r="C43" s="93"/>
      <c r="D43" s="466"/>
      <c r="E43" s="39"/>
      <c r="H43" s="72" t="s">
        <v>256</v>
      </c>
      <c r="I43" s="247">
        <v>0</v>
      </c>
      <c r="J43" s="247">
        <v>0</v>
      </c>
      <c r="K43" s="243">
        <v>0</v>
      </c>
      <c r="L43" s="252">
        <v>0</v>
      </c>
      <c r="M43" s="322">
        <v>280</v>
      </c>
      <c r="N43" s="100">
        <v>200</v>
      </c>
      <c r="O43" s="323">
        <f t="shared" si="0"/>
        <v>56000</v>
      </c>
      <c r="P43" s="243">
        <v>100000</v>
      </c>
      <c r="Q43" s="329">
        <v>50000</v>
      </c>
    </row>
    <row r="44" spans="1:22" s="39" customFormat="1" x14ac:dyDescent="0.25">
      <c r="A44" s="17" t="s">
        <v>420</v>
      </c>
      <c r="B44" s="18"/>
      <c r="C44" s="97"/>
      <c r="D44" s="217">
        <f>C42*D42*12</f>
        <v>1296000</v>
      </c>
      <c r="F44" s="11"/>
      <c r="G44" s="11"/>
      <c r="H44" s="72" t="s">
        <v>257</v>
      </c>
      <c r="I44" s="247">
        <v>0</v>
      </c>
      <c r="J44" s="247">
        <v>0</v>
      </c>
      <c r="K44" s="243">
        <v>0</v>
      </c>
      <c r="L44" s="252">
        <v>0</v>
      </c>
      <c r="M44" s="322">
        <v>280</v>
      </c>
      <c r="N44" s="100">
        <v>200</v>
      </c>
      <c r="O44" s="323">
        <f t="shared" si="0"/>
        <v>56000</v>
      </c>
      <c r="P44" s="243">
        <v>100000</v>
      </c>
      <c r="Q44" s="329">
        <v>50000</v>
      </c>
    </row>
    <row r="45" spans="1:22" ht="16.5" thickBot="1" x14ac:dyDescent="0.3">
      <c r="A45" s="17" t="s">
        <v>421</v>
      </c>
      <c r="B45" s="18"/>
      <c r="C45" s="25">
        <f>C33</f>
        <v>0.05</v>
      </c>
      <c r="D45" s="134">
        <f>D44*C45</f>
        <v>64800</v>
      </c>
      <c r="E45" s="39"/>
      <c r="G45" s="39"/>
      <c r="H45" s="73" t="s">
        <v>258</v>
      </c>
      <c r="I45" s="253">
        <v>0</v>
      </c>
      <c r="J45" s="253">
        <v>0</v>
      </c>
      <c r="K45" s="254">
        <v>0</v>
      </c>
      <c r="L45" s="255">
        <v>0</v>
      </c>
      <c r="M45" s="324">
        <v>280</v>
      </c>
      <c r="N45" s="325">
        <v>200</v>
      </c>
      <c r="O45" s="326">
        <f>M45*N45</f>
        <v>56000</v>
      </c>
      <c r="P45" s="254">
        <v>100000</v>
      </c>
      <c r="Q45" s="330">
        <v>50000</v>
      </c>
    </row>
    <row r="46" spans="1:22" ht="16.5" thickBot="1" x14ac:dyDescent="0.3">
      <c r="A46" s="17" t="s">
        <v>430</v>
      </c>
      <c r="B46" s="18"/>
      <c r="C46" s="247"/>
      <c r="D46" s="217">
        <f>D44+D45</f>
        <v>1360800</v>
      </c>
      <c r="E46" s="39"/>
      <c r="F46" s="39"/>
    </row>
    <row r="47" spans="1:22" ht="16.5" thickBot="1" x14ac:dyDescent="0.3">
      <c r="A47" s="59" t="s">
        <v>54</v>
      </c>
      <c r="B47" s="18"/>
      <c r="C47" s="25">
        <f>C34</f>
        <v>0.25</v>
      </c>
      <c r="D47" s="217">
        <f>D46*C47</f>
        <v>340200</v>
      </c>
      <c r="E47" s="39"/>
      <c r="F47" s="39"/>
      <c r="H47" s="43" t="s">
        <v>419</v>
      </c>
      <c r="I47" s="44"/>
      <c r="J47" s="44"/>
      <c r="K47" s="44"/>
      <c r="L47" s="45"/>
    </row>
    <row r="48" spans="1:22" x14ac:dyDescent="0.25">
      <c r="A48" s="59" t="s">
        <v>55</v>
      </c>
      <c r="B48" s="18"/>
      <c r="C48" s="25">
        <f>C35</f>
        <v>0.02</v>
      </c>
      <c r="D48" s="217">
        <f>D46*C48</f>
        <v>27216</v>
      </c>
      <c r="E48" s="39"/>
      <c r="F48" s="39"/>
      <c r="H48" s="273">
        <f>SUM(H49:H53)</f>
        <v>0</v>
      </c>
      <c r="I48" s="274" t="s">
        <v>441</v>
      </c>
      <c r="J48" s="128"/>
      <c r="K48" s="128"/>
      <c r="L48" s="267"/>
      <c r="M48" s="336"/>
    </row>
    <row r="49" spans="1:22" x14ac:dyDescent="0.25">
      <c r="A49" s="17" t="s">
        <v>56</v>
      </c>
      <c r="B49" s="18"/>
      <c r="C49" s="100"/>
      <c r="D49" s="217">
        <f>D46-D47-D48</f>
        <v>993384</v>
      </c>
      <c r="E49" s="39"/>
      <c r="F49" s="39"/>
      <c r="H49" s="264">
        <v>0</v>
      </c>
      <c r="I49" s="265" t="s">
        <v>147</v>
      </c>
      <c r="J49" s="24"/>
      <c r="K49" s="24"/>
      <c r="L49" s="275"/>
    </row>
    <row r="50" spans="1:22" ht="16.5" thickBot="1" x14ac:dyDescent="0.3">
      <c r="A50" s="59" t="s">
        <v>422</v>
      </c>
      <c r="B50" s="18"/>
      <c r="C50" s="368">
        <f>C36</f>
        <v>0.35</v>
      </c>
      <c r="D50" s="217">
        <f>C50*D44</f>
        <v>453600</v>
      </c>
      <c r="E50" s="39"/>
      <c r="F50" s="39"/>
      <c r="H50" s="264">
        <v>0</v>
      </c>
      <c r="I50" s="265" t="s">
        <v>151</v>
      </c>
      <c r="J50" s="24"/>
      <c r="K50" s="24"/>
      <c r="L50" s="275"/>
    </row>
    <row r="51" spans="1:22" ht="16.5" thickBot="1" x14ac:dyDescent="0.3">
      <c r="A51" s="102" t="s">
        <v>4</v>
      </c>
      <c r="B51" s="103"/>
      <c r="C51" s="104"/>
      <c r="D51" s="140">
        <f>D49-D50</f>
        <v>539784</v>
      </c>
      <c r="E51" s="39"/>
      <c r="F51" s="39"/>
      <c r="H51" s="264">
        <v>0</v>
      </c>
      <c r="I51" s="266" t="s">
        <v>149</v>
      </c>
      <c r="J51" s="24"/>
      <c r="K51" s="24"/>
      <c r="L51" s="275"/>
    </row>
    <row r="52" spans="1:22" ht="16.5" thickBot="1" x14ac:dyDescent="0.3">
      <c r="E52" s="39"/>
      <c r="F52" s="39"/>
      <c r="G52" s="39"/>
      <c r="H52" s="264">
        <v>0</v>
      </c>
      <c r="I52" s="265" t="s">
        <v>458</v>
      </c>
      <c r="J52" s="24"/>
      <c r="K52" s="24"/>
      <c r="L52" s="275"/>
      <c r="U52" s="261"/>
      <c r="V52" s="166"/>
    </row>
    <row r="53" spans="1:22" ht="16.5" thickBot="1" x14ac:dyDescent="0.3">
      <c r="A53" s="60" t="s">
        <v>58</v>
      </c>
      <c r="B53" s="61"/>
      <c r="C53" s="62"/>
      <c r="E53" s="39"/>
      <c r="F53" s="39"/>
      <c r="G53" s="39"/>
      <c r="H53" s="264">
        <v>0</v>
      </c>
      <c r="I53" s="265" t="s">
        <v>458</v>
      </c>
      <c r="J53" s="24"/>
      <c r="K53" s="24"/>
      <c r="L53" s="275"/>
      <c r="U53" s="369"/>
      <c r="V53" s="263"/>
    </row>
    <row r="54" spans="1:22" ht="16.5" thickBot="1" x14ac:dyDescent="0.3">
      <c r="A54" s="64" t="s">
        <v>59</v>
      </c>
      <c r="B54" s="65"/>
      <c r="C54" s="106">
        <f>IFERROR(D51/L4,0)</f>
        <v>3.9658797857567943E-2</v>
      </c>
      <c r="E54" s="39"/>
      <c r="F54" s="39"/>
      <c r="G54" s="39"/>
      <c r="H54" s="273">
        <f>SUM(H55:H73)</f>
        <v>1000000</v>
      </c>
      <c r="I54" s="274" t="s">
        <v>195</v>
      </c>
      <c r="J54" s="128"/>
      <c r="K54" s="128"/>
      <c r="L54" s="267"/>
      <c r="U54" s="369"/>
      <c r="V54" s="263"/>
    </row>
    <row r="55" spans="1:22" x14ac:dyDescent="0.25">
      <c r="A55" s="107" t="s">
        <v>60</v>
      </c>
      <c r="B55" s="108"/>
      <c r="C55" s="109">
        <f>IFERROR(-E96,0)</f>
        <v>554429.20903323079</v>
      </c>
      <c r="E55" s="39"/>
      <c r="F55" s="39"/>
      <c r="G55" s="39"/>
      <c r="H55" s="264">
        <v>0</v>
      </c>
      <c r="I55" s="265" t="s">
        <v>161</v>
      </c>
      <c r="J55" s="24"/>
      <c r="K55" s="24"/>
      <c r="L55" s="275"/>
      <c r="U55" s="369"/>
      <c r="V55" s="263"/>
    </row>
    <row r="56" spans="1:22" ht="16.5" thickBot="1" x14ac:dyDescent="0.3">
      <c r="A56" s="59" t="s">
        <v>436</v>
      </c>
      <c r="B56" s="110"/>
      <c r="C56" s="111">
        <f>D51-C55</f>
        <v>-14645.209033230785</v>
      </c>
      <c r="E56" s="39"/>
      <c r="F56" s="39"/>
      <c r="G56" s="39"/>
      <c r="H56" s="264">
        <v>0</v>
      </c>
      <c r="I56" s="265" t="s">
        <v>196</v>
      </c>
      <c r="J56" s="24"/>
      <c r="K56" s="24"/>
      <c r="L56" s="275"/>
    </row>
    <row r="57" spans="1:22" ht="16.5" thickBot="1" x14ac:dyDescent="0.3">
      <c r="A57" s="102" t="s">
        <v>62</v>
      </c>
      <c r="B57" s="103"/>
      <c r="C57" s="112">
        <f>IFERROR(C56/E99,0)</f>
        <v>-1.3185566789619865E-2</v>
      </c>
      <c r="E57" s="39"/>
      <c r="F57" s="39"/>
      <c r="G57" s="11" t="s">
        <v>9</v>
      </c>
      <c r="H57" s="264">
        <v>0</v>
      </c>
      <c r="I57" s="265" t="s">
        <v>197</v>
      </c>
      <c r="J57" s="24"/>
      <c r="K57" s="24"/>
      <c r="L57" s="275"/>
      <c r="U57" s="261"/>
      <c r="V57" s="166"/>
    </row>
    <row r="58" spans="1:22" ht="16.5" thickBot="1" x14ac:dyDescent="0.3">
      <c r="A58" s="113" t="s">
        <v>63</v>
      </c>
      <c r="B58" s="114"/>
      <c r="C58" s="63"/>
      <c r="E58" s="39"/>
      <c r="F58" s="39"/>
      <c r="H58" s="264">
        <v>0</v>
      </c>
      <c r="I58" s="265" t="s">
        <v>204</v>
      </c>
      <c r="J58" s="24"/>
      <c r="K58" s="24"/>
      <c r="L58" s="275"/>
      <c r="U58" s="261"/>
      <c r="V58" s="166"/>
    </row>
    <row r="59" spans="1:22" x14ac:dyDescent="0.25">
      <c r="A59" s="59" t="s">
        <v>64</v>
      </c>
      <c r="B59" s="18"/>
      <c r="C59" s="115">
        <f>D51</f>
        <v>539784</v>
      </c>
      <c r="E59" s="39"/>
      <c r="F59" s="39"/>
      <c r="H59" s="264">
        <v>1000000</v>
      </c>
      <c r="I59" s="265" t="s">
        <v>199</v>
      </c>
      <c r="J59" s="24"/>
      <c r="K59" s="24"/>
      <c r="L59" s="275"/>
      <c r="U59" s="369"/>
      <c r="V59" s="263"/>
    </row>
    <row r="60" spans="1:22" ht="16.5" thickBot="1" x14ac:dyDescent="0.3">
      <c r="A60" s="59" t="s">
        <v>65</v>
      </c>
      <c r="B60" s="18"/>
      <c r="C60" s="250">
        <v>0.08</v>
      </c>
      <c r="E60" s="38"/>
      <c r="F60" s="39"/>
      <c r="H60" s="264">
        <v>0</v>
      </c>
      <c r="I60" s="265" t="s">
        <v>175</v>
      </c>
      <c r="J60" s="24"/>
      <c r="K60" s="24"/>
      <c r="L60" s="275"/>
      <c r="U60" s="369"/>
      <c r="V60" s="263"/>
    </row>
    <row r="61" spans="1:22" ht="16.5" thickBot="1" x14ac:dyDescent="0.3">
      <c r="A61" s="19" t="s">
        <v>66</v>
      </c>
      <c r="B61" s="20"/>
      <c r="C61" s="117">
        <f>IFERROR(C59/C60,0)</f>
        <v>6747300</v>
      </c>
      <c r="E61" s="38"/>
      <c r="F61" s="39"/>
      <c r="H61" s="264">
        <v>0</v>
      </c>
      <c r="I61" s="265" t="s">
        <v>203</v>
      </c>
      <c r="J61" s="24"/>
      <c r="K61" s="24"/>
      <c r="L61" s="275"/>
      <c r="U61" s="369"/>
      <c r="V61" s="263"/>
    </row>
    <row r="62" spans="1:22" ht="16.5" thickBot="1" x14ac:dyDescent="0.3">
      <c r="A62" s="655" t="s">
        <v>559</v>
      </c>
      <c r="B62" s="36"/>
      <c r="C62" s="119">
        <f>C61-C39</f>
        <v>-6863400</v>
      </c>
      <c r="D62" s="336"/>
      <c r="E62" s="38"/>
      <c r="F62" s="39"/>
      <c r="H62" s="264">
        <v>0</v>
      </c>
      <c r="I62" s="265" t="s">
        <v>167</v>
      </c>
      <c r="J62" s="24"/>
      <c r="K62" s="24"/>
      <c r="L62" s="275"/>
      <c r="U62" s="369"/>
      <c r="V62" s="263"/>
    </row>
    <row r="63" spans="1:22" ht="16.5" thickBot="1" x14ac:dyDescent="0.3">
      <c r="E63" s="38"/>
      <c r="F63" s="39"/>
      <c r="H63" s="264">
        <v>0</v>
      </c>
      <c r="I63" s="265" t="s">
        <v>200</v>
      </c>
      <c r="J63" s="24"/>
      <c r="K63" s="24"/>
      <c r="L63" s="275"/>
    </row>
    <row r="64" spans="1:22" ht="16.5" thickBot="1" x14ac:dyDescent="0.3">
      <c r="A64" s="79" t="s">
        <v>96</v>
      </c>
      <c r="B64" s="51"/>
      <c r="C64" s="51"/>
      <c r="D64" s="80"/>
      <c r="E64" s="120"/>
      <c r="F64" s="39"/>
      <c r="H64" s="264">
        <v>0</v>
      </c>
      <c r="I64" s="265" t="s">
        <v>165</v>
      </c>
      <c r="J64" s="24"/>
      <c r="K64" s="24"/>
      <c r="L64" s="275"/>
    </row>
    <row r="65" spans="1:12" x14ac:dyDescent="0.25">
      <c r="A65" s="429" t="s">
        <v>425</v>
      </c>
      <c r="B65" s="18"/>
      <c r="C65" s="24" t="s">
        <v>96</v>
      </c>
      <c r="D65" s="250">
        <v>0.03</v>
      </c>
      <c r="E65" s="120"/>
      <c r="F65" s="39"/>
      <c r="H65" s="396">
        <v>0</v>
      </c>
      <c r="I65" s="46" t="s">
        <v>497</v>
      </c>
      <c r="J65" s="24"/>
      <c r="K65" s="24"/>
      <c r="L65" s="275"/>
    </row>
    <row r="66" spans="1:12" ht="16.5" thickBot="1" x14ac:dyDescent="0.3">
      <c r="A66" s="428" t="s">
        <v>438</v>
      </c>
      <c r="B66" s="30"/>
      <c r="C66" s="83" t="s">
        <v>96</v>
      </c>
      <c r="D66" s="257">
        <v>0.03</v>
      </c>
      <c r="E66" s="120"/>
      <c r="F66" s="39"/>
      <c r="H66" s="264">
        <v>0</v>
      </c>
      <c r="I66" s="265" t="s">
        <v>163</v>
      </c>
      <c r="J66" s="24"/>
      <c r="K66" s="24"/>
      <c r="L66" s="275"/>
    </row>
    <row r="67" spans="1:12" ht="16.5" thickBot="1" x14ac:dyDescent="0.3">
      <c r="E67" s="120"/>
      <c r="F67" s="39"/>
      <c r="H67" s="264">
        <v>0</v>
      </c>
      <c r="I67" s="265" t="s">
        <v>206</v>
      </c>
      <c r="J67" s="24"/>
      <c r="K67" s="24"/>
      <c r="L67" s="275"/>
    </row>
    <row r="68" spans="1:12" ht="16.5" thickBot="1" x14ac:dyDescent="0.3">
      <c r="A68" s="79" t="s">
        <v>412</v>
      </c>
      <c r="B68" s="51"/>
      <c r="C68" s="51"/>
      <c r="D68" s="53" t="s">
        <v>85</v>
      </c>
      <c r="E68" s="120"/>
      <c r="F68" s="38"/>
      <c r="H68" s="264">
        <v>0</v>
      </c>
      <c r="I68" s="265" t="s">
        <v>198</v>
      </c>
      <c r="J68" s="24"/>
      <c r="K68" s="24"/>
      <c r="L68" s="275"/>
    </row>
    <row r="69" spans="1:12" x14ac:dyDescent="0.25">
      <c r="A69" s="327" t="s">
        <v>411</v>
      </c>
      <c r="B69" s="122"/>
      <c r="C69" s="128"/>
      <c r="D69" s="476">
        <v>7.0000000000000007E-2</v>
      </c>
      <c r="E69" s="120"/>
      <c r="F69" s="38"/>
      <c r="H69" s="264">
        <v>0</v>
      </c>
      <c r="I69" s="265" t="s">
        <v>201</v>
      </c>
      <c r="J69" s="24"/>
      <c r="K69" s="24"/>
      <c r="L69" s="275"/>
    </row>
    <row r="70" spans="1:12" ht="16.5" thickBot="1" x14ac:dyDescent="0.3">
      <c r="A70" s="35" t="s">
        <v>410</v>
      </c>
      <c r="B70" s="31"/>
      <c r="C70" s="31"/>
      <c r="D70" s="248">
        <v>0.03</v>
      </c>
      <c r="E70" s="120"/>
      <c r="F70" s="38"/>
      <c r="H70" s="264">
        <v>0</v>
      </c>
      <c r="I70" s="265" t="s">
        <v>205</v>
      </c>
      <c r="J70" s="24"/>
      <c r="K70" s="24"/>
      <c r="L70" s="275"/>
    </row>
    <row r="71" spans="1:12" ht="16.5" thickBot="1" x14ac:dyDescent="0.3">
      <c r="E71" s="120"/>
      <c r="F71" s="38"/>
      <c r="H71" s="264">
        <v>0</v>
      </c>
      <c r="I71" s="265" t="s">
        <v>207</v>
      </c>
      <c r="J71" s="24"/>
      <c r="K71" s="24"/>
      <c r="L71" s="275"/>
    </row>
    <row r="72" spans="1:12" ht="16.5" thickBot="1" x14ac:dyDescent="0.3">
      <c r="A72" s="199" t="s">
        <v>67</v>
      </c>
      <c r="B72" s="51"/>
      <c r="C72" s="45" t="s">
        <v>202</v>
      </c>
      <c r="E72" s="120"/>
      <c r="F72" s="120"/>
      <c r="H72" s="264">
        <v>0</v>
      </c>
      <c r="I72" s="265" t="s">
        <v>458</v>
      </c>
      <c r="J72" s="24"/>
      <c r="K72" s="24"/>
      <c r="L72" s="275"/>
    </row>
    <row r="73" spans="1:12" ht="16.5" thickBot="1" x14ac:dyDescent="0.3">
      <c r="A73" s="64" t="s">
        <v>414</v>
      </c>
      <c r="B73" s="65"/>
      <c r="C73" s="66"/>
      <c r="E73" s="120"/>
      <c r="F73" s="120"/>
      <c r="H73" s="264">
        <v>0</v>
      </c>
      <c r="I73" s="265" t="s">
        <v>458</v>
      </c>
      <c r="J73" s="24"/>
      <c r="K73" s="24"/>
      <c r="L73" s="275"/>
    </row>
    <row r="74" spans="1:12" x14ac:dyDescent="0.25">
      <c r="A74" s="335" t="s">
        <v>413</v>
      </c>
      <c r="B74" s="65"/>
      <c r="C74" s="249">
        <v>0</v>
      </c>
      <c r="E74" s="120"/>
      <c r="F74" s="120"/>
      <c r="H74" s="273">
        <f>SUM(H75:H80)</f>
        <v>0</v>
      </c>
      <c r="I74" s="274" t="s">
        <v>208</v>
      </c>
      <c r="J74" s="128"/>
      <c r="K74" s="128"/>
      <c r="L74" s="267"/>
    </row>
    <row r="75" spans="1:12" x14ac:dyDescent="0.25">
      <c r="A75" s="17" t="s">
        <v>437</v>
      </c>
      <c r="B75" s="18"/>
      <c r="C75" s="132">
        <f>C74*C27</f>
        <v>0</v>
      </c>
      <c r="D75" s="261"/>
      <c r="E75" s="120"/>
      <c r="F75" s="120"/>
      <c r="H75" s="264">
        <v>0</v>
      </c>
      <c r="I75" s="265" t="s">
        <v>188</v>
      </c>
      <c r="J75" s="24"/>
      <c r="K75" s="24"/>
      <c r="L75" s="275"/>
    </row>
    <row r="76" spans="1:12" x14ac:dyDescent="0.25">
      <c r="A76" s="17" t="s">
        <v>68</v>
      </c>
      <c r="B76" s="18"/>
      <c r="C76" s="250">
        <v>4.4999999999999998E-2</v>
      </c>
      <c r="E76" s="120"/>
      <c r="F76" s="120"/>
      <c r="H76" s="264">
        <v>0</v>
      </c>
      <c r="I76" s="265" t="s">
        <v>184</v>
      </c>
      <c r="J76" s="24"/>
      <c r="K76" s="24"/>
      <c r="L76" s="275"/>
    </row>
    <row r="77" spans="1:12" ht="16.5" thickBot="1" x14ac:dyDescent="0.3">
      <c r="A77" s="35" t="s">
        <v>69</v>
      </c>
      <c r="B77" s="31"/>
      <c r="C77" s="251">
        <v>30</v>
      </c>
      <c r="E77" s="120"/>
      <c r="F77" s="120"/>
      <c r="H77" s="264">
        <v>0</v>
      </c>
      <c r="I77" s="265" t="s">
        <v>186</v>
      </c>
      <c r="J77" s="24"/>
      <c r="K77" s="24"/>
      <c r="L77" s="275"/>
    </row>
    <row r="78" spans="1:12" ht="16.5" thickBot="1" x14ac:dyDescent="0.3">
      <c r="A78" s="68" t="s">
        <v>415</v>
      </c>
      <c r="B78" s="31"/>
      <c r="C78" s="69"/>
      <c r="E78" s="120"/>
      <c r="F78" s="120"/>
      <c r="H78" s="394">
        <v>0</v>
      </c>
      <c r="I78" s="46" t="s">
        <v>494</v>
      </c>
      <c r="J78" s="24"/>
      <c r="K78" s="24"/>
      <c r="L78" s="275"/>
    </row>
    <row r="79" spans="1:12" x14ac:dyDescent="0.25">
      <c r="A79" s="438" t="s">
        <v>401</v>
      </c>
      <c r="B79" s="122"/>
      <c r="C79" s="437">
        <f>H81</f>
        <v>12500000</v>
      </c>
      <c r="D79" s="11" t="s">
        <v>524</v>
      </c>
      <c r="E79" s="120"/>
      <c r="F79" s="120"/>
      <c r="H79" s="264">
        <v>0</v>
      </c>
      <c r="I79" s="265" t="s">
        <v>458</v>
      </c>
      <c r="J79" s="24"/>
      <c r="K79" s="24"/>
      <c r="L79" s="275"/>
    </row>
    <row r="80" spans="1:12" ht="16.5" thickBot="1" x14ac:dyDescent="0.3">
      <c r="A80" s="17" t="s">
        <v>68</v>
      </c>
      <c r="B80" s="18"/>
      <c r="C80" s="250">
        <v>0.02</v>
      </c>
      <c r="D80" s="336"/>
      <c r="E80" s="120"/>
      <c r="F80" s="120"/>
      <c r="H80" s="264">
        <v>0</v>
      </c>
      <c r="I80" s="265" t="s">
        <v>458</v>
      </c>
      <c r="J80" s="24"/>
      <c r="K80" s="24"/>
      <c r="L80" s="275"/>
    </row>
    <row r="81" spans="1:12" ht="16.5" thickBot="1" x14ac:dyDescent="0.3">
      <c r="A81" s="35" t="s">
        <v>69</v>
      </c>
      <c r="B81" s="31"/>
      <c r="C81" s="251">
        <v>30</v>
      </c>
      <c r="E81" s="120"/>
      <c r="F81" s="120"/>
      <c r="H81" s="273">
        <f>SUM(H82:H89)</f>
        <v>12500000</v>
      </c>
      <c r="I81" s="274" t="s">
        <v>399</v>
      </c>
      <c r="J81" s="128"/>
      <c r="K81" s="128"/>
      <c r="L81" s="267"/>
    </row>
    <row r="82" spans="1:12" ht="16.5" thickBot="1" x14ac:dyDescent="0.3">
      <c r="E82" s="120"/>
      <c r="F82" s="120"/>
      <c r="H82" s="264">
        <v>0</v>
      </c>
      <c r="I82" s="265" t="s">
        <v>238</v>
      </c>
      <c r="J82" s="24"/>
      <c r="K82" s="24"/>
      <c r="L82" s="275"/>
    </row>
    <row r="83" spans="1:12" ht="16.5" thickBot="1" x14ac:dyDescent="0.3">
      <c r="A83" s="199" t="s">
        <v>439</v>
      </c>
      <c r="B83" s="51"/>
      <c r="C83" s="51"/>
      <c r="D83" s="51"/>
      <c r="E83" s="80"/>
      <c r="F83" s="120"/>
      <c r="H83" s="264">
        <v>0</v>
      </c>
      <c r="I83" s="265" t="s">
        <v>181</v>
      </c>
      <c r="J83" s="24"/>
      <c r="K83" s="24"/>
      <c r="L83" s="275"/>
    </row>
    <row r="84" spans="1:12" x14ac:dyDescent="0.25">
      <c r="A84" s="121" t="s">
        <v>414</v>
      </c>
      <c r="B84" s="122"/>
      <c r="C84" s="122"/>
      <c r="D84" s="123"/>
      <c r="E84" s="124"/>
      <c r="F84" s="120"/>
      <c r="H84" s="396">
        <v>0</v>
      </c>
      <c r="I84" s="265" t="s">
        <v>492</v>
      </c>
      <c r="J84" s="24"/>
      <c r="K84" s="24"/>
      <c r="L84" s="275"/>
    </row>
    <row r="85" spans="1:12" x14ac:dyDescent="0.25">
      <c r="A85" s="17" t="s">
        <v>517</v>
      </c>
      <c r="B85" s="18"/>
      <c r="C85" s="18"/>
      <c r="D85" s="38"/>
      <c r="E85" s="111">
        <f>L4</f>
        <v>13610700</v>
      </c>
      <c r="F85" s="120"/>
      <c r="H85" s="264">
        <v>0</v>
      </c>
      <c r="I85" s="265" t="s">
        <v>178</v>
      </c>
      <c r="J85" s="24"/>
      <c r="K85" s="24"/>
      <c r="L85" s="275"/>
    </row>
    <row r="86" spans="1:12" x14ac:dyDescent="0.25">
      <c r="A86" s="72" t="s">
        <v>518</v>
      </c>
      <c r="B86" s="18"/>
      <c r="C86" s="18"/>
      <c r="D86" s="365">
        <f>C74</f>
        <v>0</v>
      </c>
      <c r="E86" s="111">
        <f>C75</f>
        <v>0</v>
      </c>
      <c r="F86" s="120"/>
      <c r="H86" s="264">
        <v>12500000</v>
      </c>
      <c r="I86" s="265" t="s">
        <v>180</v>
      </c>
      <c r="J86" s="24"/>
      <c r="K86" s="24"/>
      <c r="L86" s="275"/>
    </row>
    <row r="87" spans="1:12" x14ac:dyDescent="0.25">
      <c r="A87" s="17" t="s">
        <v>515</v>
      </c>
      <c r="B87" s="18"/>
      <c r="C87" s="18"/>
      <c r="D87" s="38"/>
      <c r="E87" s="116">
        <f>C76</f>
        <v>4.4999999999999998E-2</v>
      </c>
      <c r="F87" s="120"/>
      <c r="H87" s="264">
        <v>0</v>
      </c>
      <c r="I87" s="265" t="s">
        <v>209</v>
      </c>
      <c r="J87" s="24"/>
      <c r="K87" s="24"/>
      <c r="L87" s="275"/>
    </row>
    <row r="88" spans="1:12" x14ac:dyDescent="0.25">
      <c r="A88" s="17" t="s">
        <v>516</v>
      </c>
      <c r="B88" s="18"/>
      <c r="C88" s="18"/>
      <c r="D88" s="38"/>
      <c r="E88" s="34">
        <f>C77</f>
        <v>30</v>
      </c>
      <c r="F88" s="120"/>
      <c r="H88" s="264">
        <v>0</v>
      </c>
      <c r="I88" s="265" t="s">
        <v>458</v>
      </c>
      <c r="J88" s="24"/>
      <c r="K88" s="24"/>
      <c r="L88" s="275"/>
    </row>
    <row r="89" spans="1:12" ht="16.5" thickBot="1" x14ac:dyDescent="0.3">
      <c r="A89" s="125" t="s">
        <v>519</v>
      </c>
      <c r="B89" s="30"/>
      <c r="C89" s="30"/>
      <c r="D89" s="126"/>
      <c r="E89" s="127">
        <f>IFERROR(PMT(E87/12,E88*12,E86)*12,0)</f>
        <v>0</v>
      </c>
      <c r="F89" s="120"/>
      <c r="H89" s="264">
        <v>0</v>
      </c>
      <c r="I89" s="265" t="s">
        <v>458</v>
      </c>
      <c r="J89" s="24"/>
      <c r="K89" s="24"/>
      <c r="L89" s="275"/>
    </row>
    <row r="90" spans="1:12" ht="16.5" thickBot="1" x14ac:dyDescent="0.3">
      <c r="A90" s="121" t="s">
        <v>415</v>
      </c>
      <c r="B90" s="122"/>
      <c r="C90" s="128"/>
      <c r="D90" s="129"/>
      <c r="E90" s="130"/>
      <c r="F90" s="120"/>
      <c r="H90" s="273">
        <f>SUM(H91:H92)</f>
        <v>100000</v>
      </c>
      <c r="I90" s="274" t="s">
        <v>377</v>
      </c>
      <c r="J90" s="128"/>
      <c r="K90" s="128"/>
      <c r="L90" s="267"/>
    </row>
    <row r="91" spans="1:12" x14ac:dyDescent="0.25">
      <c r="A91" s="335" t="s">
        <v>520</v>
      </c>
      <c r="B91" s="430"/>
      <c r="C91" s="430"/>
      <c r="D91" s="39"/>
      <c r="E91" s="431">
        <f>C79</f>
        <v>12500000</v>
      </c>
      <c r="F91" s="120"/>
      <c r="H91" s="264">
        <v>0</v>
      </c>
      <c r="I91" s="265" t="s">
        <v>379</v>
      </c>
      <c r="J91" s="24"/>
      <c r="K91" s="24"/>
      <c r="L91" s="275"/>
    </row>
    <row r="92" spans="1:12" ht="16.5" thickBot="1" x14ac:dyDescent="0.3">
      <c r="A92" s="17" t="s">
        <v>515</v>
      </c>
      <c r="B92" s="18"/>
      <c r="C92" s="18"/>
      <c r="D92" s="38"/>
      <c r="E92" s="116">
        <f>C80</f>
        <v>0.02</v>
      </c>
      <c r="F92" s="120"/>
      <c r="H92" s="268">
        <v>100000</v>
      </c>
      <c r="I92" s="269" t="s">
        <v>382</v>
      </c>
      <c r="J92" s="36"/>
      <c r="K92" s="36"/>
      <c r="L92" s="277"/>
    </row>
    <row r="93" spans="1:12" ht="16.5" thickBot="1" x14ac:dyDescent="0.3">
      <c r="A93" s="17" t="s">
        <v>516</v>
      </c>
      <c r="B93" s="18"/>
      <c r="C93" s="18"/>
      <c r="D93" s="38"/>
      <c r="E93" s="34">
        <f>C81</f>
        <v>30</v>
      </c>
      <c r="F93" s="120"/>
    </row>
    <row r="94" spans="1:12" ht="16.5" thickBot="1" x14ac:dyDescent="0.3">
      <c r="A94" s="17" t="s">
        <v>519</v>
      </c>
      <c r="B94" s="18"/>
      <c r="C94" s="18"/>
      <c r="D94" s="38"/>
      <c r="E94" s="131">
        <f>IFERROR(PMT(E92/12,E93*12,E91)*12,0)</f>
        <v>-554429.20903323079</v>
      </c>
      <c r="F94" s="500"/>
      <c r="H94" s="70" t="s">
        <v>443</v>
      </c>
      <c r="I94" s="71"/>
      <c r="J94" s="71"/>
      <c r="K94" s="71"/>
      <c r="L94" s="341" t="s">
        <v>407</v>
      </c>
    </row>
    <row r="95" spans="1:12" x14ac:dyDescent="0.25">
      <c r="A95" s="49" t="s">
        <v>71</v>
      </c>
      <c r="B95" s="24"/>
      <c r="C95" s="24"/>
      <c r="D95" s="39"/>
      <c r="E95" s="132">
        <f>E86+E91</f>
        <v>12500000</v>
      </c>
      <c r="H95" s="72" t="s">
        <v>77</v>
      </c>
      <c r="I95" s="24"/>
      <c r="J95" s="24"/>
      <c r="K95" s="24"/>
      <c r="L95" s="252">
        <v>200000</v>
      </c>
    </row>
    <row r="96" spans="1:12" ht="16.5" thickBot="1" x14ac:dyDescent="0.3">
      <c r="A96" s="17" t="s">
        <v>539</v>
      </c>
      <c r="B96" s="24"/>
      <c r="C96" s="24"/>
      <c r="D96" s="39"/>
      <c r="E96" s="132">
        <f>E89+E94</f>
        <v>-554429.20903323079</v>
      </c>
      <c r="H96" s="72" t="s">
        <v>78</v>
      </c>
      <c r="I96" s="24"/>
      <c r="J96" s="24"/>
      <c r="K96" s="24"/>
      <c r="L96" s="252">
        <v>10000</v>
      </c>
    </row>
    <row r="97" spans="1:34" ht="16.5" thickBot="1" x14ac:dyDescent="0.3">
      <c r="A97" s="102" t="s">
        <v>72</v>
      </c>
      <c r="B97" s="114"/>
      <c r="C97" s="114"/>
      <c r="D97" s="104"/>
      <c r="E97" s="63"/>
      <c r="H97" s="72" t="s">
        <v>442</v>
      </c>
      <c r="I97" s="24"/>
      <c r="J97" s="24"/>
      <c r="K97" s="24"/>
      <c r="L97" s="252">
        <v>0</v>
      </c>
    </row>
    <row r="98" spans="1:34" x14ac:dyDescent="0.25">
      <c r="A98" s="17" t="s">
        <v>44</v>
      </c>
      <c r="B98" s="18"/>
      <c r="C98" s="18"/>
      <c r="D98" s="38"/>
      <c r="E98" s="111">
        <f>C39</f>
        <v>13610700</v>
      </c>
      <c r="F98" s="336"/>
      <c r="H98" s="72" t="s">
        <v>79</v>
      </c>
      <c r="I98" s="24"/>
      <c r="J98" s="24"/>
      <c r="K98" s="24"/>
      <c r="L98" s="250">
        <v>0.25</v>
      </c>
    </row>
    <row r="99" spans="1:34" ht="16.5" thickBot="1" x14ac:dyDescent="0.3">
      <c r="A99" s="135" t="s">
        <v>74</v>
      </c>
      <c r="B99" s="136"/>
      <c r="C99" s="136"/>
      <c r="D99" s="137"/>
      <c r="E99" s="138">
        <f>E98-E95</f>
        <v>1110700</v>
      </c>
      <c r="H99" s="73" t="s">
        <v>424</v>
      </c>
      <c r="I99" s="36"/>
      <c r="J99" s="36"/>
      <c r="K99" s="36"/>
      <c r="L99" s="248">
        <v>0.04</v>
      </c>
    </row>
    <row r="101" spans="1:34" ht="16.5" thickBot="1" x14ac:dyDescent="0.3">
      <c r="A101" s="120"/>
      <c r="B101" s="120"/>
      <c r="C101" s="120"/>
      <c r="D101" s="120"/>
      <c r="E101" s="815"/>
    </row>
    <row r="102" spans="1:34" ht="16.5" thickBot="1" x14ac:dyDescent="0.3">
      <c r="A102" s="79" t="s">
        <v>95</v>
      </c>
      <c r="B102" s="51"/>
      <c r="C102" s="51"/>
      <c r="D102" s="51"/>
      <c r="E102" s="355" t="s">
        <v>85</v>
      </c>
      <c r="F102" s="356" t="s">
        <v>86</v>
      </c>
      <c r="G102" s="355" t="s">
        <v>87</v>
      </c>
      <c r="H102" s="356" t="s">
        <v>88</v>
      </c>
      <c r="I102" s="355" t="s">
        <v>89</v>
      </c>
      <c r="J102" s="356" t="s">
        <v>90</v>
      </c>
      <c r="K102" s="355" t="s">
        <v>91</v>
      </c>
      <c r="L102" s="356" t="s">
        <v>92</v>
      </c>
      <c r="M102" s="355" t="s">
        <v>93</v>
      </c>
      <c r="N102" s="355" t="s">
        <v>94</v>
      </c>
      <c r="O102" s="357" t="s">
        <v>239</v>
      </c>
      <c r="P102" s="358" t="s">
        <v>240</v>
      </c>
      <c r="Q102" s="358" t="s">
        <v>241</v>
      </c>
      <c r="R102" s="340" t="s">
        <v>242</v>
      </c>
      <c r="S102" s="358" t="s">
        <v>243</v>
      </c>
      <c r="T102" s="340" t="s">
        <v>244</v>
      </c>
      <c r="U102" s="358" t="s">
        <v>245</v>
      </c>
      <c r="V102" s="340" t="s">
        <v>246</v>
      </c>
      <c r="W102" s="358" t="s">
        <v>247</v>
      </c>
      <c r="X102" s="340" t="s">
        <v>248</v>
      </c>
      <c r="Y102" s="358" t="s">
        <v>249</v>
      </c>
      <c r="Z102" s="340" t="s">
        <v>250</v>
      </c>
      <c r="AA102" s="358" t="s">
        <v>251</v>
      </c>
      <c r="AB102" s="340" t="s">
        <v>252</v>
      </c>
      <c r="AC102" s="358" t="s">
        <v>253</v>
      </c>
      <c r="AD102" s="340" t="s">
        <v>254</v>
      </c>
      <c r="AE102" s="358" t="s">
        <v>255</v>
      </c>
      <c r="AF102" s="340" t="s">
        <v>256</v>
      </c>
      <c r="AG102" s="358" t="s">
        <v>257</v>
      </c>
      <c r="AH102" s="359" t="s">
        <v>258</v>
      </c>
    </row>
    <row r="103" spans="1:34" x14ac:dyDescent="0.25">
      <c r="A103" s="90" t="s">
        <v>425</v>
      </c>
      <c r="B103" s="18"/>
      <c r="C103" s="345" t="s">
        <v>96</v>
      </c>
      <c r="D103" s="25">
        <f>D65</f>
        <v>0.03</v>
      </c>
      <c r="E103" s="203">
        <f>D44</f>
        <v>1296000</v>
      </c>
      <c r="F103" s="98">
        <f t="shared" ref="F103:U104" si="1">E103*(1+$D$103)</f>
        <v>1334880</v>
      </c>
      <c r="G103" s="203">
        <f t="shared" si="1"/>
        <v>1374926.4000000001</v>
      </c>
      <c r="H103" s="98">
        <f t="shared" si="1"/>
        <v>1416174.1920000003</v>
      </c>
      <c r="I103" s="203">
        <f t="shared" si="1"/>
        <v>1458659.4177600003</v>
      </c>
      <c r="J103" s="98">
        <f t="shared" si="1"/>
        <v>1502419.2002928003</v>
      </c>
      <c r="K103" s="203">
        <f t="shared" si="1"/>
        <v>1547491.7763015844</v>
      </c>
      <c r="L103" s="98">
        <f t="shared" si="1"/>
        <v>1593916.5295906321</v>
      </c>
      <c r="M103" s="203">
        <f t="shared" si="1"/>
        <v>1641734.0254783512</v>
      </c>
      <c r="N103" s="203">
        <f t="shared" si="1"/>
        <v>1690986.0462427018</v>
      </c>
      <c r="O103" s="284">
        <f t="shared" si="1"/>
        <v>1741715.627629983</v>
      </c>
      <c r="P103" s="203">
        <f t="shared" si="1"/>
        <v>1793967.0964588826</v>
      </c>
      <c r="Q103" s="203">
        <f t="shared" si="1"/>
        <v>1847786.1093526492</v>
      </c>
      <c r="R103" s="98">
        <f t="shared" si="1"/>
        <v>1903219.6926332286</v>
      </c>
      <c r="S103" s="287">
        <f t="shared" si="1"/>
        <v>1960316.2834122255</v>
      </c>
      <c r="T103" s="98">
        <f t="shared" si="1"/>
        <v>2019125.7719145925</v>
      </c>
      <c r="U103" s="287">
        <f t="shared" si="1"/>
        <v>2079699.5450720303</v>
      </c>
      <c r="V103" s="98">
        <f t="shared" ref="V103:AH104" si="2">U103*(1+$D$103)</f>
        <v>2142090.5314241913</v>
      </c>
      <c r="W103" s="203">
        <f t="shared" si="2"/>
        <v>2206353.2473669173</v>
      </c>
      <c r="X103" s="98">
        <f t="shared" si="2"/>
        <v>2272543.844787925</v>
      </c>
      <c r="Y103" s="203">
        <f t="shared" si="2"/>
        <v>2340720.160131563</v>
      </c>
      <c r="Z103" s="98">
        <f t="shared" si="2"/>
        <v>2410941.7649355098</v>
      </c>
      <c r="AA103" s="203">
        <f t="shared" si="2"/>
        <v>2483270.0178835751</v>
      </c>
      <c r="AB103" s="98">
        <f t="shared" si="2"/>
        <v>2557768.1184200821</v>
      </c>
      <c r="AC103" s="203">
        <f t="shared" si="2"/>
        <v>2634501.1619726848</v>
      </c>
      <c r="AD103" s="98">
        <f t="shared" si="2"/>
        <v>2713536.1968318652</v>
      </c>
      <c r="AE103" s="203">
        <f t="shared" si="2"/>
        <v>2794942.2827368211</v>
      </c>
      <c r="AF103" s="98">
        <f t="shared" si="2"/>
        <v>2878790.551218926</v>
      </c>
      <c r="AG103" s="203">
        <f t="shared" si="2"/>
        <v>2965154.267755494</v>
      </c>
      <c r="AH103" s="217">
        <f t="shared" si="2"/>
        <v>3054108.8957881588</v>
      </c>
    </row>
    <row r="104" spans="1:34" x14ac:dyDescent="0.25">
      <c r="A104" s="17" t="s">
        <v>421</v>
      </c>
      <c r="B104" s="24"/>
      <c r="C104" s="24"/>
      <c r="D104" s="278"/>
      <c r="E104" s="352">
        <f>D45</f>
        <v>64800</v>
      </c>
      <c r="F104" s="98">
        <f t="shared" si="1"/>
        <v>66744</v>
      </c>
      <c r="G104" s="203">
        <f t="shared" si="1"/>
        <v>68746.320000000007</v>
      </c>
      <c r="H104" s="98">
        <f t="shared" si="1"/>
        <v>70808.709600000002</v>
      </c>
      <c r="I104" s="203">
        <f t="shared" si="1"/>
        <v>72932.970888000011</v>
      </c>
      <c r="J104" s="98">
        <f t="shared" si="1"/>
        <v>75120.960014640019</v>
      </c>
      <c r="K104" s="203">
        <f t="shared" si="1"/>
        <v>77374.588815079216</v>
      </c>
      <c r="L104" s="98">
        <f t="shared" si="1"/>
        <v>79695.826479531592</v>
      </c>
      <c r="M104" s="203">
        <f t="shared" si="1"/>
        <v>82086.701273917541</v>
      </c>
      <c r="N104" s="203">
        <f t="shared" si="1"/>
        <v>84549.302312135071</v>
      </c>
      <c r="O104" s="284">
        <f t="shared" si="1"/>
        <v>87085.781381499124</v>
      </c>
      <c r="P104" s="283">
        <f t="shared" si="1"/>
        <v>89698.354822944093</v>
      </c>
      <c r="Q104" s="203">
        <f t="shared" si="1"/>
        <v>92389.305467632425</v>
      </c>
      <c r="R104" s="98">
        <f t="shared" si="1"/>
        <v>95160.984631661398</v>
      </c>
      <c r="S104" s="203">
        <f t="shared" si="1"/>
        <v>98015.814170611236</v>
      </c>
      <c r="T104" s="284">
        <f t="shared" si="1"/>
        <v>100956.28859572958</v>
      </c>
      <c r="U104" s="203">
        <f t="shared" si="1"/>
        <v>103984.97725360146</v>
      </c>
      <c r="V104" s="98">
        <f t="shared" si="2"/>
        <v>107104.52657120951</v>
      </c>
      <c r="W104" s="203">
        <f t="shared" si="2"/>
        <v>110317.6623683458</v>
      </c>
      <c r="X104" s="98">
        <f t="shared" si="2"/>
        <v>113627.19223939617</v>
      </c>
      <c r="Y104" s="203">
        <f t="shared" si="2"/>
        <v>117036.00800657806</v>
      </c>
      <c r="Z104" s="98">
        <f t="shared" si="2"/>
        <v>120547.08824677541</v>
      </c>
      <c r="AA104" s="203">
        <f t="shared" si="2"/>
        <v>124163.50089417868</v>
      </c>
      <c r="AB104" s="98">
        <f t="shared" si="2"/>
        <v>127888.40592100404</v>
      </c>
      <c r="AC104" s="203">
        <f t="shared" si="2"/>
        <v>131725.05809863418</v>
      </c>
      <c r="AD104" s="98">
        <f t="shared" si="2"/>
        <v>135676.8098415932</v>
      </c>
      <c r="AE104" s="203">
        <f t="shared" si="2"/>
        <v>139747.114136841</v>
      </c>
      <c r="AF104" s="98">
        <f t="shared" si="2"/>
        <v>143939.52756094624</v>
      </c>
      <c r="AG104" s="203">
        <f t="shared" si="2"/>
        <v>148257.71338777462</v>
      </c>
      <c r="AH104" s="217">
        <f t="shared" si="2"/>
        <v>152705.44478940786</v>
      </c>
    </row>
    <row r="105" spans="1:34" ht="16.5" thickBot="1" x14ac:dyDescent="0.3">
      <c r="A105" s="29" t="s">
        <v>444</v>
      </c>
      <c r="B105" s="30"/>
      <c r="C105" s="83"/>
      <c r="D105" s="279"/>
      <c r="E105" s="232">
        <f>E103+E104</f>
        <v>1360800</v>
      </c>
      <c r="F105" s="231">
        <f>F103+F104</f>
        <v>1401624</v>
      </c>
      <c r="G105" s="232">
        <f>G103+G104</f>
        <v>1443672.7200000002</v>
      </c>
      <c r="H105" s="231">
        <f>H103+H104</f>
        <v>1486982.9016000002</v>
      </c>
      <c r="I105" s="232">
        <f>I103+I104</f>
        <v>1531592.3886480003</v>
      </c>
      <c r="J105" s="231">
        <f t="shared" ref="J105:AH105" si="3">J103+J104</f>
        <v>1577540.1603074404</v>
      </c>
      <c r="K105" s="232">
        <f t="shared" si="3"/>
        <v>1624866.3651166637</v>
      </c>
      <c r="L105" s="231">
        <f t="shared" si="3"/>
        <v>1673612.3560701637</v>
      </c>
      <c r="M105" s="232">
        <f t="shared" si="3"/>
        <v>1723820.7267522686</v>
      </c>
      <c r="N105" s="232">
        <f t="shared" si="3"/>
        <v>1775535.3485548368</v>
      </c>
      <c r="O105" s="285">
        <f t="shared" si="3"/>
        <v>1828801.409011482</v>
      </c>
      <c r="P105" s="232">
        <f t="shared" si="3"/>
        <v>1883665.4512818267</v>
      </c>
      <c r="Q105" s="232">
        <f t="shared" si="3"/>
        <v>1940175.4148202816</v>
      </c>
      <c r="R105" s="231">
        <f t="shared" si="3"/>
        <v>1998380.6772648899</v>
      </c>
      <c r="S105" s="232">
        <f t="shared" si="3"/>
        <v>2058332.0975828369</v>
      </c>
      <c r="T105" s="231">
        <f t="shared" si="3"/>
        <v>2120082.060510322</v>
      </c>
      <c r="U105" s="232">
        <f t="shared" si="3"/>
        <v>2183684.5223256317</v>
      </c>
      <c r="V105" s="231">
        <f t="shared" si="3"/>
        <v>2249195.0579954009</v>
      </c>
      <c r="W105" s="232">
        <f t="shared" si="3"/>
        <v>2316670.9097352633</v>
      </c>
      <c r="X105" s="231">
        <f t="shared" si="3"/>
        <v>2386171.0370273213</v>
      </c>
      <c r="Y105" s="232">
        <f t="shared" si="3"/>
        <v>2457756.1681381408</v>
      </c>
      <c r="Z105" s="231">
        <f t="shared" si="3"/>
        <v>2531488.8531822851</v>
      </c>
      <c r="AA105" s="232">
        <f t="shared" si="3"/>
        <v>2607433.5187777537</v>
      </c>
      <c r="AB105" s="231">
        <f t="shared" si="3"/>
        <v>2685656.5243410864</v>
      </c>
      <c r="AC105" s="232">
        <f t="shared" si="3"/>
        <v>2766226.220071319</v>
      </c>
      <c r="AD105" s="231">
        <f t="shared" si="3"/>
        <v>2849213.0066734585</v>
      </c>
      <c r="AE105" s="232">
        <f t="shared" si="3"/>
        <v>2934689.3968736622</v>
      </c>
      <c r="AF105" s="231">
        <f t="shared" si="3"/>
        <v>3022730.078779872</v>
      </c>
      <c r="AG105" s="232">
        <f t="shared" si="3"/>
        <v>3113411.9811432688</v>
      </c>
      <c r="AH105" s="245">
        <f t="shared" si="3"/>
        <v>3206814.3405775665</v>
      </c>
    </row>
    <row r="106" spans="1:34" x14ac:dyDescent="0.25">
      <c r="A106" s="17" t="s">
        <v>54</v>
      </c>
      <c r="B106" s="18"/>
      <c r="C106" s="24"/>
      <c r="D106" s="280">
        <f>C47</f>
        <v>0.25</v>
      </c>
      <c r="E106" s="203">
        <f t="shared" ref="E106:AH106" si="4">$D$106*E105</f>
        <v>340200</v>
      </c>
      <c r="F106" s="98">
        <f t="shared" si="4"/>
        <v>350406</v>
      </c>
      <c r="G106" s="203">
        <f t="shared" si="4"/>
        <v>360918.18000000005</v>
      </c>
      <c r="H106" s="98">
        <f t="shared" si="4"/>
        <v>371745.72540000005</v>
      </c>
      <c r="I106" s="203">
        <f t="shared" si="4"/>
        <v>382898.09716200008</v>
      </c>
      <c r="J106" s="98">
        <f t="shared" si="4"/>
        <v>394385.04007686011</v>
      </c>
      <c r="K106" s="203">
        <f t="shared" si="4"/>
        <v>406216.59127916594</v>
      </c>
      <c r="L106" s="98">
        <f t="shared" si="4"/>
        <v>418403.08901754091</v>
      </c>
      <c r="M106" s="203">
        <f t="shared" si="4"/>
        <v>430955.18168806715</v>
      </c>
      <c r="N106" s="203">
        <f t="shared" si="4"/>
        <v>443883.8371387092</v>
      </c>
      <c r="O106" s="284">
        <f t="shared" si="4"/>
        <v>457200.35225287051</v>
      </c>
      <c r="P106" s="203">
        <f t="shared" si="4"/>
        <v>470916.36282045668</v>
      </c>
      <c r="Q106" s="203">
        <f t="shared" si="4"/>
        <v>485043.85370507039</v>
      </c>
      <c r="R106" s="98">
        <f t="shared" si="4"/>
        <v>499595.16931622248</v>
      </c>
      <c r="S106" s="203">
        <f t="shared" si="4"/>
        <v>514583.02439570922</v>
      </c>
      <c r="T106" s="98">
        <f t="shared" si="4"/>
        <v>530020.5151275805</v>
      </c>
      <c r="U106" s="203">
        <f t="shared" si="4"/>
        <v>545921.13058140792</v>
      </c>
      <c r="V106" s="98">
        <f t="shared" si="4"/>
        <v>562298.76449885021</v>
      </c>
      <c r="W106" s="203">
        <f t="shared" si="4"/>
        <v>579167.72743381583</v>
      </c>
      <c r="X106" s="98">
        <f t="shared" si="4"/>
        <v>596542.75925683032</v>
      </c>
      <c r="Y106" s="203">
        <f t="shared" si="4"/>
        <v>614439.0420345352</v>
      </c>
      <c r="Z106" s="98">
        <f t="shared" si="4"/>
        <v>632872.21329557127</v>
      </c>
      <c r="AA106" s="203">
        <f t="shared" si="4"/>
        <v>651858.37969443842</v>
      </c>
      <c r="AB106" s="98">
        <f t="shared" si="4"/>
        <v>671414.1310852716</v>
      </c>
      <c r="AC106" s="203">
        <f t="shared" si="4"/>
        <v>691556.55501782976</v>
      </c>
      <c r="AD106" s="98">
        <f t="shared" si="4"/>
        <v>712303.25166836462</v>
      </c>
      <c r="AE106" s="203">
        <f t="shared" si="4"/>
        <v>733672.34921841556</v>
      </c>
      <c r="AF106" s="98">
        <f t="shared" si="4"/>
        <v>755682.51969496801</v>
      </c>
      <c r="AG106" s="203">
        <f t="shared" si="4"/>
        <v>778352.99528581719</v>
      </c>
      <c r="AH106" s="217">
        <f t="shared" si="4"/>
        <v>801703.58514439163</v>
      </c>
    </row>
    <row r="107" spans="1:34" x14ac:dyDescent="0.25">
      <c r="A107" s="17" t="s">
        <v>55</v>
      </c>
      <c r="B107" s="18"/>
      <c r="C107" s="24"/>
      <c r="D107" s="280">
        <f>C48</f>
        <v>0.02</v>
      </c>
      <c r="E107" s="352">
        <f t="shared" ref="E107:AH107" si="5">$D$107*E105</f>
        <v>27216</v>
      </c>
      <c r="F107" s="353">
        <f t="shared" si="5"/>
        <v>28032.48</v>
      </c>
      <c r="G107" s="352">
        <f t="shared" si="5"/>
        <v>28873.454400000006</v>
      </c>
      <c r="H107" s="353">
        <f t="shared" si="5"/>
        <v>29739.658032000007</v>
      </c>
      <c r="I107" s="352">
        <f t="shared" si="5"/>
        <v>30631.847772960005</v>
      </c>
      <c r="J107" s="353">
        <f t="shared" si="5"/>
        <v>31550.803206148808</v>
      </c>
      <c r="K107" s="352">
        <f t="shared" si="5"/>
        <v>32497.327302333277</v>
      </c>
      <c r="L107" s="353">
        <f t="shared" si="5"/>
        <v>33472.24712140327</v>
      </c>
      <c r="M107" s="352">
        <f t="shared" si="5"/>
        <v>34476.414535045376</v>
      </c>
      <c r="N107" s="352">
        <f t="shared" si="5"/>
        <v>35510.706971096741</v>
      </c>
      <c r="O107" s="354">
        <f t="shared" si="5"/>
        <v>36576.028180229645</v>
      </c>
      <c r="P107" s="352">
        <f t="shared" si="5"/>
        <v>37673.309025636532</v>
      </c>
      <c r="Q107" s="352">
        <f t="shared" si="5"/>
        <v>38803.508296405635</v>
      </c>
      <c r="R107" s="353">
        <f t="shared" si="5"/>
        <v>39967.613545297798</v>
      </c>
      <c r="S107" s="352">
        <f t="shared" si="5"/>
        <v>41166.64195165674</v>
      </c>
      <c r="T107" s="353">
        <f t="shared" si="5"/>
        <v>42401.641210206442</v>
      </c>
      <c r="U107" s="352">
        <f t="shared" si="5"/>
        <v>43673.690446512635</v>
      </c>
      <c r="V107" s="353">
        <f t="shared" si="5"/>
        <v>44983.901159908019</v>
      </c>
      <c r="W107" s="352">
        <f t="shared" si="5"/>
        <v>46333.418194705264</v>
      </c>
      <c r="X107" s="353">
        <f t="shared" si="5"/>
        <v>47723.420740546426</v>
      </c>
      <c r="Y107" s="352">
        <f t="shared" si="5"/>
        <v>49155.123362762817</v>
      </c>
      <c r="Z107" s="353">
        <f t="shared" si="5"/>
        <v>50629.777063645706</v>
      </c>
      <c r="AA107" s="352">
        <f t="shared" si="5"/>
        <v>52148.670375555077</v>
      </c>
      <c r="AB107" s="353">
        <f t="shared" si="5"/>
        <v>53713.130486821727</v>
      </c>
      <c r="AC107" s="352">
        <f t="shared" si="5"/>
        <v>55324.524401426381</v>
      </c>
      <c r="AD107" s="353">
        <f t="shared" si="5"/>
        <v>56984.260133469172</v>
      </c>
      <c r="AE107" s="352">
        <f t="shared" si="5"/>
        <v>58693.787937473244</v>
      </c>
      <c r="AF107" s="353">
        <f t="shared" si="5"/>
        <v>60454.601575597444</v>
      </c>
      <c r="AG107" s="352">
        <f t="shared" si="5"/>
        <v>62268.239622865374</v>
      </c>
      <c r="AH107" s="317">
        <f t="shared" si="5"/>
        <v>64136.286811551334</v>
      </c>
    </row>
    <row r="108" spans="1:34" ht="16.5" thickBot="1" x14ac:dyDescent="0.3">
      <c r="A108" s="29" t="s">
        <v>99</v>
      </c>
      <c r="B108" s="30"/>
      <c r="C108" s="83"/>
      <c r="D108" s="279"/>
      <c r="E108" s="232">
        <f>E105-E106-E107</f>
        <v>993384</v>
      </c>
      <c r="F108" s="231">
        <f>F105-F106-F107</f>
        <v>1023185.52</v>
      </c>
      <c r="G108" s="232">
        <f>G105-G106-G107</f>
        <v>1053881.0856000001</v>
      </c>
      <c r="H108" s="231">
        <f>H105-H106-H107</f>
        <v>1085497.518168</v>
      </c>
      <c r="I108" s="232">
        <f>I105-I106-I107</f>
        <v>1118062.4437130401</v>
      </c>
      <c r="J108" s="231">
        <f t="shared" ref="J108:AH108" si="6">J105-J106-J107</f>
        <v>1151604.3170244314</v>
      </c>
      <c r="K108" s="232">
        <f t="shared" si="6"/>
        <v>1186152.4465351647</v>
      </c>
      <c r="L108" s="231">
        <f t="shared" si="6"/>
        <v>1221737.0199312195</v>
      </c>
      <c r="M108" s="232">
        <f t="shared" si="6"/>
        <v>1258389.1305291562</v>
      </c>
      <c r="N108" s="232">
        <f t="shared" si="6"/>
        <v>1296140.8044450309</v>
      </c>
      <c r="O108" s="285">
        <f t="shared" si="6"/>
        <v>1335025.0285783818</v>
      </c>
      <c r="P108" s="232">
        <f t="shared" si="6"/>
        <v>1375075.7794357333</v>
      </c>
      <c r="Q108" s="232">
        <f t="shared" si="6"/>
        <v>1416328.0528188054</v>
      </c>
      <c r="R108" s="231">
        <f t="shared" si="6"/>
        <v>1458817.8944033696</v>
      </c>
      <c r="S108" s="232">
        <f t="shared" si="6"/>
        <v>1502582.431235471</v>
      </c>
      <c r="T108" s="231">
        <f t="shared" si="6"/>
        <v>1547659.9041725348</v>
      </c>
      <c r="U108" s="232">
        <f t="shared" si="6"/>
        <v>1594089.7012977113</v>
      </c>
      <c r="V108" s="231">
        <f t="shared" si="6"/>
        <v>1641912.3923366426</v>
      </c>
      <c r="W108" s="232">
        <f t="shared" si="6"/>
        <v>1691169.7641067423</v>
      </c>
      <c r="X108" s="231">
        <f t="shared" si="6"/>
        <v>1741904.8570299444</v>
      </c>
      <c r="Y108" s="232">
        <f t="shared" si="6"/>
        <v>1794162.0027408428</v>
      </c>
      <c r="Z108" s="231">
        <f t="shared" si="6"/>
        <v>1847986.8628230682</v>
      </c>
      <c r="AA108" s="232">
        <f t="shared" si="6"/>
        <v>1903426.4687077601</v>
      </c>
      <c r="AB108" s="231">
        <f t="shared" si="6"/>
        <v>1960529.2627689932</v>
      </c>
      <c r="AC108" s="232">
        <f t="shared" si="6"/>
        <v>2019345.1406520628</v>
      </c>
      <c r="AD108" s="231">
        <f t="shared" si="6"/>
        <v>2079925.4948716245</v>
      </c>
      <c r="AE108" s="232">
        <f t="shared" si="6"/>
        <v>2142323.2597177736</v>
      </c>
      <c r="AF108" s="231">
        <f t="shared" si="6"/>
        <v>2206592.9575093063</v>
      </c>
      <c r="AG108" s="232">
        <f t="shared" si="6"/>
        <v>2272790.746234586</v>
      </c>
      <c r="AH108" s="245">
        <f t="shared" si="6"/>
        <v>2340974.4686216232</v>
      </c>
    </row>
    <row r="109" spans="1:34" x14ac:dyDescent="0.25">
      <c r="A109" s="17" t="s">
        <v>57</v>
      </c>
      <c r="B109" s="18"/>
      <c r="C109" s="345" t="s">
        <v>96</v>
      </c>
      <c r="D109" s="25">
        <f>D66</f>
        <v>0.03</v>
      </c>
      <c r="E109" s="352">
        <f>D50</f>
        <v>453600</v>
      </c>
      <c r="F109" s="353">
        <f t="shared" ref="F109:AH109" si="7">E109*(1+$D$109)</f>
        <v>467208</v>
      </c>
      <c r="G109" s="352">
        <f t="shared" si="7"/>
        <v>481224.24</v>
      </c>
      <c r="H109" s="353">
        <f t="shared" si="7"/>
        <v>495660.96720000001</v>
      </c>
      <c r="I109" s="352">
        <f t="shared" si="7"/>
        <v>510530.79621600005</v>
      </c>
      <c r="J109" s="353">
        <f t="shared" si="7"/>
        <v>525846.72010248003</v>
      </c>
      <c r="K109" s="352">
        <f t="shared" si="7"/>
        <v>541622.12170555443</v>
      </c>
      <c r="L109" s="353">
        <f t="shared" si="7"/>
        <v>557870.78535672103</v>
      </c>
      <c r="M109" s="352">
        <f t="shared" si="7"/>
        <v>574606.90891742264</v>
      </c>
      <c r="N109" s="352">
        <f t="shared" si="7"/>
        <v>591845.11618494533</v>
      </c>
      <c r="O109" s="354">
        <f t="shared" si="7"/>
        <v>609600.46967049374</v>
      </c>
      <c r="P109" s="352">
        <f t="shared" si="7"/>
        <v>627888.48376060859</v>
      </c>
      <c r="Q109" s="352">
        <f t="shared" si="7"/>
        <v>646725.13827342691</v>
      </c>
      <c r="R109" s="353">
        <f t="shared" si="7"/>
        <v>666126.89242162975</v>
      </c>
      <c r="S109" s="352">
        <f t="shared" si="7"/>
        <v>686110.69919427868</v>
      </c>
      <c r="T109" s="353">
        <f t="shared" si="7"/>
        <v>706694.02017010702</v>
      </c>
      <c r="U109" s="352">
        <f t="shared" si="7"/>
        <v>727894.84077521029</v>
      </c>
      <c r="V109" s="353">
        <f t="shared" si="7"/>
        <v>749731.68599846656</v>
      </c>
      <c r="W109" s="352">
        <f t="shared" si="7"/>
        <v>772223.63657842053</v>
      </c>
      <c r="X109" s="353">
        <f t="shared" si="7"/>
        <v>795390.34567577322</v>
      </c>
      <c r="Y109" s="352">
        <f t="shared" si="7"/>
        <v>819252.05604604643</v>
      </c>
      <c r="Z109" s="353">
        <f t="shared" si="7"/>
        <v>843829.61772742786</v>
      </c>
      <c r="AA109" s="352">
        <f t="shared" si="7"/>
        <v>869144.50625925069</v>
      </c>
      <c r="AB109" s="353">
        <f t="shared" si="7"/>
        <v>895218.84144702822</v>
      </c>
      <c r="AC109" s="352">
        <f t="shared" si="7"/>
        <v>922075.40669043909</v>
      </c>
      <c r="AD109" s="353">
        <f t="shared" si="7"/>
        <v>949737.66889115225</v>
      </c>
      <c r="AE109" s="352">
        <f t="shared" si="7"/>
        <v>978229.79895788687</v>
      </c>
      <c r="AF109" s="353">
        <f t="shared" si="7"/>
        <v>1007576.6929266235</v>
      </c>
      <c r="AG109" s="352">
        <f t="shared" si="7"/>
        <v>1037803.9937144222</v>
      </c>
      <c r="AH109" s="317">
        <f t="shared" si="7"/>
        <v>1068938.1135258549</v>
      </c>
    </row>
    <row r="110" spans="1:34" x14ac:dyDescent="0.25">
      <c r="A110" s="17" t="s">
        <v>100</v>
      </c>
      <c r="B110" s="24"/>
      <c r="C110" s="24"/>
      <c r="D110" s="39"/>
      <c r="E110" s="149">
        <f>$L$12*$C$61*I16</f>
        <v>0</v>
      </c>
      <c r="F110" s="200">
        <f>$L$12*$C$61*(1+$D$103)*I17</f>
        <v>0</v>
      </c>
      <c r="G110" s="149">
        <f>$L$12*$C$61*(1+$D$103)^2*I18</f>
        <v>0</v>
      </c>
      <c r="H110" s="200">
        <f>$L$12*$C$61*(1+$D$103)^3*I19</f>
        <v>0</v>
      </c>
      <c r="I110" s="149">
        <f>$L$12*$C$61*(1+$D$103)^4*I20</f>
        <v>0</v>
      </c>
      <c r="J110" s="200">
        <f>$L$12*$C$61*(1+$D$103)^5*I21</f>
        <v>0</v>
      </c>
      <c r="K110" s="149">
        <f>$L$12*$C$61*(1+$D$103)^6*I22</f>
        <v>0</v>
      </c>
      <c r="L110" s="200">
        <f>$L$12*$C$61*(1+$D$103)^7*I23</f>
        <v>0</v>
      </c>
      <c r="M110" s="149">
        <f>$L$12*$C$61*(1+$D$103)^8*I24</f>
        <v>0</v>
      </c>
      <c r="N110" s="149">
        <f>$L$12*$C$61*(1+$D$103)^9*I25</f>
        <v>0</v>
      </c>
      <c r="O110" s="149">
        <f>$L$12*$C$61*(1+$D$103)^10*I26</f>
        <v>0</v>
      </c>
      <c r="P110" s="149">
        <f>$L$12*$C$61*(1+$D$103)^11*I27</f>
        <v>0</v>
      </c>
      <c r="Q110" s="149">
        <f>$L$12*$C$61*(1+$D$103)^12*I28</f>
        <v>0</v>
      </c>
      <c r="R110" s="149">
        <f>$L$12*$C$61*(1+$D$103)^13*I29</f>
        <v>0</v>
      </c>
      <c r="S110" s="149">
        <f>$L$12*$C$61*(1+$D$103)^14*I30</f>
        <v>0</v>
      </c>
      <c r="T110" s="149">
        <f>$L$12*$C$61*(1+$D$103)^15*I31</f>
        <v>0</v>
      </c>
      <c r="U110" s="149">
        <f>$L$12*$C$61*(1+$D$103)^16*I32</f>
        <v>0</v>
      </c>
      <c r="V110" s="149">
        <f>$L$12*$C$61*(1+$D$103)^17*I33</f>
        <v>0</v>
      </c>
      <c r="W110" s="149">
        <f>$L$12*$C$61*(1+$D$103)^18*I34</f>
        <v>0</v>
      </c>
      <c r="X110" s="149">
        <f>$L$12*$C$61*(1+$D$103)^19*I35</f>
        <v>0</v>
      </c>
      <c r="Y110" s="149">
        <f>$L$12*$C$61*(1+$D$103)^20*I36</f>
        <v>0</v>
      </c>
      <c r="Z110" s="149">
        <f>$L$12*$C$61*(1+$D$103)^21*I37</f>
        <v>0</v>
      </c>
      <c r="AA110" s="149">
        <f>$L$12*$C$61*(1+$D$103)^22*I38</f>
        <v>0</v>
      </c>
      <c r="AB110" s="149">
        <f>$L$12*$C$61*(1+$D$103)^23*I39</f>
        <v>0</v>
      </c>
      <c r="AC110" s="149">
        <f>$L$12*$C$61*(1+$D$103)^24*I40</f>
        <v>0</v>
      </c>
      <c r="AD110" s="149">
        <f>$L$12*$C$61*(1+$D$103)^25*I41</f>
        <v>0</v>
      </c>
      <c r="AE110" s="149">
        <f>$L$12*$C$61*(1+$D$103)^26*I42</f>
        <v>0</v>
      </c>
      <c r="AF110" s="149">
        <f>$L$12*$C$61*(1+$D$103)^27*I43</f>
        <v>0</v>
      </c>
      <c r="AG110" s="149">
        <f>$L$12*$C$61*(1+$D$103)^28*I44</f>
        <v>0</v>
      </c>
      <c r="AH110" s="205">
        <f>$L$12*$C$61*(1+$D$103)^29*I45</f>
        <v>0</v>
      </c>
    </row>
    <row r="111" spans="1:34" x14ac:dyDescent="0.25">
      <c r="A111" s="17" t="s">
        <v>133</v>
      </c>
      <c r="B111" s="24"/>
      <c r="C111" s="24"/>
      <c r="D111" s="39"/>
      <c r="E111" s="149">
        <f>J16*$L$13*E105</f>
        <v>0</v>
      </c>
      <c r="F111" s="149">
        <f>J17*$L$13*F105</f>
        <v>0</v>
      </c>
      <c r="G111" s="149">
        <f>J18*$L$13*G105</f>
        <v>0</v>
      </c>
      <c r="H111" s="149">
        <f>J19*$L$13*H105</f>
        <v>0</v>
      </c>
      <c r="I111" s="149">
        <f>J20*$L$13*I105</f>
        <v>0</v>
      </c>
      <c r="J111" s="149">
        <f>J21*$L$13*J105</f>
        <v>0</v>
      </c>
      <c r="K111" s="149">
        <f>J22*$L$13*K105</f>
        <v>0</v>
      </c>
      <c r="L111" s="149">
        <f>J23*$L$13*L105</f>
        <v>0</v>
      </c>
      <c r="M111" s="149">
        <f>J24*$L$13*M105</f>
        <v>0</v>
      </c>
      <c r="N111" s="149">
        <f>J25*$L$13*N105</f>
        <v>0</v>
      </c>
      <c r="O111" s="149">
        <f>J26*$L$13*O105</f>
        <v>0</v>
      </c>
      <c r="P111" s="149">
        <f>J27*$L$13*P105</f>
        <v>0</v>
      </c>
      <c r="Q111" s="149">
        <f>J28*$L$13*Q105</f>
        <v>0</v>
      </c>
      <c r="R111" s="149">
        <f>J29*$L$13*R105</f>
        <v>0</v>
      </c>
      <c r="S111" s="149">
        <f>J30*$L$13*S105</f>
        <v>0</v>
      </c>
      <c r="T111" s="149">
        <f>J31*$L$13*T105</f>
        <v>0</v>
      </c>
      <c r="U111" s="149">
        <f>J32*$L$13*U105</f>
        <v>0</v>
      </c>
      <c r="V111" s="149">
        <f>J33*$L$13*V105</f>
        <v>0</v>
      </c>
      <c r="W111" s="149">
        <f>J34*$L$13*W105</f>
        <v>0</v>
      </c>
      <c r="X111" s="149">
        <f>J35*$L$13*X105</f>
        <v>0</v>
      </c>
      <c r="Y111" s="149">
        <f>J36*$L$13*Y105</f>
        <v>0</v>
      </c>
      <c r="Z111" s="149">
        <f>J37*$L$13*Z105</f>
        <v>0</v>
      </c>
      <c r="AA111" s="149">
        <f>J38*$L$13*AA105</f>
        <v>0</v>
      </c>
      <c r="AB111" s="149">
        <f>J39*$L$13*AB105</f>
        <v>0</v>
      </c>
      <c r="AC111" s="149">
        <f>J40*$L$13*AC105</f>
        <v>0</v>
      </c>
      <c r="AD111" s="149">
        <f>J41*$L$13*AD105</f>
        <v>0</v>
      </c>
      <c r="AE111" s="149">
        <f>J42*$L$13*AE105</f>
        <v>0</v>
      </c>
      <c r="AF111" s="149">
        <f>J43*$L$13*AF105</f>
        <v>0</v>
      </c>
      <c r="AG111" s="149">
        <f>J44*$L$13*AG105</f>
        <v>0</v>
      </c>
      <c r="AH111" s="205">
        <f>J45*$L$13*AH105</f>
        <v>0</v>
      </c>
    </row>
    <row r="112" spans="1:34" x14ac:dyDescent="0.25">
      <c r="A112" s="17" t="s">
        <v>465</v>
      </c>
      <c r="B112" s="18"/>
      <c r="C112" s="345"/>
      <c r="D112" s="25"/>
      <c r="E112" s="352">
        <f>$O16</f>
        <v>56000</v>
      </c>
      <c r="F112" s="352">
        <f>$O17</f>
        <v>56000</v>
      </c>
      <c r="G112" s="352">
        <f>$O18</f>
        <v>56000</v>
      </c>
      <c r="H112" s="352">
        <f>$O19</f>
        <v>56000</v>
      </c>
      <c r="I112" s="352">
        <f>$O20</f>
        <v>56000</v>
      </c>
      <c r="J112" s="352">
        <f>$O21</f>
        <v>56000</v>
      </c>
      <c r="K112" s="352">
        <f>$O22</f>
        <v>56000</v>
      </c>
      <c r="L112" s="352">
        <f>$O23</f>
        <v>56000</v>
      </c>
      <c r="M112" s="352">
        <f>$O24</f>
        <v>56000</v>
      </c>
      <c r="N112" s="352">
        <f>$O25</f>
        <v>56000</v>
      </c>
      <c r="O112" s="352">
        <f>$O26</f>
        <v>56000</v>
      </c>
      <c r="P112" s="352">
        <f>$O27</f>
        <v>56000</v>
      </c>
      <c r="Q112" s="352">
        <f>$O28</f>
        <v>56000</v>
      </c>
      <c r="R112" s="352">
        <f>$O29</f>
        <v>56000</v>
      </c>
      <c r="S112" s="352">
        <f>$O30</f>
        <v>56000</v>
      </c>
      <c r="T112" s="352">
        <f>$O31</f>
        <v>56000</v>
      </c>
      <c r="U112" s="352">
        <f>$O32</f>
        <v>56000</v>
      </c>
      <c r="V112" s="352">
        <f>$O33</f>
        <v>56000</v>
      </c>
      <c r="W112" s="352">
        <f>$O34</f>
        <v>56000</v>
      </c>
      <c r="X112" s="352">
        <f>$O35</f>
        <v>56000</v>
      </c>
      <c r="Y112" s="352">
        <f>$O36</f>
        <v>56000</v>
      </c>
      <c r="Z112" s="352">
        <f>$O37</f>
        <v>56000</v>
      </c>
      <c r="AA112" s="352">
        <f>$O38</f>
        <v>56000</v>
      </c>
      <c r="AB112" s="352">
        <f>$O39</f>
        <v>56000</v>
      </c>
      <c r="AC112" s="352">
        <f>$O40</f>
        <v>56000</v>
      </c>
      <c r="AD112" s="352">
        <f>$O41</f>
        <v>56000</v>
      </c>
      <c r="AE112" s="352">
        <f>$O42</f>
        <v>56000</v>
      </c>
      <c r="AF112" s="352">
        <f>$O43</f>
        <v>56000</v>
      </c>
      <c r="AG112" s="352">
        <f>$O44</f>
        <v>56000</v>
      </c>
      <c r="AH112" s="459">
        <f>$O45</f>
        <v>56000</v>
      </c>
    </row>
    <row r="113" spans="1:35" x14ac:dyDescent="0.25">
      <c r="A113" s="17" t="s">
        <v>466</v>
      </c>
      <c r="B113" s="18"/>
      <c r="C113" s="345"/>
      <c r="D113" s="25"/>
      <c r="E113" s="352">
        <f>$P16</f>
        <v>100000</v>
      </c>
      <c r="F113" s="352">
        <f>$P17</f>
        <v>100000</v>
      </c>
      <c r="G113" s="352">
        <f>$P18</f>
        <v>100000</v>
      </c>
      <c r="H113" s="352">
        <f>$P19</f>
        <v>100000</v>
      </c>
      <c r="I113" s="352">
        <f>$P20</f>
        <v>100000</v>
      </c>
      <c r="J113" s="352">
        <f>$P21</f>
        <v>100000</v>
      </c>
      <c r="K113" s="352">
        <f>$P22</f>
        <v>100000</v>
      </c>
      <c r="L113" s="352">
        <f>$P23</f>
        <v>100000</v>
      </c>
      <c r="M113" s="352">
        <f>$P24</f>
        <v>100000</v>
      </c>
      <c r="N113" s="352">
        <f>$P25</f>
        <v>100000</v>
      </c>
      <c r="O113" s="352">
        <f>$P26</f>
        <v>100000</v>
      </c>
      <c r="P113" s="352">
        <f>$P27</f>
        <v>100000</v>
      </c>
      <c r="Q113" s="352">
        <f>$P28</f>
        <v>100000</v>
      </c>
      <c r="R113" s="352">
        <f>$P29</f>
        <v>100000</v>
      </c>
      <c r="S113" s="352">
        <f>$P30</f>
        <v>100000</v>
      </c>
      <c r="T113" s="352">
        <f>$P31</f>
        <v>100000</v>
      </c>
      <c r="U113" s="352">
        <f>$P32</f>
        <v>100000</v>
      </c>
      <c r="V113" s="352">
        <f>$P33</f>
        <v>100000</v>
      </c>
      <c r="W113" s="352">
        <f>$P34</f>
        <v>100000</v>
      </c>
      <c r="X113" s="352">
        <f>$P35</f>
        <v>100000</v>
      </c>
      <c r="Y113" s="352">
        <f>$P36</f>
        <v>100000</v>
      </c>
      <c r="Z113" s="352">
        <f>$P37</f>
        <v>100000</v>
      </c>
      <c r="AA113" s="352">
        <f>$P38</f>
        <v>100000</v>
      </c>
      <c r="AB113" s="352">
        <f>$P39</f>
        <v>100000</v>
      </c>
      <c r="AC113" s="352">
        <f>$P40</f>
        <v>100000</v>
      </c>
      <c r="AD113" s="352">
        <f>$P41</f>
        <v>100000</v>
      </c>
      <c r="AE113" s="352">
        <f>$P42</f>
        <v>100000</v>
      </c>
      <c r="AF113" s="352">
        <f>$P43</f>
        <v>100000</v>
      </c>
      <c r="AG113" s="352">
        <f>$P44</f>
        <v>100000</v>
      </c>
      <c r="AH113" s="459">
        <f>$P45</f>
        <v>100000</v>
      </c>
    </row>
    <row r="114" spans="1:35" x14ac:dyDescent="0.25">
      <c r="A114" s="17" t="s">
        <v>467</v>
      </c>
      <c r="B114" s="18"/>
      <c r="C114" s="345"/>
      <c r="D114" s="25"/>
      <c r="E114" s="352">
        <f t="shared" ref="E114:AH114" si="8">$Q16</f>
        <v>50000</v>
      </c>
      <c r="F114" s="352">
        <f t="shared" si="8"/>
        <v>50000</v>
      </c>
      <c r="G114" s="352">
        <f t="shared" si="8"/>
        <v>50000</v>
      </c>
      <c r="H114" s="352">
        <f t="shared" si="8"/>
        <v>50000</v>
      </c>
      <c r="I114" s="352">
        <f t="shared" si="8"/>
        <v>50000</v>
      </c>
      <c r="J114" s="352">
        <f t="shared" si="8"/>
        <v>50000</v>
      </c>
      <c r="K114" s="352">
        <f t="shared" si="8"/>
        <v>50000</v>
      </c>
      <c r="L114" s="352">
        <f t="shared" si="8"/>
        <v>50000</v>
      </c>
      <c r="M114" s="352">
        <f t="shared" si="8"/>
        <v>50000</v>
      </c>
      <c r="N114" s="352">
        <f t="shared" si="8"/>
        <v>50000</v>
      </c>
      <c r="O114" s="352">
        <f t="shared" si="8"/>
        <v>50000</v>
      </c>
      <c r="P114" s="352">
        <f t="shared" si="8"/>
        <v>50000</v>
      </c>
      <c r="Q114" s="352">
        <f t="shared" si="8"/>
        <v>50000</v>
      </c>
      <c r="R114" s="352">
        <f t="shared" si="8"/>
        <v>50000</v>
      </c>
      <c r="S114" s="352">
        <f t="shared" si="8"/>
        <v>50000</v>
      </c>
      <c r="T114" s="352">
        <f t="shared" si="8"/>
        <v>50000</v>
      </c>
      <c r="U114" s="352">
        <f t="shared" si="8"/>
        <v>50000</v>
      </c>
      <c r="V114" s="352">
        <f t="shared" si="8"/>
        <v>50000</v>
      </c>
      <c r="W114" s="352">
        <f t="shared" si="8"/>
        <v>50000</v>
      </c>
      <c r="X114" s="352">
        <f t="shared" si="8"/>
        <v>50000</v>
      </c>
      <c r="Y114" s="352">
        <f t="shared" si="8"/>
        <v>50000</v>
      </c>
      <c r="Z114" s="352">
        <f t="shared" si="8"/>
        <v>50000</v>
      </c>
      <c r="AA114" s="352">
        <f t="shared" si="8"/>
        <v>50000</v>
      </c>
      <c r="AB114" s="352">
        <f t="shared" si="8"/>
        <v>50000</v>
      </c>
      <c r="AC114" s="352">
        <f t="shared" si="8"/>
        <v>50000</v>
      </c>
      <c r="AD114" s="352">
        <f t="shared" si="8"/>
        <v>50000</v>
      </c>
      <c r="AE114" s="352">
        <f t="shared" si="8"/>
        <v>50000</v>
      </c>
      <c r="AF114" s="352">
        <f t="shared" si="8"/>
        <v>50000</v>
      </c>
      <c r="AG114" s="352">
        <f t="shared" si="8"/>
        <v>50000</v>
      </c>
      <c r="AH114" s="459">
        <f t="shared" si="8"/>
        <v>50000</v>
      </c>
    </row>
    <row r="115" spans="1:35" x14ac:dyDescent="0.25">
      <c r="A115" s="17" t="s">
        <v>447</v>
      </c>
      <c r="B115" s="24"/>
      <c r="C115" s="24"/>
      <c r="D115" s="39"/>
      <c r="E115" s="149">
        <f t="shared" ref="E115:AH115" si="9">-$L$96</f>
        <v>-10000</v>
      </c>
      <c r="F115" s="149">
        <f t="shared" si="9"/>
        <v>-10000</v>
      </c>
      <c r="G115" s="149">
        <f t="shared" si="9"/>
        <v>-10000</v>
      </c>
      <c r="H115" s="149">
        <f t="shared" si="9"/>
        <v>-10000</v>
      </c>
      <c r="I115" s="149">
        <f t="shared" si="9"/>
        <v>-10000</v>
      </c>
      <c r="J115" s="149">
        <f t="shared" si="9"/>
        <v>-10000</v>
      </c>
      <c r="K115" s="149">
        <f t="shared" si="9"/>
        <v>-10000</v>
      </c>
      <c r="L115" s="149">
        <f t="shared" si="9"/>
        <v>-10000</v>
      </c>
      <c r="M115" s="149">
        <f t="shared" si="9"/>
        <v>-10000</v>
      </c>
      <c r="N115" s="149">
        <f t="shared" si="9"/>
        <v>-10000</v>
      </c>
      <c r="O115" s="149">
        <f t="shared" si="9"/>
        <v>-10000</v>
      </c>
      <c r="P115" s="149">
        <f t="shared" si="9"/>
        <v>-10000</v>
      </c>
      <c r="Q115" s="149">
        <f t="shared" si="9"/>
        <v>-10000</v>
      </c>
      <c r="R115" s="149">
        <f t="shared" si="9"/>
        <v>-10000</v>
      </c>
      <c r="S115" s="149">
        <f t="shared" si="9"/>
        <v>-10000</v>
      </c>
      <c r="T115" s="149">
        <f t="shared" si="9"/>
        <v>-10000</v>
      </c>
      <c r="U115" s="149">
        <f t="shared" si="9"/>
        <v>-10000</v>
      </c>
      <c r="V115" s="149">
        <f t="shared" si="9"/>
        <v>-10000</v>
      </c>
      <c r="W115" s="149">
        <f t="shared" si="9"/>
        <v>-10000</v>
      </c>
      <c r="X115" s="149">
        <f t="shared" si="9"/>
        <v>-10000</v>
      </c>
      <c r="Y115" s="149">
        <f t="shared" si="9"/>
        <v>-10000</v>
      </c>
      <c r="Z115" s="149">
        <f t="shared" si="9"/>
        <v>-10000</v>
      </c>
      <c r="AA115" s="149">
        <f t="shared" si="9"/>
        <v>-10000</v>
      </c>
      <c r="AB115" s="149">
        <f t="shared" si="9"/>
        <v>-10000</v>
      </c>
      <c r="AC115" s="149">
        <f t="shared" si="9"/>
        <v>-10000</v>
      </c>
      <c r="AD115" s="149">
        <f t="shared" si="9"/>
        <v>-10000</v>
      </c>
      <c r="AE115" s="149">
        <f t="shared" si="9"/>
        <v>-10000</v>
      </c>
      <c r="AF115" s="149">
        <f t="shared" si="9"/>
        <v>-10000</v>
      </c>
      <c r="AG115" s="149">
        <f t="shared" si="9"/>
        <v>-10000</v>
      </c>
      <c r="AH115" s="205">
        <f t="shared" si="9"/>
        <v>-10000</v>
      </c>
    </row>
    <row r="116" spans="1:35" x14ac:dyDescent="0.25">
      <c r="A116" s="17" t="s">
        <v>446</v>
      </c>
      <c r="B116" s="24"/>
      <c r="C116" s="24"/>
      <c r="D116" s="39"/>
      <c r="E116" s="149">
        <f t="shared" ref="E116:AH116" si="10">-$L$97</f>
        <v>0</v>
      </c>
      <c r="F116" s="149">
        <f t="shared" si="10"/>
        <v>0</v>
      </c>
      <c r="G116" s="149">
        <f t="shared" si="10"/>
        <v>0</v>
      </c>
      <c r="H116" s="149">
        <f t="shared" si="10"/>
        <v>0</v>
      </c>
      <c r="I116" s="149">
        <f t="shared" si="10"/>
        <v>0</v>
      </c>
      <c r="J116" s="149">
        <f t="shared" si="10"/>
        <v>0</v>
      </c>
      <c r="K116" s="149">
        <f t="shared" si="10"/>
        <v>0</v>
      </c>
      <c r="L116" s="149">
        <f t="shared" si="10"/>
        <v>0</v>
      </c>
      <c r="M116" s="149">
        <f t="shared" si="10"/>
        <v>0</v>
      </c>
      <c r="N116" s="149">
        <f t="shared" si="10"/>
        <v>0</v>
      </c>
      <c r="O116" s="149">
        <f t="shared" si="10"/>
        <v>0</v>
      </c>
      <c r="P116" s="149">
        <f t="shared" si="10"/>
        <v>0</v>
      </c>
      <c r="Q116" s="149">
        <f t="shared" si="10"/>
        <v>0</v>
      </c>
      <c r="R116" s="149">
        <f t="shared" si="10"/>
        <v>0</v>
      </c>
      <c r="S116" s="149">
        <f t="shared" si="10"/>
        <v>0</v>
      </c>
      <c r="T116" s="149">
        <f t="shared" si="10"/>
        <v>0</v>
      </c>
      <c r="U116" s="149">
        <f t="shared" si="10"/>
        <v>0</v>
      </c>
      <c r="V116" s="149">
        <f t="shared" si="10"/>
        <v>0</v>
      </c>
      <c r="W116" s="149">
        <f t="shared" si="10"/>
        <v>0</v>
      </c>
      <c r="X116" s="149">
        <f t="shared" si="10"/>
        <v>0</v>
      </c>
      <c r="Y116" s="149">
        <f t="shared" si="10"/>
        <v>0</v>
      </c>
      <c r="Z116" s="149">
        <f t="shared" si="10"/>
        <v>0</v>
      </c>
      <c r="AA116" s="149">
        <f t="shared" si="10"/>
        <v>0</v>
      </c>
      <c r="AB116" s="149">
        <f t="shared" si="10"/>
        <v>0</v>
      </c>
      <c r="AC116" s="149">
        <f t="shared" si="10"/>
        <v>0</v>
      </c>
      <c r="AD116" s="149">
        <f t="shared" si="10"/>
        <v>0</v>
      </c>
      <c r="AE116" s="149">
        <f t="shared" si="10"/>
        <v>0</v>
      </c>
      <c r="AF116" s="149">
        <f t="shared" si="10"/>
        <v>0</v>
      </c>
      <c r="AG116" s="149">
        <f t="shared" si="10"/>
        <v>0</v>
      </c>
      <c r="AH116" s="205">
        <f t="shared" si="10"/>
        <v>0</v>
      </c>
    </row>
    <row r="117" spans="1:35" x14ac:dyDescent="0.25">
      <c r="A117" s="17" t="s">
        <v>445</v>
      </c>
      <c r="B117" s="24"/>
      <c r="C117" s="24"/>
      <c r="D117" s="39"/>
      <c r="E117" s="149">
        <f>K16+L16</f>
        <v>0</v>
      </c>
      <c r="F117" s="200">
        <f>K17+L17</f>
        <v>0</v>
      </c>
      <c r="G117" s="149">
        <f>K18+L18</f>
        <v>0</v>
      </c>
      <c r="H117" s="200">
        <f>K19+L19</f>
        <v>0</v>
      </c>
      <c r="I117" s="149">
        <f>K20+L20</f>
        <v>0</v>
      </c>
      <c r="J117" s="200">
        <f>K21+L21</f>
        <v>0</v>
      </c>
      <c r="K117" s="149">
        <f>K22+L22</f>
        <v>0</v>
      </c>
      <c r="L117" s="200">
        <f>K23+L23</f>
        <v>0</v>
      </c>
      <c r="M117" s="149">
        <f>K24+L24</f>
        <v>0</v>
      </c>
      <c r="N117" s="149">
        <f>K25+L25</f>
        <v>0</v>
      </c>
      <c r="O117" s="149">
        <f>K26+L26</f>
        <v>0</v>
      </c>
      <c r="P117" s="149">
        <f>K27+L27</f>
        <v>0</v>
      </c>
      <c r="Q117" s="149">
        <f>K28+L28</f>
        <v>0</v>
      </c>
      <c r="R117" s="149">
        <f>K29+L29</f>
        <v>0</v>
      </c>
      <c r="S117" s="200">
        <f>K30+L30</f>
        <v>0</v>
      </c>
      <c r="T117" s="149">
        <f>K31+L31</f>
        <v>0</v>
      </c>
      <c r="U117" s="200">
        <f>K32+L32</f>
        <v>0</v>
      </c>
      <c r="V117" s="149">
        <f>K33+L33</f>
        <v>0</v>
      </c>
      <c r="W117" s="200">
        <f>K34+L34</f>
        <v>0</v>
      </c>
      <c r="X117" s="149">
        <f>K35+L35</f>
        <v>0</v>
      </c>
      <c r="Y117" s="200">
        <f>K36+L36</f>
        <v>0</v>
      </c>
      <c r="Z117" s="149">
        <f>K37+L37</f>
        <v>0</v>
      </c>
      <c r="AA117" s="200">
        <f>K38+L38</f>
        <v>0</v>
      </c>
      <c r="AB117" s="149">
        <f>K39+L39</f>
        <v>0</v>
      </c>
      <c r="AC117" s="200">
        <f>K40+L40</f>
        <v>0</v>
      </c>
      <c r="AD117" s="149">
        <f>K41+L41</f>
        <v>0</v>
      </c>
      <c r="AE117" s="200">
        <f>K42+L42</f>
        <v>0</v>
      </c>
      <c r="AF117" s="149">
        <f>K43+L43</f>
        <v>0</v>
      </c>
      <c r="AG117" s="200">
        <f>K44+L44</f>
        <v>0</v>
      </c>
      <c r="AH117" s="205">
        <f>K45+L45</f>
        <v>0</v>
      </c>
    </row>
    <row r="118" spans="1:35" ht="16.5" thickBot="1" x14ac:dyDescent="0.3">
      <c r="A118" s="29" t="s">
        <v>64</v>
      </c>
      <c r="B118" s="30"/>
      <c r="C118" s="83"/>
      <c r="D118" s="126"/>
      <c r="E118" s="232">
        <f t="shared" ref="E118:AH118" si="11">E108-E109+E110+E111+E115+E116+E117+E112+E113+E114</f>
        <v>735784</v>
      </c>
      <c r="F118" s="232">
        <f t="shared" si="11"/>
        <v>751977.52</v>
      </c>
      <c r="G118" s="232">
        <f t="shared" si="11"/>
        <v>768656.84560000012</v>
      </c>
      <c r="H118" s="232">
        <f t="shared" si="11"/>
        <v>785836.55096799997</v>
      </c>
      <c r="I118" s="232">
        <f t="shared" si="11"/>
        <v>803531.64749703999</v>
      </c>
      <c r="J118" s="232">
        <f t="shared" si="11"/>
        <v>821757.59692195139</v>
      </c>
      <c r="K118" s="232">
        <f t="shared" si="11"/>
        <v>840530.3248296103</v>
      </c>
      <c r="L118" s="232">
        <f t="shared" si="11"/>
        <v>859866.23457449849</v>
      </c>
      <c r="M118" s="232">
        <f t="shared" si="11"/>
        <v>879782.22161173355</v>
      </c>
      <c r="N118" s="232">
        <f t="shared" si="11"/>
        <v>900295.68826008553</v>
      </c>
      <c r="O118" s="232">
        <f t="shared" si="11"/>
        <v>921424.55890788801</v>
      </c>
      <c r="P118" s="232">
        <f t="shared" si="11"/>
        <v>943187.29567512474</v>
      </c>
      <c r="Q118" s="232">
        <f t="shared" si="11"/>
        <v>965602.91454537853</v>
      </c>
      <c r="R118" s="232">
        <f t="shared" si="11"/>
        <v>988691.00198173989</v>
      </c>
      <c r="S118" s="232">
        <f t="shared" si="11"/>
        <v>1012471.7320411924</v>
      </c>
      <c r="T118" s="232">
        <f t="shared" si="11"/>
        <v>1036965.8840024278</v>
      </c>
      <c r="U118" s="232">
        <f t="shared" si="11"/>
        <v>1062194.8605225012</v>
      </c>
      <c r="V118" s="232">
        <f t="shared" si="11"/>
        <v>1088180.706338176</v>
      </c>
      <c r="W118" s="232">
        <f t="shared" si="11"/>
        <v>1114946.1275283219</v>
      </c>
      <c r="X118" s="232">
        <f t="shared" si="11"/>
        <v>1142514.5113541712</v>
      </c>
      <c r="Y118" s="232">
        <f t="shared" si="11"/>
        <v>1170909.9466947964</v>
      </c>
      <c r="Z118" s="232">
        <f t="shared" si="11"/>
        <v>1200157.2450956404</v>
      </c>
      <c r="AA118" s="232">
        <f t="shared" si="11"/>
        <v>1230281.9624485094</v>
      </c>
      <c r="AB118" s="232">
        <f t="shared" si="11"/>
        <v>1261310.4213219648</v>
      </c>
      <c r="AC118" s="232">
        <f t="shared" si="11"/>
        <v>1293269.7339616236</v>
      </c>
      <c r="AD118" s="232">
        <f t="shared" si="11"/>
        <v>1326187.8259804724</v>
      </c>
      <c r="AE118" s="232">
        <f t="shared" si="11"/>
        <v>1360093.4607598868</v>
      </c>
      <c r="AF118" s="232">
        <f t="shared" si="11"/>
        <v>1395016.2645826829</v>
      </c>
      <c r="AG118" s="232">
        <f t="shared" si="11"/>
        <v>1430986.7525201638</v>
      </c>
      <c r="AH118" s="204">
        <f t="shared" si="11"/>
        <v>1468036.3550957683</v>
      </c>
      <c r="AI118" s="11" t="s">
        <v>462</v>
      </c>
    </row>
    <row r="119" spans="1:35" x14ac:dyDescent="0.25">
      <c r="A119" s="17"/>
      <c r="B119" s="18"/>
      <c r="C119" s="24"/>
      <c r="D119" s="38"/>
      <c r="E119" s="281"/>
      <c r="F119" s="98"/>
      <c r="G119" s="203"/>
      <c r="H119" s="98"/>
      <c r="I119" s="203"/>
      <c r="J119" s="98"/>
      <c r="K119" s="203"/>
      <c r="L119" s="98"/>
      <c r="M119" s="203"/>
      <c r="N119" s="203"/>
      <c r="O119" s="39"/>
      <c r="P119" s="159"/>
      <c r="Q119" s="159"/>
      <c r="R119" s="39"/>
      <c r="S119" s="159"/>
      <c r="T119" s="39"/>
      <c r="U119" s="159"/>
      <c r="V119" s="39"/>
      <c r="W119" s="159"/>
      <c r="X119" s="39"/>
      <c r="Y119" s="159"/>
      <c r="Z119" s="39"/>
      <c r="AA119" s="159"/>
      <c r="AB119" s="39"/>
      <c r="AC119" s="159"/>
      <c r="AD119" s="39"/>
      <c r="AE119" s="159"/>
      <c r="AF119" s="39"/>
      <c r="AG119" s="159"/>
      <c r="AH119" s="26"/>
    </row>
    <row r="120" spans="1:35" x14ac:dyDescent="0.25">
      <c r="A120" s="17" t="s">
        <v>101</v>
      </c>
      <c r="B120" s="18"/>
      <c r="C120" s="18"/>
      <c r="D120" s="38"/>
      <c r="E120" s="352">
        <f>-$E$96+(IF($L$100&gt;=1,#REF!,0))+(IF($L$101&gt;=1,#REF!,0))</f>
        <v>554429.20903323079</v>
      </c>
      <c r="F120" s="352">
        <f>-$E$96+(IF($L$100&gt;=2,#REF!,0))+(IF($L$101&gt;=2,#REF!,0))</f>
        <v>554429.20903323079</v>
      </c>
      <c r="G120" s="352">
        <f>-$E$96+(IF($L$100&gt;=3,#REF!,0))+(IF($L$101&gt;=3,#REF!,0))</f>
        <v>554429.20903323079</v>
      </c>
      <c r="H120" s="352">
        <f>-$E$96+(IF($L$100&gt;=4,#REF!,0))+(IF($L$101&gt;=4,#REF!,0))</f>
        <v>554429.20903323079</v>
      </c>
      <c r="I120" s="352">
        <f>-$E$96+(IF($L$100&gt;=5,#REF!,0))+(IF($L$101&gt;=5,#REF!,0))</f>
        <v>554429.20903323079</v>
      </c>
      <c r="J120" s="352">
        <f>-$E$96+(IF($L$100&gt;=6,#REF!,0))+(IF($L$101&gt;=6,#REF!,0))</f>
        <v>554429.20903323079</v>
      </c>
      <c r="K120" s="352">
        <f>-$E$96+(IF($L$100&gt;=7,#REF!,0))+(IF($L$101&gt;=7,#REF!,0))</f>
        <v>554429.20903323079</v>
      </c>
      <c r="L120" s="352">
        <f>-$E$96+(IF($L$100&gt;=8,#REF!,0))+(IF($L$101&gt;=8,#REF!,0))</f>
        <v>554429.20903323079</v>
      </c>
      <c r="M120" s="352">
        <f>-$E$96+(IF($L$100&gt;=9,#REF!,0))+(IF($L$101&gt;=9,#REF!,0))</f>
        <v>554429.20903323079</v>
      </c>
      <c r="N120" s="352">
        <f>-$E$96+(IF($L$100&gt;=10,#REF!,0))+(IF($L$101&gt;=10,#REF!,0))</f>
        <v>554429.20903323079</v>
      </c>
      <c r="O120" s="352">
        <f>-$E$96+(IF($L$100&gt;=11,#REF!,0))+(IF($L$101&gt;=11,#REF!,0))</f>
        <v>554429.20903323079</v>
      </c>
      <c r="P120" s="352">
        <f>-$E$96+(IF($L$100&gt;=12,#REF!,0))+(IF($L$101&gt;=12,#REF!,0))</f>
        <v>554429.20903323079</v>
      </c>
      <c r="Q120" s="352">
        <f>-$E$96+(IF($L$100&gt;=13,#REF!,0))+(IF($L$101&gt;=13,#REF!,0))</f>
        <v>554429.20903323079</v>
      </c>
      <c r="R120" s="352">
        <f>-$E$96+(IF($L$100&gt;=14,#REF!,0))+(IF($L$101&gt;=14,#REF!,0))</f>
        <v>554429.20903323079</v>
      </c>
      <c r="S120" s="352">
        <f>-$E$96+(IF($L$100&gt;=15,#REF!,0))+(IF($L$101&gt;=15,#REF!,0))</f>
        <v>554429.20903323079</v>
      </c>
      <c r="T120" s="352">
        <f>-$E$96+(IF($L$100&gt;=16,#REF!,0))+(IF($L$101&gt;=16,#REF!,0))</f>
        <v>554429.20903323079</v>
      </c>
      <c r="U120" s="352">
        <f>-$E$96+(IF($L$100&gt;=17,#REF!,0))+(IF($L$101&gt;=17,#REF!,0))</f>
        <v>554429.20903323079</v>
      </c>
      <c r="V120" s="352">
        <f>-$E$96+(IF($L$100&gt;=18,#REF!,0))+(IF($L$101&gt;=18,#REF!,0))</f>
        <v>554429.20903323079</v>
      </c>
      <c r="W120" s="352">
        <f>-$E$96+(IF($L$100&gt;=19,#REF!,0))+(IF($L$101&gt;=19,#REF!,0))</f>
        <v>554429.20903323079</v>
      </c>
      <c r="X120" s="352">
        <f>-$E$96+(IF($L$100&gt;=20,#REF!,0))+(IF($L$101&gt;=20,#REF!,0))</f>
        <v>554429.20903323079</v>
      </c>
      <c r="Y120" s="352">
        <f>-$E$96+(IF($L$100&gt;=21,#REF!,0))+(IF($L$101&gt;=21,#REF!,0))</f>
        <v>554429.20903323079</v>
      </c>
      <c r="Z120" s="352">
        <f>-$E$96+(IF($L$100&gt;=22,#REF!,0))+(IF($L$101&gt;=22,#REF!,0))</f>
        <v>554429.20903323079</v>
      </c>
      <c r="AA120" s="352">
        <f>-$E$96+(IF($L$100&gt;=23,#REF!,0))+(IF($L$101&gt;=23,#REF!,0))</f>
        <v>554429.20903323079</v>
      </c>
      <c r="AB120" s="352">
        <f>-$E$96+(IF($L$100&gt;=24,#REF!,0))+(IF($L$101&gt;=24,#REF!,0))</f>
        <v>554429.20903323079</v>
      </c>
      <c r="AC120" s="352">
        <f>-$E$96+(IF($L$100&gt;=25,#REF!,0))+(IF($L$101&gt;=25,#REF!,0))</f>
        <v>554429.20903323079</v>
      </c>
      <c r="AD120" s="352">
        <f>-$E$96+(IF($L$100&gt;=26,#REF!,0))+(IF($L$101&gt;=26,#REF!,0))</f>
        <v>554429.20903323079</v>
      </c>
      <c r="AE120" s="352">
        <f>-$E$96+(IF($L$100&gt;=27,#REF!,0))+(IF($L$101&gt;=27,#REF!,0))</f>
        <v>554429.20903323079</v>
      </c>
      <c r="AF120" s="352">
        <f>-$E$96+(IF($L$100&gt;=28,#REF!,0))+(IF($L$101&gt;=28,#REF!,0))</f>
        <v>554429.20903323079</v>
      </c>
      <c r="AG120" s="352">
        <f>-$E$96+(IF($L$100&gt;=29,#REF!,0))+(IF($L$101&gt;=29,#REF!,0))</f>
        <v>554429.20903323079</v>
      </c>
      <c r="AH120" s="317">
        <f>-$E$96+(IF($L$100&gt;=30,#REF!,0))+(IF($L$101&gt;=30,#REF!,0))</f>
        <v>554429.20903323079</v>
      </c>
    </row>
    <row r="121" spans="1:35" ht="16.5" thickBot="1" x14ac:dyDescent="0.3">
      <c r="A121" s="29" t="s">
        <v>436</v>
      </c>
      <c r="B121" s="30"/>
      <c r="C121" s="30"/>
      <c r="D121" s="126"/>
      <c r="E121" s="232">
        <f t="shared" ref="E121:AH121" si="12">E118-E120</f>
        <v>181354.79096676921</v>
      </c>
      <c r="F121" s="231">
        <f t="shared" si="12"/>
        <v>197548.31096676923</v>
      </c>
      <c r="G121" s="232">
        <f t="shared" si="12"/>
        <v>214227.63656676933</v>
      </c>
      <c r="H121" s="231">
        <f t="shared" si="12"/>
        <v>231407.34193476918</v>
      </c>
      <c r="I121" s="232">
        <f t="shared" si="12"/>
        <v>249102.4384638092</v>
      </c>
      <c r="J121" s="231">
        <f t="shared" si="12"/>
        <v>267328.38788872061</v>
      </c>
      <c r="K121" s="232">
        <f t="shared" si="12"/>
        <v>286101.11579637951</v>
      </c>
      <c r="L121" s="231">
        <f t="shared" si="12"/>
        <v>305437.02554126771</v>
      </c>
      <c r="M121" s="232">
        <f t="shared" si="12"/>
        <v>325353.01257850276</v>
      </c>
      <c r="N121" s="232">
        <f t="shared" si="12"/>
        <v>345866.47922685475</v>
      </c>
      <c r="O121" s="231">
        <f t="shared" si="12"/>
        <v>366995.34987465723</v>
      </c>
      <c r="P121" s="232">
        <f t="shared" si="12"/>
        <v>388758.08664189395</v>
      </c>
      <c r="Q121" s="232">
        <f t="shared" si="12"/>
        <v>411173.70551214775</v>
      </c>
      <c r="R121" s="231">
        <f t="shared" si="12"/>
        <v>434261.7929485091</v>
      </c>
      <c r="S121" s="232">
        <f t="shared" si="12"/>
        <v>458042.52300796157</v>
      </c>
      <c r="T121" s="231">
        <f t="shared" si="12"/>
        <v>482536.67496919702</v>
      </c>
      <c r="U121" s="232">
        <f t="shared" si="12"/>
        <v>507765.65148927039</v>
      </c>
      <c r="V121" s="231">
        <f t="shared" si="12"/>
        <v>533751.49730494525</v>
      </c>
      <c r="W121" s="232">
        <f t="shared" si="12"/>
        <v>560516.91849509114</v>
      </c>
      <c r="X121" s="231">
        <f t="shared" si="12"/>
        <v>588085.30232094042</v>
      </c>
      <c r="Y121" s="232">
        <f t="shared" si="12"/>
        <v>616480.73766156565</v>
      </c>
      <c r="Z121" s="231">
        <f t="shared" si="12"/>
        <v>645728.03606240964</v>
      </c>
      <c r="AA121" s="232">
        <f t="shared" si="12"/>
        <v>675852.75341527862</v>
      </c>
      <c r="AB121" s="231">
        <f t="shared" si="12"/>
        <v>706881.21228873404</v>
      </c>
      <c r="AC121" s="232">
        <f t="shared" si="12"/>
        <v>738840.52492839284</v>
      </c>
      <c r="AD121" s="231">
        <f t="shared" si="12"/>
        <v>771758.61694724159</v>
      </c>
      <c r="AE121" s="232">
        <f t="shared" si="12"/>
        <v>805664.25172665599</v>
      </c>
      <c r="AF121" s="231">
        <f t="shared" si="12"/>
        <v>840587.05554945208</v>
      </c>
      <c r="AG121" s="232">
        <f t="shared" si="12"/>
        <v>876557.54348693299</v>
      </c>
      <c r="AH121" s="245">
        <f t="shared" si="12"/>
        <v>913607.14606253756</v>
      </c>
    </row>
    <row r="122" spans="1:35" x14ac:dyDescent="0.25">
      <c r="A122" s="90"/>
      <c r="B122" s="18"/>
      <c r="C122" s="18"/>
      <c r="D122" s="38"/>
      <c r="E122" s="206"/>
      <c r="F122" s="133"/>
      <c r="G122" s="206"/>
      <c r="H122" s="133"/>
      <c r="I122" s="206"/>
      <c r="J122" s="133"/>
      <c r="K122" s="206"/>
      <c r="L122" s="133"/>
      <c r="M122" s="206"/>
      <c r="N122" s="206"/>
      <c r="O122" s="39"/>
      <c r="P122" s="159"/>
      <c r="Q122" s="159"/>
      <c r="R122" s="39"/>
      <c r="S122" s="159"/>
      <c r="T122" s="39"/>
      <c r="U122" s="159"/>
      <c r="V122" s="39"/>
      <c r="W122" s="159"/>
      <c r="X122" s="39"/>
      <c r="Y122" s="159"/>
      <c r="Z122" s="39"/>
      <c r="AA122" s="159"/>
      <c r="AB122" s="39"/>
      <c r="AC122" s="159"/>
      <c r="AD122" s="39"/>
      <c r="AE122" s="159"/>
      <c r="AF122" s="39"/>
      <c r="AG122" s="159"/>
      <c r="AH122" s="26"/>
    </row>
    <row r="123" spans="1:35" x14ac:dyDescent="0.25">
      <c r="A123" s="17" t="s">
        <v>6</v>
      </c>
      <c r="B123" s="18"/>
      <c r="C123" s="18"/>
      <c r="D123" s="38"/>
      <c r="E123" s="207">
        <f t="shared" ref="E123:AH123" si="13">IFERROR(E118/$E$98,0)</f>
        <v>5.4059232809480773E-2</v>
      </c>
      <c r="F123" s="209">
        <f t="shared" si="13"/>
        <v>5.5248996745207814E-2</v>
      </c>
      <c r="G123" s="207">
        <f t="shared" si="13"/>
        <v>5.6474453599006672E-2</v>
      </c>
      <c r="H123" s="209">
        <f t="shared" si="13"/>
        <v>5.7736674158419474E-2</v>
      </c>
      <c r="I123" s="207">
        <f t="shared" si="13"/>
        <v>5.9036761334614676E-2</v>
      </c>
      <c r="J123" s="209">
        <f t="shared" si="13"/>
        <v>6.0375851126095746E-2</v>
      </c>
      <c r="K123" s="207">
        <f t="shared" si="13"/>
        <v>6.1755113611321265E-2</v>
      </c>
      <c r="L123" s="209">
        <f t="shared" si="13"/>
        <v>6.3175753971103504E-2</v>
      </c>
      <c r="M123" s="207">
        <f t="shared" si="13"/>
        <v>6.4639013541679238E-2</v>
      </c>
      <c r="N123" s="207">
        <f t="shared" si="13"/>
        <v>6.614617089937222E-2</v>
      </c>
      <c r="O123" s="209">
        <f t="shared" si="13"/>
        <v>6.7698542977795997E-2</v>
      </c>
      <c r="P123" s="207">
        <f t="shared" si="13"/>
        <v>6.9297486218572499E-2</v>
      </c>
      <c r="Q123" s="207">
        <f t="shared" si="13"/>
        <v>7.0944397756572297E-2</v>
      </c>
      <c r="R123" s="209">
        <f t="shared" si="13"/>
        <v>7.2640716640712075E-2</v>
      </c>
      <c r="S123" s="207">
        <f t="shared" si="13"/>
        <v>7.4387925091376081E-2</v>
      </c>
      <c r="T123" s="209">
        <f t="shared" si="13"/>
        <v>7.6187549795559945E-2</v>
      </c>
      <c r="U123" s="207">
        <f t="shared" si="13"/>
        <v>7.8041163240869404E-2</v>
      </c>
      <c r="V123" s="209">
        <f t="shared" si="13"/>
        <v>7.9950385089538084E-2</v>
      </c>
      <c r="W123" s="207">
        <f t="shared" si="13"/>
        <v>8.1916883593666889E-2</v>
      </c>
      <c r="X123" s="209">
        <f t="shared" si="13"/>
        <v>8.3942377052919487E-2</v>
      </c>
      <c r="Y123" s="207">
        <f t="shared" si="13"/>
        <v>8.6028635315949689E-2</v>
      </c>
      <c r="Z123" s="209">
        <f t="shared" si="13"/>
        <v>8.8177481326870796E-2</v>
      </c>
      <c r="AA123" s="207">
        <f t="shared" si="13"/>
        <v>9.039079271811952E-2</v>
      </c>
      <c r="AB123" s="209">
        <f t="shared" si="13"/>
        <v>9.2670503451105737E-2</v>
      </c>
      <c r="AC123" s="207">
        <f t="shared" si="13"/>
        <v>9.5018605506081516E-2</v>
      </c>
      <c r="AD123" s="209">
        <f t="shared" si="13"/>
        <v>9.7437150622706581E-2</v>
      </c>
      <c r="AE123" s="207">
        <f t="shared" si="13"/>
        <v>9.9928252092830405E-2</v>
      </c>
      <c r="AF123" s="209">
        <f t="shared" si="13"/>
        <v>0.10249408660705789</v>
      </c>
      <c r="AG123" s="207">
        <f t="shared" si="13"/>
        <v>0.10513689615671228</v>
      </c>
      <c r="AH123" s="282">
        <f t="shared" si="13"/>
        <v>0.10785898999285623</v>
      </c>
    </row>
    <row r="124" spans="1:35" ht="16.5" thickBot="1" x14ac:dyDescent="0.3">
      <c r="A124" s="135" t="s">
        <v>451</v>
      </c>
      <c r="B124" s="136"/>
      <c r="C124" s="349" t="s">
        <v>19</v>
      </c>
      <c r="D124" s="350">
        <f>D5</f>
        <v>0.1</v>
      </c>
      <c r="E124" s="225">
        <f t="shared" ref="E124:AH124" si="14">IFERROR(E121/$E$99,0)</f>
        <v>0.16327972536847862</v>
      </c>
      <c r="F124" s="225">
        <f t="shared" si="14"/>
        <v>0.17785928780658075</v>
      </c>
      <c r="G124" s="225">
        <f t="shared" si="14"/>
        <v>0.192876237117826</v>
      </c>
      <c r="H124" s="225">
        <f t="shared" si="14"/>
        <v>0.20834369490840837</v>
      </c>
      <c r="I124" s="225">
        <f t="shared" si="14"/>
        <v>0.22427517643270839</v>
      </c>
      <c r="J124" s="225">
        <f t="shared" si="14"/>
        <v>0.24068460240273756</v>
      </c>
      <c r="K124" s="225">
        <f t="shared" si="14"/>
        <v>0.25758631115186775</v>
      </c>
      <c r="L124" s="225">
        <f t="shared" si="14"/>
        <v>0.27499507116347144</v>
      </c>
      <c r="M124" s="225">
        <f t="shared" si="14"/>
        <v>0.29292609397542341</v>
      </c>
      <c r="N124" s="225">
        <f t="shared" si="14"/>
        <v>0.3113950474717338</v>
      </c>
      <c r="O124" s="286">
        <f t="shared" si="14"/>
        <v>0.33041806957293351</v>
      </c>
      <c r="P124" s="225">
        <f t="shared" si="14"/>
        <v>0.35001178233716929</v>
      </c>
      <c r="Q124" s="225">
        <f t="shared" si="14"/>
        <v>0.37019330648433219</v>
      </c>
      <c r="R124" s="286">
        <f t="shared" si="14"/>
        <v>0.39098027635590987</v>
      </c>
      <c r="S124" s="225">
        <f t="shared" si="14"/>
        <v>0.41239085532363517</v>
      </c>
      <c r="T124" s="286">
        <f t="shared" si="14"/>
        <v>0.43444375166039167</v>
      </c>
      <c r="U124" s="225">
        <f t="shared" si="14"/>
        <v>0.4571582348872516</v>
      </c>
      <c r="V124" s="286">
        <f t="shared" si="14"/>
        <v>0.48055415261091677</v>
      </c>
      <c r="W124" s="225">
        <f t="shared" si="14"/>
        <v>0.50465194786629253</v>
      </c>
      <c r="X124" s="286">
        <f t="shared" si="14"/>
        <v>0.52947267697932876</v>
      </c>
      <c r="Y124" s="225">
        <f t="shared" si="14"/>
        <v>0.55503802796575641</v>
      </c>
      <c r="Z124" s="286">
        <f t="shared" si="14"/>
        <v>0.58137033948177697</v>
      </c>
      <c r="AA124" s="225">
        <f t="shared" si="14"/>
        <v>0.60849262034327778</v>
      </c>
      <c r="AB124" s="286">
        <f t="shared" si="14"/>
        <v>0.636428569630624</v>
      </c>
      <c r="AC124" s="225">
        <f t="shared" si="14"/>
        <v>0.66520259739659027</v>
      </c>
      <c r="AD124" s="286">
        <f t="shared" si="14"/>
        <v>0.69483984599553583</v>
      </c>
      <c r="AE124" s="225">
        <f t="shared" si="14"/>
        <v>0.72536621205244978</v>
      </c>
      <c r="AF124" s="286">
        <f t="shared" si="14"/>
        <v>0.75680836909107052</v>
      </c>
      <c r="AG124" s="225">
        <f t="shared" si="14"/>
        <v>0.78919379084085084</v>
      </c>
      <c r="AH124" s="216">
        <f t="shared" si="14"/>
        <v>0.82255077524312381</v>
      </c>
    </row>
    <row r="125" spans="1:35" ht="16.5" thickBot="1" x14ac:dyDescent="0.3">
      <c r="A125" s="38"/>
      <c r="B125" s="38"/>
      <c r="C125" s="38"/>
      <c r="D125" s="38"/>
      <c r="E125" s="38"/>
      <c r="F125" s="38"/>
      <c r="G125" s="38"/>
      <c r="H125" s="38"/>
      <c r="I125" s="38"/>
      <c r="J125" s="38"/>
      <c r="K125" s="38"/>
      <c r="L125" s="38"/>
      <c r="M125" s="38"/>
      <c r="N125" s="38"/>
    </row>
    <row r="126" spans="1:35" ht="16.5" thickBot="1" x14ac:dyDescent="0.3">
      <c r="A126" s="79" t="s">
        <v>448</v>
      </c>
      <c r="B126" s="51"/>
      <c r="C126" s="51"/>
      <c r="D126" s="360" t="s">
        <v>104</v>
      </c>
      <c r="E126" s="360" t="s">
        <v>85</v>
      </c>
      <c r="F126" s="360" t="s">
        <v>86</v>
      </c>
      <c r="G126" s="360" t="s">
        <v>87</v>
      </c>
      <c r="H126" s="360" t="s">
        <v>88</v>
      </c>
      <c r="I126" s="360" t="s">
        <v>89</v>
      </c>
      <c r="J126" s="360" t="s">
        <v>90</v>
      </c>
      <c r="K126" s="360" t="s">
        <v>91</v>
      </c>
      <c r="L126" s="360" t="s">
        <v>92</v>
      </c>
      <c r="M126" s="360" t="s">
        <v>93</v>
      </c>
      <c r="N126" s="356" t="s">
        <v>94</v>
      </c>
      <c r="O126" s="357" t="s">
        <v>239</v>
      </c>
      <c r="P126" s="358" t="s">
        <v>240</v>
      </c>
      <c r="Q126" s="358" t="s">
        <v>241</v>
      </c>
      <c r="R126" s="340" t="s">
        <v>242</v>
      </c>
      <c r="S126" s="358" t="s">
        <v>243</v>
      </c>
      <c r="T126" s="340" t="s">
        <v>244</v>
      </c>
      <c r="U126" s="358" t="s">
        <v>245</v>
      </c>
      <c r="V126" s="340" t="s">
        <v>246</v>
      </c>
      <c r="W126" s="358" t="s">
        <v>247</v>
      </c>
      <c r="X126" s="340" t="s">
        <v>248</v>
      </c>
      <c r="Y126" s="358" t="s">
        <v>249</v>
      </c>
      <c r="Z126" s="340" t="s">
        <v>250</v>
      </c>
      <c r="AA126" s="358" t="s">
        <v>251</v>
      </c>
      <c r="AB126" s="340" t="s">
        <v>252</v>
      </c>
      <c r="AC126" s="358" t="s">
        <v>253</v>
      </c>
      <c r="AD126" s="340" t="s">
        <v>254</v>
      </c>
      <c r="AE126" s="358" t="s">
        <v>255</v>
      </c>
      <c r="AF126" s="340" t="s">
        <v>256</v>
      </c>
      <c r="AG126" s="358" t="s">
        <v>257</v>
      </c>
      <c r="AH126" s="359" t="s">
        <v>258</v>
      </c>
    </row>
    <row r="127" spans="1:35" x14ac:dyDescent="0.25">
      <c r="A127" s="17" t="s">
        <v>105</v>
      </c>
      <c r="B127" s="18"/>
      <c r="C127" s="24"/>
      <c r="D127" s="342">
        <f>D69</f>
        <v>7.0000000000000007E-2</v>
      </c>
      <c r="E127" s="336"/>
      <c r="F127" s="477"/>
      <c r="G127" s="143"/>
      <c r="H127" s="143"/>
      <c r="I127" s="142"/>
      <c r="J127" s="144"/>
      <c r="K127" s="144"/>
      <c r="L127" s="144"/>
      <c r="M127" s="144"/>
      <c r="N127" s="98">
        <f>IFERROR(IF($C$11=10,N118/$D$127,0),0)</f>
        <v>12861366.975144077</v>
      </c>
      <c r="O127" s="203"/>
      <c r="P127" s="98"/>
      <c r="Q127" s="203"/>
      <c r="R127" s="98"/>
      <c r="S127" s="203">
        <f>IFERROR(IF($C$11=15,S118/$D$127,0),0)</f>
        <v>0</v>
      </c>
      <c r="T127" s="98"/>
      <c r="U127" s="149"/>
      <c r="V127" s="200"/>
      <c r="W127" s="149"/>
      <c r="X127" s="98">
        <f>IFERROR(IF($C$11=20,X118/$D$127,0),0)</f>
        <v>0</v>
      </c>
      <c r="Y127" s="149"/>
      <c r="Z127" s="200"/>
      <c r="AA127" s="149"/>
      <c r="AB127" s="200"/>
      <c r="AC127" s="203">
        <f>IFERROR(IF($C$11=25,AC118/$D$127,0),0)</f>
        <v>0</v>
      </c>
      <c r="AD127" s="200"/>
      <c r="AE127" s="149"/>
      <c r="AF127" s="200"/>
      <c r="AG127" s="149"/>
      <c r="AH127" s="217">
        <f>IFERROR(IF($C$11=30,AH118/$D$127,0),0)</f>
        <v>0</v>
      </c>
    </row>
    <row r="128" spans="1:35" ht="18" x14ac:dyDescent="0.4">
      <c r="A128" s="17" t="s">
        <v>106</v>
      </c>
      <c r="B128" s="18"/>
      <c r="C128" s="18"/>
      <c r="D128" s="343">
        <f>D70</f>
        <v>0.03</v>
      </c>
      <c r="E128" s="336"/>
      <c r="F128" s="211"/>
      <c r="G128" s="143"/>
      <c r="H128" s="143"/>
      <c r="I128" s="142"/>
      <c r="J128" s="145"/>
      <c r="K128" s="145"/>
      <c r="L128" s="145"/>
      <c r="M128" s="145"/>
      <c r="N128" s="353">
        <f>N127*(1-$D$128)</f>
        <v>12475525.965889754</v>
      </c>
      <c r="O128" s="352"/>
      <c r="P128" s="353"/>
      <c r="Q128" s="352"/>
      <c r="R128" s="353"/>
      <c r="S128" s="352">
        <f>S127*(1-$D$128)</f>
        <v>0</v>
      </c>
      <c r="T128" s="200"/>
      <c r="U128" s="149"/>
      <c r="V128" s="200"/>
      <c r="W128" s="149"/>
      <c r="X128" s="353">
        <f>X127*(1-$D$128)</f>
        <v>0</v>
      </c>
      <c r="Y128" s="149"/>
      <c r="Z128" s="200"/>
      <c r="AA128" s="149"/>
      <c r="AB128" s="200"/>
      <c r="AC128" s="352">
        <f>AC127*(1-$D$128)</f>
        <v>0</v>
      </c>
      <c r="AD128" s="200"/>
      <c r="AE128" s="149"/>
      <c r="AF128" s="200"/>
      <c r="AG128" s="149"/>
      <c r="AH128" s="317">
        <f>AH127*(1-$D$128)</f>
        <v>0</v>
      </c>
    </row>
    <row r="129" spans="1:35" x14ac:dyDescent="0.25">
      <c r="A129" s="17" t="s">
        <v>107</v>
      </c>
      <c r="B129" s="24"/>
      <c r="C129" s="24"/>
      <c r="D129" s="142"/>
      <c r="E129" s="142"/>
      <c r="F129" s="142"/>
      <c r="G129" s="142"/>
      <c r="H129" s="142"/>
      <c r="I129" s="142"/>
      <c r="J129" s="142"/>
      <c r="K129" s="142"/>
      <c r="L129" s="142"/>
      <c r="M129" s="142"/>
      <c r="N129" s="200">
        <f>IF($C$11=10,-AA174,0)</f>
        <v>-9133021.565531902</v>
      </c>
      <c r="O129" s="149"/>
      <c r="P129" s="200"/>
      <c r="Q129" s="149"/>
      <c r="R129" s="200"/>
      <c r="S129" s="149">
        <f>IF($C$11=15,-AA179,0)</f>
        <v>0</v>
      </c>
      <c r="T129" s="200"/>
      <c r="U129" s="149"/>
      <c r="V129" s="200"/>
      <c r="W129" s="149"/>
      <c r="X129" s="200">
        <f>IF($C$11=20,-AA184,0)</f>
        <v>0</v>
      </c>
      <c r="Y129" s="149"/>
      <c r="Z129" s="200"/>
      <c r="AA129" s="149"/>
      <c r="AB129" s="200"/>
      <c r="AC129" s="149">
        <f>IF($C$11=25,-AA189,0)</f>
        <v>0</v>
      </c>
      <c r="AD129" s="200"/>
      <c r="AE129" s="149"/>
      <c r="AF129" s="200"/>
      <c r="AG129" s="149"/>
      <c r="AH129" s="316">
        <f>V194</f>
        <v>-7.0140231400728226E-9</v>
      </c>
    </row>
    <row r="130" spans="1:35" ht="16.5" thickBot="1" x14ac:dyDescent="0.3">
      <c r="A130" s="125" t="s">
        <v>108</v>
      </c>
      <c r="B130" s="83"/>
      <c r="C130" s="83"/>
      <c r="D130" s="146"/>
      <c r="E130" s="147"/>
      <c r="F130" s="147"/>
      <c r="G130" s="147"/>
      <c r="H130" s="147"/>
      <c r="I130" s="147"/>
      <c r="J130" s="147"/>
      <c r="K130" s="147"/>
      <c r="L130" s="147"/>
      <c r="M130" s="147"/>
      <c r="N130" s="231">
        <f>N128+N129</f>
        <v>3342504.4003578518</v>
      </c>
      <c r="O130" s="442"/>
      <c r="P130" s="443"/>
      <c r="Q130" s="442"/>
      <c r="R130" s="443"/>
      <c r="S130" s="232">
        <f>S128+S129</f>
        <v>0</v>
      </c>
      <c r="T130" s="443"/>
      <c r="U130" s="442"/>
      <c r="V130" s="443"/>
      <c r="W130" s="442"/>
      <c r="X130" s="231">
        <f>X128+X129</f>
        <v>0</v>
      </c>
      <c r="Y130" s="442"/>
      <c r="Z130" s="443"/>
      <c r="AA130" s="442"/>
      <c r="AB130" s="443"/>
      <c r="AC130" s="232">
        <f>AC128+AC129</f>
        <v>0</v>
      </c>
      <c r="AD130" s="443"/>
      <c r="AE130" s="442"/>
      <c r="AF130" s="443"/>
      <c r="AG130" s="442"/>
      <c r="AH130" s="245">
        <f>AH128+AH129</f>
        <v>-7.0140231400728226E-9</v>
      </c>
    </row>
    <row r="131" spans="1:35" ht="16.5" thickBot="1" x14ac:dyDescent="0.3"/>
    <row r="132" spans="1:35" ht="16.5" thickBot="1" x14ac:dyDescent="0.3">
      <c r="A132" s="79" t="s">
        <v>433</v>
      </c>
      <c r="B132" s="44"/>
      <c r="C132" s="44"/>
      <c r="D132" s="360" t="s">
        <v>104</v>
      </c>
      <c r="E132" s="355" t="s">
        <v>85</v>
      </c>
      <c r="F132" s="355" t="s">
        <v>86</v>
      </c>
      <c r="G132" s="355" t="s">
        <v>87</v>
      </c>
      <c r="H132" s="355" t="s">
        <v>88</v>
      </c>
      <c r="I132" s="355" t="s">
        <v>89</v>
      </c>
      <c r="J132" s="355" t="s">
        <v>90</v>
      </c>
      <c r="K132" s="355" t="s">
        <v>91</v>
      </c>
      <c r="L132" s="355" t="s">
        <v>92</v>
      </c>
      <c r="M132" s="355" t="s">
        <v>93</v>
      </c>
      <c r="N132" s="356" t="s">
        <v>94</v>
      </c>
      <c r="O132" s="357" t="s">
        <v>239</v>
      </c>
      <c r="P132" s="358" t="s">
        <v>240</v>
      </c>
      <c r="Q132" s="358" t="s">
        <v>241</v>
      </c>
      <c r="R132" s="340" t="s">
        <v>242</v>
      </c>
      <c r="S132" s="358" t="s">
        <v>243</v>
      </c>
      <c r="T132" s="340" t="s">
        <v>244</v>
      </c>
      <c r="U132" s="358" t="s">
        <v>245</v>
      </c>
      <c r="V132" s="340" t="s">
        <v>246</v>
      </c>
      <c r="W132" s="358" t="s">
        <v>247</v>
      </c>
      <c r="X132" s="340" t="s">
        <v>248</v>
      </c>
      <c r="Y132" s="358" t="s">
        <v>249</v>
      </c>
      <c r="Z132" s="340" t="s">
        <v>250</v>
      </c>
      <c r="AA132" s="358" t="s">
        <v>251</v>
      </c>
      <c r="AB132" s="340" t="s">
        <v>252</v>
      </c>
      <c r="AC132" s="358" t="s">
        <v>253</v>
      </c>
      <c r="AD132" s="340" t="s">
        <v>254</v>
      </c>
      <c r="AE132" s="358" t="s">
        <v>255</v>
      </c>
      <c r="AF132" s="340" t="s">
        <v>256</v>
      </c>
      <c r="AG132" s="358" t="s">
        <v>257</v>
      </c>
      <c r="AH132" s="359" t="s">
        <v>258</v>
      </c>
    </row>
    <row r="133" spans="1:35" x14ac:dyDescent="0.25">
      <c r="A133" s="17" t="s">
        <v>449</v>
      </c>
      <c r="B133" s="24"/>
      <c r="C133" s="24"/>
      <c r="D133" s="161">
        <f>-C29</f>
        <v>-12610700</v>
      </c>
      <c r="E133" s="149"/>
      <c r="F133" s="149"/>
      <c r="G133" s="149"/>
      <c r="H133" s="149"/>
      <c r="I133" s="149"/>
      <c r="J133" s="149"/>
      <c r="K133" s="149"/>
      <c r="L133" s="149"/>
      <c r="M133" s="149"/>
      <c r="N133" s="200"/>
      <c r="O133" s="149"/>
      <c r="P133" s="200"/>
      <c r="Q133" s="149"/>
      <c r="R133" s="200"/>
      <c r="S133" s="149"/>
      <c r="T133" s="200"/>
      <c r="U133" s="149"/>
      <c r="V133" s="200"/>
      <c r="W133" s="149"/>
      <c r="X133" s="200"/>
      <c r="Y133" s="149"/>
      <c r="Z133" s="200"/>
      <c r="AA133" s="149"/>
      <c r="AB133" s="200"/>
      <c r="AC133" s="149"/>
      <c r="AD133" s="200"/>
      <c r="AE133" s="149"/>
      <c r="AF133" s="200"/>
      <c r="AG133" s="149"/>
      <c r="AH133" s="134"/>
    </row>
    <row r="134" spans="1:35" x14ac:dyDescent="0.25">
      <c r="A134" s="17" t="s">
        <v>110</v>
      </c>
      <c r="B134" s="24"/>
      <c r="C134" s="24"/>
      <c r="D134" s="161"/>
      <c r="E134" s="149">
        <f t="shared" ref="E134:AH134" si="15">E118</f>
        <v>735784</v>
      </c>
      <c r="F134" s="149">
        <f t="shared" si="15"/>
        <v>751977.52</v>
      </c>
      <c r="G134" s="149">
        <f t="shared" si="15"/>
        <v>768656.84560000012</v>
      </c>
      <c r="H134" s="149">
        <f t="shared" si="15"/>
        <v>785836.55096799997</v>
      </c>
      <c r="I134" s="149">
        <f t="shared" si="15"/>
        <v>803531.64749703999</v>
      </c>
      <c r="J134" s="149">
        <f t="shared" si="15"/>
        <v>821757.59692195139</v>
      </c>
      <c r="K134" s="149">
        <f t="shared" si="15"/>
        <v>840530.3248296103</v>
      </c>
      <c r="L134" s="149">
        <f t="shared" si="15"/>
        <v>859866.23457449849</v>
      </c>
      <c r="M134" s="149">
        <f t="shared" si="15"/>
        <v>879782.22161173355</v>
      </c>
      <c r="N134" s="200">
        <f t="shared" si="15"/>
        <v>900295.68826008553</v>
      </c>
      <c r="O134" s="149">
        <f t="shared" si="15"/>
        <v>921424.55890788801</v>
      </c>
      <c r="P134" s="200">
        <f t="shared" si="15"/>
        <v>943187.29567512474</v>
      </c>
      <c r="Q134" s="149">
        <f t="shared" si="15"/>
        <v>965602.91454537853</v>
      </c>
      <c r="R134" s="200">
        <f t="shared" si="15"/>
        <v>988691.00198173989</v>
      </c>
      <c r="S134" s="149">
        <f t="shared" si="15"/>
        <v>1012471.7320411924</v>
      </c>
      <c r="T134" s="200">
        <f t="shared" si="15"/>
        <v>1036965.8840024278</v>
      </c>
      <c r="U134" s="149">
        <f t="shared" si="15"/>
        <v>1062194.8605225012</v>
      </c>
      <c r="V134" s="200">
        <f t="shared" si="15"/>
        <v>1088180.706338176</v>
      </c>
      <c r="W134" s="149">
        <f t="shared" si="15"/>
        <v>1114946.1275283219</v>
      </c>
      <c r="X134" s="200">
        <f t="shared" si="15"/>
        <v>1142514.5113541712</v>
      </c>
      <c r="Y134" s="149">
        <f t="shared" si="15"/>
        <v>1170909.9466947964</v>
      </c>
      <c r="Z134" s="200">
        <f t="shared" si="15"/>
        <v>1200157.2450956404</v>
      </c>
      <c r="AA134" s="149">
        <f t="shared" si="15"/>
        <v>1230281.9624485094</v>
      </c>
      <c r="AB134" s="200">
        <f t="shared" si="15"/>
        <v>1261310.4213219648</v>
      </c>
      <c r="AC134" s="149">
        <f t="shared" si="15"/>
        <v>1293269.7339616236</v>
      </c>
      <c r="AD134" s="200">
        <f t="shared" si="15"/>
        <v>1326187.8259804724</v>
      </c>
      <c r="AE134" s="149">
        <f t="shared" si="15"/>
        <v>1360093.4607598868</v>
      </c>
      <c r="AF134" s="200">
        <f t="shared" si="15"/>
        <v>1395016.2645826829</v>
      </c>
      <c r="AG134" s="149">
        <f t="shared" si="15"/>
        <v>1430986.7525201638</v>
      </c>
      <c r="AH134" s="134">
        <f t="shared" si="15"/>
        <v>1468036.3550957683</v>
      </c>
    </row>
    <row r="135" spans="1:35" x14ac:dyDescent="0.25">
      <c r="A135" s="17" t="s">
        <v>111</v>
      </c>
      <c r="B135" s="24"/>
      <c r="C135" s="24"/>
      <c r="D135" s="161"/>
      <c r="E135" s="149"/>
      <c r="F135" s="149"/>
      <c r="G135" s="149"/>
      <c r="H135" s="149"/>
      <c r="I135" s="149"/>
      <c r="J135" s="149"/>
      <c r="K135" s="149"/>
      <c r="L135" s="149"/>
      <c r="M135" s="149"/>
      <c r="N135" s="200">
        <f>N128</f>
        <v>12475525.965889754</v>
      </c>
      <c r="O135" s="149"/>
      <c r="P135" s="200"/>
      <c r="Q135" s="149"/>
      <c r="R135" s="200"/>
      <c r="S135" s="149">
        <f>S128</f>
        <v>0</v>
      </c>
      <c r="T135" s="200"/>
      <c r="U135" s="149"/>
      <c r="V135" s="200"/>
      <c r="W135" s="149"/>
      <c r="X135" s="200">
        <f>X128</f>
        <v>0</v>
      </c>
      <c r="Y135" s="149"/>
      <c r="Z135" s="200"/>
      <c r="AA135" s="149"/>
      <c r="AB135" s="200"/>
      <c r="AC135" s="149">
        <f>AC128</f>
        <v>0</v>
      </c>
      <c r="AD135" s="200"/>
      <c r="AE135" s="149"/>
      <c r="AF135" s="200"/>
      <c r="AG135" s="149"/>
      <c r="AH135" s="134">
        <f>AH128</f>
        <v>0</v>
      </c>
    </row>
    <row r="136" spans="1:35" ht="16.5" thickBot="1" x14ac:dyDescent="0.3">
      <c r="A136" s="125" t="s">
        <v>3</v>
      </c>
      <c r="B136" s="83"/>
      <c r="C136" s="83"/>
      <c r="D136" s="441">
        <f>SUM(D133:D135)</f>
        <v>-12610700</v>
      </c>
      <c r="E136" s="442">
        <f>SUM(E133:E135)</f>
        <v>735784</v>
      </c>
      <c r="F136" s="442">
        <f t="shared" ref="F136:AH136" si="16">SUM(F133:F135)</f>
        <v>751977.52</v>
      </c>
      <c r="G136" s="442">
        <f t="shared" si="16"/>
        <v>768656.84560000012</v>
      </c>
      <c r="H136" s="442">
        <f t="shared" si="16"/>
        <v>785836.55096799997</v>
      </c>
      <c r="I136" s="442">
        <f t="shared" si="16"/>
        <v>803531.64749703999</v>
      </c>
      <c r="J136" s="442">
        <f t="shared" si="16"/>
        <v>821757.59692195139</v>
      </c>
      <c r="K136" s="442">
        <f t="shared" si="16"/>
        <v>840530.3248296103</v>
      </c>
      <c r="L136" s="442">
        <f t="shared" si="16"/>
        <v>859866.23457449849</v>
      </c>
      <c r="M136" s="442">
        <f t="shared" si="16"/>
        <v>879782.22161173355</v>
      </c>
      <c r="N136" s="443">
        <f t="shared" si="16"/>
        <v>13375821.65414984</v>
      </c>
      <c r="O136" s="442">
        <f t="shared" si="16"/>
        <v>921424.55890788801</v>
      </c>
      <c r="P136" s="443">
        <f t="shared" si="16"/>
        <v>943187.29567512474</v>
      </c>
      <c r="Q136" s="442">
        <f t="shared" si="16"/>
        <v>965602.91454537853</v>
      </c>
      <c r="R136" s="443">
        <f t="shared" si="16"/>
        <v>988691.00198173989</v>
      </c>
      <c r="S136" s="442">
        <f t="shared" si="16"/>
        <v>1012471.7320411924</v>
      </c>
      <c r="T136" s="443">
        <f t="shared" si="16"/>
        <v>1036965.8840024278</v>
      </c>
      <c r="U136" s="442">
        <f t="shared" si="16"/>
        <v>1062194.8605225012</v>
      </c>
      <c r="V136" s="443">
        <f t="shared" si="16"/>
        <v>1088180.706338176</v>
      </c>
      <c r="W136" s="442">
        <f t="shared" si="16"/>
        <v>1114946.1275283219</v>
      </c>
      <c r="X136" s="443">
        <f t="shared" si="16"/>
        <v>1142514.5113541712</v>
      </c>
      <c r="Y136" s="442">
        <f t="shared" si="16"/>
        <v>1170909.9466947964</v>
      </c>
      <c r="Z136" s="443">
        <f t="shared" si="16"/>
        <v>1200157.2450956404</v>
      </c>
      <c r="AA136" s="442">
        <f t="shared" si="16"/>
        <v>1230281.9624485094</v>
      </c>
      <c r="AB136" s="443">
        <f t="shared" si="16"/>
        <v>1261310.4213219648</v>
      </c>
      <c r="AC136" s="442">
        <f t="shared" si="16"/>
        <v>1293269.7339616236</v>
      </c>
      <c r="AD136" s="443">
        <f t="shared" si="16"/>
        <v>1326187.8259804724</v>
      </c>
      <c r="AE136" s="442">
        <f t="shared" si="16"/>
        <v>1360093.4607598868</v>
      </c>
      <c r="AF136" s="443">
        <f t="shared" si="16"/>
        <v>1395016.2645826829</v>
      </c>
      <c r="AG136" s="442">
        <f t="shared" si="16"/>
        <v>1430986.7525201638</v>
      </c>
      <c r="AH136" s="444">
        <f t="shared" si="16"/>
        <v>1468036.3550957683</v>
      </c>
    </row>
    <row r="137" spans="1:35" ht="16.5" thickBot="1" x14ac:dyDescent="0.3">
      <c r="A137" s="19" t="s">
        <v>112</v>
      </c>
      <c r="B137" s="71"/>
      <c r="C137" s="346" t="s">
        <v>19</v>
      </c>
      <c r="D137" s="347">
        <f>D6</f>
        <v>0.12</v>
      </c>
      <c r="E137" s="151"/>
      <c r="F137" s="151"/>
      <c r="G137" s="151"/>
      <c r="H137" s="151"/>
      <c r="I137" s="151"/>
      <c r="J137" s="151"/>
      <c r="K137" s="151"/>
      <c r="L137" s="151"/>
      <c r="M137" s="151"/>
      <c r="N137" s="294">
        <f>IFERROR(IF($C$11=10,IRR(D136:N136),0),0)</f>
        <v>6.3086119622082215E-2</v>
      </c>
      <c r="O137" s="295"/>
      <c r="P137" s="276"/>
      <c r="Q137" s="151"/>
      <c r="R137" s="276"/>
      <c r="S137" s="293">
        <f>IFERROR(IF($C$11=15,IRR(D136:S136),0),0)</f>
        <v>0</v>
      </c>
      <c r="T137" s="296"/>
      <c r="U137" s="151"/>
      <c r="V137" s="276"/>
      <c r="W137" s="151"/>
      <c r="X137" s="292">
        <f>IFERROR(IF($C$11=20,IRR(D136:X136),0),0)</f>
        <v>0</v>
      </c>
      <c r="Y137" s="295"/>
      <c r="Z137" s="276"/>
      <c r="AA137" s="151"/>
      <c r="AB137" s="276"/>
      <c r="AC137" s="293">
        <f>IFERROR(IF($C$11=25,IRR(D136:AC136),0),0)</f>
        <v>0</v>
      </c>
      <c r="AD137" s="296"/>
      <c r="AE137" s="151"/>
      <c r="AF137" s="276"/>
      <c r="AG137" s="151"/>
      <c r="AH137" s="152">
        <f>IFERROR(IF($C$11=30,IRR(D136:AH136),0),0)</f>
        <v>0</v>
      </c>
      <c r="AI137" s="262"/>
    </row>
    <row r="138" spans="1:35" ht="16.5" thickBot="1" x14ac:dyDescent="0.3">
      <c r="A138" s="19" t="s">
        <v>113</v>
      </c>
      <c r="B138" s="114"/>
      <c r="C138" s="346" t="s">
        <v>19</v>
      </c>
      <c r="D138" s="348">
        <f>D6</f>
        <v>0.12</v>
      </c>
      <c r="E138" s="153"/>
      <c r="F138" s="153"/>
      <c r="G138" s="153"/>
      <c r="H138" s="153"/>
      <c r="I138" s="153"/>
      <c r="J138" s="153"/>
      <c r="K138" s="153"/>
      <c r="L138" s="153"/>
      <c r="M138" s="153"/>
      <c r="N138" s="445">
        <f>IF($C$11=10,(NPV(D6,E136:N136))+D136,0)</f>
        <v>-4084062.9589554667</v>
      </c>
      <c r="O138" s="297"/>
      <c r="P138" s="276"/>
      <c r="Q138" s="151"/>
      <c r="R138" s="276"/>
      <c r="S138" s="448">
        <f>IF($C$11=15,(NPV(D6,E136:S136))+D136,0)</f>
        <v>0</v>
      </c>
      <c r="T138" s="298"/>
      <c r="U138" s="151"/>
      <c r="V138" s="276"/>
      <c r="W138" s="151"/>
      <c r="X138" s="449">
        <f>IF($C$11=20,(NPV(D6,E136:X136))+D136,0)</f>
        <v>0</v>
      </c>
      <c r="Y138" s="297"/>
      <c r="Z138" s="276"/>
      <c r="AA138" s="151"/>
      <c r="AB138" s="276"/>
      <c r="AC138" s="448">
        <f>IF($C$11=25,(NPV(D6,E136:AC136))+D136,0)</f>
        <v>0</v>
      </c>
      <c r="AD138" s="298"/>
      <c r="AE138" s="151"/>
      <c r="AF138" s="276"/>
      <c r="AG138" s="151"/>
      <c r="AH138" s="450">
        <f>IF($C$11=30,(NPV(D6,E136:AH136))+D136,0)</f>
        <v>0</v>
      </c>
      <c r="AI138" s="157"/>
    </row>
    <row r="139" spans="1:35" ht="16.5" thickBot="1" x14ac:dyDescent="0.3">
      <c r="A139" s="154"/>
      <c r="B139" s="38"/>
      <c r="C139" s="38"/>
      <c r="D139" s="38"/>
      <c r="E139" s="38"/>
      <c r="F139" s="38"/>
      <c r="G139" s="38"/>
      <c r="H139" s="38"/>
      <c r="I139" s="38"/>
      <c r="J139" s="38"/>
      <c r="K139" s="38"/>
      <c r="L139" s="38"/>
      <c r="M139" s="38"/>
      <c r="N139" s="155"/>
    </row>
    <row r="140" spans="1:35" ht="16.5" thickBot="1" x14ac:dyDescent="0.3">
      <c r="A140" s="79" t="s">
        <v>434</v>
      </c>
      <c r="B140" s="51"/>
      <c r="C140" s="51"/>
      <c r="D140" s="360" t="s">
        <v>104</v>
      </c>
      <c r="E140" s="360" t="s">
        <v>85</v>
      </c>
      <c r="F140" s="360" t="s">
        <v>86</v>
      </c>
      <c r="G140" s="360" t="s">
        <v>87</v>
      </c>
      <c r="H140" s="360" t="s">
        <v>88</v>
      </c>
      <c r="I140" s="360" t="s">
        <v>89</v>
      </c>
      <c r="J140" s="360" t="s">
        <v>90</v>
      </c>
      <c r="K140" s="360" t="s">
        <v>91</v>
      </c>
      <c r="L140" s="360" t="s">
        <v>92</v>
      </c>
      <c r="M140" s="360" t="s">
        <v>93</v>
      </c>
      <c r="N140" s="356" t="s">
        <v>94</v>
      </c>
      <c r="O140" s="358" t="s">
        <v>239</v>
      </c>
      <c r="P140" s="340" t="s">
        <v>240</v>
      </c>
      <c r="Q140" s="358" t="s">
        <v>241</v>
      </c>
      <c r="R140" s="340" t="s">
        <v>242</v>
      </c>
      <c r="S140" s="358" t="s">
        <v>243</v>
      </c>
      <c r="T140" s="340" t="s">
        <v>244</v>
      </c>
      <c r="U140" s="358" t="s">
        <v>245</v>
      </c>
      <c r="V140" s="340" t="s">
        <v>246</v>
      </c>
      <c r="W140" s="358" t="s">
        <v>247</v>
      </c>
      <c r="X140" s="340" t="s">
        <v>248</v>
      </c>
      <c r="Y140" s="358" t="s">
        <v>249</v>
      </c>
      <c r="Z140" s="340" t="s">
        <v>250</v>
      </c>
      <c r="AA140" s="358" t="s">
        <v>251</v>
      </c>
      <c r="AB140" s="340" t="s">
        <v>252</v>
      </c>
      <c r="AC140" s="358" t="s">
        <v>253</v>
      </c>
      <c r="AD140" s="340" t="s">
        <v>254</v>
      </c>
      <c r="AE140" s="358" t="s">
        <v>255</v>
      </c>
      <c r="AF140" s="340" t="s">
        <v>256</v>
      </c>
      <c r="AG140" s="358" t="s">
        <v>257</v>
      </c>
      <c r="AH140" s="359" t="s">
        <v>258</v>
      </c>
    </row>
    <row r="141" spans="1:35" x14ac:dyDescent="0.25">
      <c r="A141" s="17" t="s">
        <v>450</v>
      </c>
      <c r="B141" s="18"/>
      <c r="C141" s="18"/>
      <c r="D141" s="158">
        <f>-E99</f>
        <v>-1110700</v>
      </c>
      <c r="E141" s="142"/>
      <c r="F141" s="144"/>
      <c r="G141" s="144"/>
      <c r="H141" s="144"/>
      <c r="I141" s="144"/>
      <c r="J141" s="144"/>
      <c r="K141" s="144"/>
      <c r="L141" s="144"/>
      <c r="M141" s="144"/>
      <c r="N141" s="198"/>
      <c r="O141" s="159"/>
      <c r="P141" s="39"/>
      <c r="Q141" s="159"/>
      <c r="R141" s="39"/>
      <c r="S141" s="159"/>
      <c r="T141" s="39"/>
      <c r="U141" s="159"/>
      <c r="V141" s="39"/>
      <c r="W141" s="159"/>
      <c r="X141" s="39"/>
      <c r="Y141" s="159"/>
      <c r="Z141" s="39"/>
      <c r="AA141" s="159"/>
      <c r="AB141" s="39"/>
      <c r="AC141" s="159"/>
      <c r="AD141" s="39"/>
      <c r="AE141" s="159"/>
      <c r="AF141" s="39"/>
      <c r="AG141" s="159"/>
      <c r="AH141" s="26"/>
    </row>
    <row r="142" spans="1:35" x14ac:dyDescent="0.25">
      <c r="A142" s="17" t="s">
        <v>436</v>
      </c>
      <c r="B142" s="18"/>
      <c r="C142" s="18"/>
      <c r="D142" s="158"/>
      <c r="E142" s="158">
        <f t="shared" ref="E142:AH142" si="17">E121</f>
        <v>181354.79096676921</v>
      </c>
      <c r="F142" s="158">
        <f t="shared" si="17"/>
        <v>197548.31096676923</v>
      </c>
      <c r="G142" s="158">
        <f t="shared" si="17"/>
        <v>214227.63656676933</v>
      </c>
      <c r="H142" s="158">
        <f t="shared" si="17"/>
        <v>231407.34193476918</v>
      </c>
      <c r="I142" s="158">
        <f t="shared" si="17"/>
        <v>249102.4384638092</v>
      </c>
      <c r="J142" s="158">
        <f t="shared" si="17"/>
        <v>267328.38788872061</v>
      </c>
      <c r="K142" s="158">
        <f t="shared" si="17"/>
        <v>286101.11579637951</v>
      </c>
      <c r="L142" s="158">
        <f t="shared" si="17"/>
        <v>305437.02554126771</v>
      </c>
      <c r="M142" s="158">
        <f t="shared" si="17"/>
        <v>325353.01257850276</v>
      </c>
      <c r="N142" s="98">
        <f t="shared" si="17"/>
        <v>345866.47922685475</v>
      </c>
      <c r="O142" s="203">
        <f t="shared" si="17"/>
        <v>366995.34987465723</v>
      </c>
      <c r="P142" s="98">
        <f t="shared" si="17"/>
        <v>388758.08664189395</v>
      </c>
      <c r="Q142" s="203">
        <f t="shared" si="17"/>
        <v>411173.70551214775</v>
      </c>
      <c r="R142" s="98">
        <f t="shared" si="17"/>
        <v>434261.7929485091</v>
      </c>
      <c r="S142" s="203">
        <f t="shared" si="17"/>
        <v>458042.52300796157</v>
      </c>
      <c r="T142" s="98">
        <f t="shared" si="17"/>
        <v>482536.67496919702</v>
      </c>
      <c r="U142" s="203">
        <f t="shared" si="17"/>
        <v>507765.65148927039</v>
      </c>
      <c r="V142" s="98">
        <f t="shared" si="17"/>
        <v>533751.49730494525</v>
      </c>
      <c r="W142" s="203">
        <f t="shared" si="17"/>
        <v>560516.91849509114</v>
      </c>
      <c r="X142" s="98">
        <f t="shared" si="17"/>
        <v>588085.30232094042</v>
      </c>
      <c r="Y142" s="203">
        <f t="shared" si="17"/>
        <v>616480.73766156565</v>
      </c>
      <c r="Z142" s="98">
        <f t="shared" si="17"/>
        <v>645728.03606240964</v>
      </c>
      <c r="AA142" s="203">
        <f t="shared" si="17"/>
        <v>675852.75341527862</v>
      </c>
      <c r="AB142" s="98">
        <f t="shared" si="17"/>
        <v>706881.21228873404</v>
      </c>
      <c r="AC142" s="203">
        <f t="shared" si="17"/>
        <v>738840.52492839284</v>
      </c>
      <c r="AD142" s="98">
        <f t="shared" si="17"/>
        <v>771758.61694724159</v>
      </c>
      <c r="AE142" s="203">
        <f t="shared" si="17"/>
        <v>805664.25172665599</v>
      </c>
      <c r="AF142" s="98">
        <f t="shared" si="17"/>
        <v>840587.05554945208</v>
      </c>
      <c r="AG142" s="203">
        <f t="shared" si="17"/>
        <v>876557.54348693299</v>
      </c>
      <c r="AH142" s="217">
        <f t="shared" si="17"/>
        <v>913607.14606253756</v>
      </c>
    </row>
    <row r="143" spans="1:35" x14ac:dyDescent="0.25">
      <c r="A143" s="17" t="s">
        <v>108</v>
      </c>
      <c r="B143" s="18"/>
      <c r="C143" s="18"/>
      <c r="D143" s="158"/>
      <c r="E143" s="452"/>
      <c r="F143" s="452"/>
      <c r="G143" s="452"/>
      <c r="H143" s="452"/>
      <c r="I143" s="452"/>
      <c r="J143" s="452"/>
      <c r="K143" s="452"/>
      <c r="L143" s="452"/>
      <c r="M143" s="452"/>
      <c r="N143" s="453">
        <f>N130</f>
        <v>3342504.4003578518</v>
      </c>
      <c r="O143" s="149"/>
      <c r="P143" s="200"/>
      <c r="Q143" s="149"/>
      <c r="R143" s="200"/>
      <c r="S143" s="149">
        <f>S130</f>
        <v>0</v>
      </c>
      <c r="T143" s="200"/>
      <c r="U143" s="149"/>
      <c r="V143" s="200"/>
      <c r="W143" s="149"/>
      <c r="X143" s="200">
        <f>X130</f>
        <v>0</v>
      </c>
      <c r="Y143" s="149"/>
      <c r="Z143" s="200"/>
      <c r="AA143" s="149"/>
      <c r="AB143" s="200"/>
      <c r="AC143" s="149">
        <f>AC130</f>
        <v>0</v>
      </c>
      <c r="AD143" s="200"/>
      <c r="AE143" s="149"/>
      <c r="AF143" s="200"/>
      <c r="AG143" s="149"/>
      <c r="AH143" s="134">
        <f>AH130</f>
        <v>-7.0140231400728226E-9</v>
      </c>
    </row>
    <row r="144" spans="1:35" ht="16.5" thickBot="1" x14ac:dyDescent="0.3">
      <c r="A144" s="125" t="s">
        <v>3</v>
      </c>
      <c r="B144" s="30"/>
      <c r="C144" s="30"/>
      <c r="D144" s="451">
        <f t="shared" ref="D144:AH144" si="18">SUM(D141:D143)</f>
        <v>-1110700</v>
      </c>
      <c r="E144" s="451">
        <f t="shared" si="18"/>
        <v>181354.79096676921</v>
      </c>
      <c r="F144" s="451">
        <f t="shared" si="18"/>
        <v>197548.31096676923</v>
      </c>
      <c r="G144" s="451">
        <f t="shared" si="18"/>
        <v>214227.63656676933</v>
      </c>
      <c r="H144" s="451">
        <f t="shared" si="18"/>
        <v>231407.34193476918</v>
      </c>
      <c r="I144" s="451">
        <f t="shared" si="18"/>
        <v>249102.4384638092</v>
      </c>
      <c r="J144" s="451">
        <f t="shared" si="18"/>
        <v>267328.38788872061</v>
      </c>
      <c r="K144" s="451">
        <f t="shared" si="18"/>
        <v>286101.11579637951</v>
      </c>
      <c r="L144" s="451">
        <f t="shared" si="18"/>
        <v>305437.02554126771</v>
      </c>
      <c r="M144" s="451">
        <f t="shared" si="18"/>
        <v>325353.01257850276</v>
      </c>
      <c r="N144" s="454">
        <f t="shared" si="18"/>
        <v>3688370.8795847064</v>
      </c>
      <c r="O144" s="162">
        <f t="shared" si="18"/>
        <v>366995.34987465723</v>
      </c>
      <c r="P144" s="454">
        <f t="shared" si="18"/>
        <v>388758.08664189395</v>
      </c>
      <c r="Q144" s="162">
        <f t="shared" si="18"/>
        <v>411173.70551214775</v>
      </c>
      <c r="R144" s="454">
        <f t="shared" si="18"/>
        <v>434261.7929485091</v>
      </c>
      <c r="S144" s="162">
        <f t="shared" si="18"/>
        <v>458042.52300796157</v>
      </c>
      <c r="T144" s="454">
        <f t="shared" si="18"/>
        <v>482536.67496919702</v>
      </c>
      <c r="U144" s="162">
        <f t="shared" si="18"/>
        <v>507765.65148927039</v>
      </c>
      <c r="V144" s="454">
        <f t="shared" si="18"/>
        <v>533751.49730494525</v>
      </c>
      <c r="W144" s="162">
        <f t="shared" si="18"/>
        <v>560516.91849509114</v>
      </c>
      <c r="X144" s="454">
        <f t="shared" si="18"/>
        <v>588085.30232094042</v>
      </c>
      <c r="Y144" s="162">
        <f t="shared" si="18"/>
        <v>616480.73766156565</v>
      </c>
      <c r="Z144" s="454">
        <f t="shared" si="18"/>
        <v>645728.03606240964</v>
      </c>
      <c r="AA144" s="162">
        <f t="shared" si="18"/>
        <v>675852.75341527862</v>
      </c>
      <c r="AB144" s="454">
        <f t="shared" si="18"/>
        <v>706881.21228873404</v>
      </c>
      <c r="AC144" s="162">
        <f t="shared" si="18"/>
        <v>738840.52492839284</v>
      </c>
      <c r="AD144" s="454">
        <f t="shared" si="18"/>
        <v>771758.61694724159</v>
      </c>
      <c r="AE144" s="162">
        <f t="shared" si="18"/>
        <v>805664.25172665599</v>
      </c>
      <c r="AF144" s="454">
        <f t="shared" si="18"/>
        <v>840587.05554945208</v>
      </c>
      <c r="AG144" s="162">
        <f t="shared" si="18"/>
        <v>876557.54348693299</v>
      </c>
      <c r="AH144" s="455">
        <f t="shared" si="18"/>
        <v>913607.14606253058</v>
      </c>
    </row>
    <row r="145" spans="1:35" ht="16.5" thickBot="1" x14ac:dyDescent="0.3">
      <c r="A145" s="49" t="s">
        <v>116</v>
      </c>
      <c r="B145" s="139"/>
      <c r="C145" s="346" t="s">
        <v>19</v>
      </c>
      <c r="D145" s="208">
        <f>D7</f>
        <v>0.25</v>
      </c>
      <c r="E145" s="156"/>
      <c r="F145" s="156"/>
      <c r="G145" s="156"/>
      <c r="H145" s="156"/>
      <c r="I145" s="156"/>
      <c r="J145" s="156"/>
      <c r="K145" s="156"/>
      <c r="L145" s="156"/>
      <c r="M145" s="156"/>
      <c r="N145" s="292">
        <f>IFERROR(IF($C$11=10,IRR(D144:N144),0),0)</f>
        <v>0.26247166808461087</v>
      </c>
      <c r="O145" s="299"/>
      <c r="P145" s="141"/>
      <c r="Q145" s="291"/>
      <c r="R145" s="141"/>
      <c r="S145" s="293">
        <f>IFERROR(IF($C$11=15,IRR(D144:S144),0),0)</f>
        <v>0</v>
      </c>
      <c r="T145" s="300"/>
      <c r="U145" s="291"/>
      <c r="V145" s="141"/>
      <c r="W145" s="291"/>
      <c r="X145" s="292">
        <f>IFERROR(IF($C$11=20,IRR(D144:X144),0),0)</f>
        <v>0</v>
      </c>
      <c r="Y145" s="299"/>
      <c r="Z145" s="141"/>
      <c r="AA145" s="291"/>
      <c r="AB145" s="141"/>
      <c r="AC145" s="293">
        <f>IFERROR(IF($C$11=25,IRR(D144:AC144),0),0)</f>
        <v>0</v>
      </c>
      <c r="AD145" s="300"/>
      <c r="AE145" s="291"/>
      <c r="AF145" s="141"/>
      <c r="AG145" s="291"/>
      <c r="AH145" s="152">
        <f>IFERROR(IF($C$11=30,IRR(D144:AH144),0),0)</f>
        <v>0</v>
      </c>
      <c r="AI145" s="262"/>
    </row>
    <row r="146" spans="1:35" ht="16.5" thickBot="1" x14ac:dyDescent="0.3">
      <c r="A146" s="19" t="s">
        <v>117</v>
      </c>
      <c r="B146" s="71"/>
      <c r="C146" s="346" t="s">
        <v>19</v>
      </c>
      <c r="D146" s="347">
        <f>D7</f>
        <v>0.25</v>
      </c>
      <c r="E146" s="150"/>
      <c r="F146" s="150"/>
      <c r="G146" s="150"/>
      <c r="H146" s="150"/>
      <c r="I146" s="150"/>
      <c r="J146" s="150"/>
      <c r="K146" s="150"/>
      <c r="L146" s="150"/>
      <c r="M146" s="150"/>
      <c r="N146" s="449">
        <f>IF($C$11=10,(NPV(D7,E144:N144))+D144,0)</f>
        <v>67935.700889450032</v>
      </c>
      <c r="O146" s="301"/>
      <c r="P146" s="141"/>
      <c r="Q146" s="291"/>
      <c r="R146" s="141"/>
      <c r="S146" s="456">
        <f>IF($C$11=15,(NPV(D7,E144:S144))+D144,0)</f>
        <v>0</v>
      </c>
      <c r="T146" s="194"/>
      <c r="U146" s="291"/>
      <c r="V146" s="141"/>
      <c r="W146" s="291"/>
      <c r="X146" s="445">
        <f>IF($C$11=20,(NPV(D7,E144:X144))+D144,0)</f>
        <v>0</v>
      </c>
      <c r="Y146" s="302"/>
      <c r="Z146" s="141"/>
      <c r="AA146" s="291"/>
      <c r="AB146" s="141"/>
      <c r="AC146" s="456">
        <f>IF($C$11=25,(NPV(D7,E144:AC144))+D144,0)</f>
        <v>0</v>
      </c>
      <c r="AD146" s="194"/>
      <c r="AE146" s="291"/>
      <c r="AF146" s="141"/>
      <c r="AG146" s="291"/>
      <c r="AH146" s="457">
        <f>IF($C$11=30,(NPV(D7,E144:AH144))+D144,0)</f>
        <v>0</v>
      </c>
      <c r="AI146" s="157"/>
    </row>
    <row r="147" spans="1:35" ht="16.5" thickBot="1" x14ac:dyDescent="0.3">
      <c r="A147" s="154"/>
      <c r="N147" s="157"/>
    </row>
    <row r="148" spans="1:35" ht="16.5" thickBot="1" x14ac:dyDescent="0.3">
      <c r="A148" s="79" t="s">
        <v>435</v>
      </c>
      <c r="B148" s="51"/>
      <c r="C148" s="51"/>
      <c r="D148" s="360" t="s">
        <v>104</v>
      </c>
      <c r="E148" s="355" t="s">
        <v>85</v>
      </c>
      <c r="F148" s="355" t="s">
        <v>86</v>
      </c>
      <c r="G148" s="355" t="s">
        <v>87</v>
      </c>
      <c r="H148" s="355" t="s">
        <v>88</v>
      </c>
      <c r="I148" s="355" t="s">
        <v>89</v>
      </c>
      <c r="J148" s="355" t="s">
        <v>90</v>
      </c>
      <c r="K148" s="355" t="s">
        <v>91</v>
      </c>
      <c r="L148" s="355" t="s">
        <v>92</v>
      </c>
      <c r="M148" s="361" t="s">
        <v>93</v>
      </c>
      <c r="N148" s="356" t="s">
        <v>94</v>
      </c>
      <c r="O148" s="358" t="s">
        <v>239</v>
      </c>
      <c r="P148" s="340" t="s">
        <v>240</v>
      </c>
      <c r="Q148" s="358" t="s">
        <v>241</v>
      </c>
      <c r="R148" s="340" t="s">
        <v>242</v>
      </c>
      <c r="S148" s="358" t="s">
        <v>243</v>
      </c>
      <c r="T148" s="340" t="s">
        <v>244</v>
      </c>
      <c r="U148" s="358" t="s">
        <v>245</v>
      </c>
      <c r="V148" s="340" t="s">
        <v>246</v>
      </c>
      <c r="W148" s="358" t="s">
        <v>247</v>
      </c>
      <c r="X148" s="340" t="s">
        <v>248</v>
      </c>
      <c r="Y148" s="358" t="s">
        <v>249</v>
      </c>
      <c r="Z148" s="340" t="s">
        <v>250</v>
      </c>
      <c r="AA148" s="358" t="s">
        <v>251</v>
      </c>
      <c r="AB148" s="340" t="s">
        <v>252</v>
      </c>
      <c r="AC148" s="358" t="s">
        <v>253</v>
      </c>
      <c r="AD148" s="340" t="s">
        <v>254</v>
      </c>
      <c r="AE148" s="358" t="s">
        <v>255</v>
      </c>
      <c r="AF148" s="340" t="s">
        <v>256</v>
      </c>
      <c r="AG148" s="358" t="s">
        <v>257</v>
      </c>
      <c r="AH148" s="359" t="s">
        <v>258</v>
      </c>
    </row>
    <row r="149" spans="1:35" x14ac:dyDescent="0.25">
      <c r="A149" s="17" t="s">
        <v>452</v>
      </c>
      <c r="B149" s="18"/>
      <c r="C149" s="18"/>
      <c r="D149" s="158">
        <f>-E91</f>
        <v>-12500000</v>
      </c>
      <c r="E149" s="243"/>
      <c r="F149" s="203"/>
      <c r="G149" s="203"/>
      <c r="H149" s="203"/>
      <c r="I149" s="203"/>
      <c r="J149" s="203"/>
      <c r="K149" s="203"/>
      <c r="L149" s="203"/>
      <c r="M149" s="203"/>
      <c r="N149" s="98"/>
      <c r="O149" s="149"/>
      <c r="P149" s="200"/>
      <c r="Q149" s="149"/>
      <c r="R149" s="200"/>
      <c r="S149" s="149"/>
      <c r="T149" s="200"/>
      <c r="U149" s="149"/>
      <c r="V149" s="200"/>
      <c r="W149" s="149"/>
      <c r="X149" s="200"/>
      <c r="Y149" s="149"/>
      <c r="Z149" s="200"/>
      <c r="AA149" s="149"/>
      <c r="AB149" s="200"/>
      <c r="AC149" s="149"/>
      <c r="AD149" s="200"/>
      <c r="AE149" s="149"/>
      <c r="AF149" s="200"/>
      <c r="AG149" s="149"/>
      <c r="AH149" s="134"/>
    </row>
    <row r="150" spans="1:35" x14ac:dyDescent="0.25">
      <c r="A150" s="72" t="s">
        <v>77</v>
      </c>
      <c r="B150" s="18"/>
      <c r="C150" s="18"/>
      <c r="D150" s="158">
        <f>-L95</f>
        <v>-200000</v>
      </c>
      <c r="E150" s="458"/>
      <c r="F150" s="203"/>
      <c r="G150" s="203"/>
      <c r="H150" s="203"/>
      <c r="I150" s="203"/>
      <c r="J150" s="203"/>
      <c r="K150" s="203"/>
      <c r="L150" s="203"/>
      <c r="M150" s="203"/>
      <c r="N150" s="98"/>
      <c r="O150" s="149"/>
      <c r="P150" s="200"/>
      <c r="Q150" s="149"/>
      <c r="R150" s="200"/>
      <c r="S150" s="149"/>
      <c r="T150" s="200"/>
      <c r="U150" s="149"/>
      <c r="V150" s="200"/>
      <c r="W150" s="149"/>
      <c r="X150" s="200"/>
      <c r="Y150" s="149"/>
      <c r="Z150" s="200"/>
      <c r="AA150" s="149"/>
      <c r="AB150" s="200"/>
      <c r="AC150" s="149"/>
      <c r="AD150" s="200"/>
      <c r="AE150" s="149"/>
      <c r="AF150" s="200"/>
      <c r="AG150" s="149"/>
      <c r="AH150" s="134"/>
    </row>
    <row r="151" spans="1:35" x14ac:dyDescent="0.25">
      <c r="A151" s="72" t="s">
        <v>453</v>
      </c>
      <c r="B151" s="18"/>
      <c r="C151" s="18"/>
      <c r="D151" s="158">
        <f>D149+D150</f>
        <v>-12700000</v>
      </c>
      <c r="E151" s="458"/>
      <c r="F151" s="203"/>
      <c r="G151" s="203"/>
      <c r="H151" s="203"/>
      <c r="I151" s="203"/>
      <c r="J151" s="203"/>
      <c r="K151" s="203"/>
      <c r="L151" s="203"/>
      <c r="M151" s="203"/>
      <c r="N151" s="98"/>
      <c r="O151" s="149"/>
      <c r="P151" s="200"/>
      <c r="Q151" s="149"/>
      <c r="R151" s="200"/>
      <c r="S151" s="149"/>
      <c r="T151" s="200"/>
      <c r="U151" s="149"/>
      <c r="V151" s="200"/>
      <c r="W151" s="149"/>
      <c r="X151" s="200"/>
      <c r="Y151" s="149"/>
      <c r="Z151" s="200"/>
      <c r="AA151" s="149"/>
      <c r="AB151" s="200"/>
      <c r="AC151" s="149"/>
      <c r="AD151" s="200"/>
      <c r="AE151" s="149"/>
      <c r="AF151" s="200"/>
      <c r="AG151" s="149"/>
      <c r="AH151" s="134"/>
    </row>
    <row r="152" spans="1:35" x14ac:dyDescent="0.25">
      <c r="A152" s="17" t="s">
        <v>454</v>
      </c>
      <c r="B152" s="18"/>
      <c r="C152" s="18"/>
      <c r="D152" s="158"/>
      <c r="E152" s="203">
        <f t="shared" ref="E152:AH152" si="19">-$E$94</f>
        <v>554429.20903323079</v>
      </c>
      <c r="F152" s="203">
        <f t="shared" si="19"/>
        <v>554429.20903323079</v>
      </c>
      <c r="G152" s="203">
        <f t="shared" si="19"/>
        <v>554429.20903323079</v>
      </c>
      <c r="H152" s="203">
        <f t="shared" si="19"/>
        <v>554429.20903323079</v>
      </c>
      <c r="I152" s="203">
        <f t="shared" si="19"/>
        <v>554429.20903323079</v>
      </c>
      <c r="J152" s="203">
        <f t="shared" si="19"/>
        <v>554429.20903323079</v>
      </c>
      <c r="K152" s="203">
        <f t="shared" si="19"/>
        <v>554429.20903323079</v>
      </c>
      <c r="L152" s="203">
        <f t="shared" si="19"/>
        <v>554429.20903323079</v>
      </c>
      <c r="M152" s="203">
        <f t="shared" si="19"/>
        <v>554429.20903323079</v>
      </c>
      <c r="N152" s="98">
        <f t="shared" si="19"/>
        <v>554429.20903323079</v>
      </c>
      <c r="O152" s="203">
        <f t="shared" si="19"/>
        <v>554429.20903323079</v>
      </c>
      <c r="P152" s="98">
        <f t="shared" si="19"/>
        <v>554429.20903323079</v>
      </c>
      <c r="Q152" s="203">
        <f t="shared" si="19"/>
        <v>554429.20903323079</v>
      </c>
      <c r="R152" s="98">
        <f t="shared" si="19"/>
        <v>554429.20903323079</v>
      </c>
      <c r="S152" s="203">
        <f t="shared" si="19"/>
        <v>554429.20903323079</v>
      </c>
      <c r="T152" s="98">
        <f t="shared" si="19"/>
        <v>554429.20903323079</v>
      </c>
      <c r="U152" s="203">
        <f t="shared" si="19"/>
        <v>554429.20903323079</v>
      </c>
      <c r="V152" s="98">
        <f t="shared" si="19"/>
        <v>554429.20903323079</v>
      </c>
      <c r="W152" s="203">
        <f t="shared" si="19"/>
        <v>554429.20903323079</v>
      </c>
      <c r="X152" s="98">
        <f t="shared" si="19"/>
        <v>554429.20903323079</v>
      </c>
      <c r="Y152" s="203">
        <f t="shared" si="19"/>
        <v>554429.20903323079</v>
      </c>
      <c r="Z152" s="98">
        <f t="shared" si="19"/>
        <v>554429.20903323079</v>
      </c>
      <c r="AA152" s="203">
        <f t="shared" si="19"/>
        <v>554429.20903323079</v>
      </c>
      <c r="AB152" s="98">
        <f t="shared" si="19"/>
        <v>554429.20903323079</v>
      </c>
      <c r="AC152" s="203">
        <f t="shared" si="19"/>
        <v>554429.20903323079</v>
      </c>
      <c r="AD152" s="98">
        <f t="shared" si="19"/>
        <v>554429.20903323079</v>
      </c>
      <c r="AE152" s="203">
        <f t="shared" si="19"/>
        <v>554429.20903323079</v>
      </c>
      <c r="AF152" s="98">
        <f t="shared" si="19"/>
        <v>554429.20903323079</v>
      </c>
      <c r="AG152" s="203">
        <f t="shared" si="19"/>
        <v>554429.20903323079</v>
      </c>
      <c r="AH152" s="217">
        <f t="shared" si="19"/>
        <v>554429.20903323079</v>
      </c>
    </row>
    <row r="153" spans="1:35" x14ac:dyDescent="0.25">
      <c r="A153" s="17" t="s">
        <v>455</v>
      </c>
      <c r="B153" s="18"/>
      <c r="C153" s="18"/>
      <c r="D153" s="158"/>
      <c r="E153" s="352">
        <f t="shared" ref="E153:AH153" si="20">$L$96</f>
        <v>10000</v>
      </c>
      <c r="F153" s="352">
        <f t="shared" si="20"/>
        <v>10000</v>
      </c>
      <c r="G153" s="352">
        <f t="shared" si="20"/>
        <v>10000</v>
      </c>
      <c r="H153" s="352">
        <f t="shared" si="20"/>
        <v>10000</v>
      </c>
      <c r="I153" s="352">
        <f t="shared" si="20"/>
        <v>10000</v>
      </c>
      <c r="J153" s="352">
        <f t="shared" si="20"/>
        <v>10000</v>
      </c>
      <c r="K153" s="352">
        <f t="shared" si="20"/>
        <v>10000</v>
      </c>
      <c r="L153" s="352">
        <f t="shared" si="20"/>
        <v>10000</v>
      </c>
      <c r="M153" s="352">
        <f t="shared" si="20"/>
        <v>10000</v>
      </c>
      <c r="N153" s="352">
        <f t="shared" si="20"/>
        <v>10000</v>
      </c>
      <c r="O153" s="352">
        <f t="shared" si="20"/>
        <v>10000</v>
      </c>
      <c r="P153" s="352">
        <f t="shared" si="20"/>
        <v>10000</v>
      </c>
      <c r="Q153" s="352">
        <f t="shared" si="20"/>
        <v>10000</v>
      </c>
      <c r="R153" s="352">
        <f t="shared" si="20"/>
        <v>10000</v>
      </c>
      <c r="S153" s="352">
        <f t="shared" si="20"/>
        <v>10000</v>
      </c>
      <c r="T153" s="352">
        <f t="shared" si="20"/>
        <v>10000</v>
      </c>
      <c r="U153" s="352">
        <f t="shared" si="20"/>
        <v>10000</v>
      </c>
      <c r="V153" s="352">
        <f t="shared" si="20"/>
        <v>10000</v>
      </c>
      <c r="W153" s="352">
        <f t="shared" si="20"/>
        <v>10000</v>
      </c>
      <c r="X153" s="352">
        <f t="shared" si="20"/>
        <v>10000</v>
      </c>
      <c r="Y153" s="352">
        <f t="shared" si="20"/>
        <v>10000</v>
      </c>
      <c r="Z153" s="352">
        <f t="shared" si="20"/>
        <v>10000</v>
      </c>
      <c r="AA153" s="352">
        <f t="shared" si="20"/>
        <v>10000</v>
      </c>
      <c r="AB153" s="352">
        <f t="shared" si="20"/>
        <v>10000</v>
      </c>
      <c r="AC153" s="352">
        <f t="shared" si="20"/>
        <v>10000</v>
      </c>
      <c r="AD153" s="352">
        <f t="shared" si="20"/>
        <v>10000</v>
      </c>
      <c r="AE153" s="352">
        <f t="shared" si="20"/>
        <v>10000</v>
      </c>
      <c r="AF153" s="352">
        <f t="shared" si="20"/>
        <v>10000</v>
      </c>
      <c r="AG153" s="352">
        <f t="shared" si="20"/>
        <v>10000</v>
      </c>
      <c r="AH153" s="459">
        <f t="shared" si="20"/>
        <v>10000</v>
      </c>
    </row>
    <row r="154" spans="1:35" x14ac:dyDescent="0.25">
      <c r="A154" s="17" t="s">
        <v>456</v>
      </c>
      <c r="B154" s="18"/>
      <c r="C154" s="18"/>
      <c r="D154" s="158"/>
      <c r="E154" s="352">
        <f t="shared" ref="E154:AH154" si="21">$L$97</f>
        <v>0</v>
      </c>
      <c r="F154" s="352">
        <f t="shared" si="21"/>
        <v>0</v>
      </c>
      <c r="G154" s="352">
        <f t="shared" si="21"/>
        <v>0</v>
      </c>
      <c r="H154" s="352">
        <f t="shared" si="21"/>
        <v>0</v>
      </c>
      <c r="I154" s="352">
        <f t="shared" si="21"/>
        <v>0</v>
      </c>
      <c r="J154" s="352">
        <f t="shared" si="21"/>
        <v>0</v>
      </c>
      <c r="K154" s="352">
        <f t="shared" si="21"/>
        <v>0</v>
      </c>
      <c r="L154" s="352">
        <f t="shared" si="21"/>
        <v>0</v>
      </c>
      <c r="M154" s="352">
        <f t="shared" si="21"/>
        <v>0</v>
      </c>
      <c r="N154" s="352">
        <f t="shared" si="21"/>
        <v>0</v>
      </c>
      <c r="O154" s="352">
        <f t="shared" si="21"/>
        <v>0</v>
      </c>
      <c r="P154" s="352">
        <f t="shared" si="21"/>
        <v>0</v>
      </c>
      <c r="Q154" s="352">
        <f t="shared" si="21"/>
        <v>0</v>
      </c>
      <c r="R154" s="352">
        <f t="shared" si="21"/>
        <v>0</v>
      </c>
      <c r="S154" s="352">
        <f t="shared" si="21"/>
        <v>0</v>
      </c>
      <c r="T154" s="352">
        <f t="shared" si="21"/>
        <v>0</v>
      </c>
      <c r="U154" s="352">
        <f t="shared" si="21"/>
        <v>0</v>
      </c>
      <c r="V154" s="352">
        <f t="shared" si="21"/>
        <v>0</v>
      </c>
      <c r="W154" s="352">
        <f t="shared" si="21"/>
        <v>0</v>
      </c>
      <c r="X154" s="352">
        <f t="shared" si="21"/>
        <v>0</v>
      </c>
      <c r="Y154" s="352">
        <f t="shared" si="21"/>
        <v>0</v>
      </c>
      <c r="Z154" s="352">
        <f t="shared" si="21"/>
        <v>0</v>
      </c>
      <c r="AA154" s="352">
        <f t="shared" si="21"/>
        <v>0</v>
      </c>
      <c r="AB154" s="352">
        <f t="shared" si="21"/>
        <v>0</v>
      </c>
      <c r="AC154" s="352">
        <f t="shared" si="21"/>
        <v>0</v>
      </c>
      <c r="AD154" s="352">
        <f t="shared" si="21"/>
        <v>0</v>
      </c>
      <c r="AE154" s="352">
        <f t="shared" si="21"/>
        <v>0</v>
      </c>
      <c r="AF154" s="352">
        <f t="shared" si="21"/>
        <v>0</v>
      </c>
      <c r="AG154" s="352">
        <f t="shared" si="21"/>
        <v>0</v>
      </c>
      <c r="AH154" s="459">
        <f t="shared" si="21"/>
        <v>0</v>
      </c>
    </row>
    <row r="155" spans="1:35" x14ac:dyDescent="0.25">
      <c r="A155" s="17" t="s">
        <v>121</v>
      </c>
      <c r="B155" s="24"/>
      <c r="C155" s="24"/>
      <c r="D155" s="161"/>
      <c r="E155" s="149"/>
      <c r="F155" s="149"/>
      <c r="G155" s="149"/>
      <c r="H155" s="149"/>
      <c r="I155" s="149"/>
      <c r="J155" s="149"/>
      <c r="K155" s="149"/>
      <c r="L155" s="149"/>
      <c r="M155" s="149"/>
      <c r="N155" s="200">
        <f>N143*$L$98</f>
        <v>835626.10008946294</v>
      </c>
      <c r="O155" s="149"/>
      <c r="P155" s="200"/>
      <c r="Q155" s="149"/>
      <c r="R155" s="200"/>
      <c r="S155" s="200">
        <f>S143*$L$98</f>
        <v>0</v>
      </c>
      <c r="T155" s="200"/>
      <c r="U155" s="149"/>
      <c r="V155" s="200"/>
      <c r="W155" s="149"/>
      <c r="X155" s="200">
        <f>X143*$L$98</f>
        <v>0</v>
      </c>
      <c r="Y155" s="149"/>
      <c r="Z155" s="200"/>
      <c r="AA155" s="149"/>
      <c r="AB155" s="200"/>
      <c r="AC155" s="200">
        <f>AC143*$L$98</f>
        <v>0</v>
      </c>
      <c r="AD155" s="200"/>
      <c r="AE155" s="149"/>
      <c r="AF155" s="200"/>
      <c r="AG155" s="149"/>
      <c r="AH155" s="134">
        <f>AH143*$L$98</f>
        <v>-1.7535057850182056E-9</v>
      </c>
    </row>
    <row r="156" spans="1:35" x14ac:dyDescent="0.25">
      <c r="A156" s="17" t="s">
        <v>122</v>
      </c>
      <c r="B156" s="24"/>
      <c r="C156" s="24"/>
      <c r="D156" s="161"/>
      <c r="E156" s="149"/>
      <c r="F156" s="149"/>
      <c r="G156" s="149"/>
      <c r="H156" s="149"/>
      <c r="I156" s="149"/>
      <c r="J156" s="149"/>
      <c r="K156" s="149"/>
      <c r="L156" s="149"/>
      <c r="M156" s="149"/>
      <c r="N156" s="200">
        <f>IF($C$11=10,V174,0)</f>
        <v>9133021.565531902</v>
      </c>
      <c r="O156" s="149"/>
      <c r="P156" s="201"/>
      <c r="Q156" s="149"/>
      <c r="R156" s="200"/>
      <c r="S156" s="149">
        <f>IF($C$11=15,V179,0)</f>
        <v>0</v>
      </c>
      <c r="T156" s="200"/>
      <c r="U156" s="149"/>
      <c r="V156" s="200"/>
      <c r="W156" s="149"/>
      <c r="X156" s="200">
        <f>IF($C$11=20,V184,0)</f>
        <v>0</v>
      </c>
      <c r="Y156" s="149"/>
      <c r="Z156" s="200"/>
      <c r="AA156" s="149"/>
      <c r="AB156" s="200"/>
      <c r="AC156" s="149">
        <f>IF($C$11=25,V189,0)</f>
        <v>0</v>
      </c>
      <c r="AD156" s="200"/>
      <c r="AE156" s="149"/>
      <c r="AF156" s="200"/>
      <c r="AG156" s="149"/>
      <c r="AH156" s="134">
        <f>IF($C$11=30,V194,0)</f>
        <v>0</v>
      </c>
    </row>
    <row r="157" spans="1:35" ht="16.5" thickBot="1" x14ac:dyDescent="0.3">
      <c r="A157" s="125" t="s">
        <v>3</v>
      </c>
      <c r="B157" s="30"/>
      <c r="C157" s="30"/>
      <c r="D157" s="451">
        <f>D151</f>
        <v>-12700000</v>
      </c>
      <c r="E157" s="162">
        <f>SUM(E152:E156)</f>
        <v>564429.20903323079</v>
      </c>
      <c r="F157" s="162">
        <f t="shared" ref="F157:AH157" si="22">SUM(F152:F156)</f>
        <v>564429.20903323079</v>
      </c>
      <c r="G157" s="162">
        <f t="shared" si="22"/>
        <v>564429.20903323079</v>
      </c>
      <c r="H157" s="162">
        <f t="shared" si="22"/>
        <v>564429.20903323079</v>
      </c>
      <c r="I157" s="162">
        <f t="shared" si="22"/>
        <v>564429.20903323079</v>
      </c>
      <c r="J157" s="162">
        <f t="shared" si="22"/>
        <v>564429.20903323079</v>
      </c>
      <c r="K157" s="162">
        <f t="shared" si="22"/>
        <v>564429.20903323079</v>
      </c>
      <c r="L157" s="162">
        <f t="shared" si="22"/>
        <v>564429.20903323079</v>
      </c>
      <c r="M157" s="162">
        <f t="shared" si="22"/>
        <v>564429.20903323079</v>
      </c>
      <c r="N157" s="162">
        <f t="shared" si="22"/>
        <v>10533076.874654595</v>
      </c>
      <c r="O157" s="162">
        <f t="shared" si="22"/>
        <v>564429.20903323079</v>
      </c>
      <c r="P157" s="162">
        <f t="shared" si="22"/>
        <v>564429.20903323079</v>
      </c>
      <c r="Q157" s="162">
        <f t="shared" si="22"/>
        <v>564429.20903323079</v>
      </c>
      <c r="R157" s="162">
        <f t="shared" si="22"/>
        <v>564429.20903323079</v>
      </c>
      <c r="S157" s="162">
        <f t="shared" si="22"/>
        <v>564429.20903323079</v>
      </c>
      <c r="T157" s="162">
        <f t="shared" si="22"/>
        <v>564429.20903323079</v>
      </c>
      <c r="U157" s="162">
        <f t="shared" si="22"/>
        <v>564429.20903323079</v>
      </c>
      <c r="V157" s="162">
        <f t="shared" si="22"/>
        <v>564429.20903323079</v>
      </c>
      <c r="W157" s="162">
        <f t="shared" si="22"/>
        <v>564429.20903323079</v>
      </c>
      <c r="X157" s="162">
        <f t="shared" si="22"/>
        <v>564429.20903323079</v>
      </c>
      <c r="Y157" s="162">
        <f t="shared" si="22"/>
        <v>564429.20903323079</v>
      </c>
      <c r="Z157" s="162">
        <f t="shared" si="22"/>
        <v>564429.20903323079</v>
      </c>
      <c r="AA157" s="162">
        <f t="shared" si="22"/>
        <v>564429.20903323079</v>
      </c>
      <c r="AB157" s="162">
        <f t="shared" si="22"/>
        <v>564429.20903323079</v>
      </c>
      <c r="AC157" s="162">
        <f t="shared" si="22"/>
        <v>564429.20903323079</v>
      </c>
      <c r="AD157" s="162">
        <f t="shared" si="22"/>
        <v>564429.20903323079</v>
      </c>
      <c r="AE157" s="162">
        <f t="shared" si="22"/>
        <v>564429.20903323079</v>
      </c>
      <c r="AF157" s="162">
        <f t="shared" si="22"/>
        <v>564429.20903323079</v>
      </c>
      <c r="AG157" s="162">
        <f t="shared" si="22"/>
        <v>564429.20903323079</v>
      </c>
      <c r="AH157" s="440">
        <f t="shared" si="22"/>
        <v>564429.20903322904</v>
      </c>
    </row>
    <row r="158" spans="1:35" ht="16.5" thickBot="1" x14ac:dyDescent="0.3">
      <c r="A158" s="19" t="s">
        <v>116</v>
      </c>
      <c r="B158" s="20"/>
      <c r="C158" s="346" t="s">
        <v>19</v>
      </c>
      <c r="D158" s="347">
        <f>D9</f>
        <v>0.04</v>
      </c>
      <c r="E158" s="163"/>
      <c r="F158" s="163"/>
      <c r="G158" s="163"/>
      <c r="H158" s="163"/>
      <c r="I158" s="163"/>
      <c r="J158" s="163"/>
      <c r="K158" s="163"/>
      <c r="L158" s="163"/>
      <c r="M158" s="163"/>
      <c r="N158" s="292">
        <f>IFERROR(IF($C$11=10,IRR(D157:N157),0),0)</f>
        <v>2.5270429823639251E-2</v>
      </c>
      <c r="O158" s="299"/>
      <c r="P158" s="141"/>
      <c r="Q158" s="291"/>
      <c r="R158" s="141"/>
      <c r="S158" s="293">
        <f>IFERROR(IF($C$11=15,IRR(D157:S157),0),0)</f>
        <v>0</v>
      </c>
      <c r="T158" s="300"/>
      <c r="U158" s="291"/>
      <c r="V158" s="141"/>
      <c r="W158" s="291"/>
      <c r="X158" s="292">
        <f>IFERROR(IF($C$11=20,IRR(D157:X157),0),0)</f>
        <v>0</v>
      </c>
      <c r="Y158" s="299"/>
      <c r="Z158" s="141"/>
      <c r="AA158" s="291"/>
      <c r="AB158" s="141"/>
      <c r="AC158" s="293">
        <f>IFERROR(IF($C$11=25,IRR(D157:AC157),0),0)</f>
        <v>0</v>
      </c>
      <c r="AD158" s="300"/>
      <c r="AE158" s="291"/>
      <c r="AF158" s="141"/>
      <c r="AG158" s="291"/>
      <c r="AH158" s="152">
        <f>IFERROR(IF($C$11=30,IRR(D157:AH157),0),0)</f>
        <v>0</v>
      </c>
      <c r="AI158" s="262"/>
    </row>
    <row r="159" spans="1:35" ht="16.5" thickBot="1" x14ac:dyDescent="0.3">
      <c r="A159" s="118" t="s">
        <v>117</v>
      </c>
      <c r="B159" s="31"/>
      <c r="C159" s="346" t="s">
        <v>19</v>
      </c>
      <c r="D159" s="351">
        <f>D9</f>
        <v>0.04</v>
      </c>
      <c r="E159" s="164"/>
      <c r="F159" s="164"/>
      <c r="G159" s="164"/>
      <c r="H159" s="164"/>
      <c r="I159" s="164"/>
      <c r="J159" s="164"/>
      <c r="K159" s="164"/>
      <c r="L159" s="164"/>
      <c r="M159" s="164"/>
      <c r="N159" s="445">
        <f>IF(C11=10,(NPV(L99,E157:N157))+D157,0)</f>
        <v>-1387512.3361649383</v>
      </c>
      <c r="O159" s="303"/>
      <c r="P159" s="276"/>
      <c r="Q159" s="151"/>
      <c r="R159" s="276"/>
      <c r="S159" s="448">
        <f>IF($C$11=15,(NPV(L99,E157:S157))+D157,0)</f>
        <v>0</v>
      </c>
      <c r="T159" s="298"/>
      <c r="U159" s="151"/>
      <c r="V159" s="276"/>
      <c r="W159" s="151"/>
      <c r="X159" s="449">
        <f>IF($C$11=20,(NPV(L99,E157:X157))+D157,0)</f>
        <v>0</v>
      </c>
      <c r="Y159" s="297"/>
      <c r="Z159" s="276"/>
      <c r="AA159" s="151"/>
      <c r="AB159" s="276"/>
      <c r="AC159" s="448">
        <f>IF($C$11=25,(NPV(L99,E157:AC157))+D157,0)</f>
        <v>0</v>
      </c>
      <c r="AD159" s="298"/>
      <c r="AE159" s="151"/>
      <c r="AF159" s="276"/>
      <c r="AG159" s="151"/>
      <c r="AH159" s="450">
        <f>IF($C$11=30,(NPV(L99,E157:AH157))+D157,0)</f>
        <v>0</v>
      </c>
      <c r="AI159" s="157"/>
    </row>
    <row r="160" spans="1:35" x14ac:dyDescent="0.25">
      <c r="D160" s="165"/>
    </row>
    <row r="161" spans="1:30" ht="16.5" thickBot="1" x14ac:dyDescent="0.3">
      <c r="A161" s="166" t="s">
        <v>123</v>
      </c>
      <c r="D161" s="165"/>
    </row>
    <row r="162" spans="1:30" ht="16.5" thickBot="1" x14ac:dyDescent="0.3">
      <c r="A162" s="50" t="s">
        <v>540</v>
      </c>
      <c r="B162" s="44"/>
      <c r="C162" s="44"/>
      <c r="D162" s="44"/>
      <c r="E162" s="45"/>
      <c r="F162" s="50" t="s">
        <v>541</v>
      </c>
      <c r="G162" s="44"/>
      <c r="H162" s="44"/>
      <c r="I162" s="44"/>
      <c r="J162" s="45"/>
      <c r="K162" s="50" t="s">
        <v>124</v>
      </c>
      <c r="L162" s="44"/>
      <c r="M162" s="44"/>
      <c r="N162" s="44"/>
      <c r="O162" s="45"/>
      <c r="P162" s="50" t="s">
        <v>235</v>
      </c>
      <c r="Q162" s="44"/>
      <c r="R162" s="44"/>
      <c r="S162" s="44"/>
      <c r="T162" s="45"/>
      <c r="U162" s="50" t="s">
        <v>236</v>
      </c>
      <c r="V162" s="44"/>
      <c r="W162" s="44"/>
      <c r="X162" s="44"/>
      <c r="Y162" s="45"/>
      <c r="Z162" s="50" t="s">
        <v>237</v>
      </c>
      <c r="AA162" s="44"/>
      <c r="AB162" s="44"/>
      <c r="AC162" s="44"/>
      <c r="AD162" s="45"/>
    </row>
    <row r="163" spans="1:30" x14ac:dyDescent="0.25">
      <c r="A163" s="167"/>
      <c r="B163" s="168"/>
      <c r="C163" s="168"/>
      <c r="D163" s="168"/>
      <c r="E163" s="169"/>
      <c r="F163" s="167"/>
      <c r="G163" s="168"/>
      <c r="H163" s="168"/>
      <c r="I163" s="168"/>
      <c r="J163" s="169"/>
      <c r="K163" s="167"/>
      <c r="L163" s="168"/>
      <c r="M163" s="168"/>
      <c r="N163" s="168"/>
      <c r="O163" s="170"/>
      <c r="P163" s="218"/>
      <c r="Q163" s="171"/>
      <c r="R163" s="171"/>
      <c r="S163" s="171"/>
      <c r="T163" s="172"/>
      <c r="U163" s="218"/>
      <c r="V163" s="171"/>
      <c r="W163" s="171"/>
      <c r="X163" s="171"/>
      <c r="Y163" s="172"/>
      <c r="Z163" s="218"/>
      <c r="AA163" s="171"/>
      <c r="AB163" s="171"/>
      <c r="AC163" s="171"/>
      <c r="AD163" s="172"/>
    </row>
    <row r="164" spans="1:30" ht="16.5" thickBot="1" x14ac:dyDescent="0.3">
      <c r="A164" s="173" t="s">
        <v>125</v>
      </c>
      <c r="B164" s="174" t="s">
        <v>126</v>
      </c>
      <c r="C164" s="175" t="s">
        <v>127</v>
      </c>
      <c r="D164" s="174" t="s">
        <v>128</v>
      </c>
      <c r="E164" s="176" t="s">
        <v>129</v>
      </c>
      <c r="F164" s="173" t="s">
        <v>125</v>
      </c>
      <c r="G164" s="174" t="s">
        <v>126</v>
      </c>
      <c r="H164" s="175" t="s">
        <v>127</v>
      </c>
      <c r="I164" s="174" t="s">
        <v>128</v>
      </c>
      <c r="J164" s="176" t="s">
        <v>129</v>
      </c>
      <c r="K164" s="173" t="s">
        <v>125</v>
      </c>
      <c r="L164" s="174" t="s">
        <v>126</v>
      </c>
      <c r="M164" s="175" t="s">
        <v>127</v>
      </c>
      <c r="N164" s="174" t="s">
        <v>128</v>
      </c>
      <c r="O164" s="176" t="s">
        <v>129</v>
      </c>
      <c r="P164" s="173" t="s">
        <v>130</v>
      </c>
      <c r="Q164" s="177" t="s">
        <v>126</v>
      </c>
      <c r="R164" s="178" t="s">
        <v>127</v>
      </c>
      <c r="S164" s="177" t="s">
        <v>128</v>
      </c>
      <c r="T164" s="179" t="s">
        <v>129</v>
      </c>
      <c r="U164" s="173" t="s">
        <v>130</v>
      </c>
      <c r="V164" s="177" t="s">
        <v>126</v>
      </c>
      <c r="W164" s="178" t="s">
        <v>127</v>
      </c>
      <c r="X164" s="177" t="s">
        <v>128</v>
      </c>
      <c r="Y164" s="179" t="s">
        <v>129</v>
      </c>
      <c r="Z164" s="173" t="s">
        <v>130</v>
      </c>
      <c r="AA164" s="177" t="s">
        <v>126</v>
      </c>
      <c r="AB164" s="178" t="s">
        <v>127</v>
      </c>
      <c r="AC164" s="177" t="s">
        <v>128</v>
      </c>
      <c r="AD164" s="179" t="s">
        <v>129</v>
      </c>
    </row>
    <row r="165" spans="1:30" x14ac:dyDescent="0.25">
      <c r="A165" s="72">
        <v>0</v>
      </c>
      <c r="B165" s="180">
        <f>E86</f>
        <v>0</v>
      </c>
      <c r="C165" s="39"/>
      <c r="D165" s="159"/>
      <c r="E165" s="26"/>
      <c r="F165" s="72">
        <v>0</v>
      </c>
      <c r="G165" s="180">
        <f>E91</f>
        <v>12500000</v>
      </c>
      <c r="H165" s="39"/>
      <c r="I165" s="159"/>
      <c r="J165" s="26"/>
      <c r="K165" s="72">
        <v>0</v>
      </c>
      <c r="L165" s="180">
        <f>B165+G165</f>
        <v>12500000</v>
      </c>
      <c r="M165" s="39"/>
      <c r="N165" s="159"/>
      <c r="O165" s="26"/>
      <c r="P165" s="72">
        <v>1</v>
      </c>
      <c r="Q165" s="149">
        <f>B177</f>
        <v>0</v>
      </c>
      <c r="R165" s="200">
        <f>SUM(C166:C177)</f>
        <v>0</v>
      </c>
      <c r="S165" s="259">
        <f>SUM(D166:D177)</f>
        <v>0</v>
      </c>
      <c r="T165" s="134">
        <f>SUM(E166:E177)</f>
        <v>0</v>
      </c>
      <c r="U165" s="72">
        <v>1</v>
      </c>
      <c r="V165" s="180">
        <f>G177</f>
        <v>12192764.628251757</v>
      </c>
      <c r="W165" s="181">
        <f>SUM(H166:H177)</f>
        <v>554429.2090332309</v>
      </c>
      <c r="X165" s="182">
        <f>SUM(I166:I177)</f>
        <v>247193.83728498867</v>
      </c>
      <c r="Y165" s="132">
        <f>SUM(J166:J177)</f>
        <v>307235.37174824218</v>
      </c>
      <c r="Z165" s="72">
        <v>1</v>
      </c>
      <c r="AA165" s="180">
        <f>Q165+V165</f>
        <v>12192764.628251757</v>
      </c>
      <c r="AB165" s="180">
        <f t="shared" ref="AB165:AD180" si="23">R165+W165</f>
        <v>554429.2090332309</v>
      </c>
      <c r="AC165" s="180">
        <f t="shared" si="23"/>
        <v>247193.83728498867</v>
      </c>
      <c r="AD165" s="212">
        <f t="shared" si="23"/>
        <v>307235.37174824218</v>
      </c>
    </row>
    <row r="166" spans="1:30" x14ac:dyDescent="0.25">
      <c r="A166" s="72">
        <v>1</v>
      </c>
      <c r="B166" s="183">
        <f t="shared" ref="B166:B229" si="24">B165-E166</f>
        <v>0</v>
      </c>
      <c r="C166" s="184">
        <f>-Parking!$E$89/12</f>
        <v>0</v>
      </c>
      <c r="D166" s="183">
        <f>Parking!$E$87/12*B165</f>
        <v>0</v>
      </c>
      <c r="E166" s="185">
        <f t="shared" ref="E166:E229" si="25">C166-D166</f>
        <v>0</v>
      </c>
      <c r="F166" s="72">
        <v>1</v>
      </c>
      <c r="G166" s="180">
        <f t="shared" ref="G166:G229" si="26">G165-J166</f>
        <v>12474630.899247231</v>
      </c>
      <c r="H166" s="186">
        <f>-Parking!$E$94/12</f>
        <v>46202.434086102563</v>
      </c>
      <c r="I166" s="149">
        <f>Parking!$E$92/12*G165</f>
        <v>20833.333333333336</v>
      </c>
      <c r="J166" s="187">
        <f t="shared" ref="J166:J229" si="27">H166-I166</f>
        <v>25369.100752769227</v>
      </c>
      <c r="K166" s="72">
        <v>1</v>
      </c>
      <c r="L166" s="180">
        <f t="shared" ref="L166:O229" si="28">G166+B166</f>
        <v>12474630.899247231</v>
      </c>
      <c r="M166" s="181">
        <f t="shared" si="28"/>
        <v>46202.434086102563</v>
      </c>
      <c r="N166" s="180">
        <f t="shared" si="28"/>
        <v>20833.333333333336</v>
      </c>
      <c r="O166" s="132">
        <f t="shared" si="28"/>
        <v>25369.100752769227</v>
      </c>
      <c r="P166" s="72">
        <v>2</v>
      </c>
      <c r="Q166" s="149">
        <f>B189</f>
        <v>0</v>
      </c>
      <c r="R166" s="200">
        <f>SUM(C178:C189)</f>
        <v>0</v>
      </c>
      <c r="S166" s="149">
        <f>SUM(D178:D189)</f>
        <v>0</v>
      </c>
      <c r="T166" s="134">
        <f>SUM(E178:E189)</f>
        <v>0</v>
      </c>
      <c r="U166" s="72">
        <v>2</v>
      </c>
      <c r="V166" s="180">
        <f>G189</f>
        <v>11879327.908482209</v>
      </c>
      <c r="W166" s="181">
        <f>SUM(H178:H189)</f>
        <v>554429.2090332309</v>
      </c>
      <c r="X166" s="180">
        <f>SUM(I178:I189)</f>
        <v>240992.48926368382</v>
      </c>
      <c r="Y166" s="132">
        <f>SUM(J178:J189)</f>
        <v>313436.71976954694</v>
      </c>
      <c r="Z166" s="72">
        <v>2</v>
      </c>
      <c r="AA166" s="180">
        <f t="shared" ref="AA166:AD181" si="29">Q166+V166</f>
        <v>11879327.908482209</v>
      </c>
      <c r="AB166" s="180">
        <f t="shared" si="23"/>
        <v>554429.2090332309</v>
      </c>
      <c r="AC166" s="180">
        <f t="shared" si="23"/>
        <v>240992.48926368382</v>
      </c>
      <c r="AD166" s="212">
        <f t="shared" si="23"/>
        <v>313436.71976954694</v>
      </c>
    </row>
    <row r="167" spans="1:30" x14ac:dyDescent="0.25">
      <c r="A167" s="72">
        <f t="shared" ref="A167:A230" si="30">A166+1</f>
        <v>2</v>
      </c>
      <c r="B167" s="183">
        <f t="shared" si="24"/>
        <v>0</v>
      </c>
      <c r="C167" s="184">
        <f>-Parking!$E$89/12</f>
        <v>0</v>
      </c>
      <c r="D167" s="183">
        <f>Parking!$E$87/12*B166</f>
        <v>0</v>
      </c>
      <c r="E167" s="185">
        <f t="shared" si="25"/>
        <v>0</v>
      </c>
      <c r="F167" s="72">
        <f t="shared" ref="F167:F230" si="31">F166+1</f>
        <v>2</v>
      </c>
      <c r="G167" s="180">
        <f t="shared" si="26"/>
        <v>12449219.516659874</v>
      </c>
      <c r="H167" s="186">
        <f>-Parking!$E$94/12</f>
        <v>46202.434086102563</v>
      </c>
      <c r="I167" s="149">
        <f>Parking!$E$92/12*G166</f>
        <v>20791.051498745386</v>
      </c>
      <c r="J167" s="187">
        <f t="shared" si="27"/>
        <v>25411.382587357177</v>
      </c>
      <c r="K167" s="72">
        <f t="shared" ref="K167:K230" si="32">K166+1</f>
        <v>2</v>
      </c>
      <c r="L167" s="180">
        <f t="shared" si="28"/>
        <v>12449219.516659874</v>
      </c>
      <c r="M167" s="181">
        <f t="shared" si="28"/>
        <v>46202.434086102563</v>
      </c>
      <c r="N167" s="180">
        <f t="shared" si="28"/>
        <v>20791.051498745386</v>
      </c>
      <c r="O167" s="132">
        <f t="shared" si="28"/>
        <v>25411.382587357177</v>
      </c>
      <c r="P167" s="72">
        <v>3</v>
      </c>
      <c r="Q167" s="149">
        <f>B201</f>
        <v>0</v>
      </c>
      <c r="R167" s="200">
        <f>SUM(C190:C201)</f>
        <v>0</v>
      </c>
      <c r="S167" s="149">
        <f>SUM(D190:D201)</f>
        <v>0</v>
      </c>
      <c r="T167" s="134">
        <f>SUM(E190:E201)</f>
        <v>0</v>
      </c>
      <c r="U167" s="72">
        <v>3</v>
      </c>
      <c r="V167" s="180">
        <f>G201</f>
        <v>11559564.670477189</v>
      </c>
      <c r="W167" s="181">
        <f>SUM(H190:H201)</f>
        <v>554429.2090332309</v>
      </c>
      <c r="X167" s="180">
        <f>SUM(I190:I201)</f>
        <v>234665.9710282122</v>
      </c>
      <c r="Y167" s="132">
        <f>SUM(J190:J201)</f>
        <v>319763.23800501856</v>
      </c>
      <c r="Z167" s="72">
        <v>3</v>
      </c>
      <c r="AA167" s="180">
        <f t="shared" si="29"/>
        <v>11559564.670477189</v>
      </c>
      <c r="AB167" s="180">
        <f t="shared" si="23"/>
        <v>554429.2090332309</v>
      </c>
      <c r="AC167" s="180">
        <f t="shared" si="23"/>
        <v>234665.9710282122</v>
      </c>
      <c r="AD167" s="212">
        <f t="shared" si="23"/>
        <v>319763.23800501856</v>
      </c>
    </row>
    <row r="168" spans="1:30" x14ac:dyDescent="0.25">
      <c r="A168" s="72">
        <f t="shared" si="30"/>
        <v>3</v>
      </c>
      <c r="B168" s="183">
        <f t="shared" si="24"/>
        <v>0</v>
      </c>
      <c r="C168" s="184">
        <f>-Parking!$E$89/12</f>
        <v>0</v>
      </c>
      <c r="D168" s="183">
        <f>Parking!$E$87/12*B167</f>
        <v>0</v>
      </c>
      <c r="E168" s="185">
        <f t="shared" si="25"/>
        <v>0</v>
      </c>
      <c r="F168" s="72">
        <f t="shared" si="31"/>
        <v>3</v>
      </c>
      <c r="G168" s="180">
        <f t="shared" si="26"/>
        <v>12423765.781768205</v>
      </c>
      <c r="H168" s="186">
        <f>-Parking!$E$94/12</f>
        <v>46202.434086102563</v>
      </c>
      <c r="I168" s="149">
        <f>Parking!$E$92/12*G167</f>
        <v>20748.699194433124</v>
      </c>
      <c r="J168" s="187">
        <f t="shared" si="27"/>
        <v>25453.734891669439</v>
      </c>
      <c r="K168" s="72">
        <f t="shared" si="32"/>
        <v>3</v>
      </c>
      <c r="L168" s="180">
        <f t="shared" si="28"/>
        <v>12423765.781768205</v>
      </c>
      <c r="M168" s="181">
        <f t="shared" si="28"/>
        <v>46202.434086102563</v>
      </c>
      <c r="N168" s="180">
        <f t="shared" si="28"/>
        <v>20748.699194433124</v>
      </c>
      <c r="O168" s="132">
        <f t="shared" si="28"/>
        <v>25453.734891669439</v>
      </c>
      <c r="P168" s="72">
        <v>4</v>
      </c>
      <c r="Q168" s="149">
        <f>B213</f>
        <v>0</v>
      </c>
      <c r="R168" s="200">
        <f>SUM(C202:C213)</f>
        <v>0</v>
      </c>
      <c r="S168" s="149">
        <f>SUM(D202:D213)</f>
        <v>0</v>
      </c>
      <c r="T168" s="134">
        <f>SUM(E202:E213)</f>
        <v>0</v>
      </c>
      <c r="U168" s="72">
        <v>4</v>
      </c>
      <c r="V168" s="180">
        <f>G213</f>
        <v>11233347.21754241</v>
      </c>
      <c r="W168" s="181">
        <f>SUM(H202:H213)</f>
        <v>554429.2090332309</v>
      </c>
      <c r="X168" s="180">
        <f>SUM(I202:I213)</f>
        <v>228211.75609845037</v>
      </c>
      <c r="Y168" s="132">
        <f>SUM(J202:J213)</f>
        <v>326217.45293478045</v>
      </c>
      <c r="Z168" s="72">
        <v>4</v>
      </c>
      <c r="AA168" s="180">
        <f t="shared" si="29"/>
        <v>11233347.21754241</v>
      </c>
      <c r="AB168" s="180">
        <f t="shared" si="23"/>
        <v>554429.2090332309</v>
      </c>
      <c r="AC168" s="180">
        <f t="shared" si="23"/>
        <v>228211.75609845037</v>
      </c>
      <c r="AD168" s="212">
        <f t="shared" si="23"/>
        <v>326217.45293478045</v>
      </c>
    </row>
    <row r="169" spans="1:30" x14ac:dyDescent="0.25">
      <c r="A169" s="72">
        <f t="shared" si="30"/>
        <v>4</v>
      </c>
      <c r="B169" s="183">
        <f t="shared" si="24"/>
        <v>0</v>
      </c>
      <c r="C169" s="184">
        <f>-Parking!$E$89/12</f>
        <v>0</v>
      </c>
      <c r="D169" s="183">
        <f>Parking!$E$87/12*B168</f>
        <v>0</v>
      </c>
      <c r="E169" s="185">
        <f t="shared" si="25"/>
        <v>0</v>
      </c>
      <c r="F169" s="72">
        <f t="shared" si="31"/>
        <v>4</v>
      </c>
      <c r="G169" s="180">
        <f t="shared" si="26"/>
        <v>12398269.623985048</v>
      </c>
      <c r="H169" s="186">
        <f>-Parking!$E$94/12</f>
        <v>46202.434086102563</v>
      </c>
      <c r="I169" s="149">
        <f>Parking!$E$92/12*G168</f>
        <v>20706.276302947008</v>
      </c>
      <c r="J169" s="187">
        <f t="shared" si="27"/>
        <v>25496.157783155555</v>
      </c>
      <c r="K169" s="72">
        <f t="shared" si="32"/>
        <v>4</v>
      </c>
      <c r="L169" s="180">
        <f t="shared" si="28"/>
        <v>12398269.623985048</v>
      </c>
      <c r="M169" s="181">
        <f t="shared" si="28"/>
        <v>46202.434086102563</v>
      </c>
      <c r="N169" s="180">
        <f t="shared" si="28"/>
        <v>20706.276302947008</v>
      </c>
      <c r="O169" s="132">
        <f t="shared" si="28"/>
        <v>25496.157783155555</v>
      </c>
      <c r="P169" s="72">
        <v>5</v>
      </c>
      <c r="Q169" s="149">
        <f>B225</f>
        <v>0</v>
      </c>
      <c r="R169" s="200">
        <f>SUM(C214:C225)</f>
        <v>0</v>
      </c>
      <c r="S169" s="149">
        <f>SUM(D214:D225)</f>
        <v>0</v>
      </c>
      <c r="T169" s="134">
        <f>SUM(E214:E225)</f>
        <v>0</v>
      </c>
      <c r="U169" s="72">
        <v>5</v>
      </c>
      <c r="V169" s="180">
        <f>G225</f>
        <v>10900545.27550808</v>
      </c>
      <c r="W169" s="181">
        <f>SUM(H214:H225)</f>
        <v>554429.2090332309</v>
      </c>
      <c r="X169" s="180">
        <f>SUM(I214:I225)</f>
        <v>221627.26699890132</v>
      </c>
      <c r="Y169" s="132">
        <f>SUM(J214:J225)</f>
        <v>332801.9420343294</v>
      </c>
      <c r="Z169" s="72">
        <v>5</v>
      </c>
      <c r="AA169" s="180">
        <f t="shared" si="29"/>
        <v>10900545.27550808</v>
      </c>
      <c r="AB169" s="180">
        <f t="shared" si="23"/>
        <v>554429.2090332309</v>
      </c>
      <c r="AC169" s="180">
        <f t="shared" si="23"/>
        <v>221627.26699890132</v>
      </c>
      <c r="AD169" s="212">
        <f t="shared" si="23"/>
        <v>332801.9420343294</v>
      </c>
    </row>
    <row r="170" spans="1:30" x14ac:dyDescent="0.25">
      <c r="A170" s="72">
        <f t="shared" si="30"/>
        <v>5</v>
      </c>
      <c r="B170" s="183">
        <f t="shared" si="24"/>
        <v>0</v>
      </c>
      <c r="C170" s="184">
        <f>-Parking!$E$89/12</f>
        <v>0</v>
      </c>
      <c r="D170" s="183">
        <f>Parking!$E$87/12*B169</f>
        <v>0</v>
      </c>
      <c r="E170" s="185">
        <f t="shared" si="25"/>
        <v>0</v>
      </c>
      <c r="F170" s="72">
        <f t="shared" si="31"/>
        <v>5</v>
      </c>
      <c r="G170" s="180">
        <f t="shared" si="26"/>
        <v>12372730.972605588</v>
      </c>
      <c r="H170" s="186">
        <f>-Parking!$E$94/12</f>
        <v>46202.434086102563</v>
      </c>
      <c r="I170" s="149">
        <f>Parking!$E$92/12*G169</f>
        <v>20663.782706641749</v>
      </c>
      <c r="J170" s="187">
        <f t="shared" si="27"/>
        <v>25538.651379460814</v>
      </c>
      <c r="K170" s="72">
        <f t="shared" si="32"/>
        <v>5</v>
      </c>
      <c r="L170" s="180">
        <f t="shared" si="28"/>
        <v>12372730.972605588</v>
      </c>
      <c r="M170" s="181">
        <f t="shared" si="28"/>
        <v>46202.434086102563</v>
      </c>
      <c r="N170" s="180">
        <f t="shared" si="28"/>
        <v>20663.782706641749</v>
      </c>
      <c r="O170" s="132">
        <f t="shared" si="28"/>
        <v>25538.651379460814</v>
      </c>
      <c r="P170" s="72">
        <v>6</v>
      </c>
      <c r="Q170" s="149">
        <f>B237</f>
        <v>0</v>
      </c>
      <c r="R170" s="200">
        <f>SUM(C226:C237)</f>
        <v>0</v>
      </c>
      <c r="S170" s="149">
        <f>SUM(D226:D237)</f>
        <v>0</v>
      </c>
      <c r="T170" s="134">
        <f>SUM(E226:E237)</f>
        <v>0</v>
      </c>
      <c r="U170" s="72">
        <v>6</v>
      </c>
      <c r="V170" s="180">
        <f>G237</f>
        <v>10561025.940704236</v>
      </c>
      <c r="W170" s="181">
        <f>SUM(H226:H237)</f>
        <v>554429.2090332309</v>
      </c>
      <c r="X170" s="180">
        <f>SUM(I226:I237)</f>
        <v>214909.87422938601</v>
      </c>
      <c r="Y170" s="132">
        <f>SUM(J226:J237)</f>
        <v>339519.33480384474</v>
      </c>
      <c r="Z170" s="72">
        <v>6</v>
      </c>
      <c r="AA170" s="180">
        <f t="shared" si="29"/>
        <v>10561025.940704236</v>
      </c>
      <c r="AB170" s="180">
        <f t="shared" si="23"/>
        <v>554429.2090332309</v>
      </c>
      <c r="AC170" s="180">
        <f t="shared" si="23"/>
        <v>214909.87422938601</v>
      </c>
      <c r="AD170" s="212">
        <f t="shared" si="23"/>
        <v>339519.33480384474</v>
      </c>
    </row>
    <row r="171" spans="1:30" x14ac:dyDescent="0.25">
      <c r="A171" s="72">
        <f t="shared" si="30"/>
        <v>6</v>
      </c>
      <c r="B171" s="183">
        <f t="shared" si="24"/>
        <v>0</v>
      </c>
      <c r="C171" s="184">
        <f>-Parking!$E$89/12</f>
        <v>0</v>
      </c>
      <c r="D171" s="183">
        <f>Parking!$E$87/12*B170</f>
        <v>0</v>
      </c>
      <c r="E171" s="185">
        <f t="shared" si="25"/>
        <v>0</v>
      </c>
      <c r="F171" s="72">
        <f t="shared" si="31"/>
        <v>6</v>
      </c>
      <c r="G171" s="180">
        <f t="shared" si="26"/>
        <v>12347149.756807161</v>
      </c>
      <c r="H171" s="186">
        <f>-Parking!$E$94/12</f>
        <v>46202.434086102563</v>
      </c>
      <c r="I171" s="149">
        <f>Parking!$E$92/12*G170</f>
        <v>20621.21828767598</v>
      </c>
      <c r="J171" s="187">
        <f t="shared" si="27"/>
        <v>25581.215798426583</v>
      </c>
      <c r="K171" s="72">
        <f t="shared" si="32"/>
        <v>6</v>
      </c>
      <c r="L171" s="180">
        <f t="shared" si="28"/>
        <v>12347149.756807161</v>
      </c>
      <c r="M171" s="181">
        <f t="shared" si="28"/>
        <v>46202.434086102563</v>
      </c>
      <c r="N171" s="180">
        <f t="shared" si="28"/>
        <v>20621.21828767598</v>
      </c>
      <c r="O171" s="132">
        <f t="shared" si="28"/>
        <v>25581.215798426583</v>
      </c>
      <c r="P171" s="72">
        <v>7</v>
      </c>
      <c r="Q171" s="149">
        <f>B249</f>
        <v>0</v>
      </c>
      <c r="R171" s="200">
        <f>SUM(C238:C249)</f>
        <v>0</v>
      </c>
      <c r="S171" s="149">
        <f>SUM(D238:D249)</f>
        <v>0</v>
      </c>
      <c r="T171" s="134">
        <f>SUM(E238:E249)</f>
        <v>0</v>
      </c>
      <c r="U171" s="72">
        <v>7</v>
      </c>
      <c r="V171" s="180">
        <f>G249</f>
        <v>10214653.626885965</v>
      </c>
      <c r="W171" s="181">
        <f>SUM(H238:H249)</f>
        <v>554429.2090332309</v>
      </c>
      <c r="X171" s="180">
        <f>SUM(I238:I249)</f>
        <v>208056.89521495855</v>
      </c>
      <c r="Y171" s="132">
        <f>SUM(J238:J249)</f>
        <v>346372.3138182722</v>
      </c>
      <c r="Z171" s="72">
        <v>7</v>
      </c>
      <c r="AA171" s="180">
        <f t="shared" si="29"/>
        <v>10214653.626885965</v>
      </c>
      <c r="AB171" s="180">
        <f t="shared" si="23"/>
        <v>554429.2090332309</v>
      </c>
      <c r="AC171" s="180">
        <f t="shared" si="23"/>
        <v>208056.89521495855</v>
      </c>
      <c r="AD171" s="212">
        <f t="shared" si="23"/>
        <v>346372.3138182722</v>
      </c>
    </row>
    <row r="172" spans="1:30" x14ac:dyDescent="0.25">
      <c r="A172" s="72">
        <f t="shared" si="30"/>
        <v>7</v>
      </c>
      <c r="B172" s="183">
        <f t="shared" si="24"/>
        <v>0</v>
      </c>
      <c r="C172" s="184">
        <f>-Parking!$E$89/12</f>
        <v>0</v>
      </c>
      <c r="D172" s="183">
        <f>Parking!$E$87/12*B171</f>
        <v>0</v>
      </c>
      <c r="E172" s="185">
        <f t="shared" si="25"/>
        <v>0</v>
      </c>
      <c r="F172" s="72">
        <f t="shared" si="31"/>
        <v>7</v>
      </c>
      <c r="G172" s="180">
        <f t="shared" si="26"/>
        <v>12321525.905649072</v>
      </c>
      <c r="H172" s="186">
        <f>-Parking!$E$94/12</f>
        <v>46202.434086102563</v>
      </c>
      <c r="I172" s="149">
        <f>Parking!$E$92/12*G171</f>
        <v>20578.582928011936</v>
      </c>
      <c r="J172" s="187">
        <f t="shared" si="27"/>
        <v>25623.851158090627</v>
      </c>
      <c r="K172" s="72">
        <f t="shared" si="32"/>
        <v>7</v>
      </c>
      <c r="L172" s="180">
        <f t="shared" si="28"/>
        <v>12321525.905649072</v>
      </c>
      <c r="M172" s="181">
        <f t="shared" si="28"/>
        <v>46202.434086102563</v>
      </c>
      <c r="N172" s="180">
        <f t="shared" si="28"/>
        <v>20578.582928011936</v>
      </c>
      <c r="O172" s="132">
        <f t="shared" si="28"/>
        <v>25623.851158090627</v>
      </c>
      <c r="P172" s="72">
        <v>8</v>
      </c>
      <c r="Q172" s="149">
        <f>B261</f>
        <v>0</v>
      </c>
      <c r="R172" s="200">
        <f>SUM(C250:C261)</f>
        <v>0</v>
      </c>
      <c r="S172" s="149">
        <f>SUM(D250:D261)</f>
        <v>0</v>
      </c>
      <c r="T172" s="134">
        <f>SUM(E250:E261)</f>
        <v>0</v>
      </c>
      <c r="U172" s="72">
        <v>8</v>
      </c>
      <c r="V172" s="180">
        <f>G261</f>
        <v>9861290.011087358</v>
      </c>
      <c r="W172" s="181">
        <f>SUM(H250:H261)</f>
        <v>554429.2090332309</v>
      </c>
      <c r="X172" s="180">
        <f>SUM(I250:I261)</f>
        <v>201065.59323462594</v>
      </c>
      <c r="Y172" s="132">
        <f>SUM(J250:J261)</f>
        <v>353363.61579860479</v>
      </c>
      <c r="Z172" s="72">
        <v>8</v>
      </c>
      <c r="AA172" s="180">
        <f t="shared" si="29"/>
        <v>9861290.011087358</v>
      </c>
      <c r="AB172" s="180">
        <f t="shared" si="23"/>
        <v>554429.2090332309</v>
      </c>
      <c r="AC172" s="180">
        <f t="shared" si="23"/>
        <v>201065.59323462594</v>
      </c>
      <c r="AD172" s="212">
        <f t="shared" si="23"/>
        <v>353363.61579860479</v>
      </c>
    </row>
    <row r="173" spans="1:30" x14ac:dyDescent="0.25">
      <c r="A173" s="72">
        <f t="shared" si="30"/>
        <v>8</v>
      </c>
      <c r="B173" s="183">
        <f t="shared" si="24"/>
        <v>0</v>
      </c>
      <c r="C173" s="184">
        <f>-Parking!$E$89/12</f>
        <v>0</v>
      </c>
      <c r="D173" s="183">
        <f>Parking!$E$87/12*B172</f>
        <v>0</v>
      </c>
      <c r="E173" s="185">
        <f t="shared" si="25"/>
        <v>0</v>
      </c>
      <c r="F173" s="72">
        <f t="shared" si="31"/>
        <v>8</v>
      </c>
      <c r="G173" s="180">
        <f t="shared" si="26"/>
        <v>12295859.348072384</v>
      </c>
      <c r="H173" s="186">
        <f>-Parking!$E$94/12</f>
        <v>46202.434086102563</v>
      </c>
      <c r="I173" s="149">
        <f>Parking!$E$92/12*G172</f>
        <v>20535.87650941512</v>
      </c>
      <c r="J173" s="187">
        <f t="shared" si="27"/>
        <v>25666.557576687443</v>
      </c>
      <c r="K173" s="72">
        <f t="shared" si="32"/>
        <v>8</v>
      </c>
      <c r="L173" s="180">
        <f t="shared" si="28"/>
        <v>12295859.348072384</v>
      </c>
      <c r="M173" s="181">
        <f t="shared" si="28"/>
        <v>46202.434086102563</v>
      </c>
      <c r="N173" s="180">
        <f t="shared" si="28"/>
        <v>20535.87650941512</v>
      </c>
      <c r="O173" s="132">
        <f t="shared" si="28"/>
        <v>25666.557576687443</v>
      </c>
      <c r="P173" s="72">
        <v>9</v>
      </c>
      <c r="Q173" s="149">
        <f>B273</f>
        <v>0</v>
      </c>
      <c r="R173" s="200">
        <f>SUM(C262:C273)</f>
        <v>0</v>
      </c>
      <c r="S173" s="149">
        <f>SUM(D262:D273)</f>
        <v>0</v>
      </c>
      <c r="T173" s="134">
        <f>SUM(E262:E273)</f>
        <v>0</v>
      </c>
      <c r="U173" s="72">
        <v>9</v>
      </c>
      <c r="V173" s="180">
        <f>G273</f>
        <v>9500793.9783825707</v>
      </c>
      <c r="W173" s="181">
        <f>SUM(H262:H273)</f>
        <v>554429.2090332309</v>
      </c>
      <c r="X173" s="180">
        <f>SUM(I262:I273)</f>
        <v>193933.17632844544</v>
      </c>
      <c r="Y173" s="132">
        <f>SUM(J262:J273)</f>
        <v>360496.03270478535</v>
      </c>
      <c r="Z173" s="72">
        <v>9</v>
      </c>
      <c r="AA173" s="180">
        <f t="shared" si="29"/>
        <v>9500793.9783825707</v>
      </c>
      <c r="AB173" s="180">
        <f t="shared" si="23"/>
        <v>554429.2090332309</v>
      </c>
      <c r="AC173" s="180">
        <f t="shared" si="23"/>
        <v>193933.17632844544</v>
      </c>
      <c r="AD173" s="212">
        <f t="shared" si="23"/>
        <v>360496.03270478535</v>
      </c>
    </row>
    <row r="174" spans="1:30" x14ac:dyDescent="0.25">
      <c r="A174" s="72">
        <f t="shared" si="30"/>
        <v>9</v>
      </c>
      <c r="B174" s="183">
        <f t="shared" si="24"/>
        <v>0</v>
      </c>
      <c r="C174" s="184">
        <f>-Parking!$E$89/12</f>
        <v>0</v>
      </c>
      <c r="D174" s="183">
        <f>Parking!$E$87/12*B173</f>
        <v>0</v>
      </c>
      <c r="E174" s="185">
        <f t="shared" si="25"/>
        <v>0</v>
      </c>
      <c r="F174" s="72">
        <f t="shared" si="31"/>
        <v>9</v>
      </c>
      <c r="G174" s="180">
        <f t="shared" si="26"/>
        <v>12270150.012899734</v>
      </c>
      <c r="H174" s="186">
        <f>-Parking!$E$94/12</f>
        <v>46202.434086102563</v>
      </c>
      <c r="I174" s="149">
        <f>Parking!$E$92/12*G173</f>
        <v>20493.098913453974</v>
      </c>
      <c r="J174" s="187">
        <f t="shared" si="27"/>
        <v>25709.335172648589</v>
      </c>
      <c r="K174" s="72">
        <f t="shared" si="32"/>
        <v>9</v>
      </c>
      <c r="L174" s="180">
        <f t="shared" si="28"/>
        <v>12270150.012899734</v>
      </c>
      <c r="M174" s="181">
        <f t="shared" si="28"/>
        <v>46202.434086102563</v>
      </c>
      <c r="N174" s="180">
        <f t="shared" si="28"/>
        <v>20493.098913453974</v>
      </c>
      <c r="O174" s="132">
        <f t="shared" si="28"/>
        <v>25709.335172648589</v>
      </c>
      <c r="P174" s="258">
        <v>10</v>
      </c>
      <c r="Q174" s="161">
        <f>B285</f>
        <v>0</v>
      </c>
      <c r="R174" s="149">
        <f>SUM(C274:C285)</f>
        <v>0</v>
      </c>
      <c r="S174" s="161">
        <f>SUM(D274:D285)</f>
        <v>0</v>
      </c>
      <c r="T174" s="134">
        <f>SUM(E274:E285)</f>
        <v>0</v>
      </c>
      <c r="U174" s="72">
        <v>10</v>
      </c>
      <c r="V174" s="180">
        <f>G285</f>
        <v>9133021.565531902</v>
      </c>
      <c r="W174" s="260">
        <f>SUM(H274:H285)</f>
        <v>554429.2090332309</v>
      </c>
      <c r="X174" s="180">
        <f>SUM(I274:I285)</f>
        <v>186656.7961825619</v>
      </c>
      <c r="Y174" s="132">
        <f>SUM(J274:J285)</f>
        <v>367772.41285066889</v>
      </c>
      <c r="Z174" s="258">
        <v>10</v>
      </c>
      <c r="AA174" s="180">
        <f t="shared" si="29"/>
        <v>9133021.565531902</v>
      </c>
      <c r="AB174" s="180">
        <f t="shared" si="23"/>
        <v>554429.2090332309</v>
      </c>
      <c r="AC174" s="180">
        <f t="shared" si="23"/>
        <v>186656.7961825619</v>
      </c>
      <c r="AD174" s="212">
        <f t="shared" si="23"/>
        <v>367772.41285066889</v>
      </c>
    </row>
    <row r="175" spans="1:30" x14ac:dyDescent="0.25">
      <c r="A175" s="72">
        <f t="shared" si="30"/>
        <v>10</v>
      </c>
      <c r="B175" s="183">
        <f t="shared" si="24"/>
        <v>0</v>
      </c>
      <c r="C175" s="184">
        <f>-Parking!$E$89/12</f>
        <v>0</v>
      </c>
      <c r="D175" s="183">
        <f>Parking!$E$87/12*B174</f>
        <v>0</v>
      </c>
      <c r="E175" s="185">
        <f t="shared" si="25"/>
        <v>0</v>
      </c>
      <c r="F175" s="72">
        <f t="shared" si="31"/>
        <v>10</v>
      </c>
      <c r="G175" s="180">
        <f t="shared" si="26"/>
        <v>12244397.828835132</v>
      </c>
      <c r="H175" s="186">
        <f>-Parking!$E$94/12</f>
        <v>46202.434086102563</v>
      </c>
      <c r="I175" s="149">
        <f>Parking!$E$92/12*G174</f>
        <v>20450.25002149956</v>
      </c>
      <c r="J175" s="187">
        <f t="shared" si="27"/>
        <v>25752.184064603003</v>
      </c>
      <c r="K175" s="72">
        <f t="shared" si="32"/>
        <v>10</v>
      </c>
      <c r="L175" s="180">
        <f t="shared" si="28"/>
        <v>12244397.828835132</v>
      </c>
      <c r="M175" s="181">
        <f t="shared" si="28"/>
        <v>46202.434086102563</v>
      </c>
      <c r="N175" s="180">
        <f t="shared" si="28"/>
        <v>20450.25002149956</v>
      </c>
      <c r="O175" s="132">
        <f t="shared" si="28"/>
        <v>25752.184064603003</v>
      </c>
      <c r="P175" s="258">
        <v>11</v>
      </c>
      <c r="Q175" s="149">
        <f>B297</f>
        <v>0</v>
      </c>
      <c r="R175" s="149">
        <f>SUM(C286:C297)</f>
        <v>0</v>
      </c>
      <c r="S175" s="161">
        <f>SUM(D286:D297)</f>
        <v>0</v>
      </c>
      <c r="T175" s="200">
        <f>SUM(E286:E297)</f>
        <v>0</v>
      </c>
      <c r="U175" s="258">
        <v>11</v>
      </c>
      <c r="V175" s="183">
        <f>G297</f>
        <v>8757825.9034904093</v>
      </c>
      <c r="W175" s="184">
        <f>SUM(H286:H297)</f>
        <v>554429.2090332309</v>
      </c>
      <c r="X175" s="183">
        <f t="shared" ref="X175:Y175" si="33">SUM(I286:I297)</f>
        <v>179233.54699174012</v>
      </c>
      <c r="Y175" s="184">
        <f t="shared" si="33"/>
        <v>375195.66204149066</v>
      </c>
      <c r="Z175" s="72">
        <v>11</v>
      </c>
      <c r="AA175" s="180">
        <f t="shared" si="29"/>
        <v>8757825.9034904093</v>
      </c>
      <c r="AB175" s="180">
        <f t="shared" si="23"/>
        <v>554429.2090332309</v>
      </c>
      <c r="AC175" s="180">
        <f t="shared" si="23"/>
        <v>179233.54699174012</v>
      </c>
      <c r="AD175" s="212">
        <f t="shared" si="23"/>
        <v>375195.66204149066</v>
      </c>
    </row>
    <row r="176" spans="1:30" x14ac:dyDescent="0.25">
      <c r="A176" s="72">
        <f t="shared" si="30"/>
        <v>11</v>
      </c>
      <c r="B176" s="183">
        <f t="shared" si="24"/>
        <v>0</v>
      </c>
      <c r="C176" s="184">
        <f>-Parking!$E$89/12</f>
        <v>0</v>
      </c>
      <c r="D176" s="183">
        <f>Parking!$E$87/12*B175</f>
        <v>0</v>
      </c>
      <c r="E176" s="185">
        <f t="shared" si="25"/>
        <v>0</v>
      </c>
      <c r="F176" s="72">
        <f t="shared" si="31"/>
        <v>11</v>
      </c>
      <c r="G176" s="180">
        <f t="shared" si="26"/>
        <v>12218602.724463753</v>
      </c>
      <c r="H176" s="186">
        <f>-Parking!$E$94/12</f>
        <v>46202.434086102563</v>
      </c>
      <c r="I176" s="149">
        <f>Parking!$E$92/12*G175</f>
        <v>20407.32971472522</v>
      </c>
      <c r="J176" s="187">
        <f t="shared" si="27"/>
        <v>25795.104371377343</v>
      </c>
      <c r="K176" s="72">
        <f t="shared" si="32"/>
        <v>11</v>
      </c>
      <c r="L176" s="180">
        <f t="shared" si="28"/>
        <v>12218602.724463753</v>
      </c>
      <c r="M176" s="181">
        <f t="shared" si="28"/>
        <v>46202.434086102563</v>
      </c>
      <c r="N176" s="180">
        <f t="shared" si="28"/>
        <v>20407.32971472522</v>
      </c>
      <c r="O176" s="132">
        <f t="shared" si="28"/>
        <v>25795.104371377343</v>
      </c>
      <c r="P176" s="258">
        <v>12</v>
      </c>
      <c r="Q176" s="149">
        <f>B309</f>
        <v>0</v>
      </c>
      <c r="R176" s="149">
        <f>SUM(C298:C309)</f>
        <v>0</v>
      </c>
      <c r="S176" s="161">
        <f t="shared" ref="S176:T176" si="34">SUM(D298:D309)</f>
        <v>0</v>
      </c>
      <c r="T176" s="200">
        <f t="shared" si="34"/>
        <v>0</v>
      </c>
      <c r="U176" s="258">
        <v>12</v>
      </c>
      <c r="V176" s="183">
        <f>G309</f>
        <v>8375057.1587561164</v>
      </c>
      <c r="W176" s="184">
        <f>SUM(H298:H309)</f>
        <v>554429.2090332309</v>
      </c>
      <c r="X176" s="183">
        <f t="shared" ref="X176:Y176" si="35">SUM(I298:I309)</f>
        <v>171660.46429893823</v>
      </c>
      <c r="Y176" s="184">
        <f t="shared" si="35"/>
        <v>382768.7447342925</v>
      </c>
      <c r="Z176" s="72">
        <v>12</v>
      </c>
      <c r="AA176" s="180">
        <f t="shared" si="29"/>
        <v>8375057.1587561164</v>
      </c>
      <c r="AB176" s="180">
        <f t="shared" si="23"/>
        <v>554429.2090332309</v>
      </c>
      <c r="AC176" s="180">
        <f t="shared" si="23"/>
        <v>171660.46429893823</v>
      </c>
      <c r="AD176" s="212">
        <f t="shared" si="23"/>
        <v>382768.7447342925</v>
      </c>
    </row>
    <row r="177" spans="1:30" x14ac:dyDescent="0.25">
      <c r="A177" s="72">
        <f t="shared" si="30"/>
        <v>12</v>
      </c>
      <c r="B177" s="183">
        <f t="shared" si="24"/>
        <v>0</v>
      </c>
      <c r="C177" s="184">
        <f>-Parking!$E$89/12</f>
        <v>0</v>
      </c>
      <c r="D177" s="183">
        <f>Parking!$E$87/12*B176</f>
        <v>0</v>
      </c>
      <c r="E177" s="185">
        <f t="shared" si="25"/>
        <v>0</v>
      </c>
      <c r="F177" s="72">
        <f t="shared" si="31"/>
        <v>12</v>
      </c>
      <c r="G177" s="180">
        <f t="shared" si="26"/>
        <v>12192764.628251757</v>
      </c>
      <c r="H177" s="186">
        <f>-Parking!$E$94/12</f>
        <v>46202.434086102563</v>
      </c>
      <c r="I177" s="149">
        <f>Parking!$E$92/12*G176</f>
        <v>20364.337874106255</v>
      </c>
      <c r="J177" s="187">
        <f t="shared" si="27"/>
        <v>25838.096211996308</v>
      </c>
      <c r="K177" s="72">
        <f t="shared" si="32"/>
        <v>12</v>
      </c>
      <c r="L177" s="180">
        <f t="shared" si="28"/>
        <v>12192764.628251757</v>
      </c>
      <c r="M177" s="181">
        <f t="shared" si="28"/>
        <v>46202.434086102563</v>
      </c>
      <c r="N177" s="180">
        <f t="shared" si="28"/>
        <v>20364.337874106255</v>
      </c>
      <c r="O177" s="132">
        <f t="shared" si="28"/>
        <v>25838.096211996308</v>
      </c>
      <c r="P177" s="258">
        <v>13</v>
      </c>
      <c r="Q177" s="149">
        <f>B321</f>
        <v>0</v>
      </c>
      <c r="R177" s="149">
        <f>SUM(C310:C321)</f>
        <v>0</v>
      </c>
      <c r="S177" s="161">
        <f t="shared" ref="S177:T177" si="36">SUM(D310:D321)</f>
        <v>0</v>
      </c>
      <c r="T177" s="200">
        <f t="shared" si="36"/>
        <v>0</v>
      </c>
      <c r="U177" s="258">
        <v>13</v>
      </c>
      <c r="V177" s="183">
        <f>G321</f>
        <v>7984562.4735343447</v>
      </c>
      <c r="W177" s="184">
        <f>SUM(H310:H321)</f>
        <v>554429.2090332309</v>
      </c>
      <c r="X177" s="183">
        <f t="shared" ref="X177:Y177" si="37">SUM(I310:I321)</f>
        <v>163934.52381145948</v>
      </c>
      <c r="Y177" s="184">
        <f t="shared" si="37"/>
        <v>390494.6852217713</v>
      </c>
      <c r="Z177" s="72">
        <v>13</v>
      </c>
      <c r="AA177" s="180">
        <f t="shared" si="29"/>
        <v>7984562.4735343447</v>
      </c>
      <c r="AB177" s="180">
        <f t="shared" si="23"/>
        <v>554429.2090332309</v>
      </c>
      <c r="AC177" s="180">
        <f t="shared" si="23"/>
        <v>163934.52381145948</v>
      </c>
      <c r="AD177" s="212">
        <f t="shared" si="23"/>
        <v>390494.6852217713</v>
      </c>
    </row>
    <row r="178" spans="1:30" x14ac:dyDescent="0.25">
      <c r="A178" s="72">
        <f t="shared" si="30"/>
        <v>13</v>
      </c>
      <c r="B178" s="183">
        <f t="shared" si="24"/>
        <v>0</v>
      </c>
      <c r="C178" s="184">
        <f>-Parking!$E$89/12</f>
        <v>0</v>
      </c>
      <c r="D178" s="183">
        <f>Parking!$E$87/12*B177</f>
        <v>0</v>
      </c>
      <c r="E178" s="185">
        <f t="shared" si="25"/>
        <v>0</v>
      </c>
      <c r="F178" s="72">
        <f t="shared" si="31"/>
        <v>13</v>
      </c>
      <c r="G178" s="180">
        <f t="shared" si="26"/>
        <v>12166883.468546074</v>
      </c>
      <c r="H178" s="186">
        <f>-Parking!$E$94/12</f>
        <v>46202.434086102563</v>
      </c>
      <c r="I178" s="149">
        <f>Parking!$E$92/12*G177</f>
        <v>20321.274380419596</v>
      </c>
      <c r="J178" s="187">
        <f t="shared" si="27"/>
        <v>25881.159705682967</v>
      </c>
      <c r="K178" s="72">
        <f t="shared" si="32"/>
        <v>13</v>
      </c>
      <c r="L178" s="180">
        <f t="shared" si="28"/>
        <v>12166883.468546074</v>
      </c>
      <c r="M178" s="181">
        <f t="shared" si="28"/>
        <v>46202.434086102563</v>
      </c>
      <c r="N178" s="180">
        <f t="shared" si="28"/>
        <v>20321.274380419596</v>
      </c>
      <c r="O178" s="132">
        <f t="shared" si="28"/>
        <v>25881.159705682967</v>
      </c>
      <c r="P178" s="258">
        <v>14</v>
      </c>
      <c r="Q178" s="149">
        <f>B333</f>
        <v>0</v>
      </c>
      <c r="R178" s="149">
        <f>SUM(C322:C333)</f>
        <v>0</v>
      </c>
      <c r="S178" s="161">
        <f t="shared" ref="S178:T178" si="38">SUM(D322:D333)</f>
        <v>0</v>
      </c>
      <c r="T178" s="200">
        <f t="shared" si="38"/>
        <v>0</v>
      </c>
      <c r="U178" s="258">
        <v>14</v>
      </c>
      <c r="V178" s="183">
        <f>G333</f>
        <v>7586185.9046943206</v>
      </c>
      <c r="W178" s="184">
        <f>SUM(H322:H333)</f>
        <v>554429.2090332309</v>
      </c>
      <c r="X178" s="183">
        <f t="shared" ref="X178:Y178" si="39">SUM(I322:I333)</f>
        <v>156052.64019320733</v>
      </c>
      <c r="Y178" s="184">
        <f t="shared" si="39"/>
        <v>398376.56884002342</v>
      </c>
      <c r="Z178" s="72">
        <v>14</v>
      </c>
      <c r="AA178" s="180">
        <f t="shared" si="29"/>
        <v>7586185.9046943206</v>
      </c>
      <c r="AB178" s="180">
        <f t="shared" si="23"/>
        <v>554429.2090332309</v>
      </c>
      <c r="AC178" s="180">
        <f t="shared" si="23"/>
        <v>156052.64019320733</v>
      </c>
      <c r="AD178" s="212">
        <f t="shared" si="23"/>
        <v>398376.56884002342</v>
      </c>
    </row>
    <row r="179" spans="1:30" x14ac:dyDescent="0.25">
      <c r="A179" s="72">
        <f t="shared" si="30"/>
        <v>14</v>
      </c>
      <c r="B179" s="183">
        <f t="shared" si="24"/>
        <v>0</v>
      </c>
      <c r="C179" s="184">
        <f>-Parking!$E$89/12</f>
        <v>0</v>
      </c>
      <c r="D179" s="183">
        <f>Parking!$E$87/12*B178</f>
        <v>0</v>
      </c>
      <c r="E179" s="185">
        <f t="shared" si="25"/>
        <v>0</v>
      </c>
      <c r="F179" s="72">
        <f t="shared" si="31"/>
        <v>14</v>
      </c>
      <c r="G179" s="180">
        <f t="shared" si="26"/>
        <v>12140959.173574215</v>
      </c>
      <c r="H179" s="186">
        <f>-Parking!$E$94/12</f>
        <v>46202.434086102563</v>
      </c>
      <c r="I179" s="149">
        <f>Parking!$E$92/12*G178</f>
        <v>20278.139114243459</v>
      </c>
      <c r="J179" s="187">
        <f t="shared" si="27"/>
        <v>25924.294971859104</v>
      </c>
      <c r="K179" s="72">
        <f t="shared" si="32"/>
        <v>14</v>
      </c>
      <c r="L179" s="180">
        <f t="shared" si="28"/>
        <v>12140959.173574215</v>
      </c>
      <c r="M179" s="181">
        <f t="shared" si="28"/>
        <v>46202.434086102563</v>
      </c>
      <c r="N179" s="180">
        <f t="shared" si="28"/>
        <v>20278.139114243459</v>
      </c>
      <c r="O179" s="132">
        <f t="shared" si="28"/>
        <v>25924.294971859104</v>
      </c>
      <c r="P179" s="258">
        <v>15</v>
      </c>
      <c r="Q179" s="149">
        <f>B345</f>
        <v>0</v>
      </c>
      <c r="R179" s="149">
        <f>SUM(C334:C345)</f>
        <v>0</v>
      </c>
      <c r="S179" s="161">
        <f t="shared" ref="S179:T179" si="40">SUM(D334:D345)</f>
        <v>0</v>
      </c>
      <c r="T179" s="200">
        <f t="shared" si="40"/>
        <v>0</v>
      </c>
      <c r="U179" s="258">
        <v>15</v>
      </c>
      <c r="V179" s="183">
        <f>G345</f>
        <v>7179768.3614936545</v>
      </c>
      <c r="W179" s="184">
        <f>SUM(H334:H345)</f>
        <v>554429.2090332309</v>
      </c>
      <c r="X179" s="183">
        <f t="shared" ref="X179:Y179" si="41">SUM(I334:I345)</f>
        <v>148011.66583256423</v>
      </c>
      <c r="Y179" s="184">
        <f t="shared" si="41"/>
        <v>406417.54320066655</v>
      </c>
      <c r="Z179" s="72">
        <v>15</v>
      </c>
      <c r="AA179" s="180">
        <f t="shared" si="29"/>
        <v>7179768.3614936545</v>
      </c>
      <c r="AB179" s="180">
        <f t="shared" si="23"/>
        <v>554429.2090332309</v>
      </c>
      <c r="AC179" s="180">
        <f t="shared" si="23"/>
        <v>148011.66583256423</v>
      </c>
      <c r="AD179" s="212">
        <f t="shared" si="23"/>
        <v>406417.54320066655</v>
      </c>
    </row>
    <row r="180" spans="1:30" x14ac:dyDescent="0.25">
      <c r="A180" s="72">
        <f t="shared" si="30"/>
        <v>15</v>
      </c>
      <c r="B180" s="183">
        <f t="shared" si="24"/>
        <v>0</v>
      </c>
      <c r="C180" s="184">
        <f>-Parking!$E$89/12</f>
        <v>0</v>
      </c>
      <c r="D180" s="183">
        <f>Parking!$E$87/12*B179</f>
        <v>0</v>
      </c>
      <c r="E180" s="185">
        <f t="shared" si="25"/>
        <v>0</v>
      </c>
      <c r="F180" s="72">
        <f t="shared" si="31"/>
        <v>15</v>
      </c>
      <c r="G180" s="180">
        <f t="shared" si="26"/>
        <v>12114991.67144407</v>
      </c>
      <c r="H180" s="186">
        <f>-Parking!$E$94/12</f>
        <v>46202.434086102563</v>
      </c>
      <c r="I180" s="149">
        <f>Parking!$E$92/12*G179</f>
        <v>20234.931955957025</v>
      </c>
      <c r="J180" s="187">
        <f t="shared" si="27"/>
        <v>25967.502130145538</v>
      </c>
      <c r="K180" s="72">
        <f t="shared" si="32"/>
        <v>15</v>
      </c>
      <c r="L180" s="180">
        <f t="shared" si="28"/>
        <v>12114991.67144407</v>
      </c>
      <c r="M180" s="181">
        <f t="shared" si="28"/>
        <v>46202.434086102563</v>
      </c>
      <c r="N180" s="180">
        <f t="shared" si="28"/>
        <v>20234.931955957025</v>
      </c>
      <c r="O180" s="132">
        <f t="shared" si="28"/>
        <v>25967.502130145538</v>
      </c>
      <c r="P180" s="258">
        <v>16</v>
      </c>
      <c r="Q180" s="149">
        <f>B357</f>
        <v>0</v>
      </c>
      <c r="R180" s="149">
        <f>SUM(C346:C357)</f>
        <v>0</v>
      </c>
      <c r="S180" s="161">
        <f t="shared" ref="S180:T180" si="42">SUM(D346:D357)</f>
        <v>0</v>
      </c>
      <c r="T180" s="200">
        <f t="shared" si="42"/>
        <v>0</v>
      </c>
      <c r="U180" s="258">
        <v>16</v>
      </c>
      <c r="V180" s="183">
        <f>G357</f>
        <v>6765147.5420458242</v>
      </c>
      <c r="W180" s="184">
        <f>SUM(H346:H357)</f>
        <v>554429.2090332309</v>
      </c>
      <c r="X180" s="183">
        <f t="shared" ref="X180:Y180" si="43">SUM(I346:I357)</f>
        <v>139808.38958540006</v>
      </c>
      <c r="Y180" s="184">
        <f t="shared" si="43"/>
        <v>414620.81944783079</v>
      </c>
      <c r="Z180" s="72">
        <v>16</v>
      </c>
      <c r="AA180" s="180">
        <f t="shared" si="29"/>
        <v>6765147.5420458242</v>
      </c>
      <c r="AB180" s="180">
        <f t="shared" si="23"/>
        <v>554429.2090332309</v>
      </c>
      <c r="AC180" s="180">
        <f t="shared" si="23"/>
        <v>139808.38958540006</v>
      </c>
      <c r="AD180" s="212">
        <f t="shared" si="23"/>
        <v>414620.81944783079</v>
      </c>
    </row>
    <row r="181" spans="1:30" x14ac:dyDescent="0.25">
      <c r="A181" s="72">
        <f t="shared" si="30"/>
        <v>16</v>
      </c>
      <c r="B181" s="183">
        <f t="shared" si="24"/>
        <v>0</v>
      </c>
      <c r="C181" s="184">
        <f>-Parking!$E$89/12</f>
        <v>0</v>
      </c>
      <c r="D181" s="183">
        <f>Parking!$E$87/12*B180</f>
        <v>0</v>
      </c>
      <c r="E181" s="185">
        <f t="shared" si="25"/>
        <v>0</v>
      </c>
      <c r="F181" s="72">
        <f t="shared" si="31"/>
        <v>16</v>
      </c>
      <c r="G181" s="180">
        <f t="shared" si="26"/>
        <v>12088980.890143707</v>
      </c>
      <c r="H181" s="186">
        <f>-Parking!$E$94/12</f>
        <v>46202.434086102563</v>
      </c>
      <c r="I181" s="149">
        <f>Parking!$E$92/12*G180</f>
        <v>20191.652785740116</v>
      </c>
      <c r="J181" s="187">
        <f t="shared" si="27"/>
        <v>26010.781300362447</v>
      </c>
      <c r="K181" s="72">
        <f t="shared" si="32"/>
        <v>16</v>
      </c>
      <c r="L181" s="180">
        <f t="shared" si="28"/>
        <v>12088980.890143707</v>
      </c>
      <c r="M181" s="181">
        <f t="shared" si="28"/>
        <v>46202.434086102563</v>
      </c>
      <c r="N181" s="180">
        <f t="shared" si="28"/>
        <v>20191.652785740116</v>
      </c>
      <c r="O181" s="132">
        <f t="shared" si="28"/>
        <v>26010.781300362447</v>
      </c>
      <c r="P181" s="258">
        <v>17</v>
      </c>
      <c r="Q181" s="149">
        <f>B369</f>
        <v>0</v>
      </c>
      <c r="R181" s="149">
        <f>SUM(C358:C369)</f>
        <v>0</v>
      </c>
      <c r="S181" s="161">
        <f t="shared" ref="S181:T181" si="44">SUM(D358:D369)</f>
        <v>0</v>
      </c>
      <c r="T181" s="200">
        <f t="shared" si="44"/>
        <v>0</v>
      </c>
      <c r="U181" s="258">
        <v>17</v>
      </c>
      <c r="V181" s="183">
        <f>G369</f>
        <v>6342157.8685053019</v>
      </c>
      <c r="W181" s="184">
        <f>SUM(H358:H369)</f>
        <v>554429.2090332309</v>
      </c>
      <c r="X181" s="183">
        <f t="shared" ref="X181:Y181" si="45">SUM(I358:I369)</f>
        <v>131439.53549270949</v>
      </c>
      <c r="Y181" s="184">
        <f t="shared" si="45"/>
        <v>422989.67354052124</v>
      </c>
      <c r="Z181" s="72">
        <v>17</v>
      </c>
      <c r="AA181" s="180">
        <f t="shared" si="29"/>
        <v>6342157.8685053019</v>
      </c>
      <c r="AB181" s="180">
        <f t="shared" si="29"/>
        <v>554429.2090332309</v>
      </c>
      <c r="AC181" s="180">
        <f t="shared" si="29"/>
        <v>131439.53549270949</v>
      </c>
      <c r="AD181" s="212">
        <f t="shared" si="29"/>
        <v>422989.67354052124</v>
      </c>
    </row>
    <row r="182" spans="1:30" x14ac:dyDescent="0.25">
      <c r="A182" s="72">
        <f t="shared" si="30"/>
        <v>17</v>
      </c>
      <c r="B182" s="183">
        <f t="shared" si="24"/>
        <v>0</v>
      </c>
      <c r="C182" s="184">
        <f>-Parking!$E$89/12</f>
        <v>0</v>
      </c>
      <c r="D182" s="183">
        <f>Parking!$E$87/12*B181</f>
        <v>0</v>
      </c>
      <c r="E182" s="185">
        <f t="shared" si="25"/>
        <v>0</v>
      </c>
      <c r="F182" s="72">
        <f t="shared" si="31"/>
        <v>17</v>
      </c>
      <c r="G182" s="180">
        <f t="shared" si="26"/>
        <v>12062926.757541178</v>
      </c>
      <c r="H182" s="186">
        <f>-Parking!$E$94/12</f>
        <v>46202.434086102563</v>
      </c>
      <c r="I182" s="149">
        <f>Parking!$E$92/12*G181</f>
        <v>20148.301483572846</v>
      </c>
      <c r="J182" s="187">
        <f t="shared" si="27"/>
        <v>26054.132602529717</v>
      </c>
      <c r="K182" s="72">
        <f t="shared" si="32"/>
        <v>17</v>
      </c>
      <c r="L182" s="180">
        <f t="shared" si="28"/>
        <v>12062926.757541178</v>
      </c>
      <c r="M182" s="181">
        <f t="shared" si="28"/>
        <v>46202.434086102563</v>
      </c>
      <c r="N182" s="180">
        <f t="shared" si="28"/>
        <v>20148.301483572846</v>
      </c>
      <c r="O182" s="132">
        <f t="shared" si="28"/>
        <v>26054.132602529717</v>
      </c>
      <c r="P182" s="258">
        <v>18</v>
      </c>
      <c r="Q182" s="149">
        <f>B381</f>
        <v>0</v>
      </c>
      <c r="R182" s="149">
        <f>SUM(C370:C381)</f>
        <v>0</v>
      </c>
      <c r="S182" s="161">
        <f t="shared" ref="S182:T182" si="46">SUM(D370:D381)</f>
        <v>0</v>
      </c>
      <c r="T182" s="200">
        <f t="shared" si="46"/>
        <v>0</v>
      </c>
      <c r="U182" s="258">
        <v>18</v>
      </c>
      <c r="V182" s="183">
        <f>G381</f>
        <v>5910630.4209444355</v>
      </c>
      <c r="W182" s="184">
        <f>SUM(H370:H381)</f>
        <v>554429.2090332309</v>
      </c>
      <c r="X182" s="183">
        <f t="shared" ref="X182:Y182" si="47">SUM(I370:I381)</f>
        <v>122901.76147236546</v>
      </c>
      <c r="Y182" s="184">
        <f t="shared" si="47"/>
        <v>431527.44756086526</v>
      </c>
      <c r="Z182" s="72">
        <v>18</v>
      </c>
      <c r="AA182" s="180">
        <f t="shared" ref="AA182:AD194" si="48">Q182+V182</f>
        <v>5910630.4209444355</v>
      </c>
      <c r="AB182" s="180">
        <f t="shared" si="48"/>
        <v>554429.2090332309</v>
      </c>
      <c r="AC182" s="180">
        <f t="shared" si="48"/>
        <v>122901.76147236546</v>
      </c>
      <c r="AD182" s="212">
        <f t="shared" si="48"/>
        <v>431527.44756086526</v>
      </c>
    </row>
    <row r="183" spans="1:30" x14ac:dyDescent="0.25">
      <c r="A183" s="72">
        <f t="shared" si="30"/>
        <v>18</v>
      </c>
      <c r="B183" s="183">
        <f t="shared" si="24"/>
        <v>0</v>
      </c>
      <c r="C183" s="184">
        <f>-Parking!$E$89/12</f>
        <v>0</v>
      </c>
      <c r="D183" s="183">
        <f>Parking!$E$87/12*B182</f>
        <v>0</v>
      </c>
      <c r="E183" s="185">
        <f t="shared" si="25"/>
        <v>0</v>
      </c>
      <c r="F183" s="72">
        <f t="shared" si="31"/>
        <v>18</v>
      </c>
      <c r="G183" s="180">
        <f t="shared" si="26"/>
        <v>12036829.20138431</v>
      </c>
      <c r="H183" s="186">
        <f>-Parking!$E$94/12</f>
        <v>46202.434086102563</v>
      </c>
      <c r="I183" s="149">
        <f>Parking!$E$92/12*G182</f>
        <v>20104.877929235299</v>
      </c>
      <c r="J183" s="187">
        <f t="shared" si="27"/>
        <v>26097.556156867264</v>
      </c>
      <c r="K183" s="72">
        <f t="shared" si="32"/>
        <v>18</v>
      </c>
      <c r="L183" s="180">
        <f t="shared" si="28"/>
        <v>12036829.20138431</v>
      </c>
      <c r="M183" s="181">
        <f t="shared" si="28"/>
        <v>46202.434086102563</v>
      </c>
      <c r="N183" s="180">
        <f t="shared" si="28"/>
        <v>20104.877929235299</v>
      </c>
      <c r="O183" s="132">
        <f t="shared" si="28"/>
        <v>26097.556156867264</v>
      </c>
      <c r="P183" s="258">
        <v>19</v>
      </c>
      <c r="Q183" s="149">
        <f>B393</f>
        <v>0</v>
      </c>
      <c r="R183" s="149">
        <f>SUM(C382:C393)</f>
        <v>0</v>
      </c>
      <c r="S183" s="161">
        <f t="shared" ref="S183:T183" si="49">SUM(D382:D393)</f>
        <v>0</v>
      </c>
      <c r="T183" s="200">
        <f t="shared" si="49"/>
        <v>0</v>
      </c>
      <c r="U183" s="258">
        <v>19</v>
      </c>
      <c r="V183" s="183">
        <f>G393</f>
        <v>5470392.8698956734</v>
      </c>
      <c r="W183" s="184">
        <f>SUM(H382:H393)</f>
        <v>554429.2090332309</v>
      </c>
      <c r="X183" s="183">
        <f t="shared" ref="X183:Y183" si="50">SUM(I382:I393)</f>
        <v>114191.65798446654</v>
      </c>
      <c r="Y183" s="184">
        <f t="shared" si="50"/>
        <v>440237.55104876414</v>
      </c>
      <c r="Z183" s="72">
        <v>19</v>
      </c>
      <c r="AA183" s="180">
        <f t="shared" si="48"/>
        <v>5470392.8698956734</v>
      </c>
      <c r="AB183" s="180">
        <f t="shared" si="48"/>
        <v>554429.2090332309</v>
      </c>
      <c r="AC183" s="180">
        <f t="shared" si="48"/>
        <v>114191.65798446654</v>
      </c>
      <c r="AD183" s="212">
        <f t="shared" si="48"/>
        <v>440237.55104876414</v>
      </c>
    </row>
    <row r="184" spans="1:30" x14ac:dyDescent="0.25">
      <c r="A184" s="72">
        <f t="shared" si="30"/>
        <v>19</v>
      </c>
      <c r="B184" s="183">
        <f t="shared" si="24"/>
        <v>0</v>
      </c>
      <c r="C184" s="184">
        <f>-Parking!$E$89/12</f>
        <v>0</v>
      </c>
      <c r="D184" s="183">
        <f>Parking!$E$87/12*B183</f>
        <v>0</v>
      </c>
      <c r="E184" s="185">
        <f t="shared" si="25"/>
        <v>0</v>
      </c>
      <c r="F184" s="72">
        <f t="shared" si="31"/>
        <v>19</v>
      </c>
      <c r="G184" s="180">
        <f t="shared" si="26"/>
        <v>12010688.149300514</v>
      </c>
      <c r="H184" s="186">
        <f>-Parking!$E$94/12</f>
        <v>46202.434086102563</v>
      </c>
      <c r="I184" s="149">
        <f>Parking!$E$92/12*G183</f>
        <v>20061.382002307186</v>
      </c>
      <c r="J184" s="187">
        <f t="shared" si="27"/>
        <v>26141.052083795377</v>
      </c>
      <c r="K184" s="72">
        <f t="shared" si="32"/>
        <v>19</v>
      </c>
      <c r="L184" s="180">
        <f t="shared" si="28"/>
        <v>12010688.149300514</v>
      </c>
      <c r="M184" s="181">
        <f t="shared" si="28"/>
        <v>46202.434086102563</v>
      </c>
      <c r="N184" s="180">
        <f t="shared" si="28"/>
        <v>20061.382002307186</v>
      </c>
      <c r="O184" s="132">
        <f t="shared" si="28"/>
        <v>26141.052083795377</v>
      </c>
      <c r="P184" s="258">
        <v>20</v>
      </c>
      <c r="Q184" s="149">
        <f>B405</f>
        <v>0</v>
      </c>
      <c r="R184" s="149">
        <f>SUM(C394:C405)</f>
        <v>0</v>
      </c>
      <c r="S184" s="161">
        <f t="shared" ref="S184:T184" si="51">SUM(D394:D405)</f>
        <v>0</v>
      </c>
      <c r="T184" s="200">
        <f t="shared" si="51"/>
        <v>0</v>
      </c>
      <c r="U184" s="258">
        <v>20</v>
      </c>
      <c r="V184" s="183">
        <f>G405</f>
        <v>5021269.4075321881</v>
      </c>
      <c r="W184" s="184">
        <f>SUM(H394:H405)</f>
        <v>554429.2090332309</v>
      </c>
      <c r="X184" s="183">
        <f t="shared" ref="X184:Y184" si="52">SUM(I394:I405)</f>
        <v>105305.74666974522</v>
      </c>
      <c r="Y184" s="184">
        <f t="shared" si="52"/>
        <v>449123.46236348554</v>
      </c>
      <c r="Z184" s="258">
        <v>20</v>
      </c>
      <c r="AA184" s="180">
        <f t="shared" si="48"/>
        <v>5021269.4075321881</v>
      </c>
      <c r="AB184" s="180">
        <f t="shared" si="48"/>
        <v>554429.2090332309</v>
      </c>
      <c r="AC184" s="180">
        <f t="shared" si="48"/>
        <v>105305.74666974522</v>
      </c>
      <c r="AD184" s="212">
        <f t="shared" si="48"/>
        <v>449123.46236348554</v>
      </c>
    </row>
    <row r="185" spans="1:30" x14ac:dyDescent="0.25">
      <c r="A185" s="72">
        <f t="shared" si="30"/>
        <v>20</v>
      </c>
      <c r="B185" s="183">
        <f t="shared" si="24"/>
        <v>0</v>
      </c>
      <c r="C185" s="184">
        <f>-Parking!$E$89/12</f>
        <v>0</v>
      </c>
      <c r="D185" s="183">
        <f>Parking!$E$87/12*B184</f>
        <v>0</v>
      </c>
      <c r="E185" s="185">
        <f t="shared" si="25"/>
        <v>0</v>
      </c>
      <c r="F185" s="72">
        <f t="shared" si="31"/>
        <v>20</v>
      </c>
      <c r="G185" s="180">
        <f t="shared" si="26"/>
        <v>11984503.528796578</v>
      </c>
      <c r="H185" s="186">
        <f>-Parking!$E$94/12</f>
        <v>46202.434086102563</v>
      </c>
      <c r="I185" s="149">
        <f>Parking!$E$92/12*G184</f>
        <v>20017.813582167524</v>
      </c>
      <c r="J185" s="187">
        <f t="shared" si="27"/>
        <v>26184.620503935039</v>
      </c>
      <c r="K185" s="72">
        <f t="shared" si="32"/>
        <v>20</v>
      </c>
      <c r="L185" s="180">
        <f t="shared" si="28"/>
        <v>11984503.528796578</v>
      </c>
      <c r="M185" s="181">
        <f t="shared" si="28"/>
        <v>46202.434086102563</v>
      </c>
      <c r="N185" s="180">
        <f t="shared" si="28"/>
        <v>20017.813582167524</v>
      </c>
      <c r="O185" s="132">
        <f t="shared" si="28"/>
        <v>26184.620503935039</v>
      </c>
      <c r="P185" s="258">
        <v>21</v>
      </c>
      <c r="Q185" s="149">
        <f>B417</f>
        <v>0</v>
      </c>
      <c r="R185" s="149">
        <f>SUM(C406:C417)</f>
        <v>0</v>
      </c>
      <c r="S185" s="161">
        <f t="shared" ref="S185:T185" si="53">SUM(D406:D417)</f>
        <v>0</v>
      </c>
      <c r="T185" s="200">
        <f t="shared" si="53"/>
        <v>0</v>
      </c>
      <c r="U185" s="258">
        <v>21</v>
      </c>
      <c r="V185" s="183">
        <f>G417</f>
        <v>4563080.6774594514</v>
      </c>
      <c r="W185" s="184">
        <f>SUM(H406:H417)</f>
        <v>554429.2090332309</v>
      </c>
      <c r="X185" s="183">
        <f t="shared" ref="X185:Y185" si="54">SUM(I406:I417)</f>
        <v>96240.478960493274</v>
      </c>
      <c r="Y185" s="184">
        <f t="shared" si="54"/>
        <v>458188.73007273744</v>
      </c>
      <c r="Z185" s="72">
        <v>21</v>
      </c>
      <c r="AA185" s="180">
        <f t="shared" si="48"/>
        <v>4563080.6774594514</v>
      </c>
      <c r="AB185" s="180">
        <f t="shared" si="48"/>
        <v>554429.2090332309</v>
      </c>
      <c r="AC185" s="180">
        <f t="shared" si="48"/>
        <v>96240.478960493274</v>
      </c>
      <c r="AD185" s="212">
        <f t="shared" si="48"/>
        <v>458188.73007273744</v>
      </c>
    </row>
    <row r="186" spans="1:30" x14ac:dyDescent="0.25">
      <c r="A186" s="72">
        <f t="shared" si="30"/>
        <v>21</v>
      </c>
      <c r="B186" s="183">
        <f t="shared" si="24"/>
        <v>0</v>
      </c>
      <c r="C186" s="184">
        <f>-Parking!$E$89/12</f>
        <v>0</v>
      </c>
      <c r="D186" s="183">
        <f>Parking!$E$87/12*B185</f>
        <v>0</v>
      </c>
      <c r="E186" s="185">
        <f t="shared" si="25"/>
        <v>0</v>
      </c>
      <c r="F186" s="72">
        <f t="shared" si="31"/>
        <v>21</v>
      </c>
      <c r="G186" s="180">
        <f t="shared" si="26"/>
        <v>11958275.267258469</v>
      </c>
      <c r="H186" s="186">
        <f>-Parking!$E$94/12</f>
        <v>46202.434086102563</v>
      </c>
      <c r="I186" s="149">
        <f>Parking!$E$92/12*G185</f>
        <v>19974.172547994298</v>
      </c>
      <c r="J186" s="187">
        <f t="shared" si="27"/>
        <v>26228.261538108265</v>
      </c>
      <c r="K186" s="72">
        <f t="shared" si="32"/>
        <v>21</v>
      </c>
      <c r="L186" s="180">
        <f t="shared" si="28"/>
        <v>11958275.267258469</v>
      </c>
      <c r="M186" s="181">
        <f t="shared" si="28"/>
        <v>46202.434086102563</v>
      </c>
      <c r="N186" s="180">
        <f t="shared" si="28"/>
        <v>19974.172547994298</v>
      </c>
      <c r="O186" s="132">
        <f t="shared" si="28"/>
        <v>26228.261538108265</v>
      </c>
      <c r="P186" s="258">
        <v>22</v>
      </c>
      <c r="Q186" s="149">
        <f>B429</f>
        <v>0</v>
      </c>
      <c r="R186" s="149">
        <f>SUM(C418:C429)</f>
        <v>0</v>
      </c>
      <c r="S186" s="161">
        <f t="shared" ref="S186:T186" si="55">SUM(D418:D429)</f>
        <v>0</v>
      </c>
      <c r="T186" s="200">
        <f t="shared" si="55"/>
        <v>0</v>
      </c>
      <c r="U186" s="258">
        <v>22</v>
      </c>
      <c r="V186" s="183">
        <f>G429</f>
        <v>4095643.7030896698</v>
      </c>
      <c r="W186" s="184">
        <f>SUM(H418:H429)</f>
        <v>554429.2090332309</v>
      </c>
      <c r="X186" s="183">
        <f t="shared" ref="X186:Y186" si="56">SUM(I418:I429)</f>
        <v>86992.234663449752</v>
      </c>
      <c r="Y186" s="184">
        <f t="shared" si="56"/>
        <v>467436.97436978103</v>
      </c>
      <c r="Z186" s="72">
        <v>22</v>
      </c>
      <c r="AA186" s="180">
        <f t="shared" si="48"/>
        <v>4095643.7030896698</v>
      </c>
      <c r="AB186" s="180">
        <f t="shared" si="48"/>
        <v>554429.2090332309</v>
      </c>
      <c r="AC186" s="180">
        <f t="shared" si="48"/>
        <v>86992.234663449752</v>
      </c>
      <c r="AD186" s="212">
        <f t="shared" si="48"/>
        <v>467436.97436978103</v>
      </c>
    </row>
    <row r="187" spans="1:30" x14ac:dyDescent="0.25">
      <c r="A187" s="72">
        <f t="shared" si="30"/>
        <v>22</v>
      </c>
      <c r="B187" s="183">
        <f t="shared" si="24"/>
        <v>0</v>
      </c>
      <c r="C187" s="184">
        <f>-Parking!$E$89/12</f>
        <v>0</v>
      </c>
      <c r="D187" s="183">
        <f>Parking!$E$87/12*B186</f>
        <v>0</v>
      </c>
      <c r="E187" s="185">
        <f t="shared" si="25"/>
        <v>0</v>
      </c>
      <c r="F187" s="72">
        <f t="shared" si="31"/>
        <v>22</v>
      </c>
      <c r="G187" s="180">
        <f t="shared" si="26"/>
        <v>11932003.291951131</v>
      </c>
      <c r="H187" s="186">
        <f>-Parking!$E$94/12</f>
        <v>46202.434086102563</v>
      </c>
      <c r="I187" s="149">
        <f>Parking!$E$92/12*G186</f>
        <v>19930.458778764118</v>
      </c>
      <c r="J187" s="187">
        <f t="shared" si="27"/>
        <v>26271.975307338445</v>
      </c>
      <c r="K187" s="72">
        <f t="shared" si="32"/>
        <v>22</v>
      </c>
      <c r="L187" s="180">
        <f t="shared" si="28"/>
        <v>11932003.291951131</v>
      </c>
      <c r="M187" s="181">
        <f t="shared" si="28"/>
        <v>46202.434086102563</v>
      </c>
      <c r="N187" s="180">
        <f t="shared" si="28"/>
        <v>19930.458778764118</v>
      </c>
      <c r="O187" s="132">
        <f t="shared" si="28"/>
        <v>26271.975307338445</v>
      </c>
      <c r="P187" s="258">
        <v>23</v>
      </c>
      <c r="Q187" s="149">
        <f>B441</f>
        <v>0</v>
      </c>
      <c r="R187" s="149">
        <f>SUM(C430:C441)</f>
        <v>0</v>
      </c>
      <c r="S187" s="161">
        <f t="shared" ref="S187:T187" si="57">SUM(D430:D441)</f>
        <v>0</v>
      </c>
      <c r="T187" s="200">
        <f t="shared" si="57"/>
        <v>0</v>
      </c>
      <c r="U187" s="258">
        <v>23</v>
      </c>
      <c r="V187" s="183">
        <f>G441</f>
        <v>3618771.8145705252</v>
      </c>
      <c r="W187" s="184">
        <f>SUM(H430:H441)</f>
        <v>554429.2090332309</v>
      </c>
      <c r="X187" s="183">
        <f t="shared" ref="X187:Y187" si="58">SUM(I430:I441)</f>
        <v>77557.320514085266</v>
      </c>
      <c r="Y187" s="184">
        <f t="shared" si="58"/>
        <v>476871.88851914549</v>
      </c>
      <c r="Z187" s="72">
        <v>23</v>
      </c>
      <c r="AA187" s="180">
        <f t="shared" si="48"/>
        <v>3618771.8145705252</v>
      </c>
      <c r="AB187" s="180">
        <f t="shared" si="48"/>
        <v>554429.2090332309</v>
      </c>
      <c r="AC187" s="180">
        <f t="shared" si="48"/>
        <v>77557.320514085266</v>
      </c>
      <c r="AD187" s="212">
        <f t="shared" si="48"/>
        <v>476871.88851914549</v>
      </c>
    </row>
    <row r="188" spans="1:30" x14ac:dyDescent="0.25">
      <c r="A188" s="72">
        <f t="shared" si="30"/>
        <v>23</v>
      </c>
      <c r="B188" s="183">
        <f t="shared" si="24"/>
        <v>0</v>
      </c>
      <c r="C188" s="184">
        <f>-Parking!$E$89/12</f>
        <v>0</v>
      </c>
      <c r="D188" s="183">
        <f>Parking!$E$87/12*B187</f>
        <v>0</v>
      </c>
      <c r="E188" s="185">
        <f t="shared" si="25"/>
        <v>0</v>
      </c>
      <c r="F188" s="72">
        <f t="shared" si="31"/>
        <v>23</v>
      </c>
      <c r="G188" s="180">
        <f t="shared" si="26"/>
        <v>11905687.530018281</v>
      </c>
      <c r="H188" s="186">
        <f>-Parking!$E$94/12</f>
        <v>46202.434086102563</v>
      </c>
      <c r="I188" s="149">
        <f>Parking!$E$92/12*G187</f>
        <v>19886.672153251886</v>
      </c>
      <c r="J188" s="187">
        <f t="shared" si="27"/>
        <v>26315.761932850677</v>
      </c>
      <c r="K188" s="72">
        <f t="shared" si="32"/>
        <v>23</v>
      </c>
      <c r="L188" s="180">
        <f t="shared" si="28"/>
        <v>11905687.530018281</v>
      </c>
      <c r="M188" s="181">
        <f t="shared" si="28"/>
        <v>46202.434086102563</v>
      </c>
      <c r="N188" s="180">
        <f t="shared" si="28"/>
        <v>19886.672153251886</v>
      </c>
      <c r="O188" s="132">
        <f t="shared" si="28"/>
        <v>26315.761932850677</v>
      </c>
      <c r="P188" s="258">
        <v>24</v>
      </c>
      <c r="Q188" s="149">
        <f>B453</f>
        <v>0</v>
      </c>
      <c r="R188" s="149">
        <f>SUM(C442:C453)</f>
        <v>0</v>
      </c>
      <c r="S188" s="161">
        <f t="shared" ref="S188:T188" si="59">SUM(D442:D453)</f>
        <v>0</v>
      </c>
      <c r="T188" s="200">
        <f t="shared" si="59"/>
        <v>0</v>
      </c>
      <c r="U188" s="258">
        <v>24</v>
      </c>
      <c r="V188" s="183">
        <f>G453</f>
        <v>3132274.5742389993</v>
      </c>
      <c r="W188" s="184">
        <f>SUM(H442:H453)</f>
        <v>554429.2090332309</v>
      </c>
      <c r="X188" s="183">
        <f t="shared" ref="X188:Y188" si="60">SUM(I442:I453)</f>
        <v>67931.968701705599</v>
      </c>
      <c r="Y188" s="184">
        <f t="shared" si="60"/>
        <v>486497.24033152516</v>
      </c>
      <c r="Z188" s="72">
        <v>24</v>
      </c>
      <c r="AA188" s="180">
        <f t="shared" si="48"/>
        <v>3132274.5742389993</v>
      </c>
      <c r="AB188" s="180">
        <f t="shared" si="48"/>
        <v>554429.2090332309</v>
      </c>
      <c r="AC188" s="180">
        <f t="shared" si="48"/>
        <v>67931.968701705599</v>
      </c>
      <c r="AD188" s="212">
        <f t="shared" si="48"/>
        <v>486497.24033152516</v>
      </c>
    </row>
    <row r="189" spans="1:30" x14ac:dyDescent="0.25">
      <c r="A189" s="72">
        <f t="shared" si="30"/>
        <v>24</v>
      </c>
      <c r="B189" s="183">
        <f t="shared" si="24"/>
        <v>0</v>
      </c>
      <c r="C189" s="184">
        <f>-Parking!$E$89/12</f>
        <v>0</v>
      </c>
      <c r="D189" s="183">
        <f>Parking!$E$87/12*B188</f>
        <v>0</v>
      </c>
      <c r="E189" s="185">
        <f t="shared" si="25"/>
        <v>0</v>
      </c>
      <c r="F189" s="72">
        <f t="shared" si="31"/>
        <v>24</v>
      </c>
      <c r="G189" s="180">
        <f t="shared" si="26"/>
        <v>11879327.908482209</v>
      </c>
      <c r="H189" s="186">
        <f>-Parking!$E$94/12</f>
        <v>46202.434086102563</v>
      </c>
      <c r="I189" s="149">
        <f>Parking!$E$92/12*G188</f>
        <v>19842.81255003047</v>
      </c>
      <c r="J189" s="187">
        <f t="shared" si="27"/>
        <v>26359.621536072093</v>
      </c>
      <c r="K189" s="72">
        <f t="shared" si="32"/>
        <v>24</v>
      </c>
      <c r="L189" s="180">
        <f t="shared" si="28"/>
        <v>11879327.908482209</v>
      </c>
      <c r="M189" s="181">
        <f t="shared" si="28"/>
        <v>46202.434086102563</v>
      </c>
      <c r="N189" s="180">
        <f t="shared" si="28"/>
        <v>19842.81255003047</v>
      </c>
      <c r="O189" s="132">
        <f t="shared" si="28"/>
        <v>26359.621536072093</v>
      </c>
      <c r="P189" s="258">
        <v>25</v>
      </c>
      <c r="Q189" s="149">
        <f>B465</f>
        <v>0</v>
      </c>
      <c r="R189" s="149">
        <f>SUM(C454:C465)</f>
        <v>0</v>
      </c>
      <c r="S189" s="161">
        <f t="shared" ref="S189:T189" si="61">SUM(D454:D465)</f>
        <v>0</v>
      </c>
      <c r="T189" s="200">
        <f t="shared" si="61"/>
        <v>0</v>
      </c>
      <c r="U189" s="258">
        <v>25</v>
      </c>
      <c r="V189" s="183">
        <f>G465</f>
        <v>2635957.7005705535</v>
      </c>
      <c r="W189" s="184">
        <f>SUM(H454:H465)</f>
        <v>554429.2090332309</v>
      </c>
      <c r="X189" s="183">
        <f t="shared" ref="X189:Y189" si="62">SUM(I454:I465)</f>
        <v>58112.335364785249</v>
      </c>
      <c r="Y189" s="184">
        <f t="shared" si="62"/>
        <v>496316.87366844551</v>
      </c>
      <c r="Z189" s="72">
        <v>25</v>
      </c>
      <c r="AA189" s="180">
        <f t="shared" si="48"/>
        <v>2635957.7005705535</v>
      </c>
      <c r="AB189" s="180">
        <f t="shared" si="48"/>
        <v>554429.2090332309</v>
      </c>
      <c r="AC189" s="180">
        <f t="shared" si="48"/>
        <v>58112.335364785249</v>
      </c>
      <c r="AD189" s="212">
        <f t="shared" si="48"/>
        <v>496316.87366844551</v>
      </c>
    </row>
    <row r="190" spans="1:30" x14ac:dyDescent="0.25">
      <c r="A190" s="72">
        <f t="shared" si="30"/>
        <v>25</v>
      </c>
      <c r="B190" s="183">
        <f t="shared" si="24"/>
        <v>0</v>
      </c>
      <c r="C190" s="184">
        <f>-Parking!$E$89/12</f>
        <v>0</v>
      </c>
      <c r="D190" s="183">
        <f>Parking!$E$87/12*B189</f>
        <v>0</v>
      </c>
      <c r="E190" s="185">
        <f t="shared" si="25"/>
        <v>0</v>
      </c>
      <c r="F190" s="72">
        <f t="shared" si="31"/>
        <v>25</v>
      </c>
      <c r="G190" s="180">
        <f t="shared" si="26"/>
        <v>11852924.354243577</v>
      </c>
      <c r="H190" s="186">
        <f>-Parking!$E$94/12</f>
        <v>46202.434086102563</v>
      </c>
      <c r="I190" s="149">
        <f>Parking!$E$92/12*G189</f>
        <v>19798.879847470351</v>
      </c>
      <c r="J190" s="187">
        <f t="shared" si="27"/>
        <v>26403.554238632212</v>
      </c>
      <c r="K190" s="72">
        <f t="shared" si="32"/>
        <v>25</v>
      </c>
      <c r="L190" s="180">
        <f t="shared" si="28"/>
        <v>11852924.354243577</v>
      </c>
      <c r="M190" s="181">
        <f t="shared" si="28"/>
        <v>46202.434086102563</v>
      </c>
      <c r="N190" s="180">
        <f t="shared" si="28"/>
        <v>19798.879847470351</v>
      </c>
      <c r="O190" s="132">
        <f t="shared" si="28"/>
        <v>26403.554238632212</v>
      </c>
      <c r="P190" s="258">
        <v>26</v>
      </c>
      <c r="Q190" s="149">
        <f>B477</f>
        <v>0</v>
      </c>
      <c r="R190" s="149">
        <f>SUM(C466:C477)</f>
        <v>0</v>
      </c>
      <c r="S190" s="161">
        <f t="shared" ref="S190:T190" si="63">SUM(D466:D477)</f>
        <v>0</v>
      </c>
      <c r="T190" s="200">
        <f t="shared" si="63"/>
        <v>0</v>
      </c>
      <c r="U190" s="258">
        <v>26</v>
      </c>
      <c r="V190" s="183">
        <f>G477</f>
        <v>2129622.9905932532</v>
      </c>
      <c r="W190" s="184">
        <f>SUM(H466:H477)</f>
        <v>554429.2090332309</v>
      </c>
      <c r="X190" s="183">
        <f t="shared" ref="X190:Y190" si="64">SUM(I466:I477)</f>
        <v>48094.499055930602</v>
      </c>
      <c r="Y190" s="184">
        <f t="shared" si="64"/>
        <v>506334.7099773002</v>
      </c>
      <c r="Z190" s="72">
        <v>26</v>
      </c>
      <c r="AA190" s="180">
        <f t="shared" si="48"/>
        <v>2129622.9905932532</v>
      </c>
      <c r="AB190" s="180">
        <f t="shared" si="48"/>
        <v>554429.2090332309</v>
      </c>
      <c r="AC190" s="180">
        <f t="shared" si="48"/>
        <v>48094.499055930602</v>
      </c>
      <c r="AD190" s="212">
        <f t="shared" si="48"/>
        <v>506334.7099773002</v>
      </c>
    </row>
    <row r="191" spans="1:30" x14ac:dyDescent="0.25">
      <c r="A191" s="72">
        <f t="shared" si="30"/>
        <v>26</v>
      </c>
      <c r="B191" s="183">
        <f t="shared" si="24"/>
        <v>0</v>
      </c>
      <c r="C191" s="184">
        <f>-Parking!$E$89/12</f>
        <v>0</v>
      </c>
      <c r="D191" s="183">
        <f>Parking!$E$87/12*B190</f>
        <v>0</v>
      </c>
      <c r="E191" s="185">
        <f t="shared" si="25"/>
        <v>0</v>
      </c>
      <c r="F191" s="72">
        <f t="shared" si="31"/>
        <v>26</v>
      </c>
      <c r="G191" s="180">
        <f t="shared" si="26"/>
        <v>11826476.794081213</v>
      </c>
      <c r="H191" s="186">
        <f>-Parking!$E$94/12</f>
        <v>46202.434086102563</v>
      </c>
      <c r="I191" s="149">
        <f>Parking!$E$92/12*G190</f>
        <v>19754.873923739295</v>
      </c>
      <c r="J191" s="187">
        <f t="shared" si="27"/>
        <v>26447.560162363268</v>
      </c>
      <c r="K191" s="72">
        <f t="shared" si="32"/>
        <v>26</v>
      </c>
      <c r="L191" s="180">
        <f t="shared" si="28"/>
        <v>11826476.794081213</v>
      </c>
      <c r="M191" s="181">
        <f t="shared" si="28"/>
        <v>46202.434086102563</v>
      </c>
      <c r="N191" s="180">
        <f t="shared" si="28"/>
        <v>19754.873923739295</v>
      </c>
      <c r="O191" s="132">
        <f t="shared" si="28"/>
        <v>26447.560162363268</v>
      </c>
      <c r="P191" s="258">
        <v>27</v>
      </c>
      <c r="Q191" s="149">
        <f>B489</f>
        <v>0</v>
      </c>
      <c r="R191" s="149">
        <f>SUM(C478:C489)</f>
        <v>0</v>
      </c>
      <c r="S191" s="161">
        <f t="shared" ref="S191:T191" si="65">SUM(D478:D489)</f>
        <v>0</v>
      </c>
      <c r="T191" s="200">
        <f t="shared" si="65"/>
        <v>0</v>
      </c>
      <c r="U191" s="258">
        <v>27</v>
      </c>
      <c r="V191" s="183">
        <f>G489</f>
        <v>1613068.240735881</v>
      </c>
      <c r="W191" s="184">
        <f>SUM(H478:H489)</f>
        <v>554429.2090332309</v>
      </c>
      <c r="X191" s="183">
        <f t="shared" ref="X191:Y191" si="66">SUM(I478:I489)</f>
        <v>37874.459175858952</v>
      </c>
      <c r="Y191" s="184">
        <f t="shared" si="66"/>
        <v>516554.74985737179</v>
      </c>
      <c r="Z191" s="72">
        <v>27</v>
      </c>
      <c r="AA191" s="180">
        <f t="shared" si="48"/>
        <v>1613068.240735881</v>
      </c>
      <c r="AB191" s="180">
        <f t="shared" si="48"/>
        <v>554429.2090332309</v>
      </c>
      <c r="AC191" s="180">
        <f t="shared" si="48"/>
        <v>37874.459175858952</v>
      </c>
      <c r="AD191" s="212">
        <f t="shared" si="48"/>
        <v>516554.74985737179</v>
      </c>
    </row>
    <row r="192" spans="1:30" x14ac:dyDescent="0.25">
      <c r="A192" s="72">
        <f t="shared" si="30"/>
        <v>27</v>
      </c>
      <c r="B192" s="183">
        <f t="shared" si="24"/>
        <v>0</v>
      </c>
      <c r="C192" s="184">
        <f>-Parking!$E$89/12</f>
        <v>0</v>
      </c>
      <c r="D192" s="183">
        <f>Parking!$E$87/12*B191</f>
        <v>0</v>
      </c>
      <c r="E192" s="185">
        <f t="shared" si="25"/>
        <v>0</v>
      </c>
      <c r="F192" s="72">
        <f t="shared" si="31"/>
        <v>27</v>
      </c>
      <c r="G192" s="180">
        <f t="shared" si="26"/>
        <v>11799985.154651912</v>
      </c>
      <c r="H192" s="186">
        <f>-Parking!$E$94/12</f>
        <v>46202.434086102563</v>
      </c>
      <c r="I192" s="149">
        <f>Parking!$E$92/12*G191</f>
        <v>19710.794656802023</v>
      </c>
      <c r="J192" s="187">
        <f t="shared" si="27"/>
        <v>26491.63942930054</v>
      </c>
      <c r="K192" s="72">
        <f t="shared" si="32"/>
        <v>27</v>
      </c>
      <c r="L192" s="180">
        <f t="shared" si="28"/>
        <v>11799985.154651912</v>
      </c>
      <c r="M192" s="181">
        <f t="shared" si="28"/>
        <v>46202.434086102563</v>
      </c>
      <c r="N192" s="180">
        <f t="shared" si="28"/>
        <v>19710.794656802023</v>
      </c>
      <c r="O192" s="132">
        <f t="shared" si="28"/>
        <v>26491.63942930054</v>
      </c>
      <c r="P192" s="258">
        <v>28</v>
      </c>
      <c r="Q192" s="149">
        <f>B501</f>
        <v>0</v>
      </c>
      <c r="R192" s="149">
        <f>SUM(C490:C501)</f>
        <v>0</v>
      </c>
      <c r="S192" s="161">
        <f t="shared" ref="S192:T192" si="67">SUM(D490:D501)</f>
        <v>0</v>
      </c>
      <c r="T192" s="200">
        <f t="shared" si="67"/>
        <v>0</v>
      </c>
      <c r="U192" s="258">
        <v>28</v>
      </c>
      <c r="V192" s="183">
        <f>G501</f>
        <v>1086087.1660784192</v>
      </c>
      <c r="W192" s="184">
        <f>SUM(H490:H501)</f>
        <v>554429.2090332309</v>
      </c>
      <c r="X192" s="183">
        <f t="shared" ref="X192:Y192" si="68">SUM(I490:I501)</f>
        <v>27448.134375768816</v>
      </c>
      <c r="Y192" s="184">
        <f t="shared" si="68"/>
        <v>526981.07465746196</v>
      </c>
      <c r="Z192" s="72">
        <v>28</v>
      </c>
      <c r="AA192" s="180">
        <f t="shared" si="48"/>
        <v>1086087.1660784192</v>
      </c>
      <c r="AB192" s="180">
        <f t="shared" si="48"/>
        <v>554429.2090332309</v>
      </c>
      <c r="AC192" s="180">
        <f t="shared" si="48"/>
        <v>27448.134375768816</v>
      </c>
      <c r="AD192" s="212">
        <f t="shared" si="48"/>
        <v>526981.07465746196</v>
      </c>
    </row>
    <row r="193" spans="1:30" x14ac:dyDescent="0.25">
      <c r="A193" s="72">
        <f t="shared" si="30"/>
        <v>28</v>
      </c>
      <c r="B193" s="183">
        <f t="shared" si="24"/>
        <v>0</v>
      </c>
      <c r="C193" s="184">
        <f>-Parking!$E$89/12</f>
        <v>0</v>
      </c>
      <c r="D193" s="183">
        <f>Parking!$E$87/12*B192</f>
        <v>0</v>
      </c>
      <c r="E193" s="185">
        <f t="shared" si="25"/>
        <v>0</v>
      </c>
      <c r="F193" s="72">
        <f t="shared" si="31"/>
        <v>28</v>
      </c>
      <c r="G193" s="180">
        <f t="shared" si="26"/>
        <v>11773449.362490229</v>
      </c>
      <c r="H193" s="186">
        <f>-Parking!$E$94/12</f>
        <v>46202.434086102563</v>
      </c>
      <c r="I193" s="149">
        <f>Parking!$E$92/12*G192</f>
        <v>19666.641924419855</v>
      </c>
      <c r="J193" s="187">
        <f t="shared" si="27"/>
        <v>26535.792161682708</v>
      </c>
      <c r="K193" s="72">
        <f t="shared" si="32"/>
        <v>28</v>
      </c>
      <c r="L193" s="180">
        <f t="shared" si="28"/>
        <v>11773449.362490229</v>
      </c>
      <c r="M193" s="181">
        <f t="shared" si="28"/>
        <v>46202.434086102563</v>
      </c>
      <c r="N193" s="180">
        <f t="shared" si="28"/>
        <v>19666.641924419855</v>
      </c>
      <c r="O193" s="132">
        <f t="shared" si="28"/>
        <v>26535.792161682708</v>
      </c>
      <c r="P193" s="258">
        <v>29</v>
      </c>
      <c r="Q193" s="149">
        <f>B513</f>
        <v>0</v>
      </c>
      <c r="R193" s="149">
        <f>SUM(C502:C513)</f>
        <v>0</v>
      </c>
      <c r="S193" s="161">
        <f t="shared" ref="S193:T193" si="69">SUM(D502:D513)</f>
        <v>0</v>
      </c>
      <c r="T193" s="200">
        <f t="shared" si="69"/>
        <v>0</v>
      </c>
      <c r="U193" s="258">
        <v>29</v>
      </c>
      <c r="V193" s="183">
        <f>G513</f>
        <v>548469.3179726511</v>
      </c>
      <c r="W193" s="184">
        <f>SUM(H502:H513)</f>
        <v>554429.2090332309</v>
      </c>
      <c r="X193" s="183">
        <f t="shared" ref="X193:Y193" si="70">SUM(I502:I513)</f>
        <v>16811.360927462807</v>
      </c>
      <c r="Y193" s="184">
        <f t="shared" si="70"/>
        <v>537617.84810576786</v>
      </c>
      <c r="Z193" s="72">
        <v>29</v>
      </c>
      <c r="AA193" s="180">
        <f t="shared" si="48"/>
        <v>548469.3179726511</v>
      </c>
      <c r="AB193" s="180">
        <f t="shared" si="48"/>
        <v>554429.2090332309</v>
      </c>
      <c r="AC193" s="180">
        <f t="shared" si="48"/>
        <v>16811.360927462807</v>
      </c>
      <c r="AD193" s="212">
        <f t="shared" si="48"/>
        <v>537617.84810576786</v>
      </c>
    </row>
    <row r="194" spans="1:30" ht="16.5" thickBot="1" x14ac:dyDescent="0.3">
      <c r="A194" s="72">
        <f t="shared" si="30"/>
        <v>29</v>
      </c>
      <c r="B194" s="183">
        <f t="shared" si="24"/>
        <v>0</v>
      </c>
      <c r="C194" s="184">
        <f>-Parking!$E$89/12</f>
        <v>0</v>
      </c>
      <c r="D194" s="183">
        <f>Parking!$E$87/12*B193</f>
        <v>0</v>
      </c>
      <c r="E194" s="185">
        <f t="shared" si="25"/>
        <v>0</v>
      </c>
      <c r="F194" s="72">
        <f t="shared" si="31"/>
        <v>29</v>
      </c>
      <c r="G194" s="180">
        <f t="shared" si="26"/>
        <v>11746869.344008276</v>
      </c>
      <c r="H194" s="186">
        <f>-Parking!$E$94/12</f>
        <v>46202.434086102563</v>
      </c>
      <c r="I194" s="149">
        <f>Parking!$E$92/12*G193</f>
        <v>19622.415604150385</v>
      </c>
      <c r="J194" s="187">
        <f t="shared" si="27"/>
        <v>26580.018481952178</v>
      </c>
      <c r="K194" s="72">
        <f t="shared" si="32"/>
        <v>29</v>
      </c>
      <c r="L194" s="180">
        <f t="shared" si="28"/>
        <v>11746869.344008276</v>
      </c>
      <c r="M194" s="181">
        <f t="shared" si="28"/>
        <v>46202.434086102563</v>
      </c>
      <c r="N194" s="180">
        <f t="shared" si="28"/>
        <v>19622.415604150385</v>
      </c>
      <c r="O194" s="132">
        <f t="shared" si="28"/>
        <v>26580.018481952178</v>
      </c>
      <c r="P194" s="307">
        <v>30</v>
      </c>
      <c r="Q194" s="195">
        <f>B525</f>
        <v>0</v>
      </c>
      <c r="R194" s="195">
        <f>SUM(C514:C525)</f>
        <v>0</v>
      </c>
      <c r="S194" s="308">
        <f t="shared" ref="S194:T194" si="71">SUM(D514:D525)</f>
        <v>0</v>
      </c>
      <c r="T194" s="306">
        <f t="shared" si="71"/>
        <v>0</v>
      </c>
      <c r="U194" s="307">
        <v>30</v>
      </c>
      <c r="V194" s="191">
        <f>G525</f>
        <v>-7.0140231400728226E-9</v>
      </c>
      <c r="W194" s="309">
        <f>SUM(H514:H525)</f>
        <v>554429.2090332309</v>
      </c>
      <c r="X194" s="191">
        <f t="shared" ref="X194:Y194" si="72">SUM(I514:I525)</f>
        <v>5959.891060572636</v>
      </c>
      <c r="Y194" s="192">
        <f t="shared" si="72"/>
        <v>548469.31797265809</v>
      </c>
      <c r="Z194" s="307">
        <v>30</v>
      </c>
      <c r="AA194" s="188">
        <f t="shared" si="48"/>
        <v>-7.0140231400728226E-9</v>
      </c>
      <c r="AB194" s="188">
        <f t="shared" si="48"/>
        <v>554429.2090332309</v>
      </c>
      <c r="AC194" s="188">
        <f t="shared" si="48"/>
        <v>5959.891060572636</v>
      </c>
      <c r="AD194" s="244">
        <f t="shared" si="48"/>
        <v>548469.31797265809</v>
      </c>
    </row>
    <row r="195" spans="1:30" x14ac:dyDescent="0.25">
      <c r="A195" s="72">
        <f t="shared" si="30"/>
        <v>30</v>
      </c>
      <c r="B195" s="183">
        <f t="shared" si="24"/>
        <v>0</v>
      </c>
      <c r="C195" s="184">
        <f>-Parking!$E$89/12</f>
        <v>0</v>
      </c>
      <c r="D195" s="183">
        <f>Parking!$E$87/12*B194</f>
        <v>0</v>
      </c>
      <c r="E195" s="185">
        <f t="shared" si="25"/>
        <v>0</v>
      </c>
      <c r="F195" s="72">
        <f t="shared" si="31"/>
        <v>30</v>
      </c>
      <c r="G195" s="180">
        <f t="shared" si="26"/>
        <v>11720245.025495522</v>
      </c>
      <c r="H195" s="186">
        <f>-Parking!$E$94/12</f>
        <v>46202.434086102563</v>
      </c>
      <c r="I195" s="149">
        <f>Parking!$E$92/12*G194</f>
        <v>19578.115573347128</v>
      </c>
      <c r="J195" s="187">
        <f t="shared" si="27"/>
        <v>26624.318512755435</v>
      </c>
      <c r="K195" s="72">
        <f t="shared" si="32"/>
        <v>30</v>
      </c>
      <c r="L195" s="180">
        <f t="shared" si="28"/>
        <v>11720245.025495522</v>
      </c>
      <c r="M195" s="181">
        <f t="shared" si="28"/>
        <v>46202.434086102563</v>
      </c>
      <c r="N195" s="180">
        <f t="shared" si="28"/>
        <v>19578.115573347128</v>
      </c>
      <c r="O195" s="132">
        <f t="shared" si="28"/>
        <v>26624.318512755435</v>
      </c>
    </row>
    <row r="196" spans="1:30" x14ac:dyDescent="0.25">
      <c r="A196" s="72">
        <f t="shared" si="30"/>
        <v>31</v>
      </c>
      <c r="B196" s="183">
        <f t="shared" si="24"/>
        <v>0</v>
      </c>
      <c r="C196" s="184">
        <f>-Parking!$E$89/12</f>
        <v>0</v>
      </c>
      <c r="D196" s="183">
        <f>Parking!$E$87/12*B195</f>
        <v>0</v>
      </c>
      <c r="E196" s="185">
        <f t="shared" si="25"/>
        <v>0</v>
      </c>
      <c r="F196" s="72">
        <f t="shared" si="31"/>
        <v>31</v>
      </c>
      <c r="G196" s="180">
        <f t="shared" si="26"/>
        <v>11693576.333118578</v>
      </c>
      <c r="H196" s="186">
        <f>-Parking!$E$94/12</f>
        <v>46202.434086102563</v>
      </c>
      <c r="I196" s="149">
        <f>Parking!$E$92/12*G195</f>
        <v>19533.741709159203</v>
      </c>
      <c r="J196" s="187">
        <f t="shared" si="27"/>
        <v>26668.69237694336</v>
      </c>
      <c r="K196" s="72">
        <f t="shared" si="32"/>
        <v>31</v>
      </c>
      <c r="L196" s="180">
        <f t="shared" si="28"/>
        <v>11693576.333118578</v>
      </c>
      <c r="M196" s="181">
        <f t="shared" si="28"/>
        <v>46202.434086102563</v>
      </c>
      <c r="N196" s="180">
        <f t="shared" si="28"/>
        <v>19533.741709159203</v>
      </c>
      <c r="O196" s="132">
        <f t="shared" si="28"/>
        <v>26668.69237694336</v>
      </c>
    </row>
    <row r="197" spans="1:30" x14ac:dyDescent="0.25">
      <c r="A197" s="72">
        <f t="shared" si="30"/>
        <v>32</v>
      </c>
      <c r="B197" s="183">
        <f t="shared" si="24"/>
        <v>0</v>
      </c>
      <c r="C197" s="184">
        <f>-Parking!$E$89/12</f>
        <v>0</v>
      </c>
      <c r="D197" s="183">
        <f>Parking!$E$87/12*B196</f>
        <v>0</v>
      </c>
      <c r="E197" s="185">
        <f t="shared" si="25"/>
        <v>0</v>
      </c>
      <c r="F197" s="72">
        <f t="shared" si="31"/>
        <v>32</v>
      </c>
      <c r="G197" s="180">
        <f t="shared" si="26"/>
        <v>11666863.192921007</v>
      </c>
      <c r="H197" s="186">
        <f>-Parking!$E$94/12</f>
        <v>46202.434086102563</v>
      </c>
      <c r="I197" s="149">
        <f>Parking!$E$92/12*G196</f>
        <v>19489.293888530967</v>
      </c>
      <c r="J197" s="187">
        <f t="shared" si="27"/>
        <v>26713.140197571596</v>
      </c>
      <c r="K197" s="72">
        <f t="shared" si="32"/>
        <v>32</v>
      </c>
      <c r="L197" s="180">
        <f t="shared" si="28"/>
        <v>11666863.192921007</v>
      </c>
      <c r="M197" s="181">
        <f t="shared" si="28"/>
        <v>46202.434086102563</v>
      </c>
      <c r="N197" s="180">
        <f t="shared" si="28"/>
        <v>19489.293888530967</v>
      </c>
      <c r="O197" s="132">
        <f t="shared" si="28"/>
        <v>26713.140197571596</v>
      </c>
    </row>
    <row r="198" spans="1:30" x14ac:dyDescent="0.25">
      <c r="A198" s="72">
        <f t="shared" si="30"/>
        <v>33</v>
      </c>
      <c r="B198" s="183">
        <f t="shared" si="24"/>
        <v>0</v>
      </c>
      <c r="C198" s="184">
        <f>-Parking!$E$89/12</f>
        <v>0</v>
      </c>
      <c r="D198" s="183">
        <f>Parking!$E$87/12*B197</f>
        <v>0</v>
      </c>
      <c r="E198" s="185">
        <f t="shared" si="25"/>
        <v>0</v>
      </c>
      <c r="F198" s="72">
        <f t="shared" si="31"/>
        <v>33</v>
      </c>
      <c r="G198" s="180">
        <f t="shared" si="26"/>
        <v>11640105.530823106</v>
      </c>
      <c r="H198" s="186">
        <f>-Parking!$E$94/12</f>
        <v>46202.434086102563</v>
      </c>
      <c r="I198" s="149">
        <f>Parking!$E$92/12*G197</f>
        <v>19444.771988201679</v>
      </c>
      <c r="J198" s="187">
        <f t="shared" si="27"/>
        <v>26757.662097900884</v>
      </c>
      <c r="K198" s="72">
        <f t="shared" si="32"/>
        <v>33</v>
      </c>
      <c r="L198" s="180">
        <f t="shared" si="28"/>
        <v>11640105.530823106</v>
      </c>
      <c r="M198" s="181">
        <f t="shared" si="28"/>
        <v>46202.434086102563</v>
      </c>
      <c r="N198" s="180">
        <f t="shared" si="28"/>
        <v>19444.771988201679</v>
      </c>
      <c r="O198" s="132">
        <f t="shared" si="28"/>
        <v>26757.662097900884</v>
      </c>
    </row>
    <row r="199" spans="1:30" x14ac:dyDescent="0.25">
      <c r="A199" s="72">
        <f t="shared" si="30"/>
        <v>34</v>
      </c>
      <c r="B199" s="183">
        <f t="shared" si="24"/>
        <v>0</v>
      </c>
      <c r="C199" s="184">
        <f>-Parking!$E$89/12</f>
        <v>0</v>
      </c>
      <c r="D199" s="183">
        <f>Parking!$E$87/12*B198</f>
        <v>0</v>
      </c>
      <c r="E199" s="185">
        <f t="shared" si="25"/>
        <v>0</v>
      </c>
      <c r="F199" s="72">
        <f t="shared" si="31"/>
        <v>34</v>
      </c>
      <c r="G199" s="180">
        <f t="shared" si="26"/>
        <v>11613303.272621708</v>
      </c>
      <c r="H199" s="186">
        <f>-Parking!$E$94/12</f>
        <v>46202.434086102563</v>
      </c>
      <c r="I199" s="149">
        <f>Parking!$E$92/12*G198</f>
        <v>19400.175884705179</v>
      </c>
      <c r="J199" s="187">
        <f t="shared" si="27"/>
        <v>26802.258201397384</v>
      </c>
      <c r="K199" s="72">
        <f t="shared" si="32"/>
        <v>34</v>
      </c>
      <c r="L199" s="180">
        <f t="shared" si="28"/>
        <v>11613303.272621708</v>
      </c>
      <c r="M199" s="181">
        <f t="shared" si="28"/>
        <v>46202.434086102563</v>
      </c>
      <c r="N199" s="180">
        <f t="shared" si="28"/>
        <v>19400.175884705179</v>
      </c>
      <c r="O199" s="132">
        <f t="shared" si="28"/>
        <v>26802.258201397384</v>
      </c>
    </row>
    <row r="200" spans="1:30" x14ac:dyDescent="0.25">
      <c r="A200" s="72">
        <f t="shared" si="30"/>
        <v>35</v>
      </c>
      <c r="B200" s="183">
        <f t="shared" si="24"/>
        <v>0</v>
      </c>
      <c r="C200" s="184">
        <f>-Parking!$E$89/12</f>
        <v>0</v>
      </c>
      <c r="D200" s="183">
        <f>Parking!$E$87/12*B199</f>
        <v>0</v>
      </c>
      <c r="E200" s="185">
        <f t="shared" si="25"/>
        <v>0</v>
      </c>
      <c r="F200" s="72">
        <f t="shared" si="31"/>
        <v>35</v>
      </c>
      <c r="G200" s="180">
        <f t="shared" si="26"/>
        <v>11586456.343989976</v>
      </c>
      <c r="H200" s="186">
        <f>-Parking!$E$94/12</f>
        <v>46202.434086102563</v>
      </c>
      <c r="I200" s="149">
        <f>Parking!$E$92/12*G199</f>
        <v>19355.505454369515</v>
      </c>
      <c r="J200" s="187">
        <f t="shared" si="27"/>
        <v>26846.928631733048</v>
      </c>
      <c r="K200" s="72">
        <f t="shared" si="32"/>
        <v>35</v>
      </c>
      <c r="L200" s="180">
        <f t="shared" si="28"/>
        <v>11586456.343989976</v>
      </c>
      <c r="M200" s="181">
        <f t="shared" si="28"/>
        <v>46202.434086102563</v>
      </c>
      <c r="N200" s="180">
        <f t="shared" si="28"/>
        <v>19355.505454369515</v>
      </c>
      <c r="O200" s="132">
        <f t="shared" si="28"/>
        <v>26846.928631733048</v>
      </c>
    </row>
    <row r="201" spans="1:30" x14ac:dyDescent="0.25">
      <c r="A201" s="72">
        <f t="shared" si="30"/>
        <v>36</v>
      </c>
      <c r="B201" s="183">
        <f t="shared" si="24"/>
        <v>0</v>
      </c>
      <c r="C201" s="184">
        <f>-Parking!$E$89/12</f>
        <v>0</v>
      </c>
      <c r="D201" s="183">
        <f>Parking!$E$87/12*B200</f>
        <v>0</v>
      </c>
      <c r="E201" s="185">
        <f t="shared" si="25"/>
        <v>0</v>
      </c>
      <c r="F201" s="72">
        <f t="shared" si="31"/>
        <v>36</v>
      </c>
      <c r="G201" s="180">
        <f t="shared" si="26"/>
        <v>11559564.670477189</v>
      </c>
      <c r="H201" s="186">
        <f>-Parking!$E$94/12</f>
        <v>46202.434086102563</v>
      </c>
      <c r="I201" s="149">
        <f>Parking!$E$92/12*G200</f>
        <v>19310.760573316627</v>
      </c>
      <c r="J201" s="187">
        <f t="shared" si="27"/>
        <v>26891.673512785936</v>
      </c>
      <c r="K201" s="72">
        <f t="shared" si="32"/>
        <v>36</v>
      </c>
      <c r="L201" s="180">
        <f t="shared" si="28"/>
        <v>11559564.670477189</v>
      </c>
      <c r="M201" s="181">
        <f t="shared" si="28"/>
        <v>46202.434086102563</v>
      </c>
      <c r="N201" s="180">
        <f t="shared" si="28"/>
        <v>19310.760573316627</v>
      </c>
      <c r="O201" s="132">
        <f t="shared" si="28"/>
        <v>26891.673512785936</v>
      </c>
    </row>
    <row r="202" spans="1:30" x14ac:dyDescent="0.25">
      <c r="A202" s="72">
        <f t="shared" si="30"/>
        <v>37</v>
      </c>
      <c r="B202" s="183">
        <f t="shared" si="24"/>
        <v>0</v>
      </c>
      <c r="C202" s="184">
        <f>-Parking!$E$89/12</f>
        <v>0</v>
      </c>
      <c r="D202" s="183">
        <f>Parking!$E$87/12*B201</f>
        <v>0</v>
      </c>
      <c r="E202" s="185">
        <f t="shared" si="25"/>
        <v>0</v>
      </c>
      <c r="F202" s="72">
        <f t="shared" si="31"/>
        <v>37</v>
      </c>
      <c r="G202" s="180">
        <f t="shared" si="26"/>
        <v>11532628.177508548</v>
      </c>
      <c r="H202" s="186">
        <f>-Parking!$E$94/12</f>
        <v>46202.434086102563</v>
      </c>
      <c r="I202" s="149">
        <f>Parking!$E$92/12*G201</f>
        <v>19265.941117461982</v>
      </c>
      <c r="J202" s="187">
        <f t="shared" si="27"/>
        <v>26936.492968640581</v>
      </c>
      <c r="K202" s="72">
        <f t="shared" si="32"/>
        <v>37</v>
      </c>
      <c r="L202" s="180">
        <f t="shared" si="28"/>
        <v>11532628.177508548</v>
      </c>
      <c r="M202" s="181">
        <f t="shared" si="28"/>
        <v>46202.434086102563</v>
      </c>
      <c r="N202" s="180">
        <f t="shared" si="28"/>
        <v>19265.941117461982</v>
      </c>
      <c r="O202" s="132">
        <f t="shared" si="28"/>
        <v>26936.492968640581</v>
      </c>
    </row>
    <row r="203" spans="1:30" x14ac:dyDescent="0.25">
      <c r="A203" s="72">
        <f t="shared" si="30"/>
        <v>38</v>
      </c>
      <c r="B203" s="183">
        <f t="shared" si="24"/>
        <v>0</v>
      </c>
      <c r="C203" s="184">
        <f>-Parking!$E$89/12</f>
        <v>0</v>
      </c>
      <c r="D203" s="183">
        <f>Parking!$E$87/12*B202</f>
        <v>0</v>
      </c>
      <c r="E203" s="185">
        <f t="shared" si="25"/>
        <v>0</v>
      </c>
      <c r="F203" s="72">
        <f t="shared" si="31"/>
        <v>38</v>
      </c>
      <c r="G203" s="180">
        <f t="shared" si="26"/>
        <v>11505646.790384959</v>
      </c>
      <c r="H203" s="186">
        <f>-Parking!$E$94/12</f>
        <v>46202.434086102563</v>
      </c>
      <c r="I203" s="149">
        <f>Parking!$E$92/12*G202</f>
        <v>19221.046962514247</v>
      </c>
      <c r="J203" s="187">
        <f t="shared" si="27"/>
        <v>26981.387123588316</v>
      </c>
      <c r="K203" s="72">
        <f t="shared" si="32"/>
        <v>38</v>
      </c>
      <c r="L203" s="180">
        <f t="shared" si="28"/>
        <v>11505646.790384959</v>
      </c>
      <c r="M203" s="181">
        <f t="shared" si="28"/>
        <v>46202.434086102563</v>
      </c>
      <c r="N203" s="180">
        <f t="shared" si="28"/>
        <v>19221.046962514247</v>
      </c>
      <c r="O203" s="132">
        <f t="shared" si="28"/>
        <v>26981.387123588316</v>
      </c>
    </row>
    <row r="204" spans="1:30" x14ac:dyDescent="0.25">
      <c r="A204" s="72">
        <f t="shared" si="30"/>
        <v>39</v>
      </c>
      <c r="B204" s="183">
        <f t="shared" si="24"/>
        <v>0</v>
      </c>
      <c r="C204" s="184">
        <f>-Parking!$E$89/12</f>
        <v>0</v>
      </c>
      <c r="D204" s="183">
        <f>Parking!$E$87/12*B203</f>
        <v>0</v>
      </c>
      <c r="E204" s="185">
        <f t="shared" si="25"/>
        <v>0</v>
      </c>
      <c r="F204" s="72">
        <f t="shared" si="31"/>
        <v>39</v>
      </c>
      <c r="G204" s="180">
        <f t="shared" si="26"/>
        <v>11478620.434282832</v>
      </c>
      <c r="H204" s="186">
        <f>-Parking!$E$94/12</f>
        <v>46202.434086102563</v>
      </c>
      <c r="I204" s="149">
        <f>Parking!$E$92/12*G203</f>
        <v>19176.077983974934</v>
      </c>
      <c r="J204" s="187">
        <f t="shared" si="27"/>
        <v>27026.356102127629</v>
      </c>
      <c r="K204" s="72">
        <f t="shared" si="32"/>
        <v>39</v>
      </c>
      <c r="L204" s="180">
        <f t="shared" si="28"/>
        <v>11478620.434282832</v>
      </c>
      <c r="M204" s="181">
        <f t="shared" si="28"/>
        <v>46202.434086102563</v>
      </c>
      <c r="N204" s="180">
        <f t="shared" si="28"/>
        <v>19176.077983974934</v>
      </c>
      <c r="O204" s="132">
        <f t="shared" si="28"/>
        <v>27026.356102127629</v>
      </c>
    </row>
    <row r="205" spans="1:30" x14ac:dyDescent="0.25">
      <c r="A205" s="72">
        <f t="shared" si="30"/>
        <v>40</v>
      </c>
      <c r="B205" s="183">
        <f t="shared" si="24"/>
        <v>0</v>
      </c>
      <c r="C205" s="184">
        <f>-Parking!$E$89/12</f>
        <v>0</v>
      </c>
      <c r="D205" s="183">
        <f>Parking!$E$87/12*B204</f>
        <v>0</v>
      </c>
      <c r="E205" s="185">
        <f t="shared" si="25"/>
        <v>0</v>
      </c>
      <c r="F205" s="72">
        <f t="shared" si="31"/>
        <v>40</v>
      </c>
      <c r="G205" s="180">
        <f t="shared" si="26"/>
        <v>11451549.034253867</v>
      </c>
      <c r="H205" s="186">
        <f>-Parking!$E$94/12</f>
        <v>46202.434086102563</v>
      </c>
      <c r="I205" s="149">
        <f>Parking!$E$92/12*G204</f>
        <v>19131.034057138055</v>
      </c>
      <c r="J205" s="187">
        <f t="shared" si="27"/>
        <v>27071.400028964508</v>
      </c>
      <c r="K205" s="72">
        <f t="shared" si="32"/>
        <v>40</v>
      </c>
      <c r="L205" s="180">
        <f t="shared" si="28"/>
        <v>11451549.034253867</v>
      </c>
      <c r="M205" s="181">
        <f t="shared" si="28"/>
        <v>46202.434086102563</v>
      </c>
      <c r="N205" s="180">
        <f t="shared" si="28"/>
        <v>19131.034057138055</v>
      </c>
      <c r="O205" s="132">
        <f t="shared" si="28"/>
        <v>27071.400028964508</v>
      </c>
    </row>
    <row r="206" spans="1:30" x14ac:dyDescent="0.25">
      <c r="A206" s="72">
        <f t="shared" si="30"/>
        <v>41</v>
      </c>
      <c r="B206" s="183">
        <f t="shared" si="24"/>
        <v>0</v>
      </c>
      <c r="C206" s="184">
        <f>-Parking!$E$89/12</f>
        <v>0</v>
      </c>
      <c r="D206" s="183">
        <f>Parking!$E$87/12*B205</f>
        <v>0</v>
      </c>
      <c r="E206" s="185">
        <f t="shared" si="25"/>
        <v>0</v>
      </c>
      <c r="F206" s="72">
        <f t="shared" si="31"/>
        <v>41</v>
      </c>
      <c r="G206" s="180">
        <f t="shared" si="26"/>
        <v>11424432.515224855</v>
      </c>
      <c r="H206" s="186">
        <f>-Parking!$E$94/12</f>
        <v>46202.434086102563</v>
      </c>
      <c r="I206" s="149">
        <f>Parking!$E$92/12*G205</f>
        <v>19085.91505708978</v>
      </c>
      <c r="J206" s="187">
        <f t="shared" si="27"/>
        <v>27116.519029012783</v>
      </c>
      <c r="K206" s="72">
        <f t="shared" si="32"/>
        <v>41</v>
      </c>
      <c r="L206" s="180">
        <f t="shared" si="28"/>
        <v>11424432.515224855</v>
      </c>
      <c r="M206" s="181">
        <f t="shared" si="28"/>
        <v>46202.434086102563</v>
      </c>
      <c r="N206" s="180">
        <f t="shared" si="28"/>
        <v>19085.91505708978</v>
      </c>
      <c r="O206" s="132">
        <f t="shared" si="28"/>
        <v>27116.519029012783</v>
      </c>
    </row>
    <row r="207" spans="1:30" x14ac:dyDescent="0.25">
      <c r="A207" s="72">
        <f t="shared" si="30"/>
        <v>42</v>
      </c>
      <c r="B207" s="183">
        <f t="shared" si="24"/>
        <v>0</v>
      </c>
      <c r="C207" s="184">
        <f>-Parking!$E$89/12</f>
        <v>0</v>
      </c>
      <c r="D207" s="183">
        <f>Parking!$E$87/12*B206</f>
        <v>0</v>
      </c>
      <c r="E207" s="185">
        <f t="shared" si="25"/>
        <v>0</v>
      </c>
      <c r="F207" s="72">
        <f t="shared" si="31"/>
        <v>42</v>
      </c>
      <c r="G207" s="180">
        <f t="shared" si="26"/>
        <v>11397270.80199746</v>
      </c>
      <c r="H207" s="186">
        <f>-Parking!$E$94/12</f>
        <v>46202.434086102563</v>
      </c>
      <c r="I207" s="149">
        <f>Parking!$E$92/12*G206</f>
        <v>19040.720858708093</v>
      </c>
      <c r="J207" s="187">
        <f t="shared" si="27"/>
        <v>27161.71322739447</v>
      </c>
      <c r="K207" s="72">
        <f t="shared" si="32"/>
        <v>42</v>
      </c>
      <c r="L207" s="180">
        <f t="shared" si="28"/>
        <v>11397270.80199746</v>
      </c>
      <c r="M207" s="181">
        <f t="shared" si="28"/>
        <v>46202.434086102563</v>
      </c>
      <c r="N207" s="180">
        <f t="shared" si="28"/>
        <v>19040.720858708093</v>
      </c>
      <c r="O207" s="132">
        <f t="shared" si="28"/>
        <v>27161.71322739447</v>
      </c>
    </row>
    <row r="208" spans="1:30" x14ac:dyDescent="0.25">
      <c r="A208" s="72">
        <f t="shared" si="30"/>
        <v>43</v>
      </c>
      <c r="B208" s="183">
        <f t="shared" si="24"/>
        <v>0</v>
      </c>
      <c r="C208" s="184">
        <f>-Parking!$E$89/12</f>
        <v>0</v>
      </c>
      <c r="D208" s="183">
        <f>Parking!$E$87/12*B207</f>
        <v>0</v>
      </c>
      <c r="E208" s="185">
        <f t="shared" si="25"/>
        <v>0</v>
      </c>
      <c r="F208" s="72">
        <f t="shared" si="31"/>
        <v>43</v>
      </c>
      <c r="G208" s="180">
        <f t="shared" si="26"/>
        <v>11370063.819248021</v>
      </c>
      <c r="H208" s="186">
        <f>-Parking!$E$94/12</f>
        <v>46202.434086102563</v>
      </c>
      <c r="I208" s="149">
        <f>Parking!$E$92/12*G207</f>
        <v>18995.451336662434</v>
      </c>
      <c r="J208" s="187">
        <f t="shared" si="27"/>
        <v>27206.982749440129</v>
      </c>
      <c r="K208" s="72">
        <f t="shared" si="32"/>
        <v>43</v>
      </c>
      <c r="L208" s="180">
        <f t="shared" si="28"/>
        <v>11370063.819248021</v>
      </c>
      <c r="M208" s="181">
        <f t="shared" si="28"/>
        <v>46202.434086102563</v>
      </c>
      <c r="N208" s="180">
        <f t="shared" si="28"/>
        <v>18995.451336662434</v>
      </c>
      <c r="O208" s="132">
        <f t="shared" si="28"/>
        <v>27206.982749440129</v>
      </c>
    </row>
    <row r="209" spans="1:15" x14ac:dyDescent="0.25">
      <c r="A209" s="72">
        <f t="shared" si="30"/>
        <v>44</v>
      </c>
      <c r="B209" s="183">
        <f t="shared" si="24"/>
        <v>0</v>
      </c>
      <c r="C209" s="184">
        <f>-Parking!$E$89/12</f>
        <v>0</v>
      </c>
      <c r="D209" s="183">
        <f>Parking!$E$87/12*B208</f>
        <v>0</v>
      </c>
      <c r="E209" s="185">
        <f t="shared" si="25"/>
        <v>0</v>
      </c>
      <c r="F209" s="72">
        <f t="shared" si="31"/>
        <v>44</v>
      </c>
      <c r="G209" s="180">
        <f t="shared" si="26"/>
        <v>11342811.491527332</v>
      </c>
      <c r="H209" s="186">
        <f>-Parking!$E$94/12</f>
        <v>46202.434086102563</v>
      </c>
      <c r="I209" s="149">
        <f>Parking!$E$92/12*G208</f>
        <v>18950.106365413369</v>
      </c>
      <c r="J209" s="187">
        <f t="shared" si="27"/>
        <v>27252.327720689194</v>
      </c>
      <c r="K209" s="72">
        <f t="shared" si="32"/>
        <v>44</v>
      </c>
      <c r="L209" s="180">
        <f t="shared" si="28"/>
        <v>11342811.491527332</v>
      </c>
      <c r="M209" s="181">
        <f t="shared" si="28"/>
        <v>46202.434086102563</v>
      </c>
      <c r="N209" s="180">
        <f t="shared" si="28"/>
        <v>18950.106365413369</v>
      </c>
      <c r="O209" s="132">
        <f t="shared" si="28"/>
        <v>27252.327720689194</v>
      </c>
    </row>
    <row r="210" spans="1:15" x14ac:dyDescent="0.25">
      <c r="A210" s="72">
        <f t="shared" si="30"/>
        <v>45</v>
      </c>
      <c r="B210" s="183">
        <f t="shared" si="24"/>
        <v>0</v>
      </c>
      <c r="C210" s="184">
        <f>-Parking!$E$89/12</f>
        <v>0</v>
      </c>
      <c r="D210" s="183">
        <f>Parking!$E$87/12*B209</f>
        <v>0</v>
      </c>
      <c r="E210" s="185">
        <f t="shared" si="25"/>
        <v>0</v>
      </c>
      <c r="F210" s="72">
        <f t="shared" si="31"/>
        <v>45</v>
      </c>
      <c r="G210" s="180">
        <f t="shared" si="26"/>
        <v>11315513.743260441</v>
      </c>
      <c r="H210" s="186">
        <f>-Parking!$E$94/12</f>
        <v>46202.434086102563</v>
      </c>
      <c r="I210" s="149">
        <f>Parking!$E$92/12*G209</f>
        <v>18904.68581921222</v>
      </c>
      <c r="J210" s="187">
        <f t="shared" si="27"/>
        <v>27297.748266890343</v>
      </c>
      <c r="K210" s="72">
        <f t="shared" si="32"/>
        <v>45</v>
      </c>
      <c r="L210" s="180">
        <f t="shared" si="28"/>
        <v>11315513.743260441</v>
      </c>
      <c r="M210" s="181">
        <f t="shared" si="28"/>
        <v>46202.434086102563</v>
      </c>
      <c r="N210" s="180">
        <f t="shared" si="28"/>
        <v>18904.68581921222</v>
      </c>
      <c r="O210" s="132">
        <f t="shared" si="28"/>
        <v>27297.748266890343</v>
      </c>
    </row>
    <row r="211" spans="1:15" x14ac:dyDescent="0.25">
      <c r="A211" s="72">
        <f t="shared" si="30"/>
        <v>46</v>
      </c>
      <c r="B211" s="183">
        <f t="shared" si="24"/>
        <v>0</v>
      </c>
      <c r="C211" s="184">
        <f>-Parking!$E$89/12</f>
        <v>0</v>
      </c>
      <c r="D211" s="183">
        <f>Parking!$E$87/12*B210</f>
        <v>0</v>
      </c>
      <c r="E211" s="185">
        <f t="shared" si="25"/>
        <v>0</v>
      </c>
      <c r="F211" s="72">
        <f t="shared" si="31"/>
        <v>46</v>
      </c>
      <c r="G211" s="180">
        <f t="shared" si="26"/>
        <v>11288170.49874644</v>
      </c>
      <c r="H211" s="186">
        <f>-Parking!$E$94/12</f>
        <v>46202.434086102563</v>
      </c>
      <c r="I211" s="149">
        <f>Parking!$E$92/12*G210</f>
        <v>18859.189572100739</v>
      </c>
      <c r="J211" s="187">
        <f t="shared" si="27"/>
        <v>27343.244514001824</v>
      </c>
      <c r="K211" s="72">
        <f t="shared" si="32"/>
        <v>46</v>
      </c>
      <c r="L211" s="180">
        <f t="shared" si="28"/>
        <v>11288170.49874644</v>
      </c>
      <c r="M211" s="181">
        <f t="shared" si="28"/>
        <v>46202.434086102563</v>
      </c>
      <c r="N211" s="180">
        <f t="shared" si="28"/>
        <v>18859.189572100739</v>
      </c>
      <c r="O211" s="132">
        <f t="shared" si="28"/>
        <v>27343.244514001824</v>
      </c>
    </row>
    <row r="212" spans="1:15" x14ac:dyDescent="0.25">
      <c r="A212" s="72">
        <f t="shared" si="30"/>
        <v>47</v>
      </c>
      <c r="B212" s="183">
        <f t="shared" si="24"/>
        <v>0</v>
      </c>
      <c r="C212" s="184">
        <f>-Parking!$E$89/12</f>
        <v>0</v>
      </c>
      <c r="D212" s="183">
        <f>Parking!$E$87/12*B211</f>
        <v>0</v>
      </c>
      <c r="E212" s="185">
        <f t="shared" si="25"/>
        <v>0</v>
      </c>
      <c r="F212" s="72">
        <f t="shared" si="31"/>
        <v>47</v>
      </c>
      <c r="G212" s="180">
        <f t="shared" si="26"/>
        <v>11260781.682158248</v>
      </c>
      <c r="H212" s="186">
        <f>-Parking!$E$94/12</f>
        <v>46202.434086102563</v>
      </c>
      <c r="I212" s="149">
        <f>Parking!$E$92/12*G211</f>
        <v>18813.617497910735</v>
      </c>
      <c r="J212" s="187">
        <f t="shared" si="27"/>
        <v>27388.816588191828</v>
      </c>
      <c r="K212" s="72">
        <f t="shared" si="32"/>
        <v>47</v>
      </c>
      <c r="L212" s="180">
        <f t="shared" si="28"/>
        <v>11260781.682158248</v>
      </c>
      <c r="M212" s="181">
        <f t="shared" si="28"/>
        <v>46202.434086102563</v>
      </c>
      <c r="N212" s="180">
        <f t="shared" si="28"/>
        <v>18813.617497910735</v>
      </c>
      <c r="O212" s="132">
        <f t="shared" si="28"/>
        <v>27388.816588191828</v>
      </c>
    </row>
    <row r="213" spans="1:15" x14ac:dyDescent="0.25">
      <c r="A213" s="72">
        <f t="shared" si="30"/>
        <v>48</v>
      </c>
      <c r="B213" s="183">
        <f t="shared" si="24"/>
        <v>0</v>
      </c>
      <c r="C213" s="184">
        <f>-Parking!$E$89/12</f>
        <v>0</v>
      </c>
      <c r="D213" s="183">
        <f>Parking!$E$87/12*B212</f>
        <v>0</v>
      </c>
      <c r="E213" s="185">
        <f t="shared" si="25"/>
        <v>0</v>
      </c>
      <c r="F213" s="72">
        <f t="shared" si="31"/>
        <v>48</v>
      </c>
      <c r="G213" s="180">
        <f t="shared" si="26"/>
        <v>11233347.21754241</v>
      </c>
      <c r="H213" s="186">
        <f>-Parking!$E$94/12</f>
        <v>46202.434086102563</v>
      </c>
      <c r="I213" s="149">
        <f>Parking!$E$92/12*G212</f>
        <v>18767.96947026375</v>
      </c>
      <c r="J213" s="187">
        <f t="shared" si="27"/>
        <v>27434.464615838813</v>
      </c>
      <c r="K213" s="72">
        <f t="shared" si="32"/>
        <v>48</v>
      </c>
      <c r="L213" s="180">
        <f t="shared" si="28"/>
        <v>11233347.21754241</v>
      </c>
      <c r="M213" s="181">
        <f t="shared" si="28"/>
        <v>46202.434086102563</v>
      </c>
      <c r="N213" s="180">
        <f t="shared" si="28"/>
        <v>18767.96947026375</v>
      </c>
      <c r="O213" s="132">
        <f t="shared" si="28"/>
        <v>27434.464615838813</v>
      </c>
    </row>
    <row r="214" spans="1:15" x14ac:dyDescent="0.25">
      <c r="A214" s="72">
        <f t="shared" si="30"/>
        <v>49</v>
      </c>
      <c r="B214" s="183">
        <f t="shared" si="24"/>
        <v>0</v>
      </c>
      <c r="C214" s="184">
        <f>-Parking!$E$89/12</f>
        <v>0</v>
      </c>
      <c r="D214" s="183">
        <f>Parking!$E$87/12*B213</f>
        <v>0</v>
      </c>
      <c r="E214" s="185">
        <f t="shared" si="25"/>
        <v>0</v>
      </c>
      <c r="F214" s="72">
        <f t="shared" si="31"/>
        <v>49</v>
      </c>
      <c r="G214" s="180">
        <f t="shared" si="26"/>
        <v>11205867.028818877</v>
      </c>
      <c r="H214" s="186">
        <f>-Parking!$E$94/12</f>
        <v>46202.434086102563</v>
      </c>
      <c r="I214" s="149">
        <f>Parking!$E$92/12*G213</f>
        <v>18722.245362570684</v>
      </c>
      <c r="J214" s="187">
        <f t="shared" si="27"/>
        <v>27480.188723531879</v>
      </c>
      <c r="K214" s="72">
        <f t="shared" si="32"/>
        <v>49</v>
      </c>
      <c r="L214" s="180">
        <f t="shared" si="28"/>
        <v>11205867.028818877</v>
      </c>
      <c r="M214" s="181">
        <f t="shared" si="28"/>
        <v>46202.434086102563</v>
      </c>
      <c r="N214" s="180">
        <f t="shared" si="28"/>
        <v>18722.245362570684</v>
      </c>
      <c r="O214" s="132">
        <f t="shared" si="28"/>
        <v>27480.188723531879</v>
      </c>
    </row>
    <row r="215" spans="1:15" x14ac:dyDescent="0.25">
      <c r="A215" s="72">
        <f t="shared" si="30"/>
        <v>50</v>
      </c>
      <c r="B215" s="183">
        <f t="shared" si="24"/>
        <v>0</v>
      </c>
      <c r="C215" s="184">
        <f>-Parking!$E$89/12</f>
        <v>0</v>
      </c>
      <c r="D215" s="183">
        <f>Parking!$E$87/12*B214</f>
        <v>0</v>
      </c>
      <c r="E215" s="185">
        <f t="shared" si="25"/>
        <v>0</v>
      </c>
      <c r="F215" s="72">
        <f t="shared" si="31"/>
        <v>50</v>
      </c>
      <c r="G215" s="180">
        <f t="shared" si="26"/>
        <v>11178341.039780807</v>
      </c>
      <c r="H215" s="186">
        <f>-Parking!$E$94/12</f>
        <v>46202.434086102563</v>
      </c>
      <c r="I215" s="149">
        <f>Parking!$E$92/12*G214</f>
        <v>18676.445048031463</v>
      </c>
      <c r="J215" s="187">
        <f t="shared" si="27"/>
        <v>27525.9890380711</v>
      </c>
      <c r="K215" s="72">
        <f t="shared" si="32"/>
        <v>50</v>
      </c>
      <c r="L215" s="180">
        <f t="shared" si="28"/>
        <v>11178341.039780807</v>
      </c>
      <c r="M215" s="181">
        <f t="shared" si="28"/>
        <v>46202.434086102563</v>
      </c>
      <c r="N215" s="180">
        <f t="shared" si="28"/>
        <v>18676.445048031463</v>
      </c>
      <c r="O215" s="132">
        <f t="shared" si="28"/>
        <v>27525.9890380711</v>
      </c>
    </row>
    <row r="216" spans="1:15" x14ac:dyDescent="0.25">
      <c r="A216" s="72">
        <f t="shared" si="30"/>
        <v>51</v>
      </c>
      <c r="B216" s="183">
        <f t="shared" si="24"/>
        <v>0</v>
      </c>
      <c r="C216" s="184">
        <f>-Parking!$E$89/12</f>
        <v>0</v>
      </c>
      <c r="D216" s="183">
        <f>Parking!$E$87/12*B215</f>
        <v>0</v>
      </c>
      <c r="E216" s="185">
        <f t="shared" si="25"/>
        <v>0</v>
      </c>
      <c r="F216" s="72">
        <f t="shared" si="31"/>
        <v>51</v>
      </c>
      <c r="G216" s="180">
        <f t="shared" si="26"/>
        <v>11150769.174094338</v>
      </c>
      <c r="H216" s="186">
        <f>-Parking!$E$94/12</f>
        <v>46202.434086102563</v>
      </c>
      <c r="I216" s="149">
        <f>Parking!$E$92/12*G215</f>
        <v>18630.568399634678</v>
      </c>
      <c r="J216" s="187">
        <f t="shared" si="27"/>
        <v>27571.865686467885</v>
      </c>
      <c r="K216" s="72">
        <f t="shared" si="32"/>
        <v>51</v>
      </c>
      <c r="L216" s="180">
        <f t="shared" si="28"/>
        <v>11150769.174094338</v>
      </c>
      <c r="M216" s="181">
        <f t="shared" si="28"/>
        <v>46202.434086102563</v>
      </c>
      <c r="N216" s="180">
        <f t="shared" si="28"/>
        <v>18630.568399634678</v>
      </c>
      <c r="O216" s="132">
        <f t="shared" si="28"/>
        <v>27571.865686467885</v>
      </c>
    </row>
    <row r="217" spans="1:15" x14ac:dyDescent="0.25">
      <c r="A217" s="72">
        <f t="shared" si="30"/>
        <v>52</v>
      </c>
      <c r="B217" s="183">
        <f t="shared" si="24"/>
        <v>0</v>
      </c>
      <c r="C217" s="184">
        <f>-Parking!$E$89/12</f>
        <v>0</v>
      </c>
      <c r="D217" s="183">
        <f>Parking!$E$87/12*B216</f>
        <v>0</v>
      </c>
      <c r="E217" s="185">
        <f t="shared" si="25"/>
        <v>0</v>
      </c>
      <c r="F217" s="72">
        <f t="shared" si="31"/>
        <v>52</v>
      </c>
      <c r="G217" s="180">
        <f t="shared" si="26"/>
        <v>11123151.355298392</v>
      </c>
      <c r="H217" s="186">
        <f>-Parking!$E$94/12</f>
        <v>46202.434086102563</v>
      </c>
      <c r="I217" s="149">
        <f>Parking!$E$92/12*G216</f>
        <v>18584.615290157231</v>
      </c>
      <c r="J217" s="187">
        <f t="shared" si="27"/>
        <v>27617.818795945332</v>
      </c>
      <c r="K217" s="72">
        <f t="shared" si="32"/>
        <v>52</v>
      </c>
      <c r="L217" s="180">
        <f t="shared" si="28"/>
        <v>11123151.355298392</v>
      </c>
      <c r="M217" s="181">
        <f t="shared" si="28"/>
        <v>46202.434086102563</v>
      </c>
      <c r="N217" s="180">
        <f t="shared" si="28"/>
        <v>18584.615290157231</v>
      </c>
      <c r="O217" s="132">
        <f t="shared" si="28"/>
        <v>27617.818795945332</v>
      </c>
    </row>
    <row r="218" spans="1:15" x14ac:dyDescent="0.25">
      <c r="A218" s="72">
        <f t="shared" si="30"/>
        <v>53</v>
      </c>
      <c r="B218" s="183">
        <f t="shared" si="24"/>
        <v>0</v>
      </c>
      <c r="C218" s="184">
        <f>-Parking!$E$89/12</f>
        <v>0</v>
      </c>
      <c r="D218" s="183">
        <f>Parking!$E$87/12*B217</f>
        <v>0</v>
      </c>
      <c r="E218" s="185">
        <f t="shared" si="25"/>
        <v>0</v>
      </c>
      <c r="F218" s="72">
        <f t="shared" si="31"/>
        <v>53</v>
      </c>
      <c r="G218" s="180">
        <f t="shared" si="26"/>
        <v>11095487.506804453</v>
      </c>
      <c r="H218" s="186">
        <f>-Parking!$E$94/12</f>
        <v>46202.434086102563</v>
      </c>
      <c r="I218" s="149">
        <f>Parking!$E$92/12*G217</f>
        <v>18538.585592163989</v>
      </c>
      <c r="J218" s="187">
        <f t="shared" si="27"/>
        <v>27663.848493938574</v>
      </c>
      <c r="K218" s="72">
        <f t="shared" si="32"/>
        <v>53</v>
      </c>
      <c r="L218" s="180">
        <f t="shared" si="28"/>
        <v>11095487.506804453</v>
      </c>
      <c r="M218" s="181">
        <f t="shared" si="28"/>
        <v>46202.434086102563</v>
      </c>
      <c r="N218" s="180">
        <f t="shared" si="28"/>
        <v>18538.585592163989</v>
      </c>
      <c r="O218" s="132">
        <f t="shared" si="28"/>
        <v>27663.848493938574</v>
      </c>
    </row>
    <row r="219" spans="1:15" x14ac:dyDescent="0.25">
      <c r="A219" s="72">
        <f t="shared" si="30"/>
        <v>54</v>
      </c>
      <c r="B219" s="183">
        <f t="shared" si="24"/>
        <v>0</v>
      </c>
      <c r="C219" s="184">
        <f>-Parking!$E$89/12</f>
        <v>0</v>
      </c>
      <c r="D219" s="183">
        <f>Parking!$E$87/12*B218</f>
        <v>0</v>
      </c>
      <c r="E219" s="185">
        <f t="shared" si="25"/>
        <v>0</v>
      </c>
      <c r="F219" s="72">
        <f t="shared" si="31"/>
        <v>54</v>
      </c>
      <c r="G219" s="180">
        <f t="shared" si="26"/>
        <v>11067777.551896358</v>
      </c>
      <c r="H219" s="186">
        <f>-Parking!$E$94/12</f>
        <v>46202.434086102563</v>
      </c>
      <c r="I219" s="149">
        <f>Parking!$E$92/12*G218</f>
        <v>18492.479178007423</v>
      </c>
      <c r="J219" s="187">
        <f t="shared" si="27"/>
        <v>27709.95490809514</v>
      </c>
      <c r="K219" s="72">
        <f t="shared" si="32"/>
        <v>54</v>
      </c>
      <c r="L219" s="180">
        <f t="shared" si="28"/>
        <v>11067777.551896358</v>
      </c>
      <c r="M219" s="181">
        <f t="shared" si="28"/>
        <v>46202.434086102563</v>
      </c>
      <c r="N219" s="180">
        <f t="shared" si="28"/>
        <v>18492.479178007423</v>
      </c>
      <c r="O219" s="132">
        <f t="shared" si="28"/>
        <v>27709.95490809514</v>
      </c>
    </row>
    <row r="220" spans="1:15" x14ac:dyDescent="0.25">
      <c r="A220" s="72">
        <f t="shared" si="30"/>
        <v>55</v>
      </c>
      <c r="B220" s="183">
        <f t="shared" si="24"/>
        <v>0</v>
      </c>
      <c r="C220" s="184">
        <f>-Parking!$E$89/12</f>
        <v>0</v>
      </c>
      <c r="D220" s="183">
        <f>Parking!$E$87/12*B219</f>
        <v>0</v>
      </c>
      <c r="E220" s="185">
        <f t="shared" si="25"/>
        <v>0</v>
      </c>
      <c r="F220" s="72">
        <f t="shared" si="31"/>
        <v>55</v>
      </c>
      <c r="G220" s="180">
        <f t="shared" si="26"/>
        <v>11040021.413730083</v>
      </c>
      <c r="H220" s="186">
        <f>-Parking!$E$94/12</f>
        <v>46202.434086102563</v>
      </c>
      <c r="I220" s="149">
        <f>Parking!$E$92/12*G219</f>
        <v>18446.295919827266</v>
      </c>
      <c r="J220" s="187">
        <f t="shared" si="27"/>
        <v>27756.138166275297</v>
      </c>
      <c r="K220" s="72">
        <f t="shared" si="32"/>
        <v>55</v>
      </c>
      <c r="L220" s="180">
        <f t="shared" si="28"/>
        <v>11040021.413730083</v>
      </c>
      <c r="M220" s="181">
        <f t="shared" si="28"/>
        <v>46202.434086102563</v>
      </c>
      <c r="N220" s="180">
        <f t="shared" si="28"/>
        <v>18446.295919827266</v>
      </c>
      <c r="O220" s="132">
        <f t="shared" si="28"/>
        <v>27756.138166275297</v>
      </c>
    </row>
    <row r="221" spans="1:15" x14ac:dyDescent="0.25">
      <c r="A221" s="72">
        <f t="shared" si="30"/>
        <v>56</v>
      </c>
      <c r="B221" s="183">
        <f t="shared" si="24"/>
        <v>0</v>
      </c>
      <c r="C221" s="184">
        <f>-Parking!$E$89/12</f>
        <v>0</v>
      </c>
      <c r="D221" s="183">
        <f>Parking!$E$87/12*B220</f>
        <v>0</v>
      </c>
      <c r="E221" s="185">
        <f t="shared" si="25"/>
        <v>0</v>
      </c>
      <c r="F221" s="72">
        <f t="shared" si="31"/>
        <v>56</v>
      </c>
      <c r="G221" s="180">
        <f t="shared" si="26"/>
        <v>11012219.015333531</v>
      </c>
      <c r="H221" s="186">
        <f>-Parking!$E$94/12</f>
        <v>46202.434086102563</v>
      </c>
      <c r="I221" s="149">
        <f>Parking!$E$92/12*G220</f>
        <v>18400.035689550139</v>
      </c>
      <c r="J221" s="187">
        <f t="shared" si="27"/>
        <v>27802.398396552424</v>
      </c>
      <c r="K221" s="72">
        <f t="shared" si="32"/>
        <v>56</v>
      </c>
      <c r="L221" s="180">
        <f t="shared" si="28"/>
        <v>11012219.015333531</v>
      </c>
      <c r="M221" s="181">
        <f t="shared" si="28"/>
        <v>46202.434086102563</v>
      </c>
      <c r="N221" s="180">
        <f t="shared" si="28"/>
        <v>18400.035689550139</v>
      </c>
      <c r="O221" s="132">
        <f t="shared" si="28"/>
        <v>27802.398396552424</v>
      </c>
    </row>
    <row r="222" spans="1:15" x14ac:dyDescent="0.25">
      <c r="A222" s="72">
        <f t="shared" si="30"/>
        <v>57</v>
      </c>
      <c r="B222" s="183">
        <f t="shared" si="24"/>
        <v>0</v>
      </c>
      <c r="C222" s="184">
        <f>-Parking!$E$89/12</f>
        <v>0</v>
      </c>
      <c r="D222" s="183">
        <f>Parking!$E$87/12*B221</f>
        <v>0</v>
      </c>
      <c r="E222" s="185">
        <f t="shared" si="25"/>
        <v>0</v>
      </c>
      <c r="F222" s="72">
        <f t="shared" si="31"/>
        <v>57</v>
      </c>
      <c r="G222" s="180">
        <f t="shared" si="26"/>
        <v>10984370.279606318</v>
      </c>
      <c r="H222" s="186">
        <f>-Parking!$E$94/12</f>
        <v>46202.434086102563</v>
      </c>
      <c r="I222" s="149">
        <f>Parking!$E$92/12*G221</f>
        <v>18353.698358889222</v>
      </c>
      <c r="J222" s="187">
        <f t="shared" si="27"/>
        <v>27848.735727213341</v>
      </c>
      <c r="K222" s="72">
        <f t="shared" si="32"/>
        <v>57</v>
      </c>
      <c r="L222" s="180">
        <f t="shared" si="28"/>
        <v>10984370.279606318</v>
      </c>
      <c r="M222" s="181">
        <f t="shared" si="28"/>
        <v>46202.434086102563</v>
      </c>
      <c r="N222" s="180">
        <f t="shared" si="28"/>
        <v>18353.698358889222</v>
      </c>
      <c r="O222" s="132">
        <f t="shared" si="28"/>
        <v>27848.735727213341</v>
      </c>
    </row>
    <row r="223" spans="1:15" x14ac:dyDescent="0.25">
      <c r="A223" s="72">
        <f t="shared" si="30"/>
        <v>58</v>
      </c>
      <c r="B223" s="183">
        <f t="shared" si="24"/>
        <v>0</v>
      </c>
      <c r="C223" s="184">
        <f>-Parking!$E$89/12</f>
        <v>0</v>
      </c>
      <c r="D223" s="183">
        <f>Parking!$E$87/12*B222</f>
        <v>0</v>
      </c>
      <c r="E223" s="185">
        <f t="shared" si="25"/>
        <v>0</v>
      </c>
      <c r="F223" s="72">
        <f t="shared" si="31"/>
        <v>58</v>
      </c>
      <c r="G223" s="180">
        <f t="shared" si="26"/>
        <v>10956475.12931956</v>
      </c>
      <c r="H223" s="186">
        <f>-Parking!$E$94/12</f>
        <v>46202.434086102563</v>
      </c>
      <c r="I223" s="149">
        <f>Parking!$E$92/12*G222</f>
        <v>18307.283799343866</v>
      </c>
      <c r="J223" s="187">
        <f t="shared" si="27"/>
        <v>27895.150286758697</v>
      </c>
      <c r="K223" s="72">
        <f t="shared" si="32"/>
        <v>58</v>
      </c>
      <c r="L223" s="180">
        <f t="shared" si="28"/>
        <v>10956475.12931956</v>
      </c>
      <c r="M223" s="181">
        <f t="shared" si="28"/>
        <v>46202.434086102563</v>
      </c>
      <c r="N223" s="180">
        <f t="shared" si="28"/>
        <v>18307.283799343866</v>
      </c>
      <c r="O223" s="132">
        <f t="shared" si="28"/>
        <v>27895.150286758697</v>
      </c>
    </row>
    <row r="224" spans="1:15" x14ac:dyDescent="0.25">
      <c r="A224" s="72">
        <f t="shared" si="30"/>
        <v>59</v>
      </c>
      <c r="B224" s="183">
        <f t="shared" si="24"/>
        <v>0</v>
      </c>
      <c r="C224" s="184">
        <f>-Parking!$E$89/12</f>
        <v>0</v>
      </c>
      <c r="D224" s="183">
        <f>Parking!$E$87/12*B223</f>
        <v>0</v>
      </c>
      <c r="E224" s="185">
        <f t="shared" si="25"/>
        <v>0</v>
      </c>
      <c r="F224" s="72">
        <f t="shared" si="31"/>
        <v>59</v>
      </c>
      <c r="G224" s="180">
        <f t="shared" si="26"/>
        <v>10928533.487115657</v>
      </c>
      <c r="H224" s="186">
        <f>-Parking!$E$94/12</f>
        <v>46202.434086102563</v>
      </c>
      <c r="I224" s="149">
        <f>Parking!$E$92/12*G223</f>
        <v>18260.791882199268</v>
      </c>
      <c r="J224" s="187">
        <f t="shared" si="27"/>
        <v>27941.642203903295</v>
      </c>
      <c r="K224" s="72">
        <f t="shared" si="32"/>
        <v>59</v>
      </c>
      <c r="L224" s="180">
        <f t="shared" si="28"/>
        <v>10928533.487115657</v>
      </c>
      <c r="M224" s="181">
        <f t="shared" si="28"/>
        <v>46202.434086102563</v>
      </c>
      <c r="N224" s="180">
        <f t="shared" si="28"/>
        <v>18260.791882199268</v>
      </c>
      <c r="O224" s="132">
        <f t="shared" si="28"/>
        <v>27941.642203903295</v>
      </c>
    </row>
    <row r="225" spans="1:15" x14ac:dyDescent="0.25">
      <c r="A225" s="72">
        <f t="shared" si="30"/>
        <v>60</v>
      </c>
      <c r="B225" s="183">
        <f t="shared" si="24"/>
        <v>0</v>
      </c>
      <c r="C225" s="184">
        <f>-Parking!$E$89/12</f>
        <v>0</v>
      </c>
      <c r="D225" s="183">
        <f>Parking!$E$87/12*B224</f>
        <v>0</v>
      </c>
      <c r="E225" s="185">
        <f t="shared" si="25"/>
        <v>0</v>
      </c>
      <c r="F225" s="72">
        <f t="shared" si="31"/>
        <v>60</v>
      </c>
      <c r="G225" s="180">
        <f t="shared" si="26"/>
        <v>10900545.27550808</v>
      </c>
      <c r="H225" s="186">
        <f>-Parking!$E$94/12</f>
        <v>46202.434086102563</v>
      </c>
      <c r="I225" s="149">
        <f>Parking!$E$92/12*G224</f>
        <v>18214.222478526095</v>
      </c>
      <c r="J225" s="187">
        <f t="shared" si="27"/>
        <v>27988.211607576468</v>
      </c>
      <c r="K225" s="72">
        <f t="shared" si="32"/>
        <v>60</v>
      </c>
      <c r="L225" s="180">
        <f t="shared" si="28"/>
        <v>10900545.27550808</v>
      </c>
      <c r="M225" s="181">
        <f t="shared" si="28"/>
        <v>46202.434086102563</v>
      </c>
      <c r="N225" s="180">
        <f t="shared" si="28"/>
        <v>18214.222478526095</v>
      </c>
      <c r="O225" s="132">
        <f t="shared" si="28"/>
        <v>27988.211607576468</v>
      </c>
    </row>
    <row r="226" spans="1:15" x14ac:dyDescent="0.25">
      <c r="A226" s="72">
        <f t="shared" si="30"/>
        <v>61</v>
      </c>
      <c r="B226" s="183">
        <f t="shared" si="24"/>
        <v>0</v>
      </c>
      <c r="C226" s="184">
        <f>-Parking!$E$89/12</f>
        <v>0</v>
      </c>
      <c r="D226" s="183">
        <f>Parking!$E$87/12*B225</f>
        <v>0</v>
      </c>
      <c r="E226" s="185">
        <f t="shared" si="25"/>
        <v>0</v>
      </c>
      <c r="F226" s="72">
        <f t="shared" si="31"/>
        <v>61</v>
      </c>
      <c r="G226" s="180">
        <f t="shared" si="26"/>
        <v>10872510.416881157</v>
      </c>
      <c r="H226" s="186">
        <f>-Parking!$E$94/12</f>
        <v>46202.434086102563</v>
      </c>
      <c r="I226" s="149">
        <f>Parking!$E$92/12*G225</f>
        <v>18167.575459180134</v>
      </c>
      <c r="J226" s="187">
        <f t="shared" si="27"/>
        <v>28034.858626922429</v>
      </c>
      <c r="K226" s="72">
        <f t="shared" si="32"/>
        <v>61</v>
      </c>
      <c r="L226" s="180">
        <f t="shared" si="28"/>
        <v>10872510.416881157</v>
      </c>
      <c r="M226" s="181">
        <f t="shared" si="28"/>
        <v>46202.434086102563</v>
      </c>
      <c r="N226" s="180">
        <f t="shared" si="28"/>
        <v>18167.575459180134</v>
      </c>
      <c r="O226" s="132">
        <f t="shared" si="28"/>
        <v>28034.858626922429</v>
      </c>
    </row>
    <row r="227" spans="1:15" x14ac:dyDescent="0.25">
      <c r="A227" s="72">
        <f t="shared" si="30"/>
        <v>62</v>
      </c>
      <c r="B227" s="183">
        <f t="shared" si="24"/>
        <v>0</v>
      </c>
      <c r="C227" s="184">
        <f>-Parking!$E$89/12</f>
        <v>0</v>
      </c>
      <c r="D227" s="183">
        <f>Parking!$E$87/12*B226</f>
        <v>0</v>
      </c>
      <c r="E227" s="185">
        <f t="shared" si="25"/>
        <v>0</v>
      </c>
      <c r="F227" s="72">
        <f t="shared" si="31"/>
        <v>62</v>
      </c>
      <c r="G227" s="180">
        <f t="shared" si="26"/>
        <v>10844428.833489856</v>
      </c>
      <c r="H227" s="186">
        <f>-Parking!$E$94/12</f>
        <v>46202.434086102563</v>
      </c>
      <c r="I227" s="149">
        <f>Parking!$E$92/12*G226</f>
        <v>18120.850694801931</v>
      </c>
      <c r="J227" s="187">
        <f t="shared" si="27"/>
        <v>28081.583391300632</v>
      </c>
      <c r="K227" s="72">
        <f t="shared" si="32"/>
        <v>62</v>
      </c>
      <c r="L227" s="180">
        <f t="shared" si="28"/>
        <v>10844428.833489856</v>
      </c>
      <c r="M227" s="181">
        <f t="shared" si="28"/>
        <v>46202.434086102563</v>
      </c>
      <c r="N227" s="180">
        <f t="shared" si="28"/>
        <v>18120.850694801931</v>
      </c>
      <c r="O227" s="132">
        <f t="shared" si="28"/>
        <v>28081.583391300632</v>
      </c>
    </row>
    <row r="228" spans="1:15" x14ac:dyDescent="0.25">
      <c r="A228" s="72">
        <f t="shared" si="30"/>
        <v>63</v>
      </c>
      <c r="B228" s="183">
        <f t="shared" si="24"/>
        <v>0</v>
      </c>
      <c r="C228" s="184">
        <f>-Parking!$E$89/12</f>
        <v>0</v>
      </c>
      <c r="D228" s="183">
        <f>Parking!$E$87/12*B227</f>
        <v>0</v>
      </c>
      <c r="E228" s="185">
        <f t="shared" si="25"/>
        <v>0</v>
      </c>
      <c r="F228" s="72">
        <f t="shared" si="31"/>
        <v>63</v>
      </c>
      <c r="G228" s="180">
        <f t="shared" si="26"/>
        <v>10816300.447459569</v>
      </c>
      <c r="H228" s="186">
        <f>-Parking!$E$94/12</f>
        <v>46202.434086102563</v>
      </c>
      <c r="I228" s="149">
        <f>Parking!$E$92/12*G227</f>
        <v>18074.048055816427</v>
      </c>
      <c r="J228" s="187">
        <f t="shared" si="27"/>
        <v>28128.386030286136</v>
      </c>
      <c r="K228" s="72">
        <f t="shared" si="32"/>
        <v>63</v>
      </c>
      <c r="L228" s="180">
        <f t="shared" si="28"/>
        <v>10816300.447459569</v>
      </c>
      <c r="M228" s="181">
        <f t="shared" si="28"/>
        <v>46202.434086102563</v>
      </c>
      <c r="N228" s="180">
        <f t="shared" si="28"/>
        <v>18074.048055816427</v>
      </c>
      <c r="O228" s="132">
        <f t="shared" si="28"/>
        <v>28128.386030286136</v>
      </c>
    </row>
    <row r="229" spans="1:15" x14ac:dyDescent="0.25">
      <c r="A229" s="72">
        <f t="shared" si="30"/>
        <v>64</v>
      </c>
      <c r="B229" s="183">
        <f t="shared" si="24"/>
        <v>0</v>
      </c>
      <c r="C229" s="184">
        <f>-Parking!$E$89/12</f>
        <v>0</v>
      </c>
      <c r="D229" s="183">
        <f>Parking!$E$87/12*B228</f>
        <v>0</v>
      </c>
      <c r="E229" s="185">
        <f t="shared" si="25"/>
        <v>0</v>
      </c>
      <c r="F229" s="72">
        <f t="shared" si="31"/>
        <v>64</v>
      </c>
      <c r="G229" s="180">
        <f t="shared" si="26"/>
        <v>10788125.1807859</v>
      </c>
      <c r="H229" s="186">
        <f>-Parking!$E$94/12</f>
        <v>46202.434086102563</v>
      </c>
      <c r="I229" s="149">
        <f>Parking!$E$92/12*G228</f>
        <v>18027.167412432616</v>
      </c>
      <c r="J229" s="187">
        <f t="shared" si="27"/>
        <v>28175.266673669947</v>
      </c>
      <c r="K229" s="72">
        <f t="shared" si="32"/>
        <v>64</v>
      </c>
      <c r="L229" s="180">
        <f t="shared" si="28"/>
        <v>10788125.1807859</v>
      </c>
      <c r="M229" s="181">
        <f t="shared" si="28"/>
        <v>46202.434086102563</v>
      </c>
      <c r="N229" s="180">
        <f t="shared" si="28"/>
        <v>18027.167412432616</v>
      </c>
      <c r="O229" s="132">
        <f t="shared" ref="O229:O292" si="73">J229+E229</f>
        <v>28175.266673669947</v>
      </c>
    </row>
    <row r="230" spans="1:15" x14ac:dyDescent="0.25">
      <c r="A230" s="72">
        <f t="shared" si="30"/>
        <v>65</v>
      </c>
      <c r="B230" s="183">
        <f t="shared" ref="B230:B293" si="74">B229-E230</f>
        <v>0</v>
      </c>
      <c r="C230" s="184">
        <f>-Parking!$E$89/12</f>
        <v>0</v>
      </c>
      <c r="D230" s="183">
        <f>Parking!$E$87/12*B229</f>
        <v>0</v>
      </c>
      <c r="E230" s="185">
        <f t="shared" ref="E230:E293" si="75">C230-D230</f>
        <v>0</v>
      </c>
      <c r="F230" s="72">
        <f t="shared" si="31"/>
        <v>65</v>
      </c>
      <c r="G230" s="180">
        <f t="shared" ref="G230:G293" si="76">G229-J230</f>
        <v>10759902.95533444</v>
      </c>
      <c r="H230" s="186">
        <f>-Parking!$E$94/12</f>
        <v>46202.434086102563</v>
      </c>
      <c r="I230" s="149">
        <f>Parking!$E$92/12*G229</f>
        <v>17980.208634643168</v>
      </c>
      <c r="J230" s="187">
        <f t="shared" ref="J230:J293" si="77">H230-I230</f>
        <v>28222.225451459395</v>
      </c>
      <c r="K230" s="72">
        <f t="shared" si="32"/>
        <v>65</v>
      </c>
      <c r="L230" s="180">
        <f t="shared" ref="L230:O293" si="78">G230+B230</f>
        <v>10759902.95533444</v>
      </c>
      <c r="M230" s="181">
        <f t="shared" si="78"/>
        <v>46202.434086102563</v>
      </c>
      <c r="N230" s="180">
        <f t="shared" si="78"/>
        <v>17980.208634643168</v>
      </c>
      <c r="O230" s="132">
        <f t="shared" si="73"/>
        <v>28222.225451459395</v>
      </c>
    </row>
    <row r="231" spans="1:15" x14ac:dyDescent="0.25">
      <c r="A231" s="72">
        <f t="shared" ref="A231:A294" si="79">A230+1</f>
        <v>66</v>
      </c>
      <c r="B231" s="183">
        <f t="shared" si="74"/>
        <v>0</v>
      </c>
      <c r="C231" s="184">
        <f>-Parking!$E$89/12</f>
        <v>0</v>
      </c>
      <c r="D231" s="183">
        <f>Parking!$E$87/12*B230</f>
        <v>0</v>
      </c>
      <c r="E231" s="185">
        <f t="shared" si="75"/>
        <v>0</v>
      </c>
      <c r="F231" s="72">
        <f t="shared" ref="F231:F294" si="80">F230+1</f>
        <v>66</v>
      </c>
      <c r="G231" s="180">
        <f t="shared" si="76"/>
        <v>10731633.692840561</v>
      </c>
      <c r="H231" s="186">
        <f>-Parking!$E$94/12</f>
        <v>46202.434086102563</v>
      </c>
      <c r="I231" s="149">
        <f>Parking!$E$92/12*G230</f>
        <v>17933.171592224069</v>
      </c>
      <c r="J231" s="187">
        <f t="shared" si="77"/>
        <v>28269.262493878494</v>
      </c>
      <c r="K231" s="72">
        <f t="shared" ref="K231:K294" si="81">K230+1</f>
        <v>66</v>
      </c>
      <c r="L231" s="180">
        <f t="shared" si="78"/>
        <v>10731633.692840561</v>
      </c>
      <c r="M231" s="181">
        <f t="shared" si="78"/>
        <v>46202.434086102563</v>
      </c>
      <c r="N231" s="180">
        <f t="shared" si="78"/>
        <v>17933.171592224069</v>
      </c>
      <c r="O231" s="132">
        <f t="shared" si="73"/>
        <v>28269.262493878494</v>
      </c>
    </row>
    <row r="232" spans="1:15" x14ac:dyDescent="0.25">
      <c r="A232" s="72">
        <f t="shared" si="79"/>
        <v>67</v>
      </c>
      <c r="B232" s="183">
        <f t="shared" si="74"/>
        <v>0</v>
      </c>
      <c r="C232" s="184">
        <f>-Parking!$E$89/12</f>
        <v>0</v>
      </c>
      <c r="D232" s="183">
        <f>Parking!$E$87/12*B231</f>
        <v>0</v>
      </c>
      <c r="E232" s="185">
        <f t="shared" si="75"/>
        <v>0</v>
      </c>
      <c r="F232" s="72">
        <f t="shared" si="80"/>
        <v>67</v>
      </c>
      <c r="G232" s="180">
        <f t="shared" si="76"/>
        <v>10703317.314909194</v>
      </c>
      <c r="H232" s="186">
        <f>-Parking!$E$94/12</f>
        <v>46202.434086102563</v>
      </c>
      <c r="I232" s="149">
        <f>Parking!$E$92/12*G231</f>
        <v>17886.05615473427</v>
      </c>
      <c r="J232" s="187">
        <f t="shared" si="77"/>
        <v>28316.377931368294</v>
      </c>
      <c r="K232" s="72">
        <f t="shared" si="81"/>
        <v>67</v>
      </c>
      <c r="L232" s="180">
        <f t="shared" si="78"/>
        <v>10703317.314909194</v>
      </c>
      <c r="M232" s="181">
        <f t="shared" si="78"/>
        <v>46202.434086102563</v>
      </c>
      <c r="N232" s="180">
        <f t="shared" si="78"/>
        <v>17886.05615473427</v>
      </c>
      <c r="O232" s="132">
        <f t="shared" si="73"/>
        <v>28316.377931368294</v>
      </c>
    </row>
    <row r="233" spans="1:15" x14ac:dyDescent="0.25">
      <c r="A233" s="72">
        <f t="shared" si="79"/>
        <v>68</v>
      </c>
      <c r="B233" s="183">
        <f t="shared" si="74"/>
        <v>0</v>
      </c>
      <c r="C233" s="184">
        <f>-Parking!$E$89/12</f>
        <v>0</v>
      </c>
      <c r="D233" s="183">
        <f>Parking!$E$87/12*B232</f>
        <v>0</v>
      </c>
      <c r="E233" s="185">
        <f t="shared" si="75"/>
        <v>0</v>
      </c>
      <c r="F233" s="72">
        <f t="shared" si="80"/>
        <v>68</v>
      </c>
      <c r="G233" s="180">
        <f t="shared" si="76"/>
        <v>10674953.743014606</v>
      </c>
      <c r="H233" s="186">
        <f>-Parking!$E$94/12</f>
        <v>46202.434086102563</v>
      </c>
      <c r="I233" s="149">
        <f>Parking!$E$92/12*G232</f>
        <v>17838.862191515324</v>
      </c>
      <c r="J233" s="187">
        <f t="shared" si="77"/>
        <v>28363.57189458724</v>
      </c>
      <c r="K233" s="72">
        <f t="shared" si="81"/>
        <v>68</v>
      </c>
      <c r="L233" s="180">
        <f t="shared" si="78"/>
        <v>10674953.743014606</v>
      </c>
      <c r="M233" s="181">
        <f t="shared" si="78"/>
        <v>46202.434086102563</v>
      </c>
      <c r="N233" s="180">
        <f t="shared" si="78"/>
        <v>17838.862191515324</v>
      </c>
      <c r="O233" s="132">
        <f t="shared" si="73"/>
        <v>28363.57189458724</v>
      </c>
    </row>
    <row r="234" spans="1:15" x14ac:dyDescent="0.25">
      <c r="A234" s="72">
        <f t="shared" si="79"/>
        <v>69</v>
      </c>
      <c r="B234" s="183">
        <f t="shared" si="74"/>
        <v>0</v>
      </c>
      <c r="C234" s="184">
        <f>-Parking!$E$89/12</f>
        <v>0</v>
      </c>
      <c r="D234" s="183">
        <f>Parking!$E$87/12*B233</f>
        <v>0</v>
      </c>
      <c r="E234" s="185">
        <f t="shared" si="75"/>
        <v>0</v>
      </c>
      <c r="F234" s="72">
        <f t="shared" si="80"/>
        <v>69</v>
      </c>
      <c r="G234" s="180">
        <f t="shared" si="76"/>
        <v>10646542.898500195</v>
      </c>
      <c r="H234" s="186">
        <f>-Parking!$E$94/12</f>
        <v>46202.434086102563</v>
      </c>
      <c r="I234" s="149">
        <f>Parking!$E$92/12*G233</f>
        <v>17791.589571691009</v>
      </c>
      <c r="J234" s="187">
        <f t="shared" si="77"/>
        <v>28410.844514411554</v>
      </c>
      <c r="K234" s="72">
        <f t="shared" si="81"/>
        <v>69</v>
      </c>
      <c r="L234" s="180">
        <f t="shared" si="78"/>
        <v>10646542.898500195</v>
      </c>
      <c r="M234" s="181">
        <f t="shared" si="78"/>
        <v>46202.434086102563</v>
      </c>
      <c r="N234" s="180">
        <f t="shared" si="78"/>
        <v>17791.589571691009</v>
      </c>
      <c r="O234" s="132">
        <f t="shared" si="73"/>
        <v>28410.844514411554</v>
      </c>
    </row>
    <row r="235" spans="1:15" x14ac:dyDescent="0.25">
      <c r="A235" s="72">
        <f t="shared" si="79"/>
        <v>70</v>
      </c>
      <c r="B235" s="183">
        <f t="shared" si="74"/>
        <v>0</v>
      </c>
      <c r="C235" s="184">
        <f>-Parking!$E$89/12</f>
        <v>0</v>
      </c>
      <c r="D235" s="183">
        <f>Parking!$E$87/12*B234</f>
        <v>0</v>
      </c>
      <c r="E235" s="185">
        <f t="shared" si="75"/>
        <v>0</v>
      </c>
      <c r="F235" s="72">
        <f t="shared" si="80"/>
        <v>70</v>
      </c>
      <c r="G235" s="180">
        <f t="shared" si="76"/>
        <v>10618084.70257826</v>
      </c>
      <c r="H235" s="186">
        <f>-Parking!$E$94/12</f>
        <v>46202.434086102563</v>
      </c>
      <c r="I235" s="149">
        <f>Parking!$E$92/12*G234</f>
        <v>17744.238164166993</v>
      </c>
      <c r="J235" s="187">
        <f t="shared" si="77"/>
        <v>28458.19592193557</v>
      </c>
      <c r="K235" s="72">
        <f t="shared" si="81"/>
        <v>70</v>
      </c>
      <c r="L235" s="180">
        <f t="shared" si="78"/>
        <v>10618084.70257826</v>
      </c>
      <c r="M235" s="181">
        <f t="shared" si="78"/>
        <v>46202.434086102563</v>
      </c>
      <c r="N235" s="180">
        <f t="shared" si="78"/>
        <v>17744.238164166993</v>
      </c>
      <c r="O235" s="132">
        <f t="shared" si="73"/>
        <v>28458.19592193557</v>
      </c>
    </row>
    <row r="236" spans="1:15" x14ac:dyDescent="0.25">
      <c r="A236" s="72">
        <f t="shared" si="79"/>
        <v>71</v>
      </c>
      <c r="B236" s="183">
        <f t="shared" si="74"/>
        <v>0</v>
      </c>
      <c r="C236" s="184">
        <f>-Parking!$E$89/12</f>
        <v>0</v>
      </c>
      <c r="D236" s="183">
        <f>Parking!$E$87/12*B235</f>
        <v>0</v>
      </c>
      <c r="E236" s="185">
        <f t="shared" si="75"/>
        <v>0</v>
      </c>
      <c r="F236" s="72">
        <f t="shared" si="80"/>
        <v>71</v>
      </c>
      <c r="G236" s="180">
        <f t="shared" si="76"/>
        <v>10589579.076329788</v>
      </c>
      <c r="H236" s="186">
        <f>-Parking!$E$94/12</f>
        <v>46202.434086102563</v>
      </c>
      <c r="I236" s="149">
        <f>Parking!$E$92/12*G235</f>
        <v>17696.807837630433</v>
      </c>
      <c r="J236" s="187">
        <f t="shared" si="77"/>
        <v>28505.62624847213</v>
      </c>
      <c r="K236" s="72">
        <f t="shared" si="81"/>
        <v>71</v>
      </c>
      <c r="L236" s="180">
        <f t="shared" si="78"/>
        <v>10589579.076329788</v>
      </c>
      <c r="M236" s="181">
        <f t="shared" si="78"/>
        <v>46202.434086102563</v>
      </c>
      <c r="N236" s="180">
        <f t="shared" si="78"/>
        <v>17696.807837630433</v>
      </c>
      <c r="O236" s="132">
        <f t="shared" si="73"/>
        <v>28505.62624847213</v>
      </c>
    </row>
    <row r="237" spans="1:15" x14ac:dyDescent="0.25">
      <c r="A237" s="72">
        <f t="shared" si="79"/>
        <v>72</v>
      </c>
      <c r="B237" s="183">
        <f t="shared" si="74"/>
        <v>0</v>
      </c>
      <c r="C237" s="184">
        <f>-Parking!$E$89/12</f>
        <v>0</v>
      </c>
      <c r="D237" s="183">
        <f>Parking!$E$87/12*B236</f>
        <v>0</v>
      </c>
      <c r="E237" s="185">
        <f t="shared" si="75"/>
        <v>0</v>
      </c>
      <c r="F237" s="72">
        <f t="shared" si="80"/>
        <v>72</v>
      </c>
      <c r="G237" s="180">
        <f t="shared" si="76"/>
        <v>10561025.940704236</v>
      </c>
      <c r="H237" s="186">
        <f>-Parking!$E$94/12</f>
        <v>46202.434086102563</v>
      </c>
      <c r="I237" s="149">
        <f>Parking!$E$92/12*G236</f>
        <v>17649.298460549649</v>
      </c>
      <c r="J237" s="187">
        <f t="shared" si="77"/>
        <v>28553.135625552914</v>
      </c>
      <c r="K237" s="72">
        <f t="shared" si="81"/>
        <v>72</v>
      </c>
      <c r="L237" s="180">
        <f t="shared" si="78"/>
        <v>10561025.940704236</v>
      </c>
      <c r="M237" s="181">
        <f t="shared" si="78"/>
        <v>46202.434086102563</v>
      </c>
      <c r="N237" s="180">
        <f t="shared" si="78"/>
        <v>17649.298460549649</v>
      </c>
      <c r="O237" s="132">
        <f t="shared" si="73"/>
        <v>28553.135625552914</v>
      </c>
    </row>
    <row r="238" spans="1:15" x14ac:dyDescent="0.25">
      <c r="A238" s="72">
        <f t="shared" si="79"/>
        <v>73</v>
      </c>
      <c r="B238" s="183">
        <f t="shared" si="74"/>
        <v>0</v>
      </c>
      <c r="C238" s="184">
        <f>-Parking!$E$89/12</f>
        <v>0</v>
      </c>
      <c r="D238" s="183">
        <f>Parking!$E$87/12*B237</f>
        <v>0</v>
      </c>
      <c r="E238" s="185">
        <f t="shared" si="75"/>
        <v>0</v>
      </c>
      <c r="F238" s="72">
        <f t="shared" si="80"/>
        <v>73</v>
      </c>
      <c r="G238" s="180">
        <f t="shared" si="76"/>
        <v>10532425.216519307</v>
      </c>
      <c r="H238" s="186">
        <f>-Parking!$E$94/12</f>
        <v>46202.434086102563</v>
      </c>
      <c r="I238" s="149">
        <f>Parking!$E$92/12*G237</f>
        <v>17601.709901173726</v>
      </c>
      <c r="J238" s="187">
        <f t="shared" si="77"/>
        <v>28600.724184928837</v>
      </c>
      <c r="K238" s="72">
        <f t="shared" si="81"/>
        <v>73</v>
      </c>
      <c r="L238" s="180">
        <f t="shared" si="78"/>
        <v>10532425.216519307</v>
      </c>
      <c r="M238" s="181">
        <f t="shared" si="78"/>
        <v>46202.434086102563</v>
      </c>
      <c r="N238" s="180">
        <f t="shared" si="78"/>
        <v>17601.709901173726</v>
      </c>
      <c r="O238" s="132">
        <f t="shared" si="73"/>
        <v>28600.724184928837</v>
      </c>
    </row>
    <row r="239" spans="1:15" x14ac:dyDescent="0.25">
      <c r="A239" s="72">
        <f t="shared" si="79"/>
        <v>74</v>
      </c>
      <c r="B239" s="183">
        <f t="shared" si="74"/>
        <v>0</v>
      </c>
      <c r="C239" s="184">
        <f>-Parking!$E$89/12</f>
        <v>0</v>
      </c>
      <c r="D239" s="183">
        <f>Parking!$E$87/12*B238</f>
        <v>0</v>
      </c>
      <c r="E239" s="185">
        <f t="shared" si="75"/>
        <v>0</v>
      </c>
      <c r="F239" s="72">
        <f t="shared" si="80"/>
        <v>74</v>
      </c>
      <c r="G239" s="180">
        <f t="shared" si="76"/>
        <v>10503776.824460737</v>
      </c>
      <c r="H239" s="186">
        <f>-Parking!$E$94/12</f>
        <v>46202.434086102563</v>
      </c>
      <c r="I239" s="149">
        <f>Parking!$E$92/12*G238</f>
        <v>17554.042027532181</v>
      </c>
      <c r="J239" s="187">
        <f t="shared" si="77"/>
        <v>28648.392058570382</v>
      </c>
      <c r="K239" s="72">
        <f t="shared" si="81"/>
        <v>74</v>
      </c>
      <c r="L239" s="180">
        <f t="shared" si="78"/>
        <v>10503776.824460737</v>
      </c>
      <c r="M239" s="181">
        <f t="shared" si="78"/>
        <v>46202.434086102563</v>
      </c>
      <c r="N239" s="180">
        <f t="shared" si="78"/>
        <v>17554.042027532181</v>
      </c>
      <c r="O239" s="132">
        <f t="shared" si="73"/>
        <v>28648.392058570382</v>
      </c>
    </row>
    <row r="240" spans="1:15" x14ac:dyDescent="0.25">
      <c r="A240" s="72">
        <f t="shared" si="79"/>
        <v>75</v>
      </c>
      <c r="B240" s="183">
        <f t="shared" si="74"/>
        <v>0</v>
      </c>
      <c r="C240" s="184">
        <f>-Parking!$E$89/12</f>
        <v>0</v>
      </c>
      <c r="D240" s="183">
        <f>Parking!$E$87/12*B239</f>
        <v>0</v>
      </c>
      <c r="E240" s="185">
        <f t="shared" si="75"/>
        <v>0</v>
      </c>
      <c r="F240" s="72">
        <f t="shared" si="80"/>
        <v>75</v>
      </c>
      <c r="G240" s="180">
        <f t="shared" si="76"/>
        <v>10475080.685082069</v>
      </c>
      <c r="H240" s="186">
        <f>-Parking!$E$94/12</f>
        <v>46202.434086102563</v>
      </c>
      <c r="I240" s="149">
        <f>Parking!$E$92/12*G239</f>
        <v>17506.294707434565</v>
      </c>
      <c r="J240" s="187">
        <f t="shared" si="77"/>
        <v>28696.139378667998</v>
      </c>
      <c r="K240" s="72">
        <f t="shared" si="81"/>
        <v>75</v>
      </c>
      <c r="L240" s="180">
        <f t="shared" si="78"/>
        <v>10475080.685082069</v>
      </c>
      <c r="M240" s="181">
        <f t="shared" si="78"/>
        <v>46202.434086102563</v>
      </c>
      <c r="N240" s="180">
        <f t="shared" si="78"/>
        <v>17506.294707434565</v>
      </c>
      <c r="O240" s="132">
        <f t="shared" si="73"/>
        <v>28696.139378667998</v>
      </c>
    </row>
    <row r="241" spans="1:15" x14ac:dyDescent="0.25">
      <c r="A241" s="72">
        <f t="shared" si="79"/>
        <v>76</v>
      </c>
      <c r="B241" s="183">
        <f t="shared" si="74"/>
        <v>0</v>
      </c>
      <c r="C241" s="184">
        <f>-Parking!$E$89/12</f>
        <v>0</v>
      </c>
      <c r="D241" s="183">
        <f>Parking!$E$87/12*B240</f>
        <v>0</v>
      </c>
      <c r="E241" s="185">
        <f t="shared" si="75"/>
        <v>0</v>
      </c>
      <c r="F241" s="72">
        <f t="shared" si="80"/>
        <v>76</v>
      </c>
      <c r="G241" s="180">
        <f t="shared" si="76"/>
        <v>10446336.718804436</v>
      </c>
      <c r="H241" s="186">
        <f>-Parking!$E$94/12</f>
        <v>46202.434086102563</v>
      </c>
      <c r="I241" s="149">
        <f>Parking!$E$92/12*G240</f>
        <v>17458.467808470115</v>
      </c>
      <c r="J241" s="187">
        <f t="shared" si="77"/>
        <v>28743.966277632448</v>
      </c>
      <c r="K241" s="72">
        <f t="shared" si="81"/>
        <v>76</v>
      </c>
      <c r="L241" s="180">
        <f t="shared" si="78"/>
        <v>10446336.718804436</v>
      </c>
      <c r="M241" s="181">
        <f t="shared" si="78"/>
        <v>46202.434086102563</v>
      </c>
      <c r="N241" s="180">
        <f t="shared" si="78"/>
        <v>17458.467808470115</v>
      </c>
      <c r="O241" s="132">
        <f t="shared" si="73"/>
        <v>28743.966277632448</v>
      </c>
    </row>
    <row r="242" spans="1:15" x14ac:dyDescent="0.25">
      <c r="A242" s="72">
        <f t="shared" si="79"/>
        <v>77</v>
      </c>
      <c r="B242" s="183">
        <f t="shared" si="74"/>
        <v>0</v>
      </c>
      <c r="C242" s="184">
        <f>-Parking!$E$89/12</f>
        <v>0</v>
      </c>
      <c r="D242" s="183">
        <f>Parking!$E$87/12*B241</f>
        <v>0</v>
      </c>
      <c r="E242" s="185">
        <f t="shared" si="75"/>
        <v>0</v>
      </c>
      <c r="F242" s="72">
        <f t="shared" si="80"/>
        <v>77</v>
      </c>
      <c r="G242" s="180">
        <f t="shared" si="76"/>
        <v>10417544.84591634</v>
      </c>
      <c r="H242" s="186">
        <f>-Parking!$E$94/12</f>
        <v>46202.434086102563</v>
      </c>
      <c r="I242" s="149">
        <f>Parking!$E$92/12*G241</f>
        <v>17410.561198007395</v>
      </c>
      <c r="J242" s="187">
        <f t="shared" si="77"/>
        <v>28791.872888095168</v>
      </c>
      <c r="K242" s="72">
        <f t="shared" si="81"/>
        <v>77</v>
      </c>
      <c r="L242" s="180">
        <f t="shared" si="78"/>
        <v>10417544.84591634</v>
      </c>
      <c r="M242" s="181">
        <f t="shared" si="78"/>
        <v>46202.434086102563</v>
      </c>
      <c r="N242" s="180">
        <f t="shared" si="78"/>
        <v>17410.561198007395</v>
      </c>
      <c r="O242" s="132">
        <f t="shared" si="73"/>
        <v>28791.872888095168</v>
      </c>
    </row>
    <row r="243" spans="1:15" x14ac:dyDescent="0.25">
      <c r="A243" s="72">
        <f t="shared" si="79"/>
        <v>78</v>
      </c>
      <c r="B243" s="183">
        <f t="shared" si="74"/>
        <v>0</v>
      </c>
      <c r="C243" s="184">
        <f>-Parking!$E$89/12</f>
        <v>0</v>
      </c>
      <c r="D243" s="183">
        <f>Parking!$E$87/12*B242</f>
        <v>0</v>
      </c>
      <c r="E243" s="185">
        <f t="shared" si="75"/>
        <v>0</v>
      </c>
      <c r="F243" s="72">
        <f t="shared" si="80"/>
        <v>78</v>
      </c>
      <c r="G243" s="180">
        <f t="shared" si="76"/>
        <v>10388704.986573432</v>
      </c>
      <c r="H243" s="186">
        <f>-Parking!$E$94/12</f>
        <v>46202.434086102563</v>
      </c>
      <c r="I243" s="149">
        <f>Parking!$E$92/12*G242</f>
        <v>17362.574743193902</v>
      </c>
      <c r="J243" s="187">
        <f t="shared" si="77"/>
        <v>28839.859342908661</v>
      </c>
      <c r="K243" s="72">
        <f t="shared" si="81"/>
        <v>78</v>
      </c>
      <c r="L243" s="180">
        <f t="shared" si="78"/>
        <v>10388704.986573432</v>
      </c>
      <c r="M243" s="181">
        <f t="shared" si="78"/>
        <v>46202.434086102563</v>
      </c>
      <c r="N243" s="180">
        <f t="shared" si="78"/>
        <v>17362.574743193902</v>
      </c>
      <c r="O243" s="132">
        <f t="shared" si="73"/>
        <v>28839.859342908661</v>
      </c>
    </row>
    <row r="244" spans="1:15" x14ac:dyDescent="0.25">
      <c r="A244" s="72">
        <f t="shared" si="79"/>
        <v>79</v>
      </c>
      <c r="B244" s="183">
        <f t="shared" si="74"/>
        <v>0</v>
      </c>
      <c r="C244" s="184">
        <f>-Parking!$E$89/12</f>
        <v>0</v>
      </c>
      <c r="D244" s="183">
        <f>Parking!$E$87/12*B243</f>
        <v>0</v>
      </c>
      <c r="E244" s="185">
        <f t="shared" si="75"/>
        <v>0</v>
      </c>
      <c r="F244" s="72">
        <f t="shared" si="80"/>
        <v>79</v>
      </c>
      <c r="G244" s="180">
        <f t="shared" si="76"/>
        <v>10359817.060798286</v>
      </c>
      <c r="H244" s="186">
        <f>-Parking!$E$94/12</f>
        <v>46202.434086102563</v>
      </c>
      <c r="I244" s="149">
        <f>Parking!$E$92/12*G243</f>
        <v>17314.50831095572</v>
      </c>
      <c r="J244" s="187">
        <f t="shared" si="77"/>
        <v>28887.925775146843</v>
      </c>
      <c r="K244" s="72">
        <f t="shared" si="81"/>
        <v>79</v>
      </c>
      <c r="L244" s="180">
        <f t="shared" si="78"/>
        <v>10359817.060798286</v>
      </c>
      <c r="M244" s="181">
        <f t="shared" si="78"/>
        <v>46202.434086102563</v>
      </c>
      <c r="N244" s="180">
        <f t="shared" si="78"/>
        <v>17314.50831095572</v>
      </c>
      <c r="O244" s="132">
        <f t="shared" si="73"/>
        <v>28887.925775146843</v>
      </c>
    </row>
    <row r="245" spans="1:15" x14ac:dyDescent="0.25">
      <c r="A245" s="72">
        <f t="shared" si="79"/>
        <v>80</v>
      </c>
      <c r="B245" s="183">
        <f t="shared" si="74"/>
        <v>0</v>
      </c>
      <c r="C245" s="184">
        <f>-Parking!$E$89/12</f>
        <v>0</v>
      </c>
      <c r="D245" s="183">
        <f>Parking!$E$87/12*B244</f>
        <v>0</v>
      </c>
      <c r="E245" s="185">
        <f t="shared" si="75"/>
        <v>0</v>
      </c>
      <c r="F245" s="72">
        <f t="shared" si="80"/>
        <v>80</v>
      </c>
      <c r="G245" s="180">
        <f t="shared" si="76"/>
        <v>10330880.988480181</v>
      </c>
      <c r="H245" s="186">
        <f>-Parking!$E$94/12</f>
        <v>46202.434086102563</v>
      </c>
      <c r="I245" s="149">
        <f>Parking!$E$92/12*G244</f>
        <v>17266.361767997143</v>
      </c>
      <c r="J245" s="187">
        <f t="shared" si="77"/>
        <v>28936.07231810542</v>
      </c>
      <c r="K245" s="72">
        <f t="shared" si="81"/>
        <v>80</v>
      </c>
      <c r="L245" s="180">
        <f t="shared" si="78"/>
        <v>10330880.988480181</v>
      </c>
      <c r="M245" s="181">
        <f t="shared" si="78"/>
        <v>46202.434086102563</v>
      </c>
      <c r="N245" s="180">
        <f t="shared" si="78"/>
        <v>17266.361767997143</v>
      </c>
      <c r="O245" s="132">
        <f t="shared" si="73"/>
        <v>28936.07231810542</v>
      </c>
    </row>
    <row r="246" spans="1:15" x14ac:dyDescent="0.25">
      <c r="A246" s="72">
        <f t="shared" si="79"/>
        <v>81</v>
      </c>
      <c r="B246" s="183">
        <f t="shared" si="74"/>
        <v>0</v>
      </c>
      <c r="C246" s="184">
        <f>-Parking!$E$89/12</f>
        <v>0</v>
      </c>
      <c r="D246" s="183">
        <f>Parking!$E$87/12*B245</f>
        <v>0</v>
      </c>
      <c r="E246" s="185">
        <f t="shared" si="75"/>
        <v>0</v>
      </c>
      <c r="F246" s="72">
        <f t="shared" si="80"/>
        <v>81</v>
      </c>
      <c r="G246" s="180">
        <f t="shared" si="76"/>
        <v>10301896.689374879</v>
      </c>
      <c r="H246" s="186">
        <f>-Parking!$E$94/12</f>
        <v>46202.434086102563</v>
      </c>
      <c r="I246" s="149">
        <f>Parking!$E$92/12*G245</f>
        <v>17218.134980800303</v>
      </c>
      <c r="J246" s="187">
        <f t="shared" si="77"/>
        <v>28984.29910530226</v>
      </c>
      <c r="K246" s="72">
        <f t="shared" si="81"/>
        <v>81</v>
      </c>
      <c r="L246" s="180">
        <f t="shared" si="78"/>
        <v>10301896.689374879</v>
      </c>
      <c r="M246" s="181">
        <f t="shared" si="78"/>
        <v>46202.434086102563</v>
      </c>
      <c r="N246" s="180">
        <f t="shared" si="78"/>
        <v>17218.134980800303</v>
      </c>
      <c r="O246" s="132">
        <f t="shared" si="73"/>
        <v>28984.29910530226</v>
      </c>
    </row>
    <row r="247" spans="1:15" x14ac:dyDescent="0.25">
      <c r="A247" s="72">
        <f t="shared" si="79"/>
        <v>82</v>
      </c>
      <c r="B247" s="183">
        <f t="shared" si="74"/>
        <v>0</v>
      </c>
      <c r="C247" s="184">
        <f>-Parking!$E$89/12</f>
        <v>0</v>
      </c>
      <c r="D247" s="183">
        <f>Parking!$E$87/12*B246</f>
        <v>0</v>
      </c>
      <c r="E247" s="185">
        <f t="shared" si="75"/>
        <v>0</v>
      </c>
      <c r="F247" s="72">
        <f t="shared" si="80"/>
        <v>82</v>
      </c>
      <c r="G247" s="180">
        <f t="shared" si="76"/>
        <v>10272864.083104402</v>
      </c>
      <c r="H247" s="186">
        <f>-Parking!$E$94/12</f>
        <v>46202.434086102563</v>
      </c>
      <c r="I247" s="149">
        <f>Parking!$E$92/12*G246</f>
        <v>17169.827815624798</v>
      </c>
      <c r="J247" s="187">
        <f t="shared" si="77"/>
        <v>29032.606270477765</v>
      </c>
      <c r="K247" s="72">
        <f t="shared" si="81"/>
        <v>82</v>
      </c>
      <c r="L247" s="180">
        <f t="shared" si="78"/>
        <v>10272864.083104402</v>
      </c>
      <c r="M247" s="181">
        <f t="shared" si="78"/>
        <v>46202.434086102563</v>
      </c>
      <c r="N247" s="180">
        <f t="shared" si="78"/>
        <v>17169.827815624798</v>
      </c>
      <c r="O247" s="132">
        <f t="shared" si="73"/>
        <v>29032.606270477765</v>
      </c>
    </row>
    <row r="248" spans="1:15" x14ac:dyDescent="0.25">
      <c r="A248" s="72">
        <f t="shared" si="79"/>
        <v>83</v>
      </c>
      <c r="B248" s="183">
        <f t="shared" si="74"/>
        <v>0</v>
      </c>
      <c r="C248" s="184">
        <f>-Parking!$E$89/12</f>
        <v>0</v>
      </c>
      <c r="D248" s="183">
        <f>Parking!$E$87/12*B247</f>
        <v>0</v>
      </c>
      <c r="E248" s="185">
        <f t="shared" si="75"/>
        <v>0</v>
      </c>
      <c r="F248" s="72">
        <f t="shared" si="80"/>
        <v>83</v>
      </c>
      <c r="G248" s="180">
        <f t="shared" si="76"/>
        <v>10243783.089156806</v>
      </c>
      <c r="H248" s="186">
        <f>-Parking!$E$94/12</f>
        <v>46202.434086102563</v>
      </c>
      <c r="I248" s="149">
        <f>Parking!$E$92/12*G247</f>
        <v>17121.440138507336</v>
      </c>
      <c r="J248" s="187">
        <f t="shared" si="77"/>
        <v>29080.993947595227</v>
      </c>
      <c r="K248" s="72">
        <f t="shared" si="81"/>
        <v>83</v>
      </c>
      <c r="L248" s="180">
        <f t="shared" si="78"/>
        <v>10243783.089156806</v>
      </c>
      <c r="M248" s="181">
        <f t="shared" si="78"/>
        <v>46202.434086102563</v>
      </c>
      <c r="N248" s="180">
        <f t="shared" si="78"/>
        <v>17121.440138507336</v>
      </c>
      <c r="O248" s="132">
        <f t="shared" si="73"/>
        <v>29080.993947595227</v>
      </c>
    </row>
    <row r="249" spans="1:15" x14ac:dyDescent="0.25">
      <c r="A249" s="72">
        <f t="shared" si="79"/>
        <v>84</v>
      </c>
      <c r="B249" s="183">
        <f t="shared" si="74"/>
        <v>0</v>
      </c>
      <c r="C249" s="184">
        <f>-Parking!$E$89/12</f>
        <v>0</v>
      </c>
      <c r="D249" s="183">
        <f>Parking!$E$87/12*B248</f>
        <v>0</v>
      </c>
      <c r="E249" s="185">
        <f t="shared" si="75"/>
        <v>0</v>
      </c>
      <c r="F249" s="72">
        <f t="shared" si="80"/>
        <v>84</v>
      </c>
      <c r="G249" s="180">
        <f t="shared" si="76"/>
        <v>10214653.626885965</v>
      </c>
      <c r="H249" s="186">
        <f>-Parking!$E$94/12</f>
        <v>46202.434086102563</v>
      </c>
      <c r="I249" s="149">
        <f>Parking!$E$92/12*G248</f>
        <v>17072.971815261346</v>
      </c>
      <c r="J249" s="187">
        <f t="shared" si="77"/>
        <v>29129.462270841217</v>
      </c>
      <c r="K249" s="72">
        <f t="shared" si="81"/>
        <v>84</v>
      </c>
      <c r="L249" s="180">
        <f t="shared" si="78"/>
        <v>10214653.626885965</v>
      </c>
      <c r="M249" s="181">
        <f t="shared" si="78"/>
        <v>46202.434086102563</v>
      </c>
      <c r="N249" s="180">
        <f t="shared" si="78"/>
        <v>17072.971815261346</v>
      </c>
      <c r="O249" s="132">
        <f t="shared" si="73"/>
        <v>29129.462270841217</v>
      </c>
    </row>
    <row r="250" spans="1:15" x14ac:dyDescent="0.25">
      <c r="A250" s="72">
        <f t="shared" si="79"/>
        <v>85</v>
      </c>
      <c r="B250" s="183">
        <f t="shared" si="74"/>
        <v>0</v>
      </c>
      <c r="C250" s="184">
        <f>-Parking!$E$89/12</f>
        <v>0</v>
      </c>
      <c r="D250" s="183">
        <f>Parking!$E$87/12*B249</f>
        <v>0</v>
      </c>
      <c r="E250" s="185">
        <f t="shared" si="75"/>
        <v>0</v>
      </c>
      <c r="F250" s="72">
        <f t="shared" si="80"/>
        <v>85</v>
      </c>
      <c r="G250" s="180">
        <f t="shared" si="76"/>
        <v>10185475.615511339</v>
      </c>
      <c r="H250" s="186">
        <f>-Parking!$E$94/12</f>
        <v>46202.434086102563</v>
      </c>
      <c r="I250" s="149">
        <f>Parking!$E$92/12*G249</f>
        <v>17024.422711476611</v>
      </c>
      <c r="J250" s="187">
        <f t="shared" si="77"/>
        <v>29178.011374625952</v>
      </c>
      <c r="K250" s="72">
        <f t="shared" si="81"/>
        <v>85</v>
      </c>
      <c r="L250" s="180">
        <f t="shared" si="78"/>
        <v>10185475.615511339</v>
      </c>
      <c r="M250" s="181">
        <f t="shared" si="78"/>
        <v>46202.434086102563</v>
      </c>
      <c r="N250" s="180">
        <f t="shared" si="78"/>
        <v>17024.422711476611</v>
      </c>
      <c r="O250" s="132">
        <f t="shared" si="73"/>
        <v>29178.011374625952</v>
      </c>
    </row>
    <row r="251" spans="1:15" x14ac:dyDescent="0.25">
      <c r="A251" s="72">
        <f t="shared" si="79"/>
        <v>86</v>
      </c>
      <c r="B251" s="183">
        <f t="shared" si="74"/>
        <v>0</v>
      </c>
      <c r="C251" s="184">
        <f>-Parking!$E$89/12</f>
        <v>0</v>
      </c>
      <c r="D251" s="183">
        <f>Parking!$E$87/12*B250</f>
        <v>0</v>
      </c>
      <c r="E251" s="185">
        <f t="shared" si="75"/>
        <v>0</v>
      </c>
      <c r="F251" s="72">
        <f t="shared" si="80"/>
        <v>86</v>
      </c>
      <c r="G251" s="180">
        <f t="shared" si="76"/>
        <v>10156248.974117756</v>
      </c>
      <c r="H251" s="186">
        <f>-Parking!$E$94/12</f>
        <v>46202.434086102563</v>
      </c>
      <c r="I251" s="149">
        <f>Parking!$E$92/12*G250</f>
        <v>16975.792692518899</v>
      </c>
      <c r="J251" s="187">
        <f t="shared" si="77"/>
        <v>29226.641393583664</v>
      </c>
      <c r="K251" s="72">
        <f t="shared" si="81"/>
        <v>86</v>
      </c>
      <c r="L251" s="180">
        <f t="shared" si="78"/>
        <v>10156248.974117756</v>
      </c>
      <c r="M251" s="181">
        <f t="shared" si="78"/>
        <v>46202.434086102563</v>
      </c>
      <c r="N251" s="180">
        <f t="shared" si="78"/>
        <v>16975.792692518899</v>
      </c>
      <c r="O251" s="132">
        <f t="shared" si="73"/>
        <v>29226.641393583664</v>
      </c>
    </row>
    <row r="252" spans="1:15" x14ac:dyDescent="0.25">
      <c r="A252" s="72">
        <f t="shared" si="79"/>
        <v>87</v>
      </c>
      <c r="B252" s="183">
        <f t="shared" si="74"/>
        <v>0</v>
      </c>
      <c r="C252" s="184">
        <f>-Parking!$E$89/12</f>
        <v>0</v>
      </c>
      <c r="D252" s="183">
        <f>Parking!$E$87/12*B251</f>
        <v>0</v>
      </c>
      <c r="E252" s="185">
        <f t="shared" si="75"/>
        <v>0</v>
      </c>
      <c r="F252" s="72">
        <f t="shared" si="80"/>
        <v>87</v>
      </c>
      <c r="G252" s="180">
        <f t="shared" si="76"/>
        <v>10126973.621655183</v>
      </c>
      <c r="H252" s="186">
        <f>-Parking!$E$94/12</f>
        <v>46202.434086102563</v>
      </c>
      <c r="I252" s="149">
        <f>Parking!$E$92/12*G251</f>
        <v>16927.081623529593</v>
      </c>
      <c r="J252" s="187">
        <f t="shared" si="77"/>
        <v>29275.35246257297</v>
      </c>
      <c r="K252" s="72">
        <f t="shared" si="81"/>
        <v>87</v>
      </c>
      <c r="L252" s="180">
        <f t="shared" si="78"/>
        <v>10126973.621655183</v>
      </c>
      <c r="M252" s="181">
        <f t="shared" si="78"/>
        <v>46202.434086102563</v>
      </c>
      <c r="N252" s="180">
        <f t="shared" si="78"/>
        <v>16927.081623529593</v>
      </c>
      <c r="O252" s="132">
        <f t="shared" si="73"/>
        <v>29275.35246257297</v>
      </c>
    </row>
    <row r="253" spans="1:15" x14ac:dyDescent="0.25">
      <c r="A253" s="72">
        <f t="shared" si="79"/>
        <v>88</v>
      </c>
      <c r="B253" s="183">
        <f t="shared" si="74"/>
        <v>0</v>
      </c>
      <c r="C253" s="184">
        <f>-Parking!$E$89/12</f>
        <v>0</v>
      </c>
      <c r="D253" s="183">
        <f>Parking!$E$87/12*B252</f>
        <v>0</v>
      </c>
      <c r="E253" s="185">
        <f t="shared" si="75"/>
        <v>0</v>
      </c>
      <c r="F253" s="72">
        <f t="shared" si="80"/>
        <v>88</v>
      </c>
      <c r="G253" s="180">
        <f t="shared" si="76"/>
        <v>10097649.476938505</v>
      </c>
      <c r="H253" s="186">
        <f>-Parking!$E$94/12</f>
        <v>46202.434086102563</v>
      </c>
      <c r="I253" s="149">
        <f>Parking!$E$92/12*G252</f>
        <v>16878.289369425307</v>
      </c>
      <c r="J253" s="187">
        <f t="shared" si="77"/>
        <v>29324.144716677256</v>
      </c>
      <c r="K253" s="72">
        <f t="shared" si="81"/>
        <v>88</v>
      </c>
      <c r="L253" s="180">
        <f t="shared" si="78"/>
        <v>10097649.476938505</v>
      </c>
      <c r="M253" s="181">
        <f t="shared" si="78"/>
        <v>46202.434086102563</v>
      </c>
      <c r="N253" s="180">
        <f t="shared" si="78"/>
        <v>16878.289369425307</v>
      </c>
      <c r="O253" s="132">
        <f t="shared" si="73"/>
        <v>29324.144716677256</v>
      </c>
    </row>
    <row r="254" spans="1:15" x14ac:dyDescent="0.25">
      <c r="A254" s="72">
        <f t="shared" si="79"/>
        <v>89</v>
      </c>
      <c r="B254" s="183">
        <f t="shared" si="74"/>
        <v>0</v>
      </c>
      <c r="C254" s="184">
        <f>-Parking!$E$89/12</f>
        <v>0</v>
      </c>
      <c r="D254" s="183">
        <f>Parking!$E$87/12*B253</f>
        <v>0</v>
      </c>
      <c r="E254" s="185">
        <f t="shared" si="75"/>
        <v>0</v>
      </c>
      <c r="F254" s="72">
        <f t="shared" si="80"/>
        <v>89</v>
      </c>
      <c r="G254" s="180">
        <f t="shared" si="76"/>
        <v>10068276.4586473</v>
      </c>
      <c r="H254" s="186">
        <f>-Parking!$E$94/12</f>
        <v>46202.434086102563</v>
      </c>
      <c r="I254" s="149">
        <f>Parking!$E$92/12*G253</f>
        <v>16829.415794897508</v>
      </c>
      <c r="J254" s="187">
        <f t="shared" si="77"/>
        <v>29373.018291205055</v>
      </c>
      <c r="K254" s="72">
        <f t="shared" si="81"/>
        <v>89</v>
      </c>
      <c r="L254" s="180">
        <f t="shared" si="78"/>
        <v>10068276.4586473</v>
      </c>
      <c r="M254" s="181">
        <f t="shared" si="78"/>
        <v>46202.434086102563</v>
      </c>
      <c r="N254" s="180">
        <f t="shared" si="78"/>
        <v>16829.415794897508</v>
      </c>
      <c r="O254" s="132">
        <f t="shared" si="73"/>
        <v>29373.018291205055</v>
      </c>
    </row>
    <row r="255" spans="1:15" x14ac:dyDescent="0.25">
      <c r="A255" s="72">
        <f t="shared" si="79"/>
        <v>90</v>
      </c>
      <c r="B255" s="183">
        <f t="shared" si="74"/>
        <v>0</v>
      </c>
      <c r="C255" s="184">
        <f>-Parking!$E$89/12</f>
        <v>0</v>
      </c>
      <c r="D255" s="183">
        <f>Parking!$E$87/12*B254</f>
        <v>0</v>
      </c>
      <c r="E255" s="185">
        <f t="shared" si="75"/>
        <v>0</v>
      </c>
      <c r="F255" s="72">
        <f t="shared" si="80"/>
        <v>90</v>
      </c>
      <c r="G255" s="180">
        <f t="shared" si="76"/>
        <v>10038854.485325608</v>
      </c>
      <c r="H255" s="186">
        <f>-Parking!$E$94/12</f>
        <v>46202.434086102563</v>
      </c>
      <c r="I255" s="149">
        <f>Parking!$E$92/12*G254</f>
        <v>16780.460764412168</v>
      </c>
      <c r="J255" s="187">
        <f t="shared" si="77"/>
        <v>29421.973321690395</v>
      </c>
      <c r="K255" s="72">
        <f t="shared" si="81"/>
        <v>90</v>
      </c>
      <c r="L255" s="180">
        <f t="shared" si="78"/>
        <v>10038854.485325608</v>
      </c>
      <c r="M255" s="181">
        <f t="shared" si="78"/>
        <v>46202.434086102563</v>
      </c>
      <c r="N255" s="180">
        <f t="shared" si="78"/>
        <v>16780.460764412168</v>
      </c>
      <c r="O255" s="132">
        <f t="shared" si="73"/>
        <v>29421.973321690395</v>
      </c>
    </row>
    <row r="256" spans="1:15" x14ac:dyDescent="0.25">
      <c r="A256" s="72">
        <f t="shared" si="79"/>
        <v>91</v>
      </c>
      <c r="B256" s="183">
        <f t="shared" si="74"/>
        <v>0</v>
      </c>
      <c r="C256" s="184">
        <f>-Parking!$E$89/12</f>
        <v>0</v>
      </c>
      <c r="D256" s="183">
        <f>Parking!$E$87/12*B255</f>
        <v>0</v>
      </c>
      <c r="E256" s="185">
        <f t="shared" si="75"/>
        <v>0</v>
      </c>
      <c r="F256" s="72">
        <f t="shared" si="80"/>
        <v>91</v>
      </c>
      <c r="G256" s="180">
        <f t="shared" si="76"/>
        <v>10009383.475381715</v>
      </c>
      <c r="H256" s="186">
        <f>-Parking!$E$94/12</f>
        <v>46202.434086102563</v>
      </c>
      <c r="I256" s="149">
        <f>Parking!$E$92/12*G255</f>
        <v>16731.424142209347</v>
      </c>
      <c r="J256" s="187">
        <f t="shared" si="77"/>
        <v>29471.009943893216</v>
      </c>
      <c r="K256" s="72">
        <f t="shared" si="81"/>
        <v>91</v>
      </c>
      <c r="L256" s="180">
        <f t="shared" si="78"/>
        <v>10009383.475381715</v>
      </c>
      <c r="M256" s="181">
        <f t="shared" si="78"/>
        <v>46202.434086102563</v>
      </c>
      <c r="N256" s="180">
        <f t="shared" si="78"/>
        <v>16731.424142209347</v>
      </c>
      <c r="O256" s="132">
        <f t="shared" si="73"/>
        <v>29471.009943893216</v>
      </c>
    </row>
    <row r="257" spans="1:15" x14ac:dyDescent="0.25">
      <c r="A257" s="72">
        <f t="shared" si="79"/>
        <v>92</v>
      </c>
      <c r="B257" s="183">
        <f t="shared" si="74"/>
        <v>0</v>
      </c>
      <c r="C257" s="184">
        <f>-Parking!$E$89/12</f>
        <v>0</v>
      </c>
      <c r="D257" s="183">
        <f>Parking!$E$87/12*B256</f>
        <v>0</v>
      </c>
      <c r="E257" s="185">
        <f t="shared" si="75"/>
        <v>0</v>
      </c>
      <c r="F257" s="72">
        <f t="shared" si="80"/>
        <v>92</v>
      </c>
      <c r="G257" s="180">
        <f t="shared" si="76"/>
        <v>9979863.347087916</v>
      </c>
      <c r="H257" s="186">
        <f>-Parking!$E$94/12</f>
        <v>46202.434086102563</v>
      </c>
      <c r="I257" s="149">
        <f>Parking!$E$92/12*G256</f>
        <v>16682.305792302861</v>
      </c>
      <c r="J257" s="187">
        <f t="shared" si="77"/>
        <v>29520.128293799702</v>
      </c>
      <c r="K257" s="72">
        <f t="shared" si="81"/>
        <v>92</v>
      </c>
      <c r="L257" s="180">
        <f t="shared" si="78"/>
        <v>9979863.347087916</v>
      </c>
      <c r="M257" s="181">
        <f t="shared" si="78"/>
        <v>46202.434086102563</v>
      </c>
      <c r="N257" s="180">
        <f t="shared" si="78"/>
        <v>16682.305792302861</v>
      </c>
      <c r="O257" s="132">
        <f t="shared" si="73"/>
        <v>29520.128293799702</v>
      </c>
    </row>
    <row r="258" spans="1:15" x14ac:dyDescent="0.25">
      <c r="A258" s="72">
        <f t="shared" si="79"/>
        <v>93</v>
      </c>
      <c r="B258" s="183">
        <f t="shared" si="74"/>
        <v>0</v>
      </c>
      <c r="C258" s="184">
        <f>-Parking!$E$89/12</f>
        <v>0</v>
      </c>
      <c r="D258" s="183">
        <f>Parking!$E$87/12*B257</f>
        <v>0</v>
      </c>
      <c r="E258" s="185">
        <f t="shared" si="75"/>
        <v>0</v>
      </c>
      <c r="F258" s="72">
        <f t="shared" si="80"/>
        <v>93</v>
      </c>
      <c r="G258" s="180">
        <f t="shared" si="76"/>
        <v>9950294.0185802933</v>
      </c>
      <c r="H258" s="186">
        <f>-Parking!$E$94/12</f>
        <v>46202.434086102563</v>
      </c>
      <c r="I258" s="149">
        <f>Parking!$E$92/12*G257</f>
        <v>16633.105578479863</v>
      </c>
      <c r="J258" s="187">
        <f t="shared" si="77"/>
        <v>29569.3285076227</v>
      </c>
      <c r="K258" s="72">
        <f t="shared" si="81"/>
        <v>93</v>
      </c>
      <c r="L258" s="180">
        <f t="shared" si="78"/>
        <v>9950294.0185802933</v>
      </c>
      <c r="M258" s="181">
        <f t="shared" si="78"/>
        <v>46202.434086102563</v>
      </c>
      <c r="N258" s="180">
        <f t="shared" si="78"/>
        <v>16633.105578479863</v>
      </c>
      <c r="O258" s="132">
        <f t="shared" si="73"/>
        <v>29569.3285076227</v>
      </c>
    </row>
    <row r="259" spans="1:15" x14ac:dyDescent="0.25">
      <c r="A259" s="72">
        <f t="shared" si="79"/>
        <v>94</v>
      </c>
      <c r="B259" s="183">
        <f t="shared" si="74"/>
        <v>0</v>
      </c>
      <c r="C259" s="184">
        <f>-Parking!$E$89/12</f>
        <v>0</v>
      </c>
      <c r="D259" s="183">
        <f>Parking!$E$87/12*B258</f>
        <v>0</v>
      </c>
      <c r="E259" s="185">
        <f t="shared" si="75"/>
        <v>0</v>
      </c>
      <c r="F259" s="72">
        <f t="shared" si="80"/>
        <v>94</v>
      </c>
      <c r="G259" s="180">
        <f t="shared" si="76"/>
        <v>9920675.4078584909</v>
      </c>
      <c r="H259" s="186">
        <f>-Parking!$E$94/12</f>
        <v>46202.434086102563</v>
      </c>
      <c r="I259" s="149">
        <f>Parking!$E$92/12*G258</f>
        <v>16583.82336430049</v>
      </c>
      <c r="J259" s="187">
        <f t="shared" si="77"/>
        <v>29618.610721802073</v>
      </c>
      <c r="K259" s="72">
        <f t="shared" si="81"/>
        <v>94</v>
      </c>
      <c r="L259" s="180">
        <f t="shared" si="78"/>
        <v>9920675.4078584909</v>
      </c>
      <c r="M259" s="181">
        <f t="shared" si="78"/>
        <v>46202.434086102563</v>
      </c>
      <c r="N259" s="180">
        <f t="shared" si="78"/>
        <v>16583.82336430049</v>
      </c>
      <c r="O259" s="132">
        <f t="shared" si="73"/>
        <v>29618.610721802073</v>
      </c>
    </row>
    <row r="260" spans="1:15" x14ac:dyDescent="0.25">
      <c r="A260" s="72">
        <f t="shared" si="79"/>
        <v>95</v>
      </c>
      <c r="B260" s="183">
        <f t="shared" si="74"/>
        <v>0</v>
      </c>
      <c r="C260" s="184">
        <f>-Parking!$E$89/12</f>
        <v>0</v>
      </c>
      <c r="D260" s="183">
        <f>Parking!$E$87/12*B259</f>
        <v>0</v>
      </c>
      <c r="E260" s="185">
        <f t="shared" si="75"/>
        <v>0</v>
      </c>
      <c r="F260" s="72">
        <f t="shared" si="80"/>
        <v>95</v>
      </c>
      <c r="G260" s="180">
        <f t="shared" si="76"/>
        <v>9891007.4327854849</v>
      </c>
      <c r="H260" s="186">
        <f>-Parking!$E$94/12</f>
        <v>46202.434086102563</v>
      </c>
      <c r="I260" s="149">
        <f>Parking!$E$92/12*G259</f>
        <v>16534.459013097487</v>
      </c>
      <c r="J260" s="187">
        <f t="shared" si="77"/>
        <v>29667.975073005076</v>
      </c>
      <c r="K260" s="72">
        <f t="shared" si="81"/>
        <v>95</v>
      </c>
      <c r="L260" s="180">
        <f t="shared" si="78"/>
        <v>9891007.4327854849</v>
      </c>
      <c r="M260" s="181">
        <f t="shared" si="78"/>
        <v>46202.434086102563</v>
      </c>
      <c r="N260" s="180">
        <f t="shared" si="78"/>
        <v>16534.459013097487</v>
      </c>
      <c r="O260" s="132">
        <f t="shared" si="73"/>
        <v>29667.975073005076</v>
      </c>
    </row>
    <row r="261" spans="1:15" x14ac:dyDescent="0.25">
      <c r="A261" s="72">
        <f t="shared" si="79"/>
        <v>96</v>
      </c>
      <c r="B261" s="183">
        <f t="shared" si="74"/>
        <v>0</v>
      </c>
      <c r="C261" s="184">
        <f>-Parking!$E$89/12</f>
        <v>0</v>
      </c>
      <c r="D261" s="183">
        <f>Parking!$E$87/12*B260</f>
        <v>0</v>
      </c>
      <c r="E261" s="185">
        <f t="shared" si="75"/>
        <v>0</v>
      </c>
      <c r="F261" s="72">
        <f t="shared" si="80"/>
        <v>96</v>
      </c>
      <c r="G261" s="180">
        <f t="shared" si="76"/>
        <v>9861290.011087358</v>
      </c>
      <c r="H261" s="186">
        <f>-Parking!$E$94/12</f>
        <v>46202.434086102563</v>
      </c>
      <c r="I261" s="149">
        <f>Parking!$E$92/12*G260</f>
        <v>16485.01238797581</v>
      </c>
      <c r="J261" s="187">
        <f t="shared" si="77"/>
        <v>29717.421698126753</v>
      </c>
      <c r="K261" s="72">
        <f t="shared" si="81"/>
        <v>96</v>
      </c>
      <c r="L261" s="180">
        <f t="shared" si="78"/>
        <v>9861290.011087358</v>
      </c>
      <c r="M261" s="181">
        <f t="shared" si="78"/>
        <v>46202.434086102563</v>
      </c>
      <c r="N261" s="180">
        <f t="shared" si="78"/>
        <v>16485.01238797581</v>
      </c>
      <c r="O261" s="132">
        <f t="shared" si="73"/>
        <v>29717.421698126753</v>
      </c>
    </row>
    <row r="262" spans="1:15" x14ac:dyDescent="0.25">
      <c r="A262" s="72">
        <f t="shared" si="79"/>
        <v>97</v>
      </c>
      <c r="B262" s="183">
        <f t="shared" si="74"/>
        <v>0</v>
      </c>
      <c r="C262" s="184">
        <f>-Parking!$E$89/12</f>
        <v>0</v>
      </c>
      <c r="D262" s="183">
        <f>Parking!$E$87/12*B261</f>
        <v>0</v>
      </c>
      <c r="E262" s="185">
        <f t="shared" si="75"/>
        <v>0</v>
      </c>
      <c r="F262" s="72">
        <f t="shared" si="80"/>
        <v>97</v>
      </c>
      <c r="G262" s="180">
        <f t="shared" si="76"/>
        <v>9831523.0603530668</v>
      </c>
      <c r="H262" s="186">
        <f>-Parking!$E$94/12</f>
        <v>46202.434086102563</v>
      </c>
      <c r="I262" s="149">
        <f>Parking!$E$92/12*G261</f>
        <v>16435.483351812265</v>
      </c>
      <c r="J262" s="187">
        <f t="shared" si="77"/>
        <v>29766.950734290298</v>
      </c>
      <c r="K262" s="72">
        <f t="shared" si="81"/>
        <v>97</v>
      </c>
      <c r="L262" s="180">
        <f t="shared" si="78"/>
        <v>9831523.0603530668</v>
      </c>
      <c r="M262" s="181">
        <f t="shared" si="78"/>
        <v>46202.434086102563</v>
      </c>
      <c r="N262" s="180">
        <f t="shared" si="78"/>
        <v>16435.483351812265</v>
      </c>
      <c r="O262" s="132">
        <f t="shared" si="73"/>
        <v>29766.950734290298</v>
      </c>
    </row>
    <row r="263" spans="1:15" x14ac:dyDescent="0.25">
      <c r="A263" s="72">
        <f t="shared" si="79"/>
        <v>98</v>
      </c>
      <c r="B263" s="183">
        <f t="shared" si="74"/>
        <v>0</v>
      </c>
      <c r="C263" s="184">
        <f>-Parking!$E$89/12</f>
        <v>0</v>
      </c>
      <c r="D263" s="183">
        <f>Parking!$E$87/12*B262</f>
        <v>0</v>
      </c>
      <c r="E263" s="185">
        <f t="shared" si="75"/>
        <v>0</v>
      </c>
      <c r="F263" s="72">
        <f t="shared" si="80"/>
        <v>98</v>
      </c>
      <c r="G263" s="180">
        <f t="shared" si="76"/>
        <v>9801706.4980342202</v>
      </c>
      <c r="H263" s="186">
        <f>-Parking!$E$94/12</f>
        <v>46202.434086102563</v>
      </c>
      <c r="I263" s="149">
        <f>Parking!$E$92/12*G262</f>
        <v>16385.871767255114</v>
      </c>
      <c r="J263" s="187">
        <f t="shared" si="77"/>
        <v>29816.562318847449</v>
      </c>
      <c r="K263" s="72">
        <f t="shared" si="81"/>
        <v>98</v>
      </c>
      <c r="L263" s="180">
        <f t="shared" si="78"/>
        <v>9801706.4980342202</v>
      </c>
      <c r="M263" s="181">
        <f t="shared" si="78"/>
        <v>46202.434086102563</v>
      </c>
      <c r="N263" s="180">
        <f t="shared" si="78"/>
        <v>16385.871767255114</v>
      </c>
      <c r="O263" s="132">
        <f t="shared" si="73"/>
        <v>29816.562318847449</v>
      </c>
    </row>
    <row r="264" spans="1:15" x14ac:dyDescent="0.25">
      <c r="A264" s="72">
        <f t="shared" si="79"/>
        <v>99</v>
      </c>
      <c r="B264" s="183">
        <f t="shared" si="74"/>
        <v>0</v>
      </c>
      <c r="C264" s="184">
        <f>-Parking!$E$89/12</f>
        <v>0</v>
      </c>
      <c r="D264" s="183">
        <f>Parking!$E$87/12*B263</f>
        <v>0</v>
      </c>
      <c r="E264" s="185">
        <f t="shared" si="75"/>
        <v>0</v>
      </c>
      <c r="F264" s="72">
        <f t="shared" si="80"/>
        <v>99</v>
      </c>
      <c r="G264" s="180">
        <f t="shared" si="76"/>
        <v>9771840.241444841</v>
      </c>
      <c r="H264" s="186">
        <f>-Parking!$E$94/12</f>
        <v>46202.434086102563</v>
      </c>
      <c r="I264" s="149">
        <f>Parking!$E$92/12*G263</f>
        <v>16336.177496723702</v>
      </c>
      <c r="J264" s="187">
        <f t="shared" si="77"/>
        <v>29866.256589378863</v>
      </c>
      <c r="K264" s="72">
        <f t="shared" si="81"/>
        <v>99</v>
      </c>
      <c r="L264" s="180">
        <f t="shared" si="78"/>
        <v>9771840.241444841</v>
      </c>
      <c r="M264" s="181">
        <f t="shared" si="78"/>
        <v>46202.434086102563</v>
      </c>
      <c r="N264" s="180">
        <f t="shared" si="78"/>
        <v>16336.177496723702</v>
      </c>
      <c r="O264" s="132">
        <f t="shared" si="73"/>
        <v>29866.256589378863</v>
      </c>
    </row>
    <row r="265" spans="1:15" x14ac:dyDescent="0.25">
      <c r="A265" s="72">
        <f t="shared" si="79"/>
        <v>100</v>
      </c>
      <c r="B265" s="183">
        <f t="shared" si="74"/>
        <v>0</v>
      </c>
      <c r="C265" s="184">
        <f>-Parking!$E$89/12</f>
        <v>0</v>
      </c>
      <c r="D265" s="183">
        <f>Parking!$E$87/12*B264</f>
        <v>0</v>
      </c>
      <c r="E265" s="185">
        <f t="shared" si="75"/>
        <v>0</v>
      </c>
      <c r="F265" s="72">
        <f t="shared" si="80"/>
        <v>100</v>
      </c>
      <c r="G265" s="180">
        <f t="shared" si="76"/>
        <v>9741924.2077611461</v>
      </c>
      <c r="H265" s="186">
        <f>-Parking!$E$94/12</f>
        <v>46202.434086102563</v>
      </c>
      <c r="I265" s="149">
        <f>Parking!$E$92/12*G264</f>
        <v>16286.40040240807</v>
      </c>
      <c r="J265" s="187">
        <f t="shared" si="77"/>
        <v>29916.033683694492</v>
      </c>
      <c r="K265" s="72">
        <f t="shared" si="81"/>
        <v>100</v>
      </c>
      <c r="L265" s="180">
        <f t="shared" si="78"/>
        <v>9741924.2077611461</v>
      </c>
      <c r="M265" s="181">
        <f t="shared" si="78"/>
        <v>46202.434086102563</v>
      </c>
      <c r="N265" s="180">
        <f t="shared" si="78"/>
        <v>16286.40040240807</v>
      </c>
      <c r="O265" s="132">
        <f t="shared" si="73"/>
        <v>29916.033683694492</v>
      </c>
    </row>
    <row r="266" spans="1:15" x14ac:dyDescent="0.25">
      <c r="A266" s="72">
        <f t="shared" si="79"/>
        <v>101</v>
      </c>
      <c r="B266" s="183">
        <f t="shared" si="74"/>
        <v>0</v>
      </c>
      <c r="C266" s="184">
        <f>-Parking!$E$89/12</f>
        <v>0</v>
      </c>
      <c r="D266" s="183">
        <f>Parking!$E$87/12*B265</f>
        <v>0</v>
      </c>
      <c r="E266" s="185">
        <f t="shared" si="75"/>
        <v>0</v>
      </c>
      <c r="F266" s="72">
        <f t="shared" si="80"/>
        <v>101</v>
      </c>
      <c r="G266" s="180">
        <f t="shared" si="76"/>
        <v>9711958.3140213117</v>
      </c>
      <c r="H266" s="186">
        <f>-Parking!$E$94/12</f>
        <v>46202.434086102563</v>
      </c>
      <c r="I266" s="149">
        <f>Parking!$E$92/12*G265</f>
        <v>16236.540346268577</v>
      </c>
      <c r="J266" s="187">
        <f t="shared" si="77"/>
        <v>29965.893739833984</v>
      </c>
      <c r="K266" s="72">
        <f t="shared" si="81"/>
        <v>101</v>
      </c>
      <c r="L266" s="180">
        <f t="shared" si="78"/>
        <v>9711958.3140213117</v>
      </c>
      <c r="M266" s="181">
        <f t="shared" si="78"/>
        <v>46202.434086102563</v>
      </c>
      <c r="N266" s="180">
        <f t="shared" si="78"/>
        <v>16236.540346268577</v>
      </c>
      <c r="O266" s="132">
        <f t="shared" si="73"/>
        <v>29965.893739833984</v>
      </c>
    </row>
    <row r="267" spans="1:15" x14ac:dyDescent="0.25">
      <c r="A267" s="72">
        <f t="shared" si="79"/>
        <v>102</v>
      </c>
      <c r="B267" s="183">
        <f t="shared" si="74"/>
        <v>0</v>
      </c>
      <c r="C267" s="184">
        <f>-Parking!$E$89/12</f>
        <v>0</v>
      </c>
      <c r="D267" s="183">
        <f>Parking!$E$87/12*B266</f>
        <v>0</v>
      </c>
      <c r="E267" s="185">
        <f t="shared" si="75"/>
        <v>0</v>
      </c>
      <c r="F267" s="72">
        <f t="shared" si="80"/>
        <v>102</v>
      </c>
      <c r="G267" s="180">
        <f t="shared" si="76"/>
        <v>9681942.4771252442</v>
      </c>
      <c r="H267" s="186">
        <f>-Parking!$E$94/12</f>
        <v>46202.434086102563</v>
      </c>
      <c r="I267" s="149">
        <f>Parking!$E$92/12*G266</f>
        <v>16186.59719003552</v>
      </c>
      <c r="J267" s="187">
        <f t="shared" si="77"/>
        <v>30015.836896067041</v>
      </c>
      <c r="K267" s="72">
        <f t="shared" si="81"/>
        <v>102</v>
      </c>
      <c r="L267" s="180">
        <f t="shared" si="78"/>
        <v>9681942.4771252442</v>
      </c>
      <c r="M267" s="181">
        <f t="shared" si="78"/>
        <v>46202.434086102563</v>
      </c>
      <c r="N267" s="180">
        <f t="shared" si="78"/>
        <v>16186.59719003552</v>
      </c>
      <c r="O267" s="132">
        <f t="shared" si="73"/>
        <v>30015.836896067041</v>
      </c>
    </row>
    <row r="268" spans="1:15" x14ac:dyDescent="0.25">
      <c r="A268" s="72">
        <f t="shared" si="79"/>
        <v>103</v>
      </c>
      <c r="B268" s="183">
        <f t="shared" si="74"/>
        <v>0</v>
      </c>
      <c r="C268" s="184">
        <f>-Parking!$E$89/12</f>
        <v>0</v>
      </c>
      <c r="D268" s="183">
        <f>Parking!$E$87/12*B267</f>
        <v>0</v>
      </c>
      <c r="E268" s="185">
        <f t="shared" si="75"/>
        <v>0</v>
      </c>
      <c r="F268" s="72">
        <f t="shared" si="80"/>
        <v>103</v>
      </c>
      <c r="G268" s="180">
        <f t="shared" si="76"/>
        <v>9651876.6138343513</v>
      </c>
      <c r="H268" s="186">
        <f>-Parking!$E$94/12</f>
        <v>46202.434086102563</v>
      </c>
      <c r="I268" s="149">
        <f>Parking!$E$92/12*G267</f>
        <v>16136.570795208741</v>
      </c>
      <c r="J268" s="187">
        <f t="shared" si="77"/>
        <v>30065.863290893823</v>
      </c>
      <c r="K268" s="72">
        <f t="shared" si="81"/>
        <v>103</v>
      </c>
      <c r="L268" s="180">
        <f t="shared" si="78"/>
        <v>9651876.6138343513</v>
      </c>
      <c r="M268" s="181">
        <f t="shared" si="78"/>
        <v>46202.434086102563</v>
      </c>
      <c r="N268" s="180">
        <f t="shared" si="78"/>
        <v>16136.570795208741</v>
      </c>
      <c r="O268" s="132">
        <f t="shared" si="73"/>
        <v>30065.863290893823</v>
      </c>
    </row>
    <row r="269" spans="1:15" x14ac:dyDescent="0.25">
      <c r="A269" s="72">
        <f t="shared" si="79"/>
        <v>104</v>
      </c>
      <c r="B269" s="183">
        <f t="shared" si="74"/>
        <v>0</v>
      </c>
      <c r="C269" s="184">
        <f>-Parking!$E$89/12</f>
        <v>0</v>
      </c>
      <c r="D269" s="183">
        <f>Parking!$E$87/12*B268</f>
        <v>0</v>
      </c>
      <c r="E269" s="185">
        <f t="shared" si="75"/>
        <v>0</v>
      </c>
      <c r="F269" s="72">
        <f t="shared" si="80"/>
        <v>104</v>
      </c>
      <c r="G269" s="180">
        <f t="shared" si="76"/>
        <v>9621760.6407713052</v>
      </c>
      <c r="H269" s="186">
        <f>-Parking!$E$94/12</f>
        <v>46202.434086102563</v>
      </c>
      <c r="I269" s="149">
        <f>Parking!$E$92/12*G268</f>
        <v>16086.461023057253</v>
      </c>
      <c r="J269" s="187">
        <f t="shared" si="77"/>
        <v>30115.973063045312</v>
      </c>
      <c r="K269" s="72">
        <f t="shared" si="81"/>
        <v>104</v>
      </c>
      <c r="L269" s="180">
        <f t="shared" si="78"/>
        <v>9621760.6407713052</v>
      </c>
      <c r="M269" s="181">
        <f t="shared" si="78"/>
        <v>46202.434086102563</v>
      </c>
      <c r="N269" s="180">
        <f t="shared" si="78"/>
        <v>16086.461023057253</v>
      </c>
      <c r="O269" s="132">
        <f t="shared" si="73"/>
        <v>30115.973063045312</v>
      </c>
    </row>
    <row r="270" spans="1:15" x14ac:dyDescent="0.25">
      <c r="A270" s="72">
        <f t="shared" si="79"/>
        <v>105</v>
      </c>
      <c r="B270" s="183">
        <f t="shared" si="74"/>
        <v>0</v>
      </c>
      <c r="C270" s="184">
        <f>-Parking!$E$89/12</f>
        <v>0</v>
      </c>
      <c r="D270" s="183">
        <f>Parking!$E$87/12*B269</f>
        <v>0</v>
      </c>
      <c r="E270" s="185">
        <f t="shared" si="75"/>
        <v>0</v>
      </c>
      <c r="F270" s="72">
        <f t="shared" si="80"/>
        <v>105</v>
      </c>
      <c r="G270" s="180">
        <f t="shared" si="76"/>
        <v>9591594.4744198211</v>
      </c>
      <c r="H270" s="186">
        <f>-Parking!$E$94/12</f>
        <v>46202.434086102563</v>
      </c>
      <c r="I270" s="149">
        <f>Parking!$E$92/12*G269</f>
        <v>16036.267734618843</v>
      </c>
      <c r="J270" s="187">
        <f t="shared" si="77"/>
        <v>30166.16635148372</v>
      </c>
      <c r="K270" s="72">
        <f t="shared" si="81"/>
        <v>105</v>
      </c>
      <c r="L270" s="180">
        <f t="shared" si="78"/>
        <v>9591594.4744198211</v>
      </c>
      <c r="M270" s="181">
        <f t="shared" si="78"/>
        <v>46202.434086102563</v>
      </c>
      <c r="N270" s="180">
        <f t="shared" si="78"/>
        <v>16036.267734618843</v>
      </c>
      <c r="O270" s="132">
        <f t="shared" si="73"/>
        <v>30166.16635148372</v>
      </c>
    </row>
    <row r="271" spans="1:15" x14ac:dyDescent="0.25">
      <c r="A271" s="72">
        <f t="shared" si="79"/>
        <v>106</v>
      </c>
      <c r="B271" s="183">
        <f t="shared" si="74"/>
        <v>0</v>
      </c>
      <c r="C271" s="184">
        <f>-Parking!$E$89/12</f>
        <v>0</v>
      </c>
      <c r="D271" s="183">
        <f>Parking!$E$87/12*B270</f>
        <v>0</v>
      </c>
      <c r="E271" s="185">
        <f t="shared" si="75"/>
        <v>0</v>
      </c>
      <c r="F271" s="72">
        <f t="shared" si="80"/>
        <v>106</v>
      </c>
      <c r="G271" s="180">
        <f t="shared" si="76"/>
        <v>9561378.0311244186</v>
      </c>
      <c r="H271" s="186">
        <f>-Parking!$E$94/12</f>
        <v>46202.434086102563</v>
      </c>
      <c r="I271" s="149">
        <f>Parking!$E$92/12*G270</f>
        <v>15985.990790699703</v>
      </c>
      <c r="J271" s="187">
        <f t="shared" si="77"/>
        <v>30216.44329540286</v>
      </c>
      <c r="K271" s="72">
        <f t="shared" si="81"/>
        <v>106</v>
      </c>
      <c r="L271" s="180">
        <f t="shared" si="78"/>
        <v>9561378.0311244186</v>
      </c>
      <c r="M271" s="181">
        <f t="shared" si="78"/>
        <v>46202.434086102563</v>
      </c>
      <c r="N271" s="180">
        <f t="shared" si="78"/>
        <v>15985.990790699703</v>
      </c>
      <c r="O271" s="132">
        <f t="shared" si="73"/>
        <v>30216.44329540286</v>
      </c>
    </row>
    <row r="272" spans="1:15" x14ac:dyDescent="0.25">
      <c r="A272" s="72">
        <f t="shared" si="79"/>
        <v>107</v>
      </c>
      <c r="B272" s="183">
        <f t="shared" si="74"/>
        <v>0</v>
      </c>
      <c r="C272" s="184">
        <f>-Parking!$E$89/12</f>
        <v>0</v>
      </c>
      <c r="D272" s="183">
        <f>Parking!$E$87/12*B271</f>
        <v>0</v>
      </c>
      <c r="E272" s="185">
        <f t="shared" si="75"/>
        <v>0</v>
      </c>
      <c r="F272" s="72">
        <f t="shared" si="80"/>
        <v>107</v>
      </c>
      <c r="G272" s="180">
        <f t="shared" si="76"/>
        <v>9531111.2270901892</v>
      </c>
      <c r="H272" s="186">
        <f>-Parking!$E$94/12</f>
        <v>46202.434086102563</v>
      </c>
      <c r="I272" s="149">
        <f>Parking!$E$92/12*G271</f>
        <v>15935.630051874032</v>
      </c>
      <c r="J272" s="187">
        <f t="shared" si="77"/>
        <v>30266.804034228531</v>
      </c>
      <c r="K272" s="72">
        <f t="shared" si="81"/>
        <v>107</v>
      </c>
      <c r="L272" s="180">
        <f t="shared" si="78"/>
        <v>9531111.2270901892</v>
      </c>
      <c r="M272" s="181">
        <f t="shared" si="78"/>
        <v>46202.434086102563</v>
      </c>
      <c r="N272" s="180">
        <f t="shared" si="78"/>
        <v>15935.630051874032</v>
      </c>
      <c r="O272" s="132">
        <f t="shared" si="73"/>
        <v>30266.804034228531</v>
      </c>
    </row>
    <row r="273" spans="1:15" x14ac:dyDescent="0.25">
      <c r="A273" s="72">
        <f t="shared" si="79"/>
        <v>108</v>
      </c>
      <c r="B273" s="183">
        <f t="shared" si="74"/>
        <v>0</v>
      </c>
      <c r="C273" s="184">
        <f>-Parking!$E$89/12</f>
        <v>0</v>
      </c>
      <c r="D273" s="183">
        <f>Parking!$E$87/12*B272</f>
        <v>0</v>
      </c>
      <c r="E273" s="185">
        <f t="shared" si="75"/>
        <v>0</v>
      </c>
      <c r="F273" s="72">
        <f t="shared" si="80"/>
        <v>108</v>
      </c>
      <c r="G273" s="180">
        <f t="shared" si="76"/>
        <v>9500793.9783825707</v>
      </c>
      <c r="H273" s="186">
        <f>-Parking!$E$94/12</f>
        <v>46202.434086102563</v>
      </c>
      <c r="I273" s="149">
        <f>Parking!$E$92/12*G272</f>
        <v>15885.185378483649</v>
      </c>
      <c r="J273" s="187">
        <f t="shared" si="77"/>
        <v>30317.248707618914</v>
      </c>
      <c r="K273" s="72">
        <f t="shared" si="81"/>
        <v>108</v>
      </c>
      <c r="L273" s="180">
        <f t="shared" si="78"/>
        <v>9500793.9783825707</v>
      </c>
      <c r="M273" s="181">
        <f t="shared" si="78"/>
        <v>46202.434086102563</v>
      </c>
      <c r="N273" s="180">
        <f t="shared" si="78"/>
        <v>15885.185378483649</v>
      </c>
      <c r="O273" s="132">
        <f t="shared" si="73"/>
        <v>30317.248707618914</v>
      </c>
    </row>
    <row r="274" spans="1:15" x14ac:dyDescent="0.25">
      <c r="A274" s="72">
        <f t="shared" si="79"/>
        <v>109</v>
      </c>
      <c r="B274" s="183">
        <f t="shared" si="74"/>
        <v>0</v>
      </c>
      <c r="C274" s="184">
        <f>-Parking!$E$89/12</f>
        <v>0</v>
      </c>
      <c r="D274" s="183">
        <f>Parking!$E$87/12*B273</f>
        <v>0</v>
      </c>
      <c r="E274" s="185">
        <f t="shared" si="75"/>
        <v>0</v>
      </c>
      <c r="F274" s="72">
        <f t="shared" si="80"/>
        <v>109</v>
      </c>
      <c r="G274" s="180">
        <f t="shared" si="76"/>
        <v>9470426.2009271048</v>
      </c>
      <c r="H274" s="186">
        <f>-Parking!$E$94/12</f>
        <v>46202.434086102563</v>
      </c>
      <c r="I274" s="149">
        <f>Parking!$E$92/12*G273</f>
        <v>15834.656630637619</v>
      </c>
      <c r="J274" s="187">
        <f t="shared" si="77"/>
        <v>30367.777455464944</v>
      </c>
      <c r="K274" s="72">
        <f t="shared" si="81"/>
        <v>109</v>
      </c>
      <c r="L274" s="180">
        <f t="shared" si="78"/>
        <v>9470426.2009271048</v>
      </c>
      <c r="M274" s="181">
        <f t="shared" si="78"/>
        <v>46202.434086102563</v>
      </c>
      <c r="N274" s="180">
        <f t="shared" si="78"/>
        <v>15834.656630637619</v>
      </c>
      <c r="O274" s="132">
        <f t="shared" si="73"/>
        <v>30367.777455464944</v>
      </c>
    </row>
    <row r="275" spans="1:15" x14ac:dyDescent="0.25">
      <c r="A275" s="72">
        <f t="shared" si="79"/>
        <v>110</v>
      </c>
      <c r="B275" s="183">
        <f t="shared" si="74"/>
        <v>0</v>
      </c>
      <c r="C275" s="184">
        <f>-Parking!$E$89/12</f>
        <v>0</v>
      </c>
      <c r="D275" s="183">
        <f>Parking!$E$87/12*B274</f>
        <v>0</v>
      </c>
      <c r="E275" s="185">
        <f t="shared" si="75"/>
        <v>0</v>
      </c>
      <c r="F275" s="72">
        <f t="shared" si="80"/>
        <v>110</v>
      </c>
      <c r="G275" s="180">
        <f t="shared" si="76"/>
        <v>9440007.8105092142</v>
      </c>
      <c r="H275" s="186">
        <f>-Parking!$E$94/12</f>
        <v>46202.434086102563</v>
      </c>
      <c r="I275" s="149">
        <f>Parking!$E$92/12*G274</f>
        <v>15784.043668211842</v>
      </c>
      <c r="J275" s="187">
        <f t="shared" si="77"/>
        <v>30418.390417890721</v>
      </c>
      <c r="K275" s="72">
        <f t="shared" si="81"/>
        <v>110</v>
      </c>
      <c r="L275" s="180">
        <f t="shared" si="78"/>
        <v>9440007.8105092142</v>
      </c>
      <c r="M275" s="181">
        <f t="shared" si="78"/>
        <v>46202.434086102563</v>
      </c>
      <c r="N275" s="180">
        <f t="shared" si="78"/>
        <v>15784.043668211842</v>
      </c>
      <c r="O275" s="132">
        <f t="shared" si="73"/>
        <v>30418.390417890721</v>
      </c>
    </row>
    <row r="276" spans="1:15" x14ac:dyDescent="0.25">
      <c r="A276" s="72">
        <f t="shared" si="79"/>
        <v>111</v>
      </c>
      <c r="B276" s="183">
        <f t="shared" si="74"/>
        <v>0</v>
      </c>
      <c r="C276" s="184">
        <f>-Parking!$E$89/12</f>
        <v>0</v>
      </c>
      <c r="D276" s="183">
        <f>Parking!$E$87/12*B275</f>
        <v>0</v>
      </c>
      <c r="E276" s="185">
        <f t="shared" si="75"/>
        <v>0</v>
      </c>
      <c r="F276" s="72">
        <f t="shared" si="80"/>
        <v>111</v>
      </c>
      <c r="G276" s="180">
        <f t="shared" si="76"/>
        <v>9409538.7227739599</v>
      </c>
      <c r="H276" s="186">
        <f>-Parking!$E$94/12</f>
        <v>46202.434086102563</v>
      </c>
      <c r="I276" s="149">
        <f>Parking!$E$92/12*G275</f>
        <v>15733.346350848691</v>
      </c>
      <c r="J276" s="187">
        <f t="shared" si="77"/>
        <v>30469.087735253874</v>
      </c>
      <c r="K276" s="72">
        <f t="shared" si="81"/>
        <v>111</v>
      </c>
      <c r="L276" s="180">
        <f t="shared" si="78"/>
        <v>9409538.7227739599</v>
      </c>
      <c r="M276" s="181">
        <f t="shared" si="78"/>
        <v>46202.434086102563</v>
      </c>
      <c r="N276" s="180">
        <f t="shared" si="78"/>
        <v>15733.346350848691</v>
      </c>
      <c r="O276" s="132">
        <f t="shared" si="73"/>
        <v>30469.087735253874</v>
      </c>
    </row>
    <row r="277" spans="1:15" x14ac:dyDescent="0.25">
      <c r="A277" s="72">
        <f t="shared" si="79"/>
        <v>112</v>
      </c>
      <c r="B277" s="183">
        <f t="shared" si="74"/>
        <v>0</v>
      </c>
      <c r="C277" s="184">
        <f>-Parking!$E$89/12</f>
        <v>0</v>
      </c>
      <c r="D277" s="183">
        <f>Parking!$E$87/12*B276</f>
        <v>0</v>
      </c>
      <c r="E277" s="185">
        <f t="shared" si="75"/>
        <v>0</v>
      </c>
      <c r="F277" s="72">
        <f t="shared" si="80"/>
        <v>112</v>
      </c>
      <c r="G277" s="180">
        <f t="shared" si="76"/>
        <v>9379018.8532258142</v>
      </c>
      <c r="H277" s="186">
        <f>-Parking!$E$94/12</f>
        <v>46202.434086102563</v>
      </c>
      <c r="I277" s="149">
        <f>Parking!$E$92/12*G276</f>
        <v>15682.564537956601</v>
      </c>
      <c r="J277" s="187">
        <f t="shared" si="77"/>
        <v>30519.869548145962</v>
      </c>
      <c r="K277" s="72">
        <f t="shared" si="81"/>
        <v>112</v>
      </c>
      <c r="L277" s="180">
        <f t="shared" si="78"/>
        <v>9379018.8532258142</v>
      </c>
      <c r="M277" s="181">
        <f t="shared" si="78"/>
        <v>46202.434086102563</v>
      </c>
      <c r="N277" s="180">
        <f t="shared" si="78"/>
        <v>15682.564537956601</v>
      </c>
      <c r="O277" s="132">
        <f t="shared" si="73"/>
        <v>30519.869548145962</v>
      </c>
    </row>
    <row r="278" spans="1:15" x14ac:dyDescent="0.25">
      <c r="A278" s="72">
        <f t="shared" si="79"/>
        <v>113</v>
      </c>
      <c r="B278" s="183">
        <f t="shared" si="74"/>
        <v>0</v>
      </c>
      <c r="C278" s="184">
        <f>-Parking!$E$89/12</f>
        <v>0</v>
      </c>
      <c r="D278" s="183">
        <f>Parking!$E$87/12*B277</f>
        <v>0</v>
      </c>
      <c r="E278" s="185">
        <f t="shared" si="75"/>
        <v>0</v>
      </c>
      <c r="F278" s="72">
        <f t="shared" si="80"/>
        <v>113</v>
      </c>
      <c r="G278" s="180">
        <f t="shared" si="76"/>
        <v>9348448.1172284205</v>
      </c>
      <c r="H278" s="186">
        <f>-Parking!$E$94/12</f>
        <v>46202.434086102563</v>
      </c>
      <c r="I278" s="149">
        <f>Parking!$E$92/12*G277</f>
        <v>15631.698088709691</v>
      </c>
      <c r="J278" s="187">
        <f t="shared" si="77"/>
        <v>30570.735997392872</v>
      </c>
      <c r="K278" s="72">
        <f t="shared" si="81"/>
        <v>113</v>
      </c>
      <c r="L278" s="180">
        <f t="shared" si="78"/>
        <v>9348448.1172284205</v>
      </c>
      <c r="M278" s="181">
        <f t="shared" si="78"/>
        <v>46202.434086102563</v>
      </c>
      <c r="N278" s="180">
        <f t="shared" si="78"/>
        <v>15631.698088709691</v>
      </c>
      <c r="O278" s="132">
        <f t="shared" si="73"/>
        <v>30570.735997392872</v>
      </c>
    </row>
    <row r="279" spans="1:15" x14ac:dyDescent="0.25">
      <c r="A279" s="72">
        <f t="shared" si="79"/>
        <v>114</v>
      </c>
      <c r="B279" s="183">
        <f t="shared" si="74"/>
        <v>0</v>
      </c>
      <c r="C279" s="184">
        <f>-Parking!$E$89/12</f>
        <v>0</v>
      </c>
      <c r="D279" s="183">
        <f>Parking!$E$87/12*B278</f>
        <v>0</v>
      </c>
      <c r="E279" s="185">
        <f t="shared" si="75"/>
        <v>0</v>
      </c>
      <c r="F279" s="72">
        <f t="shared" si="80"/>
        <v>114</v>
      </c>
      <c r="G279" s="180">
        <f t="shared" si="76"/>
        <v>9317826.4300043657</v>
      </c>
      <c r="H279" s="186">
        <f>-Parking!$E$94/12</f>
        <v>46202.434086102563</v>
      </c>
      <c r="I279" s="149">
        <f>Parking!$E$92/12*G278</f>
        <v>15580.746862047368</v>
      </c>
      <c r="J279" s="187">
        <f t="shared" si="77"/>
        <v>30621.687224055197</v>
      </c>
      <c r="K279" s="72">
        <f t="shared" si="81"/>
        <v>114</v>
      </c>
      <c r="L279" s="180">
        <f t="shared" si="78"/>
        <v>9317826.4300043657</v>
      </c>
      <c r="M279" s="181">
        <f t="shared" si="78"/>
        <v>46202.434086102563</v>
      </c>
      <c r="N279" s="180">
        <f t="shared" si="78"/>
        <v>15580.746862047368</v>
      </c>
      <c r="O279" s="132">
        <f t="shared" si="73"/>
        <v>30621.687224055197</v>
      </c>
    </row>
    <row r="280" spans="1:15" x14ac:dyDescent="0.25">
      <c r="A280" s="72">
        <f t="shared" si="79"/>
        <v>115</v>
      </c>
      <c r="B280" s="183">
        <f t="shared" si="74"/>
        <v>0</v>
      </c>
      <c r="C280" s="184">
        <f>-Parking!$E$89/12</f>
        <v>0</v>
      </c>
      <c r="D280" s="183">
        <f>Parking!$E$87/12*B279</f>
        <v>0</v>
      </c>
      <c r="E280" s="185">
        <f t="shared" si="75"/>
        <v>0</v>
      </c>
      <c r="F280" s="72">
        <f t="shared" si="80"/>
        <v>115</v>
      </c>
      <c r="G280" s="180">
        <f t="shared" si="76"/>
        <v>9287153.7066349369</v>
      </c>
      <c r="H280" s="186">
        <f>-Parking!$E$94/12</f>
        <v>46202.434086102563</v>
      </c>
      <c r="I280" s="149">
        <f>Parking!$E$92/12*G279</f>
        <v>15529.710716673944</v>
      </c>
      <c r="J280" s="187">
        <f t="shared" si="77"/>
        <v>30672.723369428619</v>
      </c>
      <c r="K280" s="72">
        <f t="shared" si="81"/>
        <v>115</v>
      </c>
      <c r="L280" s="180">
        <f t="shared" si="78"/>
        <v>9287153.7066349369</v>
      </c>
      <c r="M280" s="181">
        <f t="shared" si="78"/>
        <v>46202.434086102563</v>
      </c>
      <c r="N280" s="180">
        <f t="shared" si="78"/>
        <v>15529.710716673944</v>
      </c>
      <c r="O280" s="132">
        <f t="shared" si="73"/>
        <v>30672.723369428619</v>
      </c>
    </row>
    <row r="281" spans="1:15" x14ac:dyDescent="0.25">
      <c r="A281" s="72">
        <f t="shared" si="79"/>
        <v>116</v>
      </c>
      <c r="B281" s="183">
        <f t="shared" si="74"/>
        <v>0</v>
      </c>
      <c r="C281" s="184">
        <f>-Parking!$E$89/12</f>
        <v>0</v>
      </c>
      <c r="D281" s="183">
        <f>Parking!$E$87/12*B280</f>
        <v>0</v>
      </c>
      <c r="E281" s="185">
        <f t="shared" si="75"/>
        <v>0</v>
      </c>
      <c r="F281" s="72">
        <f t="shared" si="80"/>
        <v>116</v>
      </c>
      <c r="G281" s="180">
        <f t="shared" si="76"/>
        <v>9256429.8620598931</v>
      </c>
      <c r="H281" s="186">
        <f>-Parking!$E$94/12</f>
        <v>46202.434086102563</v>
      </c>
      <c r="I281" s="149">
        <f>Parking!$E$92/12*G280</f>
        <v>15478.58951105823</v>
      </c>
      <c r="J281" s="187">
        <f t="shared" si="77"/>
        <v>30723.844575044335</v>
      </c>
      <c r="K281" s="72">
        <f t="shared" si="81"/>
        <v>116</v>
      </c>
      <c r="L281" s="180">
        <f t="shared" si="78"/>
        <v>9256429.8620598931</v>
      </c>
      <c r="M281" s="181">
        <f t="shared" si="78"/>
        <v>46202.434086102563</v>
      </c>
      <c r="N281" s="180">
        <f t="shared" si="78"/>
        <v>15478.58951105823</v>
      </c>
      <c r="O281" s="132">
        <f t="shared" si="73"/>
        <v>30723.844575044335</v>
      </c>
    </row>
    <row r="282" spans="1:15" x14ac:dyDescent="0.25">
      <c r="A282" s="72">
        <f t="shared" si="79"/>
        <v>117</v>
      </c>
      <c r="B282" s="183">
        <f t="shared" si="74"/>
        <v>0</v>
      </c>
      <c r="C282" s="184">
        <f>-Parking!$E$89/12</f>
        <v>0</v>
      </c>
      <c r="D282" s="183">
        <f>Parking!$E$87/12*B281</f>
        <v>0</v>
      </c>
      <c r="E282" s="185">
        <f t="shared" si="75"/>
        <v>0</v>
      </c>
      <c r="F282" s="72">
        <f t="shared" si="80"/>
        <v>117</v>
      </c>
      <c r="G282" s="180">
        <f t="shared" si="76"/>
        <v>9225654.8110772241</v>
      </c>
      <c r="H282" s="186">
        <f>-Parking!$E$94/12</f>
        <v>46202.434086102563</v>
      </c>
      <c r="I282" s="149">
        <f>Parking!$E$92/12*G281</f>
        <v>15427.383103433156</v>
      </c>
      <c r="J282" s="187">
        <f t="shared" si="77"/>
        <v>30775.050982669407</v>
      </c>
      <c r="K282" s="72">
        <f t="shared" si="81"/>
        <v>117</v>
      </c>
      <c r="L282" s="180">
        <f t="shared" si="78"/>
        <v>9225654.8110772241</v>
      </c>
      <c r="M282" s="181">
        <f t="shared" si="78"/>
        <v>46202.434086102563</v>
      </c>
      <c r="N282" s="180">
        <f t="shared" si="78"/>
        <v>15427.383103433156</v>
      </c>
      <c r="O282" s="132">
        <f t="shared" si="73"/>
        <v>30775.050982669407</v>
      </c>
    </row>
    <row r="283" spans="1:15" x14ac:dyDescent="0.25">
      <c r="A283" s="72">
        <f t="shared" si="79"/>
        <v>118</v>
      </c>
      <c r="B283" s="183">
        <f t="shared" si="74"/>
        <v>0</v>
      </c>
      <c r="C283" s="184">
        <f>-Parking!$E$89/12</f>
        <v>0</v>
      </c>
      <c r="D283" s="183">
        <f>Parking!$E$87/12*B282</f>
        <v>0</v>
      </c>
      <c r="E283" s="185">
        <f t="shared" si="75"/>
        <v>0</v>
      </c>
      <c r="F283" s="72">
        <f t="shared" si="80"/>
        <v>118</v>
      </c>
      <c r="G283" s="180">
        <f t="shared" si="76"/>
        <v>9194828.468342917</v>
      </c>
      <c r="H283" s="186">
        <f>-Parking!$E$94/12</f>
        <v>46202.434086102563</v>
      </c>
      <c r="I283" s="149">
        <f>Parking!$E$92/12*G282</f>
        <v>15376.091351795374</v>
      </c>
      <c r="J283" s="187">
        <f t="shared" si="77"/>
        <v>30826.342734307189</v>
      </c>
      <c r="K283" s="72">
        <f t="shared" si="81"/>
        <v>118</v>
      </c>
      <c r="L283" s="180">
        <f t="shared" si="78"/>
        <v>9194828.468342917</v>
      </c>
      <c r="M283" s="181">
        <f t="shared" si="78"/>
        <v>46202.434086102563</v>
      </c>
      <c r="N283" s="180">
        <f t="shared" si="78"/>
        <v>15376.091351795374</v>
      </c>
      <c r="O283" s="132">
        <f t="shared" si="73"/>
        <v>30826.342734307189</v>
      </c>
    </row>
    <row r="284" spans="1:15" x14ac:dyDescent="0.25">
      <c r="A284" s="72">
        <f t="shared" si="79"/>
        <v>119</v>
      </c>
      <c r="B284" s="183">
        <f t="shared" si="74"/>
        <v>0</v>
      </c>
      <c r="C284" s="184">
        <f>-Parking!$E$89/12</f>
        <v>0</v>
      </c>
      <c r="D284" s="183">
        <f>Parking!$E$87/12*B283</f>
        <v>0</v>
      </c>
      <c r="E284" s="185">
        <f t="shared" si="75"/>
        <v>0</v>
      </c>
      <c r="F284" s="72">
        <f t="shared" si="80"/>
        <v>119</v>
      </c>
      <c r="G284" s="180">
        <f t="shared" si="76"/>
        <v>9163950.7483707201</v>
      </c>
      <c r="H284" s="186">
        <f>-Parking!$E$94/12</f>
        <v>46202.434086102563</v>
      </c>
      <c r="I284" s="149">
        <f>Parking!$E$92/12*G283</f>
        <v>15324.714113904864</v>
      </c>
      <c r="J284" s="187">
        <f t="shared" si="77"/>
        <v>30877.719972197701</v>
      </c>
      <c r="K284" s="72">
        <f t="shared" si="81"/>
        <v>119</v>
      </c>
      <c r="L284" s="180">
        <f t="shared" si="78"/>
        <v>9163950.7483707201</v>
      </c>
      <c r="M284" s="181">
        <f t="shared" si="78"/>
        <v>46202.434086102563</v>
      </c>
      <c r="N284" s="180">
        <f t="shared" si="78"/>
        <v>15324.714113904864</v>
      </c>
      <c r="O284" s="132">
        <f t="shared" si="73"/>
        <v>30877.719972197701</v>
      </c>
    </row>
    <row r="285" spans="1:15" x14ac:dyDescent="0.25">
      <c r="A285" s="72">
        <f t="shared" si="79"/>
        <v>120</v>
      </c>
      <c r="B285" s="183">
        <f t="shared" si="74"/>
        <v>0</v>
      </c>
      <c r="C285" s="184">
        <f>-Parking!$E$89/12</f>
        <v>0</v>
      </c>
      <c r="D285" s="183">
        <f>Parking!$E$87/12*B284</f>
        <v>0</v>
      </c>
      <c r="E285" s="185">
        <f t="shared" si="75"/>
        <v>0</v>
      </c>
      <c r="F285" s="72">
        <f t="shared" si="80"/>
        <v>120</v>
      </c>
      <c r="G285" s="180">
        <f t="shared" si="76"/>
        <v>9133021.565531902</v>
      </c>
      <c r="H285" s="186">
        <f>-Parking!$E$94/12</f>
        <v>46202.434086102563</v>
      </c>
      <c r="I285" s="149">
        <f>Parking!$E$92/12*G284</f>
        <v>15273.251247284534</v>
      </c>
      <c r="J285" s="187">
        <f t="shared" si="77"/>
        <v>30929.182838818029</v>
      </c>
      <c r="K285" s="72">
        <f t="shared" si="81"/>
        <v>120</v>
      </c>
      <c r="L285" s="180">
        <f t="shared" si="78"/>
        <v>9133021.565531902</v>
      </c>
      <c r="M285" s="181">
        <f t="shared" si="78"/>
        <v>46202.434086102563</v>
      </c>
      <c r="N285" s="180">
        <f t="shared" si="78"/>
        <v>15273.251247284534</v>
      </c>
      <c r="O285" s="132">
        <f t="shared" si="73"/>
        <v>30929.182838818029</v>
      </c>
    </row>
    <row r="286" spans="1:15" x14ac:dyDescent="0.25">
      <c r="A286" s="72">
        <f t="shared" si="79"/>
        <v>121</v>
      </c>
      <c r="B286" s="183">
        <f t="shared" si="74"/>
        <v>0</v>
      </c>
      <c r="C286" s="184">
        <f>-Parking!$E$89/12</f>
        <v>0</v>
      </c>
      <c r="D286" s="183">
        <f>Parking!$E$87/12*B285</f>
        <v>0</v>
      </c>
      <c r="E286" s="185">
        <f t="shared" si="75"/>
        <v>0</v>
      </c>
      <c r="F286" s="72">
        <f t="shared" si="80"/>
        <v>121</v>
      </c>
      <c r="G286" s="180">
        <f t="shared" si="76"/>
        <v>9102040.8340550195</v>
      </c>
      <c r="H286" s="186">
        <f>-Parking!$E$94/12</f>
        <v>46202.434086102563</v>
      </c>
      <c r="I286" s="149">
        <f>Parking!$E$92/12*G285</f>
        <v>15221.702609219838</v>
      </c>
      <c r="J286" s="187">
        <f t="shared" si="77"/>
        <v>30980.731476882727</v>
      </c>
      <c r="K286" s="72">
        <f t="shared" si="81"/>
        <v>121</v>
      </c>
      <c r="L286" s="180">
        <f t="shared" si="78"/>
        <v>9102040.8340550195</v>
      </c>
      <c r="M286" s="181">
        <f t="shared" si="78"/>
        <v>46202.434086102563</v>
      </c>
      <c r="N286" s="180">
        <f t="shared" si="78"/>
        <v>15221.702609219838</v>
      </c>
      <c r="O286" s="132">
        <f t="shared" si="73"/>
        <v>30980.731476882727</v>
      </c>
    </row>
    <row r="287" spans="1:15" x14ac:dyDescent="0.25">
      <c r="A287" s="72">
        <f t="shared" si="79"/>
        <v>122</v>
      </c>
      <c r="B287" s="183">
        <f t="shared" si="74"/>
        <v>0</v>
      </c>
      <c r="C287" s="184">
        <f>-Parking!$E$89/12</f>
        <v>0</v>
      </c>
      <c r="D287" s="183">
        <f>Parking!$E$87/12*B286</f>
        <v>0</v>
      </c>
      <c r="E287" s="185">
        <f t="shared" si="75"/>
        <v>0</v>
      </c>
      <c r="F287" s="72">
        <f t="shared" si="80"/>
        <v>122</v>
      </c>
      <c r="G287" s="180">
        <f t="shared" si="76"/>
        <v>9071008.468025675</v>
      </c>
      <c r="H287" s="186">
        <f>-Parking!$E$94/12</f>
        <v>46202.434086102563</v>
      </c>
      <c r="I287" s="149">
        <f>Parking!$E$92/12*G286</f>
        <v>15170.068056758368</v>
      </c>
      <c r="J287" s="187">
        <f t="shared" si="77"/>
        <v>31032.366029344194</v>
      </c>
      <c r="K287" s="72">
        <f t="shared" si="81"/>
        <v>122</v>
      </c>
      <c r="L287" s="180">
        <f t="shared" si="78"/>
        <v>9071008.468025675</v>
      </c>
      <c r="M287" s="181">
        <f t="shared" si="78"/>
        <v>46202.434086102563</v>
      </c>
      <c r="N287" s="180">
        <f t="shared" si="78"/>
        <v>15170.068056758368</v>
      </c>
      <c r="O287" s="132">
        <f t="shared" si="73"/>
        <v>31032.366029344194</v>
      </c>
    </row>
    <row r="288" spans="1:15" x14ac:dyDescent="0.25">
      <c r="A288" s="72">
        <f t="shared" si="79"/>
        <v>123</v>
      </c>
      <c r="B288" s="183">
        <f t="shared" si="74"/>
        <v>0</v>
      </c>
      <c r="C288" s="184">
        <f>-Parking!$E$89/12</f>
        <v>0</v>
      </c>
      <c r="D288" s="183">
        <f>Parking!$E$87/12*B287</f>
        <v>0</v>
      </c>
      <c r="E288" s="185">
        <f t="shared" si="75"/>
        <v>0</v>
      </c>
      <c r="F288" s="72">
        <f t="shared" si="80"/>
        <v>123</v>
      </c>
      <c r="G288" s="180">
        <f t="shared" si="76"/>
        <v>9039924.3813862819</v>
      </c>
      <c r="H288" s="186">
        <f>-Parking!$E$94/12</f>
        <v>46202.434086102563</v>
      </c>
      <c r="I288" s="149">
        <f>Parking!$E$92/12*G287</f>
        <v>15118.34744670946</v>
      </c>
      <c r="J288" s="187">
        <f t="shared" si="77"/>
        <v>31084.086639393103</v>
      </c>
      <c r="K288" s="72">
        <f t="shared" si="81"/>
        <v>123</v>
      </c>
      <c r="L288" s="180">
        <f t="shared" si="78"/>
        <v>9039924.3813862819</v>
      </c>
      <c r="M288" s="181">
        <f t="shared" si="78"/>
        <v>46202.434086102563</v>
      </c>
      <c r="N288" s="180">
        <f t="shared" si="78"/>
        <v>15118.34744670946</v>
      </c>
      <c r="O288" s="132">
        <f t="shared" si="73"/>
        <v>31084.086639393103</v>
      </c>
    </row>
    <row r="289" spans="1:15" x14ac:dyDescent="0.25">
      <c r="A289" s="72">
        <f t="shared" si="79"/>
        <v>124</v>
      </c>
      <c r="B289" s="183">
        <f t="shared" si="74"/>
        <v>0</v>
      </c>
      <c r="C289" s="184">
        <f>-Parking!$E$89/12</f>
        <v>0</v>
      </c>
      <c r="D289" s="183">
        <f>Parking!$E$87/12*B288</f>
        <v>0</v>
      </c>
      <c r="E289" s="185">
        <f t="shared" si="75"/>
        <v>0</v>
      </c>
      <c r="F289" s="72">
        <f t="shared" si="80"/>
        <v>124</v>
      </c>
      <c r="G289" s="180">
        <f t="shared" si="76"/>
        <v>9008788.4879358225</v>
      </c>
      <c r="H289" s="186">
        <f>-Parking!$E$94/12</f>
        <v>46202.434086102563</v>
      </c>
      <c r="I289" s="149">
        <f>Parking!$E$92/12*G288</f>
        <v>15066.540635643803</v>
      </c>
      <c r="J289" s="187">
        <f t="shared" si="77"/>
        <v>31135.89345045876</v>
      </c>
      <c r="K289" s="72">
        <f t="shared" si="81"/>
        <v>124</v>
      </c>
      <c r="L289" s="180">
        <f t="shared" si="78"/>
        <v>9008788.4879358225</v>
      </c>
      <c r="M289" s="181">
        <f t="shared" si="78"/>
        <v>46202.434086102563</v>
      </c>
      <c r="N289" s="180">
        <f t="shared" si="78"/>
        <v>15066.540635643803</v>
      </c>
      <c r="O289" s="132">
        <f t="shared" si="73"/>
        <v>31135.89345045876</v>
      </c>
    </row>
    <row r="290" spans="1:15" x14ac:dyDescent="0.25">
      <c r="A290" s="72">
        <f t="shared" si="79"/>
        <v>125</v>
      </c>
      <c r="B290" s="183">
        <f t="shared" si="74"/>
        <v>0</v>
      </c>
      <c r="C290" s="184">
        <f>-Parking!$E$89/12</f>
        <v>0</v>
      </c>
      <c r="D290" s="183">
        <f>Parking!$E$87/12*B289</f>
        <v>0</v>
      </c>
      <c r="E290" s="185">
        <f t="shared" si="75"/>
        <v>0</v>
      </c>
      <c r="F290" s="72">
        <f t="shared" si="80"/>
        <v>125</v>
      </c>
      <c r="G290" s="180">
        <f t="shared" si="76"/>
        <v>8977600.7013296131</v>
      </c>
      <c r="H290" s="186">
        <f>-Parking!$E$94/12</f>
        <v>46202.434086102563</v>
      </c>
      <c r="I290" s="149">
        <f>Parking!$E$92/12*G289</f>
        <v>15014.647479893038</v>
      </c>
      <c r="J290" s="187">
        <f t="shared" si="77"/>
        <v>31187.786606209527</v>
      </c>
      <c r="K290" s="72">
        <f t="shared" si="81"/>
        <v>125</v>
      </c>
      <c r="L290" s="180">
        <f t="shared" si="78"/>
        <v>8977600.7013296131</v>
      </c>
      <c r="M290" s="181">
        <f t="shared" si="78"/>
        <v>46202.434086102563</v>
      </c>
      <c r="N290" s="180">
        <f t="shared" si="78"/>
        <v>15014.647479893038</v>
      </c>
      <c r="O290" s="132">
        <f t="shared" si="73"/>
        <v>31187.786606209527</v>
      </c>
    </row>
    <row r="291" spans="1:15" x14ac:dyDescent="0.25">
      <c r="A291" s="72">
        <f t="shared" si="79"/>
        <v>126</v>
      </c>
      <c r="B291" s="183">
        <f t="shared" si="74"/>
        <v>0</v>
      </c>
      <c r="C291" s="184">
        <f>-Parking!$E$89/12</f>
        <v>0</v>
      </c>
      <c r="D291" s="183">
        <f>Parking!$E$87/12*B290</f>
        <v>0</v>
      </c>
      <c r="E291" s="185">
        <f t="shared" si="75"/>
        <v>0</v>
      </c>
      <c r="F291" s="72">
        <f t="shared" si="80"/>
        <v>126</v>
      </c>
      <c r="G291" s="180">
        <f t="shared" si="76"/>
        <v>8946360.9350790605</v>
      </c>
      <c r="H291" s="186">
        <f>-Parking!$E$94/12</f>
        <v>46202.434086102563</v>
      </c>
      <c r="I291" s="149">
        <f>Parking!$E$92/12*G290</f>
        <v>14962.667835549357</v>
      </c>
      <c r="J291" s="187">
        <f t="shared" si="77"/>
        <v>31239.766250553206</v>
      </c>
      <c r="K291" s="72">
        <f t="shared" si="81"/>
        <v>126</v>
      </c>
      <c r="L291" s="180">
        <f t="shared" si="78"/>
        <v>8946360.9350790605</v>
      </c>
      <c r="M291" s="181">
        <f t="shared" si="78"/>
        <v>46202.434086102563</v>
      </c>
      <c r="N291" s="180">
        <f t="shared" si="78"/>
        <v>14962.667835549357</v>
      </c>
      <c r="O291" s="132">
        <f t="shared" si="73"/>
        <v>31239.766250553206</v>
      </c>
    </row>
    <row r="292" spans="1:15" x14ac:dyDescent="0.25">
      <c r="A292" s="72">
        <f t="shared" si="79"/>
        <v>127</v>
      </c>
      <c r="B292" s="183">
        <f t="shared" si="74"/>
        <v>0</v>
      </c>
      <c r="C292" s="184">
        <f>-Parking!$E$89/12</f>
        <v>0</v>
      </c>
      <c r="D292" s="183">
        <f>Parking!$E$87/12*B291</f>
        <v>0</v>
      </c>
      <c r="E292" s="185">
        <f t="shared" si="75"/>
        <v>0</v>
      </c>
      <c r="F292" s="72">
        <f t="shared" si="80"/>
        <v>127</v>
      </c>
      <c r="G292" s="180">
        <f t="shared" si="76"/>
        <v>8915069.102551423</v>
      </c>
      <c r="H292" s="186">
        <f>-Parking!$E$94/12</f>
        <v>46202.434086102563</v>
      </c>
      <c r="I292" s="149">
        <f>Parking!$E$92/12*G291</f>
        <v>14910.601558465101</v>
      </c>
      <c r="J292" s="187">
        <f t="shared" si="77"/>
        <v>31291.83252763746</v>
      </c>
      <c r="K292" s="72">
        <f t="shared" si="81"/>
        <v>127</v>
      </c>
      <c r="L292" s="180">
        <f t="shared" si="78"/>
        <v>8915069.102551423</v>
      </c>
      <c r="M292" s="181">
        <f t="shared" si="78"/>
        <v>46202.434086102563</v>
      </c>
      <c r="N292" s="180">
        <f t="shared" si="78"/>
        <v>14910.601558465101</v>
      </c>
      <c r="O292" s="132">
        <f t="shared" si="73"/>
        <v>31291.83252763746</v>
      </c>
    </row>
    <row r="293" spans="1:15" x14ac:dyDescent="0.25">
      <c r="A293" s="72">
        <f t="shared" si="79"/>
        <v>128</v>
      </c>
      <c r="B293" s="183">
        <f t="shared" si="74"/>
        <v>0</v>
      </c>
      <c r="C293" s="184">
        <f>-Parking!$E$89/12</f>
        <v>0</v>
      </c>
      <c r="D293" s="183">
        <f>Parking!$E$87/12*B292</f>
        <v>0</v>
      </c>
      <c r="E293" s="185">
        <f t="shared" si="75"/>
        <v>0</v>
      </c>
      <c r="F293" s="72">
        <f t="shared" si="80"/>
        <v>128</v>
      </c>
      <c r="G293" s="180">
        <f t="shared" si="76"/>
        <v>8883725.1169695724</v>
      </c>
      <c r="H293" s="186">
        <f>-Parking!$E$94/12</f>
        <v>46202.434086102563</v>
      </c>
      <c r="I293" s="149">
        <f>Parking!$E$92/12*G292</f>
        <v>14858.448504252372</v>
      </c>
      <c r="J293" s="187">
        <f t="shared" si="77"/>
        <v>31343.985581850189</v>
      </c>
      <c r="K293" s="72">
        <f t="shared" si="81"/>
        <v>128</v>
      </c>
      <c r="L293" s="180">
        <f t="shared" si="78"/>
        <v>8883725.1169695724</v>
      </c>
      <c r="M293" s="181">
        <f t="shared" si="78"/>
        <v>46202.434086102563</v>
      </c>
      <c r="N293" s="180">
        <f t="shared" si="78"/>
        <v>14858.448504252372</v>
      </c>
      <c r="O293" s="132">
        <f t="shared" si="78"/>
        <v>31343.985581850189</v>
      </c>
    </row>
    <row r="294" spans="1:15" x14ac:dyDescent="0.25">
      <c r="A294" s="72">
        <f t="shared" si="79"/>
        <v>129</v>
      </c>
      <c r="B294" s="183">
        <f t="shared" ref="B294:B357" si="82">B293-E294</f>
        <v>0</v>
      </c>
      <c r="C294" s="184">
        <f>-Parking!$E$89/12</f>
        <v>0</v>
      </c>
      <c r="D294" s="183">
        <f>Parking!$E$87/12*B293</f>
        <v>0</v>
      </c>
      <c r="E294" s="185">
        <f t="shared" ref="E294:E357" si="83">C294-D294</f>
        <v>0</v>
      </c>
      <c r="F294" s="72">
        <f t="shared" si="80"/>
        <v>129</v>
      </c>
      <c r="G294" s="180">
        <f t="shared" ref="G294:G357" si="84">G293-J294</f>
        <v>8852328.8914117515</v>
      </c>
      <c r="H294" s="186">
        <f>-Parking!$E$94/12</f>
        <v>46202.434086102563</v>
      </c>
      <c r="I294" s="149">
        <f>Parking!$E$92/12*G293</f>
        <v>14806.208528282621</v>
      </c>
      <c r="J294" s="187">
        <f t="shared" ref="J294:J357" si="85">H294-I294</f>
        <v>31396.22555781994</v>
      </c>
      <c r="K294" s="72">
        <f t="shared" si="81"/>
        <v>129</v>
      </c>
      <c r="L294" s="180">
        <f t="shared" ref="L294:O357" si="86">G294+B294</f>
        <v>8852328.8914117515</v>
      </c>
      <c r="M294" s="181">
        <f t="shared" si="86"/>
        <v>46202.434086102563</v>
      </c>
      <c r="N294" s="180">
        <f t="shared" si="86"/>
        <v>14806.208528282621</v>
      </c>
      <c r="O294" s="132">
        <f t="shared" si="86"/>
        <v>31396.22555781994</v>
      </c>
    </row>
    <row r="295" spans="1:15" x14ac:dyDescent="0.25">
      <c r="A295" s="72">
        <f t="shared" ref="A295:A358" si="87">A294+1</f>
        <v>130</v>
      </c>
      <c r="B295" s="183">
        <f t="shared" si="82"/>
        <v>0</v>
      </c>
      <c r="C295" s="184">
        <f>-Parking!$E$89/12</f>
        <v>0</v>
      </c>
      <c r="D295" s="183">
        <f>Parking!$E$87/12*B294</f>
        <v>0</v>
      </c>
      <c r="E295" s="185">
        <f t="shared" si="83"/>
        <v>0</v>
      </c>
      <c r="F295" s="72">
        <f t="shared" ref="F295:F358" si="88">F294+1</f>
        <v>130</v>
      </c>
      <c r="G295" s="180">
        <f t="shared" si="84"/>
        <v>8820880.3388113361</v>
      </c>
      <c r="H295" s="186">
        <f>-Parking!$E$94/12</f>
        <v>46202.434086102563</v>
      </c>
      <c r="I295" s="149">
        <f>Parking!$E$92/12*G294</f>
        <v>14753.881485686254</v>
      </c>
      <c r="J295" s="187">
        <f t="shared" si="85"/>
        <v>31448.552600416311</v>
      </c>
      <c r="K295" s="72">
        <f t="shared" ref="K295:K358" si="89">K294+1</f>
        <v>130</v>
      </c>
      <c r="L295" s="180">
        <f t="shared" si="86"/>
        <v>8820880.3388113361</v>
      </c>
      <c r="M295" s="181">
        <f t="shared" si="86"/>
        <v>46202.434086102563</v>
      </c>
      <c r="N295" s="180">
        <f t="shared" si="86"/>
        <v>14753.881485686254</v>
      </c>
      <c r="O295" s="132">
        <f t="shared" si="86"/>
        <v>31448.552600416311</v>
      </c>
    </row>
    <row r="296" spans="1:15" x14ac:dyDescent="0.25">
      <c r="A296" s="72">
        <f t="shared" si="87"/>
        <v>131</v>
      </c>
      <c r="B296" s="183">
        <f t="shared" si="82"/>
        <v>0</v>
      </c>
      <c r="C296" s="184">
        <f>-Parking!$E$89/12</f>
        <v>0</v>
      </c>
      <c r="D296" s="183">
        <f>Parking!$E$87/12*B295</f>
        <v>0</v>
      </c>
      <c r="E296" s="185">
        <f t="shared" si="83"/>
        <v>0</v>
      </c>
      <c r="F296" s="72">
        <f t="shared" si="88"/>
        <v>131</v>
      </c>
      <c r="G296" s="180">
        <f t="shared" si="84"/>
        <v>8789379.371956585</v>
      </c>
      <c r="H296" s="186">
        <f>-Parking!$E$94/12</f>
        <v>46202.434086102563</v>
      </c>
      <c r="I296" s="149">
        <f>Parking!$E$92/12*G295</f>
        <v>14701.467231352228</v>
      </c>
      <c r="J296" s="187">
        <f t="shared" si="85"/>
        <v>31500.966854750335</v>
      </c>
      <c r="K296" s="72">
        <f t="shared" si="89"/>
        <v>131</v>
      </c>
      <c r="L296" s="180">
        <f t="shared" si="86"/>
        <v>8789379.371956585</v>
      </c>
      <c r="M296" s="181">
        <f t="shared" si="86"/>
        <v>46202.434086102563</v>
      </c>
      <c r="N296" s="180">
        <f t="shared" si="86"/>
        <v>14701.467231352228</v>
      </c>
      <c r="O296" s="132">
        <f t="shared" si="86"/>
        <v>31500.966854750335</v>
      </c>
    </row>
    <row r="297" spans="1:15" x14ac:dyDescent="0.25">
      <c r="A297" s="72">
        <f t="shared" si="87"/>
        <v>132</v>
      </c>
      <c r="B297" s="183">
        <f t="shared" si="82"/>
        <v>0</v>
      </c>
      <c r="C297" s="184">
        <f>-Parking!$E$89/12</f>
        <v>0</v>
      </c>
      <c r="D297" s="183">
        <f>Parking!$E$87/12*B296</f>
        <v>0</v>
      </c>
      <c r="E297" s="185">
        <f t="shared" si="83"/>
        <v>0</v>
      </c>
      <c r="F297" s="72">
        <f t="shared" si="88"/>
        <v>132</v>
      </c>
      <c r="G297" s="180">
        <f t="shared" si="84"/>
        <v>8757825.9034904093</v>
      </c>
      <c r="H297" s="186">
        <f>-Parking!$E$94/12</f>
        <v>46202.434086102563</v>
      </c>
      <c r="I297" s="149">
        <f>Parking!$E$92/12*G296</f>
        <v>14648.965619927643</v>
      </c>
      <c r="J297" s="187">
        <f t="shared" si="85"/>
        <v>31553.46846617492</v>
      </c>
      <c r="K297" s="72">
        <f t="shared" si="89"/>
        <v>132</v>
      </c>
      <c r="L297" s="180">
        <f t="shared" si="86"/>
        <v>8757825.9034904093</v>
      </c>
      <c r="M297" s="181">
        <f t="shared" si="86"/>
        <v>46202.434086102563</v>
      </c>
      <c r="N297" s="180">
        <f t="shared" si="86"/>
        <v>14648.965619927643</v>
      </c>
      <c r="O297" s="132">
        <f t="shared" si="86"/>
        <v>31553.46846617492</v>
      </c>
    </row>
    <row r="298" spans="1:15" x14ac:dyDescent="0.25">
      <c r="A298" s="72">
        <f t="shared" si="87"/>
        <v>133</v>
      </c>
      <c r="B298" s="183">
        <f t="shared" si="82"/>
        <v>0</v>
      </c>
      <c r="C298" s="184">
        <f>-Parking!$E$89/12</f>
        <v>0</v>
      </c>
      <c r="D298" s="183">
        <f>Parking!$E$87/12*B297</f>
        <v>0</v>
      </c>
      <c r="E298" s="185">
        <f t="shared" si="83"/>
        <v>0</v>
      </c>
      <c r="F298" s="72">
        <f t="shared" si="88"/>
        <v>133</v>
      </c>
      <c r="G298" s="180">
        <f t="shared" si="84"/>
        <v>8726219.8459101245</v>
      </c>
      <c r="H298" s="186">
        <f>-Parking!$E$94/12</f>
        <v>46202.434086102563</v>
      </c>
      <c r="I298" s="149">
        <f>Parking!$E$92/12*G297</f>
        <v>14596.37650581735</v>
      </c>
      <c r="J298" s="187">
        <f t="shared" si="85"/>
        <v>31606.057580285211</v>
      </c>
      <c r="K298" s="72">
        <f t="shared" si="89"/>
        <v>133</v>
      </c>
      <c r="L298" s="180">
        <f t="shared" si="86"/>
        <v>8726219.8459101245</v>
      </c>
      <c r="M298" s="181">
        <f t="shared" si="86"/>
        <v>46202.434086102563</v>
      </c>
      <c r="N298" s="180">
        <f t="shared" si="86"/>
        <v>14596.37650581735</v>
      </c>
      <c r="O298" s="132">
        <f t="shared" si="86"/>
        <v>31606.057580285211</v>
      </c>
    </row>
    <row r="299" spans="1:15" x14ac:dyDescent="0.25">
      <c r="A299" s="72">
        <f t="shared" si="87"/>
        <v>134</v>
      </c>
      <c r="B299" s="183">
        <f t="shared" si="82"/>
        <v>0</v>
      </c>
      <c r="C299" s="184">
        <f>-Parking!$E$89/12</f>
        <v>0</v>
      </c>
      <c r="D299" s="183">
        <f>Parking!$E$87/12*B298</f>
        <v>0</v>
      </c>
      <c r="E299" s="185">
        <f t="shared" si="83"/>
        <v>0</v>
      </c>
      <c r="F299" s="72">
        <f t="shared" si="88"/>
        <v>134</v>
      </c>
      <c r="G299" s="180">
        <f t="shared" si="84"/>
        <v>8694561.1115672048</v>
      </c>
      <c r="H299" s="186">
        <f>-Parking!$E$94/12</f>
        <v>46202.434086102563</v>
      </c>
      <c r="I299" s="149">
        <f>Parking!$E$92/12*G298</f>
        <v>14543.699743183543</v>
      </c>
      <c r="J299" s="187">
        <f t="shared" si="85"/>
        <v>31658.734342919022</v>
      </c>
      <c r="K299" s="72">
        <f t="shared" si="89"/>
        <v>134</v>
      </c>
      <c r="L299" s="180">
        <f t="shared" si="86"/>
        <v>8694561.1115672048</v>
      </c>
      <c r="M299" s="181">
        <f t="shared" si="86"/>
        <v>46202.434086102563</v>
      </c>
      <c r="N299" s="180">
        <f t="shared" si="86"/>
        <v>14543.699743183543</v>
      </c>
      <c r="O299" s="132">
        <f t="shared" si="86"/>
        <v>31658.734342919022</v>
      </c>
    </row>
    <row r="300" spans="1:15" x14ac:dyDescent="0.25">
      <c r="A300" s="72">
        <f t="shared" si="87"/>
        <v>135</v>
      </c>
      <c r="B300" s="183">
        <f t="shared" si="82"/>
        <v>0</v>
      </c>
      <c r="C300" s="184">
        <f>-Parking!$E$89/12</f>
        <v>0</v>
      </c>
      <c r="D300" s="183">
        <f>Parking!$E$87/12*B299</f>
        <v>0</v>
      </c>
      <c r="E300" s="185">
        <f t="shared" si="83"/>
        <v>0</v>
      </c>
      <c r="F300" s="72">
        <f t="shared" si="88"/>
        <v>135</v>
      </c>
      <c r="G300" s="180">
        <f t="shared" si="84"/>
        <v>8662849.6126670483</v>
      </c>
      <c r="H300" s="186">
        <f>-Parking!$E$94/12</f>
        <v>46202.434086102563</v>
      </c>
      <c r="I300" s="149">
        <f>Parking!$E$92/12*G299</f>
        <v>14490.935185945342</v>
      </c>
      <c r="J300" s="187">
        <f t="shared" si="85"/>
        <v>31711.498900157221</v>
      </c>
      <c r="K300" s="72">
        <f t="shared" si="89"/>
        <v>135</v>
      </c>
      <c r="L300" s="180">
        <f t="shared" si="86"/>
        <v>8662849.6126670483</v>
      </c>
      <c r="M300" s="181">
        <f t="shared" si="86"/>
        <v>46202.434086102563</v>
      </c>
      <c r="N300" s="180">
        <f t="shared" si="86"/>
        <v>14490.935185945342</v>
      </c>
      <c r="O300" s="132">
        <f t="shared" si="86"/>
        <v>31711.498900157221</v>
      </c>
    </row>
    <row r="301" spans="1:15" x14ac:dyDescent="0.25">
      <c r="A301" s="72">
        <f t="shared" si="87"/>
        <v>136</v>
      </c>
      <c r="B301" s="183">
        <f t="shared" si="82"/>
        <v>0</v>
      </c>
      <c r="C301" s="184">
        <f>-Parking!$E$89/12</f>
        <v>0</v>
      </c>
      <c r="D301" s="183">
        <f>Parking!$E$87/12*B300</f>
        <v>0</v>
      </c>
      <c r="E301" s="185">
        <f t="shared" si="83"/>
        <v>0</v>
      </c>
      <c r="F301" s="72">
        <f t="shared" si="88"/>
        <v>136</v>
      </c>
      <c r="G301" s="180">
        <f t="shared" si="84"/>
        <v>8631085.2612687238</v>
      </c>
      <c r="H301" s="186">
        <f>-Parking!$E$94/12</f>
        <v>46202.434086102563</v>
      </c>
      <c r="I301" s="149">
        <f>Parking!$E$92/12*G300</f>
        <v>14438.082687778415</v>
      </c>
      <c r="J301" s="187">
        <f t="shared" si="85"/>
        <v>31764.35139832415</v>
      </c>
      <c r="K301" s="72">
        <f t="shared" si="89"/>
        <v>136</v>
      </c>
      <c r="L301" s="180">
        <f t="shared" si="86"/>
        <v>8631085.2612687238</v>
      </c>
      <c r="M301" s="181">
        <f t="shared" si="86"/>
        <v>46202.434086102563</v>
      </c>
      <c r="N301" s="180">
        <f t="shared" si="86"/>
        <v>14438.082687778415</v>
      </c>
      <c r="O301" s="132">
        <f t="shared" si="86"/>
        <v>31764.35139832415</v>
      </c>
    </row>
    <row r="302" spans="1:15" x14ac:dyDescent="0.25">
      <c r="A302" s="72">
        <f t="shared" si="87"/>
        <v>137</v>
      </c>
      <c r="B302" s="183">
        <f t="shared" si="82"/>
        <v>0</v>
      </c>
      <c r="C302" s="184">
        <f>-Parking!$E$89/12</f>
        <v>0</v>
      </c>
      <c r="D302" s="183">
        <f>Parking!$E$87/12*B301</f>
        <v>0</v>
      </c>
      <c r="E302" s="185">
        <f t="shared" si="83"/>
        <v>0</v>
      </c>
      <c r="F302" s="72">
        <f t="shared" si="88"/>
        <v>137</v>
      </c>
      <c r="G302" s="180">
        <f t="shared" si="84"/>
        <v>8599267.9692847356</v>
      </c>
      <c r="H302" s="186">
        <f>-Parking!$E$94/12</f>
        <v>46202.434086102563</v>
      </c>
      <c r="I302" s="149">
        <f>Parking!$E$92/12*G301</f>
        <v>14385.14210211454</v>
      </c>
      <c r="J302" s="187">
        <f t="shared" si="85"/>
        <v>31817.291983988023</v>
      </c>
      <c r="K302" s="72">
        <f t="shared" si="89"/>
        <v>137</v>
      </c>
      <c r="L302" s="180">
        <f t="shared" si="86"/>
        <v>8599267.9692847356</v>
      </c>
      <c r="M302" s="181">
        <f t="shared" si="86"/>
        <v>46202.434086102563</v>
      </c>
      <c r="N302" s="180">
        <f t="shared" si="86"/>
        <v>14385.14210211454</v>
      </c>
      <c r="O302" s="132">
        <f t="shared" si="86"/>
        <v>31817.291983988023</v>
      </c>
    </row>
    <row r="303" spans="1:15" x14ac:dyDescent="0.25">
      <c r="A303" s="72">
        <f t="shared" si="87"/>
        <v>138</v>
      </c>
      <c r="B303" s="183">
        <f t="shared" si="82"/>
        <v>0</v>
      </c>
      <c r="C303" s="184">
        <f>-Parking!$E$89/12</f>
        <v>0</v>
      </c>
      <c r="D303" s="183">
        <f>Parking!$E$87/12*B302</f>
        <v>0</v>
      </c>
      <c r="E303" s="185">
        <f t="shared" si="83"/>
        <v>0</v>
      </c>
      <c r="F303" s="72">
        <f t="shared" si="88"/>
        <v>138</v>
      </c>
      <c r="G303" s="180">
        <f t="shared" si="84"/>
        <v>8567397.6484807748</v>
      </c>
      <c r="H303" s="186">
        <f>-Parking!$E$94/12</f>
        <v>46202.434086102563</v>
      </c>
      <c r="I303" s="149">
        <f>Parking!$E$92/12*G302</f>
        <v>14332.113282141227</v>
      </c>
      <c r="J303" s="187">
        <f t="shared" si="85"/>
        <v>31870.320803961338</v>
      </c>
      <c r="K303" s="72">
        <f t="shared" si="89"/>
        <v>138</v>
      </c>
      <c r="L303" s="180">
        <f t="shared" si="86"/>
        <v>8567397.6484807748</v>
      </c>
      <c r="M303" s="181">
        <f t="shared" si="86"/>
        <v>46202.434086102563</v>
      </c>
      <c r="N303" s="180">
        <f t="shared" si="86"/>
        <v>14332.113282141227</v>
      </c>
      <c r="O303" s="132">
        <f t="shared" si="86"/>
        <v>31870.320803961338</v>
      </c>
    </row>
    <row r="304" spans="1:15" x14ac:dyDescent="0.25">
      <c r="A304" s="72">
        <f t="shared" si="87"/>
        <v>139</v>
      </c>
      <c r="B304" s="183">
        <f t="shared" si="82"/>
        <v>0</v>
      </c>
      <c r="C304" s="184">
        <f>-Parking!$E$89/12</f>
        <v>0</v>
      </c>
      <c r="D304" s="183">
        <f>Parking!$E$87/12*B303</f>
        <v>0</v>
      </c>
      <c r="E304" s="185">
        <f t="shared" si="83"/>
        <v>0</v>
      </c>
      <c r="F304" s="72">
        <f t="shared" si="88"/>
        <v>139</v>
      </c>
      <c r="G304" s="180">
        <f t="shared" si="84"/>
        <v>8535474.2104754727</v>
      </c>
      <c r="H304" s="186">
        <f>-Parking!$E$94/12</f>
        <v>46202.434086102563</v>
      </c>
      <c r="I304" s="149">
        <f>Parking!$E$92/12*G303</f>
        <v>14278.996080801293</v>
      </c>
      <c r="J304" s="187">
        <f t="shared" si="85"/>
        <v>31923.438005301272</v>
      </c>
      <c r="K304" s="72">
        <f t="shared" si="89"/>
        <v>139</v>
      </c>
      <c r="L304" s="180">
        <f t="shared" si="86"/>
        <v>8535474.2104754727</v>
      </c>
      <c r="M304" s="181">
        <f t="shared" si="86"/>
        <v>46202.434086102563</v>
      </c>
      <c r="N304" s="180">
        <f t="shared" si="86"/>
        <v>14278.996080801293</v>
      </c>
      <c r="O304" s="132">
        <f t="shared" si="86"/>
        <v>31923.438005301272</v>
      </c>
    </row>
    <row r="305" spans="1:15" x14ac:dyDescent="0.25">
      <c r="A305" s="72">
        <f t="shared" si="87"/>
        <v>140</v>
      </c>
      <c r="B305" s="183">
        <f t="shared" si="82"/>
        <v>0</v>
      </c>
      <c r="C305" s="184">
        <f>-Parking!$E$89/12</f>
        <v>0</v>
      </c>
      <c r="D305" s="183">
        <f>Parking!$E$87/12*B304</f>
        <v>0</v>
      </c>
      <c r="E305" s="185">
        <f t="shared" si="83"/>
        <v>0</v>
      </c>
      <c r="F305" s="72">
        <f t="shared" si="88"/>
        <v>140</v>
      </c>
      <c r="G305" s="180">
        <f t="shared" si="84"/>
        <v>8503497.5667401627</v>
      </c>
      <c r="H305" s="186">
        <f>-Parking!$E$94/12</f>
        <v>46202.434086102563</v>
      </c>
      <c r="I305" s="149">
        <f>Parking!$E$92/12*G304</f>
        <v>14225.790350792455</v>
      </c>
      <c r="J305" s="187">
        <f t="shared" si="85"/>
        <v>31976.643735310106</v>
      </c>
      <c r="K305" s="72">
        <f t="shared" si="89"/>
        <v>140</v>
      </c>
      <c r="L305" s="180">
        <f t="shared" si="86"/>
        <v>8503497.5667401627</v>
      </c>
      <c r="M305" s="181">
        <f t="shared" si="86"/>
        <v>46202.434086102563</v>
      </c>
      <c r="N305" s="180">
        <f t="shared" si="86"/>
        <v>14225.790350792455</v>
      </c>
      <c r="O305" s="132">
        <f t="shared" si="86"/>
        <v>31976.643735310106</v>
      </c>
    </row>
    <row r="306" spans="1:15" x14ac:dyDescent="0.25">
      <c r="A306" s="72">
        <f t="shared" si="87"/>
        <v>141</v>
      </c>
      <c r="B306" s="183">
        <f t="shared" si="82"/>
        <v>0</v>
      </c>
      <c r="C306" s="184">
        <f>-Parking!$E$89/12</f>
        <v>0</v>
      </c>
      <c r="D306" s="183">
        <f>Parking!$E$87/12*B305</f>
        <v>0</v>
      </c>
      <c r="E306" s="185">
        <f t="shared" si="83"/>
        <v>0</v>
      </c>
      <c r="F306" s="72">
        <f t="shared" si="88"/>
        <v>141</v>
      </c>
      <c r="G306" s="180">
        <f t="shared" si="84"/>
        <v>8471467.6285986267</v>
      </c>
      <c r="H306" s="186">
        <f>-Parking!$E$94/12</f>
        <v>46202.434086102563</v>
      </c>
      <c r="I306" s="149">
        <f>Parking!$E$92/12*G305</f>
        <v>14172.495944566939</v>
      </c>
      <c r="J306" s="187">
        <f t="shared" si="85"/>
        <v>32029.938141535626</v>
      </c>
      <c r="K306" s="72">
        <f t="shared" si="89"/>
        <v>141</v>
      </c>
      <c r="L306" s="180">
        <f t="shared" si="86"/>
        <v>8471467.6285986267</v>
      </c>
      <c r="M306" s="181">
        <f t="shared" si="86"/>
        <v>46202.434086102563</v>
      </c>
      <c r="N306" s="180">
        <f t="shared" si="86"/>
        <v>14172.495944566939</v>
      </c>
      <c r="O306" s="132">
        <f t="shared" si="86"/>
        <v>32029.938141535626</v>
      </c>
    </row>
    <row r="307" spans="1:15" x14ac:dyDescent="0.25">
      <c r="A307" s="72">
        <f t="shared" si="87"/>
        <v>142</v>
      </c>
      <c r="B307" s="183">
        <f t="shared" si="82"/>
        <v>0</v>
      </c>
      <c r="C307" s="184">
        <f>-Parking!$E$89/12</f>
        <v>0</v>
      </c>
      <c r="D307" s="183">
        <f>Parking!$E$87/12*B306</f>
        <v>0</v>
      </c>
      <c r="E307" s="185">
        <f t="shared" si="83"/>
        <v>0</v>
      </c>
      <c r="F307" s="72">
        <f t="shared" si="88"/>
        <v>142</v>
      </c>
      <c r="G307" s="180">
        <f t="shared" si="84"/>
        <v>8439384.3072268553</v>
      </c>
      <c r="H307" s="186">
        <f>-Parking!$E$94/12</f>
        <v>46202.434086102563</v>
      </c>
      <c r="I307" s="149">
        <f>Parking!$E$92/12*G306</f>
        <v>14119.112714331046</v>
      </c>
      <c r="J307" s="187">
        <f t="shared" si="85"/>
        <v>32083.321371771519</v>
      </c>
      <c r="K307" s="72">
        <f t="shared" si="89"/>
        <v>142</v>
      </c>
      <c r="L307" s="180">
        <f t="shared" si="86"/>
        <v>8439384.3072268553</v>
      </c>
      <c r="M307" s="181">
        <f t="shared" si="86"/>
        <v>46202.434086102563</v>
      </c>
      <c r="N307" s="180">
        <f t="shared" si="86"/>
        <v>14119.112714331046</v>
      </c>
      <c r="O307" s="132">
        <f t="shared" si="86"/>
        <v>32083.321371771519</v>
      </c>
    </row>
    <row r="308" spans="1:15" x14ac:dyDescent="0.25">
      <c r="A308" s="72">
        <f t="shared" si="87"/>
        <v>143</v>
      </c>
      <c r="B308" s="183">
        <f t="shared" si="82"/>
        <v>0</v>
      </c>
      <c r="C308" s="184">
        <f>-Parking!$E$89/12</f>
        <v>0</v>
      </c>
      <c r="D308" s="183">
        <f>Parking!$E$87/12*B307</f>
        <v>0</v>
      </c>
      <c r="E308" s="185">
        <f t="shared" si="83"/>
        <v>0</v>
      </c>
      <c r="F308" s="72">
        <f t="shared" si="88"/>
        <v>143</v>
      </c>
      <c r="G308" s="180">
        <f t="shared" si="84"/>
        <v>8407247.5136527978</v>
      </c>
      <c r="H308" s="186">
        <f>-Parking!$E$94/12</f>
        <v>46202.434086102563</v>
      </c>
      <c r="I308" s="149">
        <f>Parking!$E$92/12*G307</f>
        <v>14065.64051204476</v>
      </c>
      <c r="J308" s="187">
        <f t="shared" si="85"/>
        <v>32136.793574057803</v>
      </c>
      <c r="K308" s="72">
        <f t="shared" si="89"/>
        <v>143</v>
      </c>
      <c r="L308" s="180">
        <f t="shared" si="86"/>
        <v>8407247.5136527978</v>
      </c>
      <c r="M308" s="181">
        <f t="shared" si="86"/>
        <v>46202.434086102563</v>
      </c>
      <c r="N308" s="180">
        <f t="shared" si="86"/>
        <v>14065.64051204476</v>
      </c>
      <c r="O308" s="132">
        <f t="shared" si="86"/>
        <v>32136.793574057803</v>
      </c>
    </row>
    <row r="309" spans="1:15" x14ac:dyDescent="0.25">
      <c r="A309" s="72">
        <f t="shared" si="87"/>
        <v>144</v>
      </c>
      <c r="B309" s="183">
        <f t="shared" si="82"/>
        <v>0</v>
      </c>
      <c r="C309" s="184">
        <f>-Parking!$E$89/12</f>
        <v>0</v>
      </c>
      <c r="D309" s="183">
        <f>Parking!$E$87/12*B308</f>
        <v>0</v>
      </c>
      <c r="E309" s="185">
        <f t="shared" si="83"/>
        <v>0</v>
      </c>
      <c r="F309" s="72">
        <f t="shared" si="88"/>
        <v>144</v>
      </c>
      <c r="G309" s="180">
        <f t="shared" si="84"/>
        <v>8375057.1587561164</v>
      </c>
      <c r="H309" s="186">
        <f>-Parking!$E$94/12</f>
        <v>46202.434086102563</v>
      </c>
      <c r="I309" s="149">
        <f>Parking!$E$92/12*G308</f>
        <v>14012.079189421331</v>
      </c>
      <c r="J309" s="187">
        <f t="shared" si="85"/>
        <v>32190.35489668123</v>
      </c>
      <c r="K309" s="72">
        <f t="shared" si="89"/>
        <v>144</v>
      </c>
      <c r="L309" s="180">
        <f t="shared" si="86"/>
        <v>8375057.1587561164</v>
      </c>
      <c r="M309" s="181">
        <f t="shared" si="86"/>
        <v>46202.434086102563</v>
      </c>
      <c r="N309" s="180">
        <f t="shared" si="86"/>
        <v>14012.079189421331</v>
      </c>
      <c r="O309" s="132">
        <f t="shared" si="86"/>
        <v>32190.35489668123</v>
      </c>
    </row>
    <row r="310" spans="1:15" x14ac:dyDescent="0.25">
      <c r="A310" s="72">
        <f t="shared" si="87"/>
        <v>145</v>
      </c>
      <c r="B310" s="183">
        <f t="shared" si="82"/>
        <v>0</v>
      </c>
      <c r="C310" s="184">
        <f>-Parking!$E$89/12</f>
        <v>0</v>
      </c>
      <c r="D310" s="183">
        <f>Parking!$E$87/12*B309</f>
        <v>0</v>
      </c>
      <c r="E310" s="185">
        <f t="shared" si="83"/>
        <v>0</v>
      </c>
      <c r="F310" s="72">
        <f t="shared" si="88"/>
        <v>145</v>
      </c>
      <c r="G310" s="180">
        <f t="shared" si="84"/>
        <v>8342813.1532679405</v>
      </c>
      <c r="H310" s="186">
        <f>-Parking!$E$94/12</f>
        <v>46202.434086102563</v>
      </c>
      <c r="I310" s="149">
        <f>Parking!$E$92/12*G309</f>
        <v>13958.428597926861</v>
      </c>
      <c r="J310" s="187">
        <f t="shared" si="85"/>
        <v>32244.005488175702</v>
      </c>
      <c r="K310" s="72">
        <f t="shared" si="89"/>
        <v>145</v>
      </c>
      <c r="L310" s="180">
        <f t="shared" si="86"/>
        <v>8342813.1532679405</v>
      </c>
      <c r="M310" s="181">
        <f t="shared" si="86"/>
        <v>46202.434086102563</v>
      </c>
      <c r="N310" s="180">
        <f t="shared" si="86"/>
        <v>13958.428597926861</v>
      </c>
      <c r="O310" s="132">
        <f t="shared" si="86"/>
        <v>32244.005488175702</v>
      </c>
    </row>
    <row r="311" spans="1:15" x14ac:dyDescent="0.25">
      <c r="A311" s="72">
        <f t="shared" si="87"/>
        <v>146</v>
      </c>
      <c r="B311" s="183">
        <f t="shared" si="82"/>
        <v>0</v>
      </c>
      <c r="C311" s="184">
        <f>-Parking!$E$89/12</f>
        <v>0</v>
      </c>
      <c r="D311" s="183">
        <f>Parking!$E$87/12*B310</f>
        <v>0</v>
      </c>
      <c r="E311" s="185">
        <f t="shared" si="83"/>
        <v>0</v>
      </c>
      <c r="F311" s="72">
        <f t="shared" si="88"/>
        <v>146</v>
      </c>
      <c r="G311" s="180">
        <f t="shared" si="84"/>
        <v>8310515.4077706179</v>
      </c>
      <c r="H311" s="186">
        <f>-Parking!$E$94/12</f>
        <v>46202.434086102563</v>
      </c>
      <c r="I311" s="149">
        <f>Parking!$E$92/12*G310</f>
        <v>13904.688588779902</v>
      </c>
      <c r="J311" s="187">
        <f t="shared" si="85"/>
        <v>32297.745497322663</v>
      </c>
      <c r="K311" s="72">
        <f t="shared" si="89"/>
        <v>146</v>
      </c>
      <c r="L311" s="180">
        <f t="shared" si="86"/>
        <v>8310515.4077706179</v>
      </c>
      <c r="M311" s="181">
        <f t="shared" si="86"/>
        <v>46202.434086102563</v>
      </c>
      <c r="N311" s="180">
        <f t="shared" si="86"/>
        <v>13904.688588779902</v>
      </c>
      <c r="O311" s="132">
        <f t="shared" si="86"/>
        <v>32297.745497322663</v>
      </c>
    </row>
    <row r="312" spans="1:15" x14ac:dyDescent="0.25">
      <c r="A312" s="72">
        <f t="shared" si="87"/>
        <v>147</v>
      </c>
      <c r="B312" s="183">
        <f t="shared" si="82"/>
        <v>0</v>
      </c>
      <c r="C312" s="184">
        <f>-Parking!$E$89/12</f>
        <v>0</v>
      </c>
      <c r="D312" s="183">
        <f>Parking!$E$87/12*B311</f>
        <v>0</v>
      </c>
      <c r="E312" s="185">
        <f t="shared" si="83"/>
        <v>0</v>
      </c>
      <c r="F312" s="72">
        <f t="shared" si="88"/>
        <v>147</v>
      </c>
      <c r="G312" s="180">
        <f t="shared" si="84"/>
        <v>8278163.832697466</v>
      </c>
      <c r="H312" s="186">
        <f>-Parking!$E$94/12</f>
        <v>46202.434086102563</v>
      </c>
      <c r="I312" s="149">
        <f>Parking!$E$92/12*G311</f>
        <v>13850.85901295103</v>
      </c>
      <c r="J312" s="187">
        <f t="shared" si="85"/>
        <v>32351.575073151533</v>
      </c>
      <c r="K312" s="72">
        <f t="shared" si="89"/>
        <v>147</v>
      </c>
      <c r="L312" s="180">
        <f t="shared" si="86"/>
        <v>8278163.832697466</v>
      </c>
      <c r="M312" s="181">
        <f t="shared" si="86"/>
        <v>46202.434086102563</v>
      </c>
      <c r="N312" s="180">
        <f t="shared" si="86"/>
        <v>13850.85901295103</v>
      </c>
      <c r="O312" s="132">
        <f t="shared" si="86"/>
        <v>32351.575073151533</v>
      </c>
    </row>
    <row r="313" spans="1:15" x14ac:dyDescent="0.25">
      <c r="A313" s="72">
        <f t="shared" si="87"/>
        <v>148</v>
      </c>
      <c r="B313" s="183">
        <f t="shared" si="82"/>
        <v>0</v>
      </c>
      <c r="C313" s="184">
        <f>-Parking!$E$89/12</f>
        <v>0</v>
      </c>
      <c r="D313" s="183">
        <f>Parking!$E$87/12*B312</f>
        <v>0</v>
      </c>
      <c r="E313" s="185">
        <f t="shared" si="83"/>
        <v>0</v>
      </c>
      <c r="F313" s="72">
        <f t="shared" si="88"/>
        <v>148</v>
      </c>
      <c r="G313" s="180">
        <f t="shared" si="84"/>
        <v>8245758.3383325255</v>
      </c>
      <c r="H313" s="186">
        <f>-Parking!$E$94/12</f>
        <v>46202.434086102563</v>
      </c>
      <c r="I313" s="149">
        <f>Parking!$E$92/12*G312</f>
        <v>13796.939721162444</v>
      </c>
      <c r="J313" s="187">
        <f t="shared" si="85"/>
        <v>32405.494364940118</v>
      </c>
      <c r="K313" s="72">
        <f t="shared" si="89"/>
        <v>148</v>
      </c>
      <c r="L313" s="180">
        <f t="shared" si="86"/>
        <v>8245758.3383325255</v>
      </c>
      <c r="M313" s="181">
        <f t="shared" si="86"/>
        <v>46202.434086102563</v>
      </c>
      <c r="N313" s="180">
        <f t="shared" si="86"/>
        <v>13796.939721162444</v>
      </c>
      <c r="O313" s="132">
        <f t="shared" si="86"/>
        <v>32405.494364940118</v>
      </c>
    </row>
    <row r="314" spans="1:15" x14ac:dyDescent="0.25">
      <c r="A314" s="72">
        <f t="shared" si="87"/>
        <v>149</v>
      </c>
      <c r="B314" s="183">
        <f t="shared" si="82"/>
        <v>0</v>
      </c>
      <c r="C314" s="184">
        <f>-Parking!$E$89/12</f>
        <v>0</v>
      </c>
      <c r="D314" s="183">
        <f>Parking!$E$87/12*B313</f>
        <v>0</v>
      </c>
      <c r="E314" s="185">
        <f t="shared" si="83"/>
        <v>0</v>
      </c>
      <c r="F314" s="72">
        <f t="shared" si="88"/>
        <v>149</v>
      </c>
      <c r="G314" s="180">
        <f t="shared" si="84"/>
        <v>8213298.83481031</v>
      </c>
      <c r="H314" s="186">
        <f>-Parking!$E$94/12</f>
        <v>46202.434086102563</v>
      </c>
      <c r="I314" s="149">
        <f>Parking!$E$92/12*G313</f>
        <v>13742.930563887543</v>
      </c>
      <c r="J314" s="187">
        <f t="shared" si="85"/>
        <v>32459.503522215018</v>
      </c>
      <c r="K314" s="72">
        <f t="shared" si="89"/>
        <v>149</v>
      </c>
      <c r="L314" s="180">
        <f t="shared" si="86"/>
        <v>8213298.83481031</v>
      </c>
      <c r="M314" s="181">
        <f t="shared" si="86"/>
        <v>46202.434086102563</v>
      </c>
      <c r="N314" s="180">
        <f t="shared" si="86"/>
        <v>13742.930563887543</v>
      </c>
      <c r="O314" s="132">
        <f t="shared" si="86"/>
        <v>32459.503522215018</v>
      </c>
    </row>
    <row r="315" spans="1:15" x14ac:dyDescent="0.25">
      <c r="A315" s="72">
        <f t="shared" si="87"/>
        <v>150</v>
      </c>
      <c r="B315" s="183">
        <f t="shared" si="82"/>
        <v>0</v>
      </c>
      <c r="C315" s="184">
        <f>-Parking!$E$89/12</f>
        <v>0</v>
      </c>
      <c r="D315" s="183">
        <f>Parking!$E$87/12*B314</f>
        <v>0</v>
      </c>
      <c r="E315" s="185">
        <f t="shared" si="83"/>
        <v>0</v>
      </c>
      <c r="F315" s="72">
        <f t="shared" si="88"/>
        <v>150</v>
      </c>
      <c r="G315" s="180">
        <f t="shared" si="84"/>
        <v>8180785.2321155583</v>
      </c>
      <c r="H315" s="186">
        <f>-Parking!$E$94/12</f>
        <v>46202.434086102563</v>
      </c>
      <c r="I315" s="149">
        <f>Parking!$E$92/12*G314</f>
        <v>13688.831391350517</v>
      </c>
      <c r="J315" s="187">
        <f t="shared" si="85"/>
        <v>32513.602694752044</v>
      </c>
      <c r="K315" s="72">
        <f t="shared" si="89"/>
        <v>150</v>
      </c>
      <c r="L315" s="180">
        <f t="shared" si="86"/>
        <v>8180785.2321155583</v>
      </c>
      <c r="M315" s="181">
        <f t="shared" si="86"/>
        <v>46202.434086102563</v>
      </c>
      <c r="N315" s="180">
        <f t="shared" si="86"/>
        <v>13688.831391350517</v>
      </c>
      <c r="O315" s="132">
        <f t="shared" si="86"/>
        <v>32513.602694752044</v>
      </c>
    </row>
    <row r="316" spans="1:15" x14ac:dyDescent="0.25">
      <c r="A316" s="72">
        <f t="shared" si="87"/>
        <v>151</v>
      </c>
      <c r="B316" s="183">
        <f t="shared" si="82"/>
        <v>0</v>
      </c>
      <c r="C316" s="184">
        <f>-Parking!$E$89/12</f>
        <v>0</v>
      </c>
      <c r="D316" s="183">
        <f>Parking!$E$87/12*B315</f>
        <v>0</v>
      </c>
      <c r="E316" s="185">
        <f t="shared" si="83"/>
        <v>0</v>
      </c>
      <c r="F316" s="72">
        <f t="shared" si="88"/>
        <v>151</v>
      </c>
      <c r="G316" s="180">
        <f t="shared" si="84"/>
        <v>8148217.4400829822</v>
      </c>
      <c r="H316" s="186">
        <f>-Parking!$E$94/12</f>
        <v>46202.434086102563</v>
      </c>
      <c r="I316" s="149">
        <f>Parking!$E$92/12*G315</f>
        <v>13634.642053525931</v>
      </c>
      <c r="J316" s="187">
        <f t="shared" si="85"/>
        <v>32567.792032576632</v>
      </c>
      <c r="K316" s="72">
        <f t="shared" si="89"/>
        <v>151</v>
      </c>
      <c r="L316" s="180">
        <f t="shared" si="86"/>
        <v>8148217.4400829822</v>
      </c>
      <c r="M316" s="181">
        <f t="shared" si="86"/>
        <v>46202.434086102563</v>
      </c>
      <c r="N316" s="180">
        <f t="shared" si="86"/>
        <v>13634.642053525931</v>
      </c>
      <c r="O316" s="132">
        <f t="shared" si="86"/>
        <v>32567.792032576632</v>
      </c>
    </row>
    <row r="317" spans="1:15" x14ac:dyDescent="0.25">
      <c r="A317" s="72">
        <f t="shared" si="87"/>
        <v>152</v>
      </c>
      <c r="B317" s="183">
        <f t="shared" si="82"/>
        <v>0</v>
      </c>
      <c r="C317" s="184">
        <f>-Parking!$E$89/12</f>
        <v>0</v>
      </c>
      <c r="D317" s="183">
        <f>Parking!$E$87/12*B316</f>
        <v>0</v>
      </c>
      <c r="E317" s="185">
        <f t="shared" si="83"/>
        <v>0</v>
      </c>
      <c r="F317" s="72">
        <f t="shared" si="88"/>
        <v>152</v>
      </c>
      <c r="G317" s="180">
        <f t="shared" si="84"/>
        <v>8115595.3683970179</v>
      </c>
      <c r="H317" s="186">
        <f>-Parking!$E$94/12</f>
        <v>46202.434086102563</v>
      </c>
      <c r="I317" s="149">
        <f>Parking!$E$92/12*G316</f>
        <v>13580.362400138305</v>
      </c>
      <c r="J317" s="187">
        <f t="shared" si="85"/>
        <v>32622.071685964256</v>
      </c>
      <c r="K317" s="72">
        <f t="shared" si="89"/>
        <v>152</v>
      </c>
      <c r="L317" s="180">
        <f t="shared" si="86"/>
        <v>8115595.3683970179</v>
      </c>
      <c r="M317" s="181">
        <f t="shared" si="86"/>
        <v>46202.434086102563</v>
      </c>
      <c r="N317" s="180">
        <f t="shared" si="86"/>
        <v>13580.362400138305</v>
      </c>
      <c r="O317" s="132">
        <f t="shared" si="86"/>
        <v>32622.071685964256</v>
      </c>
    </row>
    <row r="318" spans="1:15" x14ac:dyDescent="0.25">
      <c r="A318" s="72">
        <f t="shared" si="87"/>
        <v>153</v>
      </c>
      <c r="B318" s="183">
        <f t="shared" si="82"/>
        <v>0</v>
      </c>
      <c r="C318" s="184">
        <f>-Parking!$E$89/12</f>
        <v>0</v>
      </c>
      <c r="D318" s="183">
        <f>Parking!$E$87/12*B317</f>
        <v>0</v>
      </c>
      <c r="E318" s="185">
        <f t="shared" si="83"/>
        <v>0</v>
      </c>
      <c r="F318" s="72">
        <f t="shared" si="88"/>
        <v>153</v>
      </c>
      <c r="G318" s="180">
        <f t="shared" si="84"/>
        <v>8082918.926591577</v>
      </c>
      <c r="H318" s="186">
        <f>-Parking!$E$94/12</f>
        <v>46202.434086102563</v>
      </c>
      <c r="I318" s="149">
        <f>Parking!$E$92/12*G317</f>
        <v>13525.992280661698</v>
      </c>
      <c r="J318" s="187">
        <f t="shared" si="85"/>
        <v>32676.441805440867</v>
      </c>
      <c r="K318" s="72">
        <f t="shared" si="89"/>
        <v>153</v>
      </c>
      <c r="L318" s="180">
        <f t="shared" si="86"/>
        <v>8082918.926591577</v>
      </c>
      <c r="M318" s="181">
        <f t="shared" si="86"/>
        <v>46202.434086102563</v>
      </c>
      <c r="N318" s="180">
        <f t="shared" si="86"/>
        <v>13525.992280661698</v>
      </c>
      <c r="O318" s="132">
        <f t="shared" si="86"/>
        <v>32676.441805440867</v>
      </c>
    </row>
    <row r="319" spans="1:15" x14ac:dyDescent="0.25">
      <c r="A319" s="72">
        <f t="shared" si="87"/>
        <v>154</v>
      </c>
      <c r="B319" s="183">
        <f t="shared" si="82"/>
        <v>0</v>
      </c>
      <c r="C319" s="184">
        <f>-Parking!$E$89/12</f>
        <v>0</v>
      </c>
      <c r="D319" s="183">
        <f>Parking!$E$87/12*B318</f>
        <v>0</v>
      </c>
      <c r="E319" s="185">
        <f t="shared" si="83"/>
        <v>0</v>
      </c>
      <c r="F319" s="72">
        <f t="shared" si="88"/>
        <v>154</v>
      </c>
      <c r="G319" s="180">
        <f t="shared" si="84"/>
        <v>8050188.0240497934</v>
      </c>
      <c r="H319" s="186">
        <f>-Parking!$E$94/12</f>
        <v>46202.434086102563</v>
      </c>
      <c r="I319" s="149">
        <f>Parking!$E$92/12*G318</f>
        <v>13471.531544319296</v>
      </c>
      <c r="J319" s="187">
        <f t="shared" si="85"/>
        <v>32730.902541783267</v>
      </c>
      <c r="K319" s="72">
        <f t="shared" si="89"/>
        <v>154</v>
      </c>
      <c r="L319" s="180">
        <f t="shared" si="86"/>
        <v>8050188.0240497934</v>
      </c>
      <c r="M319" s="181">
        <f t="shared" si="86"/>
        <v>46202.434086102563</v>
      </c>
      <c r="N319" s="180">
        <f t="shared" si="86"/>
        <v>13471.531544319296</v>
      </c>
      <c r="O319" s="132">
        <f t="shared" si="86"/>
        <v>32730.902541783267</v>
      </c>
    </row>
    <row r="320" spans="1:15" x14ac:dyDescent="0.25">
      <c r="A320" s="72">
        <f t="shared" si="87"/>
        <v>155</v>
      </c>
      <c r="B320" s="183">
        <f t="shared" si="82"/>
        <v>0</v>
      </c>
      <c r="C320" s="184">
        <f>-Parking!$E$89/12</f>
        <v>0</v>
      </c>
      <c r="D320" s="183">
        <f>Parking!$E$87/12*B319</f>
        <v>0</v>
      </c>
      <c r="E320" s="185">
        <f t="shared" si="83"/>
        <v>0</v>
      </c>
      <c r="F320" s="72">
        <f t="shared" si="88"/>
        <v>155</v>
      </c>
      <c r="G320" s="180">
        <f t="shared" si="84"/>
        <v>8017402.570003774</v>
      </c>
      <c r="H320" s="186">
        <f>-Parking!$E$94/12</f>
        <v>46202.434086102563</v>
      </c>
      <c r="I320" s="149">
        <f>Parking!$E$92/12*G319</f>
        <v>13416.98004008299</v>
      </c>
      <c r="J320" s="187">
        <f t="shared" si="85"/>
        <v>32785.454046019571</v>
      </c>
      <c r="K320" s="72">
        <f t="shared" si="89"/>
        <v>155</v>
      </c>
      <c r="L320" s="180">
        <f t="shared" si="86"/>
        <v>8017402.570003774</v>
      </c>
      <c r="M320" s="181">
        <f t="shared" si="86"/>
        <v>46202.434086102563</v>
      </c>
      <c r="N320" s="180">
        <f t="shared" si="86"/>
        <v>13416.98004008299</v>
      </c>
      <c r="O320" s="132">
        <f t="shared" si="86"/>
        <v>32785.454046019571</v>
      </c>
    </row>
    <row r="321" spans="1:15" x14ac:dyDescent="0.25">
      <c r="A321" s="72">
        <f t="shared" si="87"/>
        <v>156</v>
      </c>
      <c r="B321" s="183">
        <f t="shared" si="82"/>
        <v>0</v>
      </c>
      <c r="C321" s="184">
        <f>-Parking!$E$89/12</f>
        <v>0</v>
      </c>
      <c r="D321" s="183">
        <f>Parking!$E$87/12*B320</f>
        <v>0</v>
      </c>
      <c r="E321" s="185">
        <f t="shared" si="83"/>
        <v>0</v>
      </c>
      <c r="F321" s="72">
        <f t="shared" si="88"/>
        <v>156</v>
      </c>
      <c r="G321" s="180">
        <f t="shared" si="84"/>
        <v>7984562.4735343447</v>
      </c>
      <c r="H321" s="186">
        <f>-Parking!$E$94/12</f>
        <v>46202.434086102563</v>
      </c>
      <c r="I321" s="149">
        <f>Parking!$E$92/12*G320</f>
        <v>13362.337616672958</v>
      </c>
      <c r="J321" s="187">
        <f t="shared" si="85"/>
        <v>32840.096469429605</v>
      </c>
      <c r="K321" s="72">
        <f t="shared" si="89"/>
        <v>156</v>
      </c>
      <c r="L321" s="180">
        <f t="shared" si="86"/>
        <v>7984562.4735343447</v>
      </c>
      <c r="M321" s="181">
        <f t="shared" si="86"/>
        <v>46202.434086102563</v>
      </c>
      <c r="N321" s="180">
        <f t="shared" si="86"/>
        <v>13362.337616672958</v>
      </c>
      <c r="O321" s="132">
        <f t="shared" si="86"/>
        <v>32840.096469429605</v>
      </c>
    </row>
    <row r="322" spans="1:15" x14ac:dyDescent="0.25">
      <c r="A322" s="72">
        <f t="shared" si="87"/>
        <v>157</v>
      </c>
      <c r="B322" s="183">
        <f t="shared" si="82"/>
        <v>0</v>
      </c>
      <c r="C322" s="184">
        <f>-Parking!$E$89/12</f>
        <v>0</v>
      </c>
      <c r="D322" s="183">
        <f>Parking!$E$87/12*B321</f>
        <v>0</v>
      </c>
      <c r="E322" s="185">
        <f t="shared" si="83"/>
        <v>0</v>
      </c>
      <c r="F322" s="72">
        <f t="shared" si="88"/>
        <v>157</v>
      </c>
      <c r="G322" s="180">
        <f t="shared" si="84"/>
        <v>7951667.6435707994</v>
      </c>
      <c r="H322" s="186">
        <f>-Parking!$E$94/12</f>
        <v>46202.434086102563</v>
      </c>
      <c r="I322" s="149">
        <f>Parking!$E$92/12*G321</f>
        <v>13307.604122557243</v>
      </c>
      <c r="J322" s="187">
        <f t="shared" si="85"/>
        <v>32894.829963545322</v>
      </c>
      <c r="K322" s="72">
        <f t="shared" si="89"/>
        <v>157</v>
      </c>
      <c r="L322" s="180">
        <f t="shared" si="86"/>
        <v>7951667.6435707994</v>
      </c>
      <c r="M322" s="181">
        <f t="shared" si="86"/>
        <v>46202.434086102563</v>
      </c>
      <c r="N322" s="180">
        <f t="shared" si="86"/>
        <v>13307.604122557243</v>
      </c>
      <c r="O322" s="132">
        <f t="shared" si="86"/>
        <v>32894.829963545322</v>
      </c>
    </row>
    <row r="323" spans="1:15" x14ac:dyDescent="0.25">
      <c r="A323" s="72">
        <f t="shared" si="87"/>
        <v>158</v>
      </c>
      <c r="B323" s="183">
        <f t="shared" si="82"/>
        <v>0</v>
      </c>
      <c r="C323" s="184">
        <f>-Parking!$E$89/12</f>
        <v>0</v>
      </c>
      <c r="D323" s="183">
        <f>Parking!$E$87/12*B322</f>
        <v>0</v>
      </c>
      <c r="E323" s="185">
        <f t="shared" si="83"/>
        <v>0</v>
      </c>
      <c r="F323" s="72">
        <f t="shared" si="88"/>
        <v>158</v>
      </c>
      <c r="G323" s="180">
        <f t="shared" si="84"/>
        <v>7918717.9888906479</v>
      </c>
      <c r="H323" s="186">
        <f>-Parking!$E$94/12</f>
        <v>46202.434086102563</v>
      </c>
      <c r="I323" s="149">
        <f>Parking!$E$92/12*G322</f>
        <v>13252.779405951333</v>
      </c>
      <c r="J323" s="187">
        <f t="shared" si="85"/>
        <v>32949.65468015123</v>
      </c>
      <c r="K323" s="72">
        <f t="shared" si="89"/>
        <v>158</v>
      </c>
      <c r="L323" s="180">
        <f t="shared" si="86"/>
        <v>7918717.9888906479</v>
      </c>
      <c r="M323" s="181">
        <f t="shared" si="86"/>
        <v>46202.434086102563</v>
      </c>
      <c r="N323" s="180">
        <f t="shared" si="86"/>
        <v>13252.779405951333</v>
      </c>
      <c r="O323" s="132">
        <f t="shared" si="86"/>
        <v>32949.65468015123</v>
      </c>
    </row>
    <row r="324" spans="1:15" x14ac:dyDescent="0.25">
      <c r="A324" s="72">
        <f t="shared" si="87"/>
        <v>159</v>
      </c>
      <c r="B324" s="183">
        <f t="shared" si="82"/>
        <v>0</v>
      </c>
      <c r="C324" s="184">
        <f>-Parking!$E$89/12</f>
        <v>0</v>
      </c>
      <c r="D324" s="183">
        <f>Parking!$E$87/12*B323</f>
        <v>0</v>
      </c>
      <c r="E324" s="185">
        <f t="shared" si="83"/>
        <v>0</v>
      </c>
      <c r="F324" s="72">
        <f t="shared" si="88"/>
        <v>159</v>
      </c>
      <c r="G324" s="180">
        <f t="shared" si="84"/>
        <v>7885713.4181193635</v>
      </c>
      <c r="H324" s="186">
        <f>-Parking!$E$94/12</f>
        <v>46202.434086102563</v>
      </c>
      <c r="I324" s="149">
        <f>Parking!$E$92/12*G323</f>
        <v>13197.863314817747</v>
      </c>
      <c r="J324" s="187">
        <f t="shared" si="85"/>
        <v>33004.570771284816</v>
      </c>
      <c r="K324" s="72">
        <f t="shared" si="89"/>
        <v>159</v>
      </c>
      <c r="L324" s="180">
        <f t="shared" si="86"/>
        <v>7885713.4181193635</v>
      </c>
      <c r="M324" s="181">
        <f t="shared" si="86"/>
        <v>46202.434086102563</v>
      </c>
      <c r="N324" s="180">
        <f t="shared" si="86"/>
        <v>13197.863314817747</v>
      </c>
      <c r="O324" s="132">
        <f t="shared" si="86"/>
        <v>33004.570771284816</v>
      </c>
    </row>
    <row r="325" spans="1:15" x14ac:dyDescent="0.25">
      <c r="A325" s="72">
        <f t="shared" si="87"/>
        <v>160</v>
      </c>
      <c r="B325" s="183">
        <f t="shared" si="82"/>
        <v>0</v>
      </c>
      <c r="C325" s="184">
        <f>-Parking!$E$89/12</f>
        <v>0</v>
      </c>
      <c r="D325" s="183">
        <f>Parking!$E$87/12*B324</f>
        <v>0</v>
      </c>
      <c r="E325" s="185">
        <f t="shared" si="83"/>
        <v>0</v>
      </c>
      <c r="F325" s="72">
        <f t="shared" si="88"/>
        <v>160</v>
      </c>
      <c r="G325" s="180">
        <f t="shared" si="84"/>
        <v>7852653.8397301268</v>
      </c>
      <c r="H325" s="186">
        <f>-Parking!$E$94/12</f>
        <v>46202.434086102563</v>
      </c>
      <c r="I325" s="149">
        <f>Parking!$E$92/12*G324</f>
        <v>13142.855696865607</v>
      </c>
      <c r="J325" s="187">
        <f t="shared" si="85"/>
        <v>33059.578389236958</v>
      </c>
      <c r="K325" s="72">
        <f t="shared" si="89"/>
        <v>160</v>
      </c>
      <c r="L325" s="180">
        <f t="shared" si="86"/>
        <v>7852653.8397301268</v>
      </c>
      <c r="M325" s="181">
        <f t="shared" si="86"/>
        <v>46202.434086102563</v>
      </c>
      <c r="N325" s="180">
        <f t="shared" si="86"/>
        <v>13142.855696865607</v>
      </c>
      <c r="O325" s="132">
        <f t="shared" si="86"/>
        <v>33059.578389236958</v>
      </c>
    </row>
    <row r="326" spans="1:15" x14ac:dyDescent="0.25">
      <c r="A326" s="72">
        <f t="shared" si="87"/>
        <v>161</v>
      </c>
      <c r="B326" s="183">
        <f t="shared" si="82"/>
        <v>0</v>
      </c>
      <c r="C326" s="184">
        <f>-Parking!$E$89/12</f>
        <v>0</v>
      </c>
      <c r="D326" s="183">
        <f>Parking!$E$87/12*B325</f>
        <v>0</v>
      </c>
      <c r="E326" s="185">
        <f t="shared" si="83"/>
        <v>0</v>
      </c>
      <c r="F326" s="72">
        <f t="shared" si="88"/>
        <v>161</v>
      </c>
      <c r="G326" s="180">
        <f t="shared" si="84"/>
        <v>7819539.1620435743</v>
      </c>
      <c r="H326" s="186">
        <f>-Parking!$E$94/12</f>
        <v>46202.434086102563</v>
      </c>
      <c r="I326" s="149">
        <f>Parking!$E$92/12*G325</f>
        <v>13087.756399550211</v>
      </c>
      <c r="J326" s="187">
        <f t="shared" si="85"/>
        <v>33114.67768655235</v>
      </c>
      <c r="K326" s="72">
        <f t="shared" si="89"/>
        <v>161</v>
      </c>
      <c r="L326" s="180">
        <f t="shared" si="86"/>
        <v>7819539.1620435743</v>
      </c>
      <c r="M326" s="181">
        <f t="shared" si="86"/>
        <v>46202.434086102563</v>
      </c>
      <c r="N326" s="180">
        <f t="shared" si="86"/>
        <v>13087.756399550211</v>
      </c>
      <c r="O326" s="132">
        <f t="shared" si="86"/>
        <v>33114.67768655235</v>
      </c>
    </row>
    <row r="327" spans="1:15" x14ac:dyDescent="0.25">
      <c r="A327" s="72">
        <f t="shared" si="87"/>
        <v>162</v>
      </c>
      <c r="B327" s="183">
        <f t="shared" si="82"/>
        <v>0</v>
      </c>
      <c r="C327" s="184">
        <f>-Parking!$E$89/12</f>
        <v>0</v>
      </c>
      <c r="D327" s="183">
        <f>Parking!$E$87/12*B326</f>
        <v>0</v>
      </c>
      <c r="E327" s="185">
        <f t="shared" si="83"/>
        <v>0</v>
      </c>
      <c r="F327" s="72">
        <f t="shared" si="88"/>
        <v>162</v>
      </c>
      <c r="G327" s="180">
        <f t="shared" si="84"/>
        <v>7786369.2932275441</v>
      </c>
      <c r="H327" s="186">
        <f>-Parking!$E$94/12</f>
        <v>46202.434086102563</v>
      </c>
      <c r="I327" s="149">
        <f>Parking!$E$92/12*G326</f>
        <v>13032.565270072624</v>
      </c>
      <c r="J327" s="187">
        <f t="shared" si="85"/>
        <v>33169.868816029935</v>
      </c>
      <c r="K327" s="72">
        <f t="shared" si="89"/>
        <v>162</v>
      </c>
      <c r="L327" s="180">
        <f t="shared" si="86"/>
        <v>7786369.2932275441</v>
      </c>
      <c r="M327" s="181">
        <f t="shared" si="86"/>
        <v>46202.434086102563</v>
      </c>
      <c r="N327" s="180">
        <f t="shared" si="86"/>
        <v>13032.565270072624</v>
      </c>
      <c r="O327" s="132">
        <f t="shared" si="86"/>
        <v>33169.868816029935</v>
      </c>
    </row>
    <row r="328" spans="1:15" x14ac:dyDescent="0.25">
      <c r="A328" s="72">
        <f t="shared" si="87"/>
        <v>163</v>
      </c>
      <c r="B328" s="183">
        <f t="shared" si="82"/>
        <v>0</v>
      </c>
      <c r="C328" s="184">
        <f>-Parking!$E$89/12</f>
        <v>0</v>
      </c>
      <c r="D328" s="183">
        <f>Parking!$E$87/12*B327</f>
        <v>0</v>
      </c>
      <c r="E328" s="185">
        <f t="shared" si="83"/>
        <v>0</v>
      </c>
      <c r="F328" s="72">
        <f t="shared" si="88"/>
        <v>163</v>
      </c>
      <c r="G328" s="180">
        <f t="shared" si="84"/>
        <v>7753144.1412968207</v>
      </c>
      <c r="H328" s="186">
        <f>-Parking!$E$94/12</f>
        <v>46202.434086102563</v>
      </c>
      <c r="I328" s="149">
        <f>Parking!$E$92/12*G327</f>
        <v>12977.28215537924</v>
      </c>
      <c r="J328" s="187">
        <f t="shared" si="85"/>
        <v>33225.151930723325</v>
      </c>
      <c r="K328" s="72">
        <f t="shared" si="89"/>
        <v>163</v>
      </c>
      <c r="L328" s="180">
        <f t="shared" si="86"/>
        <v>7753144.1412968207</v>
      </c>
      <c r="M328" s="181">
        <f t="shared" si="86"/>
        <v>46202.434086102563</v>
      </c>
      <c r="N328" s="180">
        <f t="shared" si="86"/>
        <v>12977.28215537924</v>
      </c>
      <c r="O328" s="132">
        <f t="shared" si="86"/>
        <v>33225.151930723325</v>
      </c>
    </row>
    <row r="329" spans="1:15" x14ac:dyDescent="0.25">
      <c r="A329" s="72">
        <f t="shared" si="87"/>
        <v>164</v>
      </c>
      <c r="B329" s="183">
        <f t="shared" si="82"/>
        <v>0</v>
      </c>
      <c r="C329" s="184">
        <f>-Parking!$E$89/12</f>
        <v>0</v>
      </c>
      <c r="D329" s="183">
        <f>Parking!$E$87/12*B328</f>
        <v>0</v>
      </c>
      <c r="E329" s="185">
        <f t="shared" si="83"/>
        <v>0</v>
      </c>
      <c r="F329" s="72">
        <f t="shared" si="88"/>
        <v>164</v>
      </c>
      <c r="G329" s="180">
        <f t="shared" si="84"/>
        <v>7719863.6141128791</v>
      </c>
      <c r="H329" s="186">
        <f>-Parking!$E$94/12</f>
        <v>46202.434086102563</v>
      </c>
      <c r="I329" s="149">
        <f>Parking!$E$92/12*G328</f>
        <v>12921.906902161369</v>
      </c>
      <c r="J329" s="187">
        <f t="shared" si="85"/>
        <v>33280.527183941194</v>
      </c>
      <c r="K329" s="72">
        <f t="shared" si="89"/>
        <v>164</v>
      </c>
      <c r="L329" s="180">
        <f t="shared" si="86"/>
        <v>7719863.6141128791</v>
      </c>
      <c r="M329" s="181">
        <f t="shared" si="86"/>
        <v>46202.434086102563</v>
      </c>
      <c r="N329" s="180">
        <f t="shared" si="86"/>
        <v>12921.906902161369</v>
      </c>
      <c r="O329" s="132">
        <f t="shared" si="86"/>
        <v>33280.527183941194</v>
      </c>
    </row>
    <row r="330" spans="1:15" x14ac:dyDescent="0.25">
      <c r="A330" s="72">
        <f t="shared" si="87"/>
        <v>165</v>
      </c>
      <c r="B330" s="183">
        <f t="shared" si="82"/>
        <v>0</v>
      </c>
      <c r="C330" s="184">
        <f>-Parking!$E$89/12</f>
        <v>0</v>
      </c>
      <c r="D330" s="183">
        <f>Parking!$E$87/12*B329</f>
        <v>0</v>
      </c>
      <c r="E330" s="185">
        <f t="shared" si="83"/>
        <v>0</v>
      </c>
      <c r="F330" s="72">
        <f t="shared" si="88"/>
        <v>165</v>
      </c>
      <c r="G330" s="180">
        <f t="shared" si="84"/>
        <v>7686527.6193836313</v>
      </c>
      <c r="H330" s="186">
        <f>-Parking!$E$94/12</f>
        <v>46202.434086102563</v>
      </c>
      <c r="I330" s="149">
        <f>Parking!$E$92/12*G329</f>
        <v>12866.4393568548</v>
      </c>
      <c r="J330" s="187">
        <f t="shared" si="85"/>
        <v>33335.994729247759</v>
      </c>
      <c r="K330" s="72">
        <f t="shared" si="89"/>
        <v>165</v>
      </c>
      <c r="L330" s="180">
        <f t="shared" si="86"/>
        <v>7686527.6193836313</v>
      </c>
      <c r="M330" s="181">
        <f t="shared" si="86"/>
        <v>46202.434086102563</v>
      </c>
      <c r="N330" s="180">
        <f t="shared" si="86"/>
        <v>12866.4393568548</v>
      </c>
      <c r="O330" s="132">
        <f t="shared" si="86"/>
        <v>33335.994729247759</v>
      </c>
    </row>
    <row r="331" spans="1:15" x14ac:dyDescent="0.25">
      <c r="A331" s="72">
        <f t="shared" si="87"/>
        <v>166</v>
      </c>
      <c r="B331" s="183">
        <f t="shared" si="82"/>
        <v>0</v>
      </c>
      <c r="C331" s="184">
        <f>-Parking!$E$89/12</f>
        <v>0</v>
      </c>
      <c r="D331" s="183">
        <f>Parking!$E$87/12*B330</f>
        <v>0</v>
      </c>
      <c r="E331" s="185">
        <f t="shared" si="83"/>
        <v>0</v>
      </c>
      <c r="F331" s="72">
        <f t="shared" si="88"/>
        <v>166</v>
      </c>
      <c r="G331" s="180">
        <f t="shared" si="84"/>
        <v>7653136.064663168</v>
      </c>
      <c r="H331" s="186">
        <f>-Parking!$E$94/12</f>
        <v>46202.434086102563</v>
      </c>
      <c r="I331" s="149">
        <f>Parking!$E$92/12*G330</f>
        <v>12810.879365639386</v>
      </c>
      <c r="J331" s="187">
        <f t="shared" si="85"/>
        <v>33391.554720463173</v>
      </c>
      <c r="K331" s="72">
        <f t="shared" si="89"/>
        <v>166</v>
      </c>
      <c r="L331" s="180">
        <f t="shared" si="86"/>
        <v>7653136.064663168</v>
      </c>
      <c r="M331" s="181">
        <f t="shared" si="86"/>
        <v>46202.434086102563</v>
      </c>
      <c r="N331" s="180">
        <f t="shared" si="86"/>
        <v>12810.879365639386</v>
      </c>
      <c r="O331" s="132">
        <f t="shared" si="86"/>
        <v>33391.554720463173</v>
      </c>
    </row>
    <row r="332" spans="1:15" x14ac:dyDescent="0.25">
      <c r="A332" s="72">
        <f t="shared" si="87"/>
        <v>167</v>
      </c>
      <c r="B332" s="183">
        <f t="shared" si="82"/>
        <v>0</v>
      </c>
      <c r="C332" s="184">
        <f>-Parking!$E$89/12</f>
        <v>0</v>
      </c>
      <c r="D332" s="183">
        <f>Parking!$E$87/12*B331</f>
        <v>0</v>
      </c>
      <c r="E332" s="185">
        <f t="shared" si="83"/>
        <v>0</v>
      </c>
      <c r="F332" s="72">
        <f t="shared" si="88"/>
        <v>167</v>
      </c>
      <c r="G332" s="180">
        <f t="shared" si="84"/>
        <v>7619688.8573515043</v>
      </c>
      <c r="H332" s="186">
        <f>-Parking!$E$94/12</f>
        <v>46202.434086102563</v>
      </c>
      <c r="I332" s="149">
        <f>Parking!$E$92/12*G331</f>
        <v>12755.226774438614</v>
      </c>
      <c r="J332" s="187">
        <f t="shared" si="85"/>
        <v>33447.207311663951</v>
      </c>
      <c r="K332" s="72">
        <f t="shared" si="89"/>
        <v>167</v>
      </c>
      <c r="L332" s="180">
        <f t="shared" si="86"/>
        <v>7619688.8573515043</v>
      </c>
      <c r="M332" s="181">
        <f t="shared" si="86"/>
        <v>46202.434086102563</v>
      </c>
      <c r="N332" s="180">
        <f t="shared" si="86"/>
        <v>12755.226774438614</v>
      </c>
      <c r="O332" s="132">
        <f t="shared" si="86"/>
        <v>33447.207311663951</v>
      </c>
    </row>
    <row r="333" spans="1:15" x14ac:dyDescent="0.25">
      <c r="A333" s="72">
        <f t="shared" si="87"/>
        <v>168</v>
      </c>
      <c r="B333" s="183">
        <f t="shared" si="82"/>
        <v>0</v>
      </c>
      <c r="C333" s="184">
        <f>-Parking!$E$89/12</f>
        <v>0</v>
      </c>
      <c r="D333" s="183">
        <f>Parking!$E$87/12*B332</f>
        <v>0</v>
      </c>
      <c r="E333" s="185">
        <f t="shared" si="83"/>
        <v>0</v>
      </c>
      <c r="F333" s="72">
        <f t="shared" si="88"/>
        <v>168</v>
      </c>
      <c r="G333" s="180">
        <f t="shared" si="84"/>
        <v>7586185.9046943206</v>
      </c>
      <c r="H333" s="186">
        <f>-Parking!$E$94/12</f>
        <v>46202.434086102563</v>
      </c>
      <c r="I333" s="149">
        <f>Parking!$E$92/12*G332</f>
        <v>12699.481428919175</v>
      </c>
      <c r="J333" s="187">
        <f t="shared" si="85"/>
        <v>33502.952657183385</v>
      </c>
      <c r="K333" s="72">
        <f t="shared" si="89"/>
        <v>168</v>
      </c>
      <c r="L333" s="180">
        <f t="shared" si="86"/>
        <v>7586185.9046943206</v>
      </c>
      <c r="M333" s="181">
        <f t="shared" si="86"/>
        <v>46202.434086102563</v>
      </c>
      <c r="N333" s="180">
        <f t="shared" si="86"/>
        <v>12699.481428919175</v>
      </c>
      <c r="O333" s="132">
        <f t="shared" si="86"/>
        <v>33502.952657183385</v>
      </c>
    </row>
    <row r="334" spans="1:15" x14ac:dyDescent="0.25">
      <c r="A334" s="72">
        <f t="shared" si="87"/>
        <v>169</v>
      </c>
      <c r="B334" s="183">
        <f t="shared" si="82"/>
        <v>0</v>
      </c>
      <c r="C334" s="184">
        <f>-Parking!$E$89/12</f>
        <v>0</v>
      </c>
      <c r="D334" s="183">
        <f>Parking!$E$87/12*B333</f>
        <v>0</v>
      </c>
      <c r="E334" s="185">
        <f t="shared" si="83"/>
        <v>0</v>
      </c>
      <c r="F334" s="72">
        <f t="shared" si="88"/>
        <v>169</v>
      </c>
      <c r="G334" s="180">
        <f t="shared" si="84"/>
        <v>7552627.1137827085</v>
      </c>
      <c r="H334" s="186">
        <f>-Parking!$E$94/12</f>
        <v>46202.434086102563</v>
      </c>
      <c r="I334" s="149">
        <f>Parking!$E$92/12*G333</f>
        <v>12643.643174490535</v>
      </c>
      <c r="J334" s="187">
        <f t="shared" si="85"/>
        <v>33558.790911612028</v>
      </c>
      <c r="K334" s="72">
        <f t="shared" si="89"/>
        <v>169</v>
      </c>
      <c r="L334" s="180">
        <f t="shared" si="86"/>
        <v>7552627.1137827085</v>
      </c>
      <c r="M334" s="181">
        <f t="shared" si="86"/>
        <v>46202.434086102563</v>
      </c>
      <c r="N334" s="180">
        <f t="shared" si="86"/>
        <v>12643.643174490535</v>
      </c>
      <c r="O334" s="132">
        <f t="shared" si="86"/>
        <v>33558.790911612028</v>
      </c>
    </row>
    <row r="335" spans="1:15" x14ac:dyDescent="0.25">
      <c r="A335" s="72">
        <f t="shared" si="87"/>
        <v>170</v>
      </c>
      <c r="B335" s="183">
        <f t="shared" si="82"/>
        <v>0</v>
      </c>
      <c r="C335" s="184">
        <f>-Parking!$E$89/12</f>
        <v>0</v>
      </c>
      <c r="D335" s="183">
        <f>Parking!$E$87/12*B334</f>
        <v>0</v>
      </c>
      <c r="E335" s="185">
        <f t="shared" si="83"/>
        <v>0</v>
      </c>
      <c r="F335" s="72">
        <f t="shared" si="88"/>
        <v>170</v>
      </c>
      <c r="G335" s="180">
        <f t="shared" si="84"/>
        <v>7519012.3915529102</v>
      </c>
      <c r="H335" s="186">
        <f>-Parking!$E$94/12</f>
        <v>46202.434086102563</v>
      </c>
      <c r="I335" s="149">
        <f>Parking!$E$92/12*G334</f>
        <v>12587.711856304515</v>
      </c>
      <c r="J335" s="187">
        <f t="shared" si="85"/>
        <v>33614.722229798048</v>
      </c>
      <c r="K335" s="72">
        <f t="shared" si="89"/>
        <v>170</v>
      </c>
      <c r="L335" s="180">
        <f t="shared" si="86"/>
        <v>7519012.3915529102</v>
      </c>
      <c r="M335" s="181">
        <f t="shared" si="86"/>
        <v>46202.434086102563</v>
      </c>
      <c r="N335" s="180">
        <f t="shared" si="86"/>
        <v>12587.711856304515</v>
      </c>
      <c r="O335" s="132">
        <f t="shared" si="86"/>
        <v>33614.722229798048</v>
      </c>
    </row>
    <row r="336" spans="1:15" x14ac:dyDescent="0.25">
      <c r="A336" s="72">
        <f t="shared" si="87"/>
        <v>171</v>
      </c>
      <c r="B336" s="183">
        <f t="shared" si="82"/>
        <v>0</v>
      </c>
      <c r="C336" s="184">
        <f>-Parking!$E$89/12</f>
        <v>0</v>
      </c>
      <c r="D336" s="183">
        <f>Parking!$E$87/12*B335</f>
        <v>0</v>
      </c>
      <c r="E336" s="185">
        <f t="shared" si="83"/>
        <v>0</v>
      </c>
      <c r="F336" s="72">
        <f t="shared" si="88"/>
        <v>171</v>
      </c>
      <c r="G336" s="180">
        <f t="shared" si="84"/>
        <v>7485341.6447860627</v>
      </c>
      <c r="H336" s="186">
        <f>-Parking!$E$94/12</f>
        <v>46202.434086102563</v>
      </c>
      <c r="I336" s="149">
        <f>Parking!$E$92/12*G335</f>
        <v>12531.687319254852</v>
      </c>
      <c r="J336" s="187">
        <f t="shared" si="85"/>
        <v>33670.746766847711</v>
      </c>
      <c r="K336" s="72">
        <f t="shared" si="89"/>
        <v>171</v>
      </c>
      <c r="L336" s="180">
        <f t="shared" si="86"/>
        <v>7485341.6447860627</v>
      </c>
      <c r="M336" s="181">
        <f t="shared" si="86"/>
        <v>46202.434086102563</v>
      </c>
      <c r="N336" s="180">
        <f t="shared" si="86"/>
        <v>12531.687319254852</v>
      </c>
      <c r="O336" s="132">
        <f t="shared" si="86"/>
        <v>33670.746766847711</v>
      </c>
    </row>
    <row r="337" spans="1:15" x14ac:dyDescent="0.25">
      <c r="A337" s="72">
        <f t="shared" si="87"/>
        <v>172</v>
      </c>
      <c r="B337" s="183">
        <f t="shared" si="82"/>
        <v>0</v>
      </c>
      <c r="C337" s="184">
        <f>-Parking!$E$89/12</f>
        <v>0</v>
      </c>
      <c r="D337" s="183">
        <f>Parking!$E$87/12*B336</f>
        <v>0</v>
      </c>
      <c r="E337" s="185">
        <f t="shared" si="83"/>
        <v>0</v>
      </c>
      <c r="F337" s="72">
        <f t="shared" si="88"/>
        <v>172</v>
      </c>
      <c r="G337" s="180">
        <f t="shared" si="84"/>
        <v>7451614.7801079368</v>
      </c>
      <c r="H337" s="186">
        <f>-Parking!$E$94/12</f>
        <v>46202.434086102563</v>
      </c>
      <c r="I337" s="149">
        <f>Parking!$E$92/12*G336</f>
        <v>12475.569407976773</v>
      </c>
      <c r="J337" s="187">
        <f t="shared" si="85"/>
        <v>33726.864678125792</v>
      </c>
      <c r="K337" s="72">
        <f t="shared" si="89"/>
        <v>172</v>
      </c>
      <c r="L337" s="180">
        <f t="shared" si="86"/>
        <v>7451614.7801079368</v>
      </c>
      <c r="M337" s="181">
        <f t="shared" si="86"/>
        <v>46202.434086102563</v>
      </c>
      <c r="N337" s="180">
        <f t="shared" si="86"/>
        <v>12475.569407976773</v>
      </c>
      <c r="O337" s="132">
        <f t="shared" si="86"/>
        <v>33726.864678125792</v>
      </c>
    </row>
    <row r="338" spans="1:15" x14ac:dyDescent="0.25">
      <c r="A338" s="72">
        <f t="shared" si="87"/>
        <v>173</v>
      </c>
      <c r="B338" s="183">
        <f t="shared" si="82"/>
        <v>0</v>
      </c>
      <c r="C338" s="184">
        <f>-Parking!$E$89/12</f>
        <v>0</v>
      </c>
      <c r="D338" s="183">
        <f>Parking!$E$87/12*B337</f>
        <v>0</v>
      </c>
      <c r="E338" s="185">
        <f t="shared" si="83"/>
        <v>0</v>
      </c>
      <c r="F338" s="72">
        <f t="shared" si="88"/>
        <v>173</v>
      </c>
      <c r="G338" s="180">
        <f t="shared" si="84"/>
        <v>7417831.7039886806</v>
      </c>
      <c r="H338" s="186">
        <f>-Parking!$E$94/12</f>
        <v>46202.434086102563</v>
      </c>
      <c r="I338" s="149">
        <f>Parking!$E$92/12*G337</f>
        <v>12419.357966846563</v>
      </c>
      <c r="J338" s="187">
        <f t="shared" si="85"/>
        <v>33783.076119256002</v>
      </c>
      <c r="K338" s="72">
        <f t="shared" si="89"/>
        <v>173</v>
      </c>
      <c r="L338" s="180">
        <f t="shared" si="86"/>
        <v>7417831.7039886806</v>
      </c>
      <c r="M338" s="181">
        <f t="shared" si="86"/>
        <v>46202.434086102563</v>
      </c>
      <c r="N338" s="180">
        <f t="shared" si="86"/>
        <v>12419.357966846563</v>
      </c>
      <c r="O338" s="132">
        <f t="shared" si="86"/>
        <v>33783.076119256002</v>
      </c>
    </row>
    <row r="339" spans="1:15" x14ac:dyDescent="0.25">
      <c r="A339" s="72">
        <f t="shared" si="87"/>
        <v>174</v>
      </c>
      <c r="B339" s="183">
        <f t="shared" si="82"/>
        <v>0</v>
      </c>
      <c r="C339" s="184">
        <f>-Parking!$E$89/12</f>
        <v>0</v>
      </c>
      <c r="D339" s="183">
        <f>Parking!$E$87/12*B338</f>
        <v>0</v>
      </c>
      <c r="E339" s="185">
        <f t="shared" si="83"/>
        <v>0</v>
      </c>
      <c r="F339" s="72">
        <f t="shared" si="88"/>
        <v>174</v>
      </c>
      <c r="G339" s="180">
        <f t="shared" si="84"/>
        <v>7383992.322742559</v>
      </c>
      <c r="H339" s="186">
        <f>-Parking!$E$94/12</f>
        <v>46202.434086102563</v>
      </c>
      <c r="I339" s="149">
        <f>Parking!$E$92/12*G338</f>
        <v>12363.052839981136</v>
      </c>
      <c r="J339" s="187">
        <f t="shared" si="85"/>
        <v>33839.381246121426</v>
      </c>
      <c r="K339" s="72">
        <f t="shared" si="89"/>
        <v>174</v>
      </c>
      <c r="L339" s="180">
        <f t="shared" si="86"/>
        <v>7383992.322742559</v>
      </c>
      <c r="M339" s="181">
        <f t="shared" si="86"/>
        <v>46202.434086102563</v>
      </c>
      <c r="N339" s="180">
        <f t="shared" si="86"/>
        <v>12363.052839981136</v>
      </c>
      <c r="O339" s="132">
        <f t="shared" si="86"/>
        <v>33839.381246121426</v>
      </c>
    </row>
    <row r="340" spans="1:15" x14ac:dyDescent="0.25">
      <c r="A340" s="72">
        <f t="shared" si="87"/>
        <v>175</v>
      </c>
      <c r="B340" s="183">
        <f t="shared" si="82"/>
        <v>0</v>
      </c>
      <c r="C340" s="184">
        <f>-Parking!$E$89/12</f>
        <v>0</v>
      </c>
      <c r="D340" s="183">
        <f>Parking!$E$87/12*B339</f>
        <v>0</v>
      </c>
      <c r="E340" s="185">
        <f t="shared" si="83"/>
        <v>0</v>
      </c>
      <c r="F340" s="72">
        <f t="shared" si="88"/>
        <v>175</v>
      </c>
      <c r="G340" s="180">
        <f t="shared" si="84"/>
        <v>7350096.5425276943</v>
      </c>
      <c r="H340" s="186">
        <f>-Parking!$E$94/12</f>
        <v>46202.434086102563</v>
      </c>
      <c r="I340" s="149">
        <f>Parking!$E$92/12*G339</f>
        <v>12306.653871237599</v>
      </c>
      <c r="J340" s="187">
        <f t="shared" si="85"/>
        <v>33895.780214864964</v>
      </c>
      <c r="K340" s="72">
        <f t="shared" si="89"/>
        <v>175</v>
      </c>
      <c r="L340" s="180">
        <f t="shared" si="86"/>
        <v>7350096.5425276943</v>
      </c>
      <c r="M340" s="181">
        <f t="shared" si="86"/>
        <v>46202.434086102563</v>
      </c>
      <c r="N340" s="180">
        <f t="shared" si="86"/>
        <v>12306.653871237599</v>
      </c>
      <c r="O340" s="132">
        <f t="shared" si="86"/>
        <v>33895.780214864964</v>
      </c>
    </row>
    <row r="341" spans="1:15" x14ac:dyDescent="0.25">
      <c r="A341" s="72">
        <f t="shared" si="87"/>
        <v>176</v>
      </c>
      <c r="B341" s="183">
        <f t="shared" si="82"/>
        <v>0</v>
      </c>
      <c r="C341" s="184">
        <f>-Parking!$E$89/12</f>
        <v>0</v>
      </c>
      <c r="D341" s="183">
        <f>Parking!$E$87/12*B340</f>
        <v>0</v>
      </c>
      <c r="E341" s="185">
        <f t="shared" si="83"/>
        <v>0</v>
      </c>
      <c r="F341" s="72">
        <f t="shared" si="88"/>
        <v>176</v>
      </c>
      <c r="G341" s="180">
        <f t="shared" si="84"/>
        <v>7316144.2693458041</v>
      </c>
      <c r="H341" s="186">
        <f>-Parking!$E$94/12</f>
        <v>46202.434086102563</v>
      </c>
      <c r="I341" s="149">
        <f>Parking!$E$92/12*G340</f>
        <v>12250.160904212824</v>
      </c>
      <c r="J341" s="187">
        <f t="shared" si="85"/>
        <v>33952.273181889737</v>
      </c>
      <c r="K341" s="72">
        <f t="shared" si="89"/>
        <v>176</v>
      </c>
      <c r="L341" s="180">
        <f t="shared" si="86"/>
        <v>7316144.2693458041</v>
      </c>
      <c r="M341" s="181">
        <f t="shared" si="86"/>
        <v>46202.434086102563</v>
      </c>
      <c r="N341" s="180">
        <f t="shared" si="86"/>
        <v>12250.160904212824</v>
      </c>
      <c r="O341" s="132">
        <f t="shared" si="86"/>
        <v>33952.273181889737</v>
      </c>
    </row>
    <row r="342" spans="1:15" x14ac:dyDescent="0.25">
      <c r="A342" s="72">
        <f t="shared" si="87"/>
        <v>177</v>
      </c>
      <c r="B342" s="183">
        <f t="shared" si="82"/>
        <v>0</v>
      </c>
      <c r="C342" s="184">
        <f>-Parking!$E$89/12</f>
        <v>0</v>
      </c>
      <c r="D342" s="183">
        <f>Parking!$E$87/12*B341</f>
        <v>0</v>
      </c>
      <c r="E342" s="185">
        <f t="shared" si="83"/>
        <v>0</v>
      </c>
      <c r="F342" s="72">
        <f t="shared" si="88"/>
        <v>177</v>
      </c>
      <c r="G342" s="180">
        <f t="shared" si="84"/>
        <v>7282135.4090419449</v>
      </c>
      <c r="H342" s="186">
        <f>-Parking!$E$94/12</f>
        <v>46202.434086102563</v>
      </c>
      <c r="I342" s="149">
        <f>Parking!$E$92/12*G341</f>
        <v>12193.573782243007</v>
      </c>
      <c r="J342" s="187">
        <f t="shared" si="85"/>
        <v>34008.860303859554</v>
      </c>
      <c r="K342" s="72">
        <f t="shared" si="89"/>
        <v>177</v>
      </c>
      <c r="L342" s="180">
        <f t="shared" si="86"/>
        <v>7282135.4090419449</v>
      </c>
      <c r="M342" s="181">
        <f t="shared" si="86"/>
        <v>46202.434086102563</v>
      </c>
      <c r="N342" s="180">
        <f t="shared" si="86"/>
        <v>12193.573782243007</v>
      </c>
      <c r="O342" s="132">
        <f t="shared" si="86"/>
        <v>34008.860303859554</v>
      </c>
    </row>
    <row r="343" spans="1:15" x14ac:dyDescent="0.25">
      <c r="A343" s="72">
        <f t="shared" si="87"/>
        <v>178</v>
      </c>
      <c r="B343" s="183">
        <f t="shared" si="82"/>
        <v>0</v>
      </c>
      <c r="C343" s="184">
        <f>-Parking!$E$89/12</f>
        <v>0</v>
      </c>
      <c r="D343" s="183">
        <f>Parking!$E$87/12*B342</f>
        <v>0</v>
      </c>
      <c r="E343" s="185">
        <f t="shared" si="83"/>
        <v>0</v>
      </c>
      <c r="F343" s="72">
        <f t="shared" si="88"/>
        <v>178</v>
      </c>
      <c r="G343" s="180">
        <f t="shared" si="84"/>
        <v>7248069.8673042459</v>
      </c>
      <c r="H343" s="186">
        <f>-Parking!$E$94/12</f>
        <v>46202.434086102563</v>
      </c>
      <c r="I343" s="149">
        <f>Parking!$E$92/12*G342</f>
        <v>12136.892348403242</v>
      </c>
      <c r="J343" s="187">
        <f t="shared" si="85"/>
        <v>34065.541737699321</v>
      </c>
      <c r="K343" s="72">
        <f t="shared" si="89"/>
        <v>178</v>
      </c>
      <c r="L343" s="180">
        <f t="shared" si="86"/>
        <v>7248069.8673042459</v>
      </c>
      <c r="M343" s="181">
        <f t="shared" si="86"/>
        <v>46202.434086102563</v>
      </c>
      <c r="N343" s="180">
        <f t="shared" si="86"/>
        <v>12136.892348403242</v>
      </c>
      <c r="O343" s="132">
        <f t="shared" si="86"/>
        <v>34065.541737699321</v>
      </c>
    </row>
    <row r="344" spans="1:15" x14ac:dyDescent="0.25">
      <c r="A344" s="72">
        <f t="shared" si="87"/>
        <v>179</v>
      </c>
      <c r="B344" s="183">
        <f t="shared" si="82"/>
        <v>0</v>
      </c>
      <c r="C344" s="184">
        <f>-Parking!$E$89/12</f>
        <v>0</v>
      </c>
      <c r="D344" s="183">
        <f>Parking!$E$87/12*B343</f>
        <v>0</v>
      </c>
      <c r="E344" s="185">
        <f t="shared" si="83"/>
        <v>0</v>
      </c>
      <c r="F344" s="72">
        <f t="shared" si="88"/>
        <v>179</v>
      </c>
      <c r="G344" s="180">
        <f t="shared" si="84"/>
        <v>7213947.5496636508</v>
      </c>
      <c r="H344" s="186">
        <f>-Parking!$E$94/12</f>
        <v>46202.434086102563</v>
      </c>
      <c r="I344" s="149">
        <f>Parking!$E$92/12*G343</f>
        <v>12080.116445507078</v>
      </c>
      <c r="J344" s="187">
        <f t="shared" si="85"/>
        <v>34122.317640595487</v>
      </c>
      <c r="K344" s="72">
        <f t="shared" si="89"/>
        <v>179</v>
      </c>
      <c r="L344" s="180">
        <f t="shared" si="86"/>
        <v>7213947.5496636508</v>
      </c>
      <c r="M344" s="181">
        <f t="shared" si="86"/>
        <v>46202.434086102563</v>
      </c>
      <c r="N344" s="180">
        <f t="shared" si="86"/>
        <v>12080.116445507078</v>
      </c>
      <c r="O344" s="132">
        <f t="shared" si="86"/>
        <v>34122.317640595487</v>
      </c>
    </row>
    <row r="345" spans="1:15" x14ac:dyDescent="0.25">
      <c r="A345" s="72">
        <f t="shared" si="87"/>
        <v>180</v>
      </c>
      <c r="B345" s="183">
        <f t="shared" si="82"/>
        <v>0</v>
      </c>
      <c r="C345" s="184">
        <f>-Parking!$E$89/12</f>
        <v>0</v>
      </c>
      <c r="D345" s="183">
        <f>Parking!$E$87/12*B344</f>
        <v>0</v>
      </c>
      <c r="E345" s="185">
        <f t="shared" si="83"/>
        <v>0</v>
      </c>
      <c r="F345" s="72">
        <f t="shared" si="88"/>
        <v>180</v>
      </c>
      <c r="G345" s="180">
        <f t="shared" si="84"/>
        <v>7179768.3614936545</v>
      </c>
      <c r="H345" s="186">
        <f>-Parking!$E$94/12</f>
        <v>46202.434086102563</v>
      </c>
      <c r="I345" s="149">
        <f>Parking!$E$92/12*G344</f>
        <v>12023.245916106085</v>
      </c>
      <c r="J345" s="187">
        <f t="shared" si="85"/>
        <v>34179.18816999648</v>
      </c>
      <c r="K345" s="72">
        <f t="shared" si="89"/>
        <v>180</v>
      </c>
      <c r="L345" s="180">
        <f t="shared" si="86"/>
        <v>7179768.3614936545</v>
      </c>
      <c r="M345" s="181">
        <f t="shared" si="86"/>
        <v>46202.434086102563</v>
      </c>
      <c r="N345" s="180">
        <f t="shared" si="86"/>
        <v>12023.245916106085</v>
      </c>
      <c r="O345" s="132">
        <f t="shared" si="86"/>
        <v>34179.18816999648</v>
      </c>
    </row>
    <row r="346" spans="1:15" x14ac:dyDescent="0.25">
      <c r="A346" s="72">
        <f t="shared" si="87"/>
        <v>181</v>
      </c>
      <c r="B346" s="183">
        <f t="shared" si="82"/>
        <v>0</v>
      </c>
      <c r="C346" s="184">
        <f>-Parking!$E$89/12</f>
        <v>0</v>
      </c>
      <c r="D346" s="183">
        <f>Parking!$E$87/12*B345</f>
        <v>0</v>
      </c>
      <c r="E346" s="185">
        <f t="shared" si="83"/>
        <v>0</v>
      </c>
      <c r="F346" s="72">
        <f t="shared" si="88"/>
        <v>181</v>
      </c>
      <c r="G346" s="180">
        <f t="shared" si="84"/>
        <v>7145532.2080100412</v>
      </c>
      <c r="H346" s="186">
        <f>-Parking!$E$94/12</f>
        <v>46202.434086102563</v>
      </c>
      <c r="I346" s="149">
        <f>Parking!$E$92/12*G345</f>
        <v>11966.280602489425</v>
      </c>
      <c r="J346" s="187">
        <f t="shared" si="85"/>
        <v>34236.15348361314</v>
      </c>
      <c r="K346" s="72">
        <f t="shared" si="89"/>
        <v>181</v>
      </c>
      <c r="L346" s="180">
        <f t="shared" si="86"/>
        <v>7145532.2080100412</v>
      </c>
      <c r="M346" s="181">
        <f t="shared" si="86"/>
        <v>46202.434086102563</v>
      </c>
      <c r="N346" s="180">
        <f t="shared" si="86"/>
        <v>11966.280602489425</v>
      </c>
      <c r="O346" s="132">
        <f t="shared" si="86"/>
        <v>34236.15348361314</v>
      </c>
    </row>
    <row r="347" spans="1:15" x14ac:dyDescent="0.25">
      <c r="A347" s="72">
        <f t="shared" si="87"/>
        <v>182</v>
      </c>
      <c r="B347" s="183">
        <f t="shared" si="82"/>
        <v>0</v>
      </c>
      <c r="C347" s="184">
        <f>-Parking!$E$89/12</f>
        <v>0</v>
      </c>
      <c r="D347" s="183">
        <f>Parking!$E$87/12*B346</f>
        <v>0</v>
      </c>
      <c r="E347" s="185">
        <f t="shared" si="83"/>
        <v>0</v>
      </c>
      <c r="F347" s="72">
        <f t="shared" si="88"/>
        <v>182</v>
      </c>
      <c r="G347" s="180">
        <f t="shared" si="84"/>
        <v>7111238.9942706218</v>
      </c>
      <c r="H347" s="186">
        <f>-Parking!$E$94/12</f>
        <v>46202.434086102563</v>
      </c>
      <c r="I347" s="149">
        <f>Parking!$E$92/12*G346</f>
        <v>11909.220346683403</v>
      </c>
      <c r="J347" s="187">
        <f t="shared" si="85"/>
        <v>34293.21373941916</v>
      </c>
      <c r="K347" s="72">
        <f t="shared" si="89"/>
        <v>182</v>
      </c>
      <c r="L347" s="180">
        <f t="shared" si="86"/>
        <v>7111238.9942706218</v>
      </c>
      <c r="M347" s="181">
        <f t="shared" si="86"/>
        <v>46202.434086102563</v>
      </c>
      <c r="N347" s="180">
        <f t="shared" si="86"/>
        <v>11909.220346683403</v>
      </c>
      <c r="O347" s="132">
        <f t="shared" si="86"/>
        <v>34293.21373941916</v>
      </c>
    </row>
    <row r="348" spans="1:15" x14ac:dyDescent="0.25">
      <c r="A348" s="72">
        <f t="shared" si="87"/>
        <v>183</v>
      </c>
      <c r="B348" s="183">
        <f t="shared" si="82"/>
        <v>0</v>
      </c>
      <c r="C348" s="184">
        <f>-Parking!$E$89/12</f>
        <v>0</v>
      </c>
      <c r="D348" s="183">
        <f>Parking!$E$87/12*B347</f>
        <v>0</v>
      </c>
      <c r="E348" s="185">
        <f t="shared" si="83"/>
        <v>0</v>
      </c>
      <c r="F348" s="72">
        <f t="shared" si="88"/>
        <v>183</v>
      </c>
      <c r="G348" s="180">
        <f t="shared" si="84"/>
        <v>7076888.6251749704</v>
      </c>
      <c r="H348" s="186">
        <f>-Parking!$E$94/12</f>
        <v>46202.434086102563</v>
      </c>
      <c r="I348" s="149">
        <f>Parking!$E$92/12*G347</f>
        <v>11852.064990451037</v>
      </c>
      <c r="J348" s="187">
        <f t="shared" si="85"/>
        <v>34350.369095651527</v>
      </c>
      <c r="K348" s="72">
        <f t="shared" si="89"/>
        <v>183</v>
      </c>
      <c r="L348" s="180">
        <f t="shared" si="86"/>
        <v>7076888.6251749704</v>
      </c>
      <c r="M348" s="181">
        <f t="shared" si="86"/>
        <v>46202.434086102563</v>
      </c>
      <c r="N348" s="180">
        <f t="shared" si="86"/>
        <v>11852.064990451037</v>
      </c>
      <c r="O348" s="132">
        <f t="shared" si="86"/>
        <v>34350.369095651527</v>
      </c>
    </row>
    <row r="349" spans="1:15" x14ac:dyDescent="0.25">
      <c r="A349" s="72">
        <f t="shared" si="87"/>
        <v>184</v>
      </c>
      <c r="B349" s="183">
        <f t="shared" si="82"/>
        <v>0</v>
      </c>
      <c r="C349" s="184">
        <f>-Parking!$E$89/12</f>
        <v>0</v>
      </c>
      <c r="D349" s="183">
        <f>Parking!$E$87/12*B348</f>
        <v>0</v>
      </c>
      <c r="E349" s="185">
        <f t="shared" si="83"/>
        <v>0</v>
      </c>
      <c r="F349" s="72">
        <f t="shared" si="88"/>
        <v>184</v>
      </c>
      <c r="G349" s="180">
        <f t="shared" si="84"/>
        <v>7042481.005464159</v>
      </c>
      <c r="H349" s="186">
        <f>-Parking!$E$94/12</f>
        <v>46202.434086102563</v>
      </c>
      <c r="I349" s="149">
        <f>Parking!$E$92/12*G348</f>
        <v>11794.814375291618</v>
      </c>
      <c r="J349" s="187">
        <f t="shared" si="85"/>
        <v>34407.619710810948</v>
      </c>
      <c r="K349" s="72">
        <f t="shared" si="89"/>
        <v>184</v>
      </c>
      <c r="L349" s="180">
        <f t="shared" si="86"/>
        <v>7042481.005464159</v>
      </c>
      <c r="M349" s="181">
        <f t="shared" si="86"/>
        <v>46202.434086102563</v>
      </c>
      <c r="N349" s="180">
        <f t="shared" si="86"/>
        <v>11794.814375291618</v>
      </c>
      <c r="O349" s="132">
        <f t="shared" si="86"/>
        <v>34407.619710810948</v>
      </c>
    </row>
    <row r="350" spans="1:15" x14ac:dyDescent="0.25">
      <c r="A350" s="72">
        <f t="shared" si="87"/>
        <v>185</v>
      </c>
      <c r="B350" s="183">
        <f t="shared" si="82"/>
        <v>0</v>
      </c>
      <c r="C350" s="184">
        <f>-Parking!$E$89/12</f>
        <v>0</v>
      </c>
      <c r="D350" s="183">
        <f>Parking!$E$87/12*B349</f>
        <v>0</v>
      </c>
      <c r="E350" s="185">
        <f t="shared" si="83"/>
        <v>0</v>
      </c>
      <c r="F350" s="72">
        <f t="shared" si="88"/>
        <v>185</v>
      </c>
      <c r="G350" s="180">
        <f t="shared" si="84"/>
        <v>7008016.0397204971</v>
      </c>
      <c r="H350" s="186">
        <f>-Parking!$E$94/12</f>
        <v>46202.434086102563</v>
      </c>
      <c r="I350" s="149">
        <f>Parking!$E$92/12*G349</f>
        <v>11737.468342440266</v>
      </c>
      <c r="J350" s="187">
        <f t="shared" si="85"/>
        <v>34464.965743662295</v>
      </c>
      <c r="K350" s="72">
        <f t="shared" si="89"/>
        <v>185</v>
      </c>
      <c r="L350" s="180">
        <f t="shared" si="86"/>
        <v>7008016.0397204971</v>
      </c>
      <c r="M350" s="181">
        <f t="shared" si="86"/>
        <v>46202.434086102563</v>
      </c>
      <c r="N350" s="180">
        <f t="shared" si="86"/>
        <v>11737.468342440266</v>
      </c>
      <c r="O350" s="132">
        <f t="shared" si="86"/>
        <v>34464.965743662295</v>
      </c>
    </row>
    <row r="351" spans="1:15" x14ac:dyDescent="0.25">
      <c r="A351" s="72">
        <f t="shared" si="87"/>
        <v>186</v>
      </c>
      <c r="B351" s="183">
        <f t="shared" si="82"/>
        <v>0</v>
      </c>
      <c r="C351" s="184">
        <f>-Parking!$E$89/12</f>
        <v>0</v>
      </c>
      <c r="D351" s="183">
        <f>Parking!$E$87/12*B350</f>
        <v>0</v>
      </c>
      <c r="E351" s="185">
        <f t="shared" si="83"/>
        <v>0</v>
      </c>
      <c r="F351" s="72">
        <f t="shared" si="88"/>
        <v>186</v>
      </c>
      <c r="G351" s="180">
        <f t="shared" si="84"/>
        <v>6973493.6323672617</v>
      </c>
      <c r="H351" s="186">
        <f>-Parking!$E$94/12</f>
        <v>46202.434086102563</v>
      </c>
      <c r="I351" s="149">
        <f>Parking!$E$92/12*G350</f>
        <v>11680.026732867496</v>
      </c>
      <c r="J351" s="187">
        <f t="shared" si="85"/>
        <v>34522.407353235067</v>
      </c>
      <c r="K351" s="72">
        <f t="shared" si="89"/>
        <v>186</v>
      </c>
      <c r="L351" s="180">
        <f t="shared" si="86"/>
        <v>6973493.6323672617</v>
      </c>
      <c r="M351" s="181">
        <f t="shared" si="86"/>
        <v>46202.434086102563</v>
      </c>
      <c r="N351" s="180">
        <f t="shared" si="86"/>
        <v>11680.026732867496</v>
      </c>
      <c r="O351" s="132">
        <f t="shared" si="86"/>
        <v>34522.407353235067</v>
      </c>
    </row>
    <row r="352" spans="1:15" x14ac:dyDescent="0.25">
      <c r="A352" s="72">
        <f t="shared" si="87"/>
        <v>187</v>
      </c>
      <c r="B352" s="183">
        <f t="shared" si="82"/>
        <v>0</v>
      </c>
      <c r="C352" s="184">
        <f>-Parking!$E$89/12</f>
        <v>0</v>
      </c>
      <c r="D352" s="183">
        <f>Parking!$E$87/12*B351</f>
        <v>0</v>
      </c>
      <c r="E352" s="185">
        <f t="shared" si="83"/>
        <v>0</v>
      </c>
      <c r="F352" s="72">
        <f t="shared" si="88"/>
        <v>187</v>
      </c>
      <c r="G352" s="180">
        <f t="shared" si="84"/>
        <v>6938913.6876684381</v>
      </c>
      <c r="H352" s="186">
        <f>-Parking!$E$94/12</f>
        <v>46202.434086102563</v>
      </c>
      <c r="I352" s="149">
        <f>Parking!$E$92/12*G351</f>
        <v>11622.489387278771</v>
      </c>
      <c r="J352" s="187">
        <f t="shared" si="85"/>
        <v>34579.944698823791</v>
      </c>
      <c r="K352" s="72">
        <f t="shared" si="89"/>
        <v>187</v>
      </c>
      <c r="L352" s="180">
        <f t="shared" si="86"/>
        <v>6938913.6876684381</v>
      </c>
      <c r="M352" s="181">
        <f t="shared" si="86"/>
        <v>46202.434086102563</v>
      </c>
      <c r="N352" s="180">
        <f t="shared" si="86"/>
        <v>11622.489387278771</v>
      </c>
      <c r="O352" s="132">
        <f t="shared" si="86"/>
        <v>34579.944698823791</v>
      </c>
    </row>
    <row r="353" spans="1:15" x14ac:dyDescent="0.25">
      <c r="A353" s="72">
        <f t="shared" si="87"/>
        <v>188</v>
      </c>
      <c r="B353" s="183">
        <f t="shared" si="82"/>
        <v>0</v>
      </c>
      <c r="C353" s="184">
        <f>-Parking!$E$89/12</f>
        <v>0</v>
      </c>
      <c r="D353" s="183">
        <f>Parking!$E$87/12*B352</f>
        <v>0</v>
      </c>
      <c r="E353" s="185">
        <f t="shared" si="83"/>
        <v>0</v>
      </c>
      <c r="F353" s="72">
        <f t="shared" si="88"/>
        <v>188</v>
      </c>
      <c r="G353" s="180">
        <f t="shared" si="84"/>
        <v>6904276.10972845</v>
      </c>
      <c r="H353" s="186">
        <f>-Parking!$E$94/12</f>
        <v>46202.434086102563</v>
      </c>
      <c r="I353" s="149">
        <f>Parking!$E$92/12*G352</f>
        <v>11564.856146114063</v>
      </c>
      <c r="J353" s="187">
        <f t="shared" si="85"/>
        <v>34637.5779399885</v>
      </c>
      <c r="K353" s="72">
        <f t="shared" si="89"/>
        <v>188</v>
      </c>
      <c r="L353" s="180">
        <f t="shared" si="86"/>
        <v>6904276.10972845</v>
      </c>
      <c r="M353" s="181">
        <f t="shared" si="86"/>
        <v>46202.434086102563</v>
      </c>
      <c r="N353" s="180">
        <f t="shared" si="86"/>
        <v>11564.856146114063</v>
      </c>
      <c r="O353" s="132">
        <f t="shared" si="86"/>
        <v>34637.5779399885</v>
      </c>
    </row>
    <row r="354" spans="1:15" x14ac:dyDescent="0.25">
      <c r="A354" s="72">
        <f t="shared" si="87"/>
        <v>189</v>
      </c>
      <c r="B354" s="183">
        <f t="shared" si="82"/>
        <v>0</v>
      </c>
      <c r="C354" s="184">
        <f>-Parking!$E$89/12</f>
        <v>0</v>
      </c>
      <c r="D354" s="183">
        <f>Parking!$E$87/12*B353</f>
        <v>0</v>
      </c>
      <c r="E354" s="185">
        <f t="shared" si="83"/>
        <v>0</v>
      </c>
      <c r="F354" s="72">
        <f t="shared" si="88"/>
        <v>189</v>
      </c>
      <c r="G354" s="180">
        <f t="shared" si="84"/>
        <v>6869580.8024918949</v>
      </c>
      <c r="H354" s="186">
        <f>-Parking!$E$94/12</f>
        <v>46202.434086102563</v>
      </c>
      <c r="I354" s="149">
        <f>Parking!$E$92/12*G353</f>
        <v>11507.126849547418</v>
      </c>
      <c r="J354" s="187">
        <f t="shared" si="85"/>
        <v>34695.307236555149</v>
      </c>
      <c r="K354" s="72">
        <f t="shared" si="89"/>
        <v>189</v>
      </c>
      <c r="L354" s="180">
        <f t="shared" si="86"/>
        <v>6869580.8024918949</v>
      </c>
      <c r="M354" s="181">
        <f t="shared" si="86"/>
        <v>46202.434086102563</v>
      </c>
      <c r="N354" s="180">
        <f t="shared" si="86"/>
        <v>11507.126849547418</v>
      </c>
      <c r="O354" s="132">
        <f t="shared" si="86"/>
        <v>34695.307236555149</v>
      </c>
    </row>
    <row r="355" spans="1:15" x14ac:dyDescent="0.25">
      <c r="A355" s="72">
        <f t="shared" si="87"/>
        <v>190</v>
      </c>
      <c r="B355" s="183">
        <f t="shared" si="82"/>
        <v>0</v>
      </c>
      <c r="C355" s="184">
        <f>-Parking!$E$89/12</f>
        <v>0</v>
      </c>
      <c r="D355" s="183">
        <f>Parking!$E$87/12*B354</f>
        <v>0</v>
      </c>
      <c r="E355" s="185">
        <f t="shared" si="83"/>
        <v>0</v>
      </c>
      <c r="F355" s="72">
        <f t="shared" si="88"/>
        <v>190</v>
      </c>
      <c r="G355" s="180">
        <f t="shared" si="84"/>
        <v>6834827.669743279</v>
      </c>
      <c r="H355" s="186">
        <f>-Parking!$E$94/12</f>
        <v>46202.434086102563</v>
      </c>
      <c r="I355" s="149">
        <f>Parking!$E$92/12*G354</f>
        <v>11449.301337486493</v>
      </c>
      <c r="J355" s="187">
        <f t="shared" si="85"/>
        <v>34753.132748616074</v>
      </c>
      <c r="K355" s="72">
        <f t="shared" si="89"/>
        <v>190</v>
      </c>
      <c r="L355" s="180">
        <f t="shared" si="86"/>
        <v>6834827.669743279</v>
      </c>
      <c r="M355" s="181">
        <f t="shared" si="86"/>
        <v>46202.434086102563</v>
      </c>
      <c r="N355" s="180">
        <f t="shared" si="86"/>
        <v>11449.301337486493</v>
      </c>
      <c r="O355" s="132">
        <f t="shared" si="86"/>
        <v>34753.132748616074</v>
      </c>
    </row>
    <row r="356" spans="1:15" x14ac:dyDescent="0.25">
      <c r="A356" s="72">
        <f t="shared" si="87"/>
        <v>191</v>
      </c>
      <c r="B356" s="183">
        <f t="shared" si="82"/>
        <v>0</v>
      </c>
      <c r="C356" s="184">
        <f>-Parking!$E$89/12</f>
        <v>0</v>
      </c>
      <c r="D356" s="183">
        <f>Parking!$E$87/12*B355</f>
        <v>0</v>
      </c>
      <c r="E356" s="185">
        <f t="shared" si="83"/>
        <v>0</v>
      </c>
      <c r="F356" s="72">
        <f t="shared" si="88"/>
        <v>191</v>
      </c>
      <c r="G356" s="180">
        <f t="shared" si="84"/>
        <v>6800016.6151067484</v>
      </c>
      <c r="H356" s="186">
        <f>-Parking!$E$94/12</f>
        <v>46202.434086102563</v>
      </c>
      <c r="I356" s="149">
        <f>Parking!$E$92/12*G355</f>
        <v>11391.379449572132</v>
      </c>
      <c r="J356" s="187">
        <f t="shared" si="85"/>
        <v>34811.054636530433</v>
      </c>
      <c r="K356" s="72">
        <f t="shared" si="89"/>
        <v>191</v>
      </c>
      <c r="L356" s="180">
        <f t="shared" si="86"/>
        <v>6800016.6151067484</v>
      </c>
      <c r="M356" s="181">
        <f t="shared" si="86"/>
        <v>46202.434086102563</v>
      </c>
      <c r="N356" s="180">
        <f t="shared" si="86"/>
        <v>11391.379449572132</v>
      </c>
      <c r="O356" s="132">
        <f t="shared" si="86"/>
        <v>34811.054636530433</v>
      </c>
    </row>
    <row r="357" spans="1:15" x14ac:dyDescent="0.25">
      <c r="A357" s="72">
        <f t="shared" si="87"/>
        <v>192</v>
      </c>
      <c r="B357" s="183">
        <f t="shared" si="82"/>
        <v>0</v>
      </c>
      <c r="C357" s="184">
        <f>-Parking!$E$89/12</f>
        <v>0</v>
      </c>
      <c r="D357" s="183">
        <f>Parking!$E$87/12*B356</f>
        <v>0</v>
      </c>
      <c r="E357" s="185">
        <f t="shared" si="83"/>
        <v>0</v>
      </c>
      <c r="F357" s="72">
        <f t="shared" si="88"/>
        <v>192</v>
      </c>
      <c r="G357" s="180">
        <f t="shared" si="84"/>
        <v>6765147.5420458242</v>
      </c>
      <c r="H357" s="186">
        <f>-Parking!$E$94/12</f>
        <v>46202.434086102563</v>
      </c>
      <c r="I357" s="149">
        <f>Parking!$E$92/12*G356</f>
        <v>11333.361025177916</v>
      </c>
      <c r="J357" s="187">
        <f t="shared" si="85"/>
        <v>34869.073060924646</v>
      </c>
      <c r="K357" s="72">
        <f t="shared" si="89"/>
        <v>192</v>
      </c>
      <c r="L357" s="180">
        <f t="shared" si="86"/>
        <v>6765147.5420458242</v>
      </c>
      <c r="M357" s="181">
        <f t="shared" si="86"/>
        <v>46202.434086102563</v>
      </c>
      <c r="N357" s="180">
        <f t="shared" si="86"/>
        <v>11333.361025177916</v>
      </c>
      <c r="O357" s="132">
        <f t="shared" ref="O357:O420" si="90">J357+E357</f>
        <v>34869.073060924646</v>
      </c>
    </row>
    <row r="358" spans="1:15" x14ac:dyDescent="0.25">
      <c r="A358" s="72">
        <f t="shared" si="87"/>
        <v>193</v>
      </c>
      <c r="B358" s="183">
        <f t="shared" ref="B358:B421" si="91">B357-E358</f>
        <v>0</v>
      </c>
      <c r="C358" s="184">
        <f>-Parking!$E$89/12</f>
        <v>0</v>
      </c>
      <c r="D358" s="183">
        <f>Parking!$E$87/12*B357</f>
        <v>0</v>
      </c>
      <c r="E358" s="185">
        <f t="shared" ref="E358:E421" si="92">C358-D358</f>
        <v>0</v>
      </c>
      <c r="F358" s="72">
        <f t="shared" si="88"/>
        <v>193</v>
      </c>
      <c r="G358" s="180">
        <f t="shared" ref="G358:G421" si="93">G357-J358</f>
        <v>6730220.3538631313</v>
      </c>
      <c r="H358" s="186">
        <f>-Parking!$E$94/12</f>
        <v>46202.434086102563</v>
      </c>
      <c r="I358" s="149">
        <f>Parking!$E$92/12*G357</f>
        <v>11275.245903409708</v>
      </c>
      <c r="J358" s="187">
        <f t="shared" ref="J358:J421" si="94">H358-I358</f>
        <v>34927.188182692858</v>
      </c>
      <c r="K358" s="72">
        <f t="shared" si="89"/>
        <v>193</v>
      </c>
      <c r="L358" s="180">
        <f t="shared" ref="L358:O421" si="95">G358+B358</f>
        <v>6730220.3538631313</v>
      </c>
      <c r="M358" s="181">
        <f t="shared" si="95"/>
        <v>46202.434086102563</v>
      </c>
      <c r="N358" s="180">
        <f t="shared" si="95"/>
        <v>11275.245903409708</v>
      </c>
      <c r="O358" s="132">
        <f t="shared" si="90"/>
        <v>34927.188182692858</v>
      </c>
    </row>
    <row r="359" spans="1:15" x14ac:dyDescent="0.25">
      <c r="A359" s="72">
        <f t="shared" ref="A359:A422" si="96">A358+1</f>
        <v>194</v>
      </c>
      <c r="B359" s="183">
        <f t="shared" si="91"/>
        <v>0</v>
      </c>
      <c r="C359" s="184">
        <f>-Parking!$E$89/12</f>
        <v>0</v>
      </c>
      <c r="D359" s="183">
        <f>Parking!$E$87/12*B358</f>
        <v>0</v>
      </c>
      <c r="E359" s="185">
        <f t="shared" si="92"/>
        <v>0</v>
      </c>
      <c r="F359" s="72">
        <f t="shared" ref="F359:F422" si="97">F358+1</f>
        <v>194</v>
      </c>
      <c r="G359" s="180">
        <f t="shared" si="93"/>
        <v>6695234.9537001336</v>
      </c>
      <c r="H359" s="186">
        <f>-Parking!$E$94/12</f>
        <v>46202.434086102563</v>
      </c>
      <c r="I359" s="149">
        <f>Parking!$E$92/12*G358</f>
        <v>11217.03392310522</v>
      </c>
      <c r="J359" s="187">
        <f t="shared" si="94"/>
        <v>34985.400162997343</v>
      </c>
      <c r="K359" s="72">
        <f t="shared" ref="K359:K422" si="98">K358+1</f>
        <v>194</v>
      </c>
      <c r="L359" s="180">
        <f t="shared" si="95"/>
        <v>6695234.9537001336</v>
      </c>
      <c r="M359" s="181">
        <f t="shared" si="95"/>
        <v>46202.434086102563</v>
      </c>
      <c r="N359" s="180">
        <f t="shared" si="95"/>
        <v>11217.03392310522</v>
      </c>
      <c r="O359" s="132">
        <f t="shared" si="90"/>
        <v>34985.400162997343</v>
      </c>
    </row>
    <row r="360" spans="1:15" x14ac:dyDescent="0.25">
      <c r="A360" s="72">
        <f t="shared" si="96"/>
        <v>195</v>
      </c>
      <c r="B360" s="183">
        <f t="shared" si="91"/>
        <v>0</v>
      </c>
      <c r="C360" s="184">
        <f>-Parking!$E$89/12</f>
        <v>0</v>
      </c>
      <c r="D360" s="183">
        <f>Parking!$E$87/12*B359</f>
        <v>0</v>
      </c>
      <c r="E360" s="185">
        <f t="shared" si="92"/>
        <v>0</v>
      </c>
      <c r="F360" s="72">
        <f t="shared" si="97"/>
        <v>195</v>
      </c>
      <c r="G360" s="180">
        <f t="shared" si="93"/>
        <v>6660191.2445368646</v>
      </c>
      <c r="H360" s="186">
        <f>-Parking!$E$94/12</f>
        <v>46202.434086102563</v>
      </c>
      <c r="I360" s="149">
        <f>Parking!$E$92/12*G359</f>
        <v>11158.724922833557</v>
      </c>
      <c r="J360" s="187">
        <f t="shared" si="94"/>
        <v>35043.709163269006</v>
      </c>
      <c r="K360" s="72">
        <f t="shared" si="98"/>
        <v>195</v>
      </c>
      <c r="L360" s="180">
        <f t="shared" si="95"/>
        <v>6660191.2445368646</v>
      </c>
      <c r="M360" s="181">
        <f t="shared" si="95"/>
        <v>46202.434086102563</v>
      </c>
      <c r="N360" s="180">
        <f t="shared" si="95"/>
        <v>11158.724922833557</v>
      </c>
      <c r="O360" s="132">
        <f t="shared" si="90"/>
        <v>35043.709163269006</v>
      </c>
    </row>
    <row r="361" spans="1:15" x14ac:dyDescent="0.25">
      <c r="A361" s="72">
        <f t="shared" si="96"/>
        <v>196</v>
      </c>
      <c r="B361" s="183">
        <f t="shared" si="91"/>
        <v>0</v>
      </c>
      <c r="C361" s="184">
        <f>-Parking!$E$89/12</f>
        <v>0</v>
      </c>
      <c r="D361" s="183">
        <f>Parking!$E$87/12*B360</f>
        <v>0</v>
      </c>
      <c r="E361" s="185">
        <f t="shared" si="92"/>
        <v>0</v>
      </c>
      <c r="F361" s="72">
        <f t="shared" si="97"/>
        <v>196</v>
      </c>
      <c r="G361" s="180">
        <f t="shared" si="93"/>
        <v>6625089.1291916566</v>
      </c>
      <c r="H361" s="186">
        <f>-Parking!$E$94/12</f>
        <v>46202.434086102563</v>
      </c>
      <c r="I361" s="149">
        <f>Parking!$E$92/12*G360</f>
        <v>11100.318740894774</v>
      </c>
      <c r="J361" s="187">
        <f t="shared" si="94"/>
        <v>35102.115345207785</v>
      </c>
      <c r="K361" s="72">
        <f t="shared" si="98"/>
        <v>196</v>
      </c>
      <c r="L361" s="180">
        <f t="shared" si="95"/>
        <v>6625089.1291916566</v>
      </c>
      <c r="M361" s="181">
        <f t="shared" si="95"/>
        <v>46202.434086102563</v>
      </c>
      <c r="N361" s="180">
        <f t="shared" si="95"/>
        <v>11100.318740894774</v>
      </c>
      <c r="O361" s="132">
        <f t="shared" si="90"/>
        <v>35102.115345207785</v>
      </c>
    </row>
    <row r="362" spans="1:15" x14ac:dyDescent="0.25">
      <c r="A362" s="72">
        <f t="shared" si="96"/>
        <v>197</v>
      </c>
      <c r="B362" s="183">
        <f t="shared" si="91"/>
        <v>0</v>
      </c>
      <c r="C362" s="184">
        <f>-Parking!$E$89/12</f>
        <v>0</v>
      </c>
      <c r="D362" s="183">
        <f>Parking!$E$87/12*B361</f>
        <v>0</v>
      </c>
      <c r="E362" s="185">
        <f t="shared" si="92"/>
        <v>0</v>
      </c>
      <c r="F362" s="72">
        <f t="shared" si="97"/>
        <v>197</v>
      </c>
      <c r="G362" s="180">
        <f t="shared" si="93"/>
        <v>6589928.5103208739</v>
      </c>
      <c r="H362" s="186">
        <f>-Parking!$E$94/12</f>
        <v>46202.434086102563</v>
      </c>
      <c r="I362" s="149">
        <f>Parking!$E$92/12*G361</f>
        <v>11041.815215319428</v>
      </c>
      <c r="J362" s="187">
        <f t="shared" si="94"/>
        <v>35160.618870783132</v>
      </c>
      <c r="K362" s="72">
        <f t="shared" si="98"/>
        <v>197</v>
      </c>
      <c r="L362" s="180">
        <f t="shared" si="95"/>
        <v>6589928.5103208739</v>
      </c>
      <c r="M362" s="181">
        <f t="shared" si="95"/>
        <v>46202.434086102563</v>
      </c>
      <c r="N362" s="180">
        <f t="shared" si="95"/>
        <v>11041.815215319428</v>
      </c>
      <c r="O362" s="132">
        <f t="shared" si="90"/>
        <v>35160.618870783132</v>
      </c>
    </row>
    <row r="363" spans="1:15" x14ac:dyDescent="0.25">
      <c r="A363" s="72">
        <f t="shared" si="96"/>
        <v>198</v>
      </c>
      <c r="B363" s="183">
        <f t="shared" si="91"/>
        <v>0</v>
      </c>
      <c r="C363" s="184">
        <f>-Parking!$E$89/12</f>
        <v>0</v>
      </c>
      <c r="D363" s="183">
        <f>Parking!$E$87/12*B362</f>
        <v>0</v>
      </c>
      <c r="E363" s="185">
        <f t="shared" si="92"/>
        <v>0</v>
      </c>
      <c r="F363" s="72">
        <f t="shared" si="97"/>
        <v>198</v>
      </c>
      <c r="G363" s="180">
        <f t="shared" si="93"/>
        <v>6554709.2904186398</v>
      </c>
      <c r="H363" s="186">
        <f>-Parking!$E$94/12</f>
        <v>46202.434086102563</v>
      </c>
      <c r="I363" s="149">
        <f>Parking!$E$92/12*G362</f>
        <v>10983.214183868124</v>
      </c>
      <c r="J363" s="187">
        <f t="shared" si="94"/>
        <v>35219.219902234443</v>
      </c>
      <c r="K363" s="72">
        <f t="shared" si="98"/>
        <v>198</v>
      </c>
      <c r="L363" s="180">
        <f t="shared" si="95"/>
        <v>6554709.2904186398</v>
      </c>
      <c r="M363" s="181">
        <f t="shared" si="95"/>
        <v>46202.434086102563</v>
      </c>
      <c r="N363" s="180">
        <f t="shared" si="95"/>
        <v>10983.214183868124</v>
      </c>
      <c r="O363" s="132">
        <f t="shared" si="90"/>
        <v>35219.219902234443</v>
      </c>
    </row>
    <row r="364" spans="1:15" x14ac:dyDescent="0.25">
      <c r="A364" s="72">
        <f t="shared" si="96"/>
        <v>199</v>
      </c>
      <c r="B364" s="183">
        <f t="shared" si="91"/>
        <v>0</v>
      </c>
      <c r="C364" s="184">
        <f>-Parking!$E$89/12</f>
        <v>0</v>
      </c>
      <c r="D364" s="183">
        <f>Parking!$E$87/12*B363</f>
        <v>0</v>
      </c>
      <c r="E364" s="185">
        <f t="shared" si="92"/>
        <v>0</v>
      </c>
      <c r="F364" s="72">
        <f t="shared" si="97"/>
        <v>199</v>
      </c>
      <c r="G364" s="180">
        <f t="shared" si="93"/>
        <v>6519431.3718165681</v>
      </c>
      <c r="H364" s="186">
        <f>-Parking!$E$94/12</f>
        <v>46202.434086102563</v>
      </c>
      <c r="I364" s="149">
        <f>Parking!$E$92/12*G363</f>
        <v>10924.515484031068</v>
      </c>
      <c r="J364" s="187">
        <f t="shared" si="94"/>
        <v>35277.918602071499</v>
      </c>
      <c r="K364" s="72">
        <f t="shared" si="98"/>
        <v>199</v>
      </c>
      <c r="L364" s="180">
        <f t="shared" si="95"/>
        <v>6519431.3718165681</v>
      </c>
      <c r="M364" s="181">
        <f t="shared" si="95"/>
        <v>46202.434086102563</v>
      </c>
      <c r="N364" s="180">
        <f t="shared" si="95"/>
        <v>10924.515484031068</v>
      </c>
      <c r="O364" s="132">
        <f t="shared" si="90"/>
        <v>35277.918602071499</v>
      </c>
    </row>
    <row r="365" spans="1:15" x14ac:dyDescent="0.25">
      <c r="A365" s="72">
        <f t="shared" si="96"/>
        <v>200</v>
      </c>
      <c r="B365" s="183">
        <f t="shared" si="91"/>
        <v>0</v>
      </c>
      <c r="C365" s="184">
        <f>-Parking!$E$89/12</f>
        <v>0</v>
      </c>
      <c r="D365" s="183">
        <f>Parking!$E$87/12*B364</f>
        <v>0</v>
      </c>
      <c r="E365" s="185">
        <f t="shared" si="92"/>
        <v>0</v>
      </c>
      <c r="F365" s="72">
        <f t="shared" si="97"/>
        <v>200</v>
      </c>
      <c r="G365" s="180">
        <f t="shared" si="93"/>
        <v>6484094.6566834934</v>
      </c>
      <c r="H365" s="186">
        <f>-Parking!$E$94/12</f>
        <v>46202.434086102563</v>
      </c>
      <c r="I365" s="149">
        <f>Parking!$E$92/12*G364</f>
        <v>10865.718953027614</v>
      </c>
      <c r="J365" s="187">
        <f t="shared" si="94"/>
        <v>35336.715133074948</v>
      </c>
      <c r="K365" s="72">
        <f t="shared" si="98"/>
        <v>200</v>
      </c>
      <c r="L365" s="180">
        <f t="shared" si="95"/>
        <v>6484094.6566834934</v>
      </c>
      <c r="M365" s="181">
        <f t="shared" si="95"/>
        <v>46202.434086102563</v>
      </c>
      <c r="N365" s="180">
        <f t="shared" si="95"/>
        <v>10865.718953027614</v>
      </c>
      <c r="O365" s="132">
        <f t="shared" si="90"/>
        <v>35336.715133074948</v>
      </c>
    </row>
    <row r="366" spans="1:15" x14ac:dyDescent="0.25">
      <c r="A366" s="72">
        <f t="shared" si="96"/>
        <v>201</v>
      </c>
      <c r="B366" s="183">
        <f t="shared" si="91"/>
        <v>0</v>
      </c>
      <c r="C366" s="184">
        <f>-Parking!$E$89/12</f>
        <v>0</v>
      </c>
      <c r="D366" s="183">
        <f>Parking!$E$87/12*B365</f>
        <v>0</v>
      </c>
      <c r="E366" s="185">
        <f t="shared" si="92"/>
        <v>0</v>
      </c>
      <c r="F366" s="72">
        <f t="shared" si="97"/>
        <v>201</v>
      </c>
      <c r="G366" s="180">
        <f t="shared" si="93"/>
        <v>6448699.0470251963</v>
      </c>
      <c r="H366" s="186">
        <f>-Parking!$E$94/12</f>
        <v>46202.434086102563</v>
      </c>
      <c r="I366" s="149">
        <f>Parking!$E$92/12*G365</f>
        <v>10806.824427805823</v>
      </c>
      <c r="J366" s="187">
        <f t="shared" si="94"/>
        <v>35395.609658296744</v>
      </c>
      <c r="K366" s="72">
        <f t="shared" si="98"/>
        <v>201</v>
      </c>
      <c r="L366" s="180">
        <f t="shared" si="95"/>
        <v>6448699.0470251963</v>
      </c>
      <c r="M366" s="181">
        <f t="shared" si="95"/>
        <v>46202.434086102563</v>
      </c>
      <c r="N366" s="180">
        <f t="shared" si="95"/>
        <v>10806.824427805823</v>
      </c>
      <c r="O366" s="132">
        <f t="shared" si="90"/>
        <v>35395.609658296744</v>
      </c>
    </row>
    <row r="367" spans="1:15" x14ac:dyDescent="0.25">
      <c r="A367" s="72">
        <f t="shared" si="96"/>
        <v>202</v>
      </c>
      <c r="B367" s="183">
        <f t="shared" si="91"/>
        <v>0</v>
      </c>
      <c r="C367" s="184">
        <f>-Parking!$E$89/12</f>
        <v>0</v>
      </c>
      <c r="D367" s="183">
        <f>Parking!$E$87/12*B366</f>
        <v>0</v>
      </c>
      <c r="E367" s="185">
        <f t="shared" si="92"/>
        <v>0</v>
      </c>
      <c r="F367" s="72">
        <f t="shared" si="97"/>
        <v>202</v>
      </c>
      <c r="G367" s="180">
        <f t="shared" si="93"/>
        <v>6413244.4446841357</v>
      </c>
      <c r="H367" s="186">
        <f>-Parking!$E$94/12</f>
        <v>46202.434086102563</v>
      </c>
      <c r="I367" s="149">
        <f>Parking!$E$92/12*G366</f>
        <v>10747.831745041995</v>
      </c>
      <c r="J367" s="187">
        <f t="shared" si="94"/>
        <v>35454.60234106057</v>
      </c>
      <c r="K367" s="72">
        <f t="shared" si="98"/>
        <v>202</v>
      </c>
      <c r="L367" s="180">
        <f t="shared" si="95"/>
        <v>6413244.4446841357</v>
      </c>
      <c r="M367" s="181">
        <f t="shared" si="95"/>
        <v>46202.434086102563</v>
      </c>
      <c r="N367" s="180">
        <f t="shared" si="95"/>
        <v>10747.831745041995</v>
      </c>
      <c r="O367" s="132">
        <f t="shared" si="90"/>
        <v>35454.60234106057</v>
      </c>
    </row>
    <row r="368" spans="1:15" x14ac:dyDescent="0.25">
      <c r="A368" s="72">
        <f t="shared" si="96"/>
        <v>203</v>
      </c>
      <c r="B368" s="183">
        <f t="shared" si="91"/>
        <v>0</v>
      </c>
      <c r="C368" s="184">
        <f>-Parking!$E$89/12</f>
        <v>0</v>
      </c>
      <c r="D368" s="183">
        <f>Parking!$E$87/12*B367</f>
        <v>0</v>
      </c>
      <c r="E368" s="185">
        <f t="shared" si="92"/>
        <v>0</v>
      </c>
      <c r="F368" s="72">
        <f t="shared" si="97"/>
        <v>203</v>
      </c>
      <c r="G368" s="180">
        <f t="shared" si="93"/>
        <v>6377730.7513391729</v>
      </c>
      <c r="H368" s="186">
        <f>-Parking!$E$94/12</f>
        <v>46202.434086102563</v>
      </c>
      <c r="I368" s="149">
        <f>Parking!$E$92/12*G367</f>
        <v>10688.740741140227</v>
      </c>
      <c r="J368" s="187">
        <f t="shared" si="94"/>
        <v>35513.693344962332</v>
      </c>
      <c r="K368" s="72">
        <f t="shared" si="98"/>
        <v>203</v>
      </c>
      <c r="L368" s="180">
        <f t="shared" si="95"/>
        <v>6377730.7513391729</v>
      </c>
      <c r="M368" s="181">
        <f t="shared" si="95"/>
        <v>46202.434086102563</v>
      </c>
      <c r="N368" s="180">
        <f t="shared" si="95"/>
        <v>10688.740741140227</v>
      </c>
      <c r="O368" s="132">
        <f t="shared" si="90"/>
        <v>35513.693344962332</v>
      </c>
    </row>
    <row r="369" spans="1:15" x14ac:dyDescent="0.25">
      <c r="A369" s="72">
        <f t="shared" si="96"/>
        <v>204</v>
      </c>
      <c r="B369" s="183">
        <f t="shared" si="91"/>
        <v>0</v>
      </c>
      <c r="C369" s="184">
        <f>-Parking!$E$89/12</f>
        <v>0</v>
      </c>
      <c r="D369" s="183">
        <f>Parking!$E$87/12*B368</f>
        <v>0</v>
      </c>
      <c r="E369" s="185">
        <f t="shared" si="92"/>
        <v>0</v>
      </c>
      <c r="F369" s="72">
        <f t="shared" si="97"/>
        <v>204</v>
      </c>
      <c r="G369" s="180">
        <f t="shared" si="93"/>
        <v>6342157.8685053019</v>
      </c>
      <c r="H369" s="186">
        <f>-Parking!$E$94/12</f>
        <v>46202.434086102563</v>
      </c>
      <c r="I369" s="149">
        <f>Parking!$E$92/12*G368</f>
        <v>10629.551252231955</v>
      </c>
      <c r="J369" s="187">
        <f t="shared" si="94"/>
        <v>35572.882833870608</v>
      </c>
      <c r="K369" s="72">
        <f t="shared" si="98"/>
        <v>204</v>
      </c>
      <c r="L369" s="180">
        <f t="shared" si="95"/>
        <v>6342157.8685053019</v>
      </c>
      <c r="M369" s="181">
        <f t="shared" si="95"/>
        <v>46202.434086102563</v>
      </c>
      <c r="N369" s="180">
        <f t="shared" si="95"/>
        <v>10629.551252231955</v>
      </c>
      <c r="O369" s="132">
        <f t="shared" si="90"/>
        <v>35572.882833870608</v>
      </c>
    </row>
    <row r="370" spans="1:15" x14ac:dyDescent="0.25">
      <c r="A370" s="72">
        <f t="shared" si="96"/>
        <v>205</v>
      </c>
      <c r="B370" s="183">
        <f t="shared" si="91"/>
        <v>0</v>
      </c>
      <c r="C370" s="184">
        <f>-Parking!$E$89/12</f>
        <v>0</v>
      </c>
      <c r="D370" s="183">
        <f>Parking!$E$87/12*B369</f>
        <v>0</v>
      </c>
      <c r="E370" s="185">
        <f t="shared" si="92"/>
        <v>0</v>
      </c>
      <c r="F370" s="72">
        <f t="shared" si="97"/>
        <v>205</v>
      </c>
      <c r="G370" s="180">
        <f t="shared" si="93"/>
        <v>6306525.6975333747</v>
      </c>
      <c r="H370" s="186">
        <f>-Parking!$E$94/12</f>
        <v>46202.434086102563</v>
      </c>
      <c r="I370" s="149">
        <f>Parking!$E$92/12*G369</f>
        <v>10570.263114175505</v>
      </c>
      <c r="J370" s="187">
        <f t="shared" si="94"/>
        <v>35632.170971927058</v>
      </c>
      <c r="K370" s="72">
        <f t="shared" si="98"/>
        <v>205</v>
      </c>
      <c r="L370" s="180">
        <f t="shared" si="95"/>
        <v>6306525.6975333747</v>
      </c>
      <c r="M370" s="181">
        <f t="shared" si="95"/>
        <v>46202.434086102563</v>
      </c>
      <c r="N370" s="180">
        <f t="shared" si="95"/>
        <v>10570.263114175505</v>
      </c>
      <c r="O370" s="132">
        <f t="shared" si="90"/>
        <v>35632.170971927058</v>
      </c>
    </row>
    <row r="371" spans="1:15" x14ac:dyDescent="0.25">
      <c r="A371" s="72">
        <f t="shared" si="96"/>
        <v>206</v>
      </c>
      <c r="B371" s="183">
        <f t="shared" si="91"/>
        <v>0</v>
      </c>
      <c r="C371" s="184">
        <f>-Parking!$E$89/12</f>
        <v>0</v>
      </c>
      <c r="D371" s="183">
        <f>Parking!$E$87/12*B370</f>
        <v>0</v>
      </c>
      <c r="E371" s="185">
        <f t="shared" si="92"/>
        <v>0</v>
      </c>
      <c r="F371" s="72">
        <f t="shared" si="97"/>
        <v>206</v>
      </c>
      <c r="G371" s="180">
        <f t="shared" si="93"/>
        <v>6270834.1396098277</v>
      </c>
      <c r="H371" s="186">
        <f>-Parking!$E$94/12</f>
        <v>46202.434086102563</v>
      </c>
      <c r="I371" s="149">
        <f>Parking!$E$92/12*G370</f>
        <v>10510.876162555625</v>
      </c>
      <c r="J371" s="187">
        <f t="shared" si="94"/>
        <v>35691.557923546934</v>
      </c>
      <c r="K371" s="72">
        <f t="shared" si="98"/>
        <v>206</v>
      </c>
      <c r="L371" s="180">
        <f t="shared" si="95"/>
        <v>6270834.1396098277</v>
      </c>
      <c r="M371" s="181">
        <f t="shared" si="95"/>
        <v>46202.434086102563</v>
      </c>
      <c r="N371" s="180">
        <f t="shared" si="95"/>
        <v>10510.876162555625</v>
      </c>
      <c r="O371" s="132">
        <f t="shared" si="90"/>
        <v>35691.557923546934</v>
      </c>
    </row>
    <row r="372" spans="1:15" x14ac:dyDescent="0.25">
      <c r="A372" s="72">
        <f t="shared" si="96"/>
        <v>207</v>
      </c>
      <c r="B372" s="183">
        <f t="shared" si="91"/>
        <v>0</v>
      </c>
      <c r="C372" s="184">
        <f>-Parking!$E$89/12</f>
        <v>0</v>
      </c>
      <c r="D372" s="183">
        <f>Parking!$E$87/12*B371</f>
        <v>0</v>
      </c>
      <c r="E372" s="185">
        <f t="shared" si="92"/>
        <v>0</v>
      </c>
      <c r="F372" s="72">
        <f t="shared" si="97"/>
        <v>207</v>
      </c>
      <c r="G372" s="180">
        <f t="shared" si="93"/>
        <v>6235083.0957564078</v>
      </c>
      <c r="H372" s="186">
        <f>-Parking!$E$94/12</f>
        <v>46202.434086102563</v>
      </c>
      <c r="I372" s="149">
        <f>Parking!$E$92/12*G371</f>
        <v>10451.390232683047</v>
      </c>
      <c r="J372" s="187">
        <f t="shared" si="94"/>
        <v>35751.043853419513</v>
      </c>
      <c r="K372" s="72">
        <f t="shared" si="98"/>
        <v>207</v>
      </c>
      <c r="L372" s="180">
        <f t="shared" si="95"/>
        <v>6235083.0957564078</v>
      </c>
      <c r="M372" s="181">
        <f t="shared" si="95"/>
        <v>46202.434086102563</v>
      </c>
      <c r="N372" s="180">
        <f t="shared" si="95"/>
        <v>10451.390232683047</v>
      </c>
      <c r="O372" s="132">
        <f t="shared" si="90"/>
        <v>35751.043853419513</v>
      </c>
    </row>
    <row r="373" spans="1:15" x14ac:dyDescent="0.25">
      <c r="A373" s="72">
        <f t="shared" si="96"/>
        <v>208</v>
      </c>
      <c r="B373" s="183">
        <f t="shared" si="91"/>
        <v>0</v>
      </c>
      <c r="C373" s="184">
        <f>-Parking!$E$89/12</f>
        <v>0</v>
      </c>
      <c r="D373" s="183">
        <f>Parking!$E$87/12*B372</f>
        <v>0</v>
      </c>
      <c r="E373" s="185">
        <f t="shared" si="92"/>
        <v>0</v>
      </c>
      <c r="F373" s="72">
        <f t="shared" si="97"/>
        <v>208</v>
      </c>
      <c r="G373" s="180">
        <f t="shared" si="93"/>
        <v>6199272.4668298997</v>
      </c>
      <c r="H373" s="186">
        <f>-Parking!$E$94/12</f>
        <v>46202.434086102563</v>
      </c>
      <c r="I373" s="149">
        <f>Parking!$E$92/12*G372</f>
        <v>10391.805159594014</v>
      </c>
      <c r="J373" s="187">
        <f t="shared" si="94"/>
        <v>35810.628926508551</v>
      </c>
      <c r="K373" s="72">
        <f t="shared" si="98"/>
        <v>208</v>
      </c>
      <c r="L373" s="180">
        <f t="shared" si="95"/>
        <v>6199272.4668298997</v>
      </c>
      <c r="M373" s="181">
        <f t="shared" si="95"/>
        <v>46202.434086102563</v>
      </c>
      <c r="N373" s="180">
        <f t="shared" si="95"/>
        <v>10391.805159594014</v>
      </c>
      <c r="O373" s="132">
        <f t="shared" si="90"/>
        <v>35810.628926508551</v>
      </c>
    </row>
    <row r="374" spans="1:15" x14ac:dyDescent="0.25">
      <c r="A374" s="72">
        <f t="shared" si="96"/>
        <v>209</v>
      </c>
      <c r="B374" s="183">
        <f t="shared" si="91"/>
        <v>0</v>
      </c>
      <c r="C374" s="184">
        <f>-Parking!$E$89/12</f>
        <v>0</v>
      </c>
      <c r="D374" s="183">
        <f>Parking!$E$87/12*B373</f>
        <v>0</v>
      </c>
      <c r="E374" s="185">
        <f t="shared" si="92"/>
        <v>0</v>
      </c>
      <c r="F374" s="72">
        <f t="shared" si="97"/>
        <v>209</v>
      </c>
      <c r="G374" s="180">
        <f t="shared" si="93"/>
        <v>6163402.153521847</v>
      </c>
      <c r="H374" s="186">
        <f>-Parking!$E$94/12</f>
        <v>46202.434086102563</v>
      </c>
      <c r="I374" s="149">
        <f>Parking!$E$92/12*G373</f>
        <v>10332.120778049833</v>
      </c>
      <c r="J374" s="187">
        <f t="shared" si="94"/>
        <v>35870.313308052733</v>
      </c>
      <c r="K374" s="72">
        <f t="shared" si="98"/>
        <v>209</v>
      </c>
      <c r="L374" s="180">
        <f t="shared" si="95"/>
        <v>6163402.153521847</v>
      </c>
      <c r="M374" s="181">
        <f t="shared" si="95"/>
        <v>46202.434086102563</v>
      </c>
      <c r="N374" s="180">
        <f t="shared" si="95"/>
        <v>10332.120778049833</v>
      </c>
      <c r="O374" s="132">
        <f t="shared" si="90"/>
        <v>35870.313308052733</v>
      </c>
    </row>
    <row r="375" spans="1:15" x14ac:dyDescent="0.25">
      <c r="A375" s="72">
        <f t="shared" si="96"/>
        <v>210</v>
      </c>
      <c r="B375" s="183">
        <f t="shared" si="91"/>
        <v>0</v>
      </c>
      <c r="C375" s="184">
        <f>-Parking!$E$89/12</f>
        <v>0</v>
      </c>
      <c r="D375" s="183">
        <f>Parking!$E$87/12*B374</f>
        <v>0</v>
      </c>
      <c r="E375" s="185">
        <f t="shared" si="92"/>
        <v>0</v>
      </c>
      <c r="F375" s="72">
        <f t="shared" si="97"/>
        <v>210</v>
      </c>
      <c r="G375" s="180">
        <f t="shared" si="93"/>
        <v>6127472.0563582806</v>
      </c>
      <c r="H375" s="186">
        <f>-Parking!$E$94/12</f>
        <v>46202.434086102563</v>
      </c>
      <c r="I375" s="149">
        <f>Parking!$E$92/12*G374</f>
        <v>10272.336922536413</v>
      </c>
      <c r="J375" s="187">
        <f t="shared" si="94"/>
        <v>35930.097163566148</v>
      </c>
      <c r="K375" s="72">
        <f t="shared" si="98"/>
        <v>210</v>
      </c>
      <c r="L375" s="180">
        <f t="shared" si="95"/>
        <v>6127472.0563582806</v>
      </c>
      <c r="M375" s="181">
        <f t="shared" si="95"/>
        <v>46202.434086102563</v>
      </c>
      <c r="N375" s="180">
        <f t="shared" si="95"/>
        <v>10272.336922536413</v>
      </c>
      <c r="O375" s="132">
        <f t="shared" si="90"/>
        <v>35930.097163566148</v>
      </c>
    </row>
    <row r="376" spans="1:15" x14ac:dyDescent="0.25">
      <c r="A376" s="72">
        <f t="shared" si="96"/>
        <v>211</v>
      </c>
      <c r="B376" s="183">
        <f t="shared" si="91"/>
        <v>0</v>
      </c>
      <c r="C376" s="184">
        <f>-Parking!$E$89/12</f>
        <v>0</v>
      </c>
      <c r="D376" s="183">
        <f>Parking!$E$87/12*B375</f>
        <v>0</v>
      </c>
      <c r="E376" s="185">
        <f t="shared" si="92"/>
        <v>0</v>
      </c>
      <c r="F376" s="72">
        <f t="shared" si="97"/>
        <v>211</v>
      </c>
      <c r="G376" s="180">
        <f t="shared" si="93"/>
        <v>6091482.0756994421</v>
      </c>
      <c r="H376" s="186">
        <f>-Parking!$E$94/12</f>
        <v>46202.434086102563</v>
      </c>
      <c r="I376" s="149">
        <f>Parking!$E$92/12*G375</f>
        <v>10212.453427263801</v>
      </c>
      <c r="J376" s="187">
        <f t="shared" si="94"/>
        <v>35989.980658838758</v>
      </c>
      <c r="K376" s="72">
        <f t="shared" si="98"/>
        <v>211</v>
      </c>
      <c r="L376" s="180">
        <f t="shared" si="95"/>
        <v>6091482.0756994421</v>
      </c>
      <c r="M376" s="181">
        <f t="shared" si="95"/>
        <v>46202.434086102563</v>
      </c>
      <c r="N376" s="180">
        <f t="shared" si="95"/>
        <v>10212.453427263801</v>
      </c>
      <c r="O376" s="132">
        <f t="shared" si="90"/>
        <v>35989.980658838758</v>
      </c>
    </row>
    <row r="377" spans="1:15" x14ac:dyDescent="0.25">
      <c r="A377" s="72">
        <f t="shared" si="96"/>
        <v>212</v>
      </c>
      <c r="B377" s="183">
        <f t="shared" si="91"/>
        <v>0</v>
      </c>
      <c r="C377" s="184">
        <f>-Parking!$E$89/12</f>
        <v>0</v>
      </c>
      <c r="D377" s="183">
        <f>Parking!$E$87/12*B376</f>
        <v>0</v>
      </c>
      <c r="E377" s="185">
        <f t="shared" si="92"/>
        <v>0</v>
      </c>
      <c r="F377" s="72">
        <f t="shared" si="97"/>
        <v>212</v>
      </c>
      <c r="G377" s="180">
        <f t="shared" si="93"/>
        <v>6055432.1117395051</v>
      </c>
      <c r="H377" s="186">
        <f>-Parking!$E$94/12</f>
        <v>46202.434086102563</v>
      </c>
      <c r="I377" s="149">
        <f>Parking!$E$92/12*G376</f>
        <v>10152.470126165737</v>
      </c>
      <c r="J377" s="187">
        <f t="shared" si="94"/>
        <v>36049.963959936824</v>
      </c>
      <c r="K377" s="72">
        <f t="shared" si="98"/>
        <v>212</v>
      </c>
      <c r="L377" s="180">
        <f t="shared" si="95"/>
        <v>6055432.1117395051</v>
      </c>
      <c r="M377" s="181">
        <f t="shared" si="95"/>
        <v>46202.434086102563</v>
      </c>
      <c r="N377" s="180">
        <f t="shared" si="95"/>
        <v>10152.470126165737</v>
      </c>
      <c r="O377" s="132">
        <f t="shared" si="90"/>
        <v>36049.963959936824</v>
      </c>
    </row>
    <row r="378" spans="1:15" x14ac:dyDescent="0.25">
      <c r="A378" s="72">
        <f t="shared" si="96"/>
        <v>213</v>
      </c>
      <c r="B378" s="183">
        <f t="shared" si="91"/>
        <v>0</v>
      </c>
      <c r="C378" s="184">
        <f>-Parking!$E$89/12</f>
        <v>0</v>
      </c>
      <c r="D378" s="183">
        <f>Parking!$E$87/12*B377</f>
        <v>0</v>
      </c>
      <c r="E378" s="185">
        <f t="shared" si="92"/>
        <v>0</v>
      </c>
      <c r="F378" s="72">
        <f t="shared" si="97"/>
        <v>213</v>
      </c>
      <c r="G378" s="180">
        <f t="shared" si="93"/>
        <v>6019322.0645063017</v>
      </c>
      <c r="H378" s="186">
        <f>-Parking!$E$94/12</f>
        <v>46202.434086102563</v>
      </c>
      <c r="I378" s="149">
        <f>Parking!$E$92/12*G377</f>
        <v>10092.386852899175</v>
      </c>
      <c r="J378" s="187">
        <f t="shared" si="94"/>
        <v>36110.04723320339</v>
      </c>
      <c r="K378" s="72">
        <f t="shared" si="98"/>
        <v>213</v>
      </c>
      <c r="L378" s="180">
        <f t="shared" si="95"/>
        <v>6019322.0645063017</v>
      </c>
      <c r="M378" s="181">
        <f t="shared" si="95"/>
        <v>46202.434086102563</v>
      </c>
      <c r="N378" s="180">
        <f t="shared" si="95"/>
        <v>10092.386852899175</v>
      </c>
      <c r="O378" s="132">
        <f t="shared" si="90"/>
        <v>36110.04723320339</v>
      </c>
    </row>
    <row r="379" spans="1:15" x14ac:dyDescent="0.25">
      <c r="A379" s="72">
        <f t="shared" si="96"/>
        <v>214</v>
      </c>
      <c r="B379" s="183">
        <f t="shared" si="91"/>
        <v>0</v>
      </c>
      <c r="C379" s="184">
        <f>-Parking!$E$89/12</f>
        <v>0</v>
      </c>
      <c r="D379" s="183">
        <f>Parking!$E$87/12*B378</f>
        <v>0</v>
      </c>
      <c r="E379" s="185">
        <f t="shared" si="92"/>
        <v>0</v>
      </c>
      <c r="F379" s="72">
        <f t="shared" si="97"/>
        <v>214</v>
      </c>
      <c r="G379" s="180">
        <f t="shared" si="93"/>
        <v>5983151.8338610427</v>
      </c>
      <c r="H379" s="186">
        <f>-Parking!$E$94/12</f>
        <v>46202.434086102563</v>
      </c>
      <c r="I379" s="149">
        <f>Parking!$E$92/12*G378</f>
        <v>10032.203440843838</v>
      </c>
      <c r="J379" s="187">
        <f t="shared" si="94"/>
        <v>36170.230645258722</v>
      </c>
      <c r="K379" s="72">
        <f t="shared" si="98"/>
        <v>214</v>
      </c>
      <c r="L379" s="180">
        <f t="shared" si="95"/>
        <v>5983151.8338610427</v>
      </c>
      <c r="M379" s="181">
        <f t="shared" si="95"/>
        <v>46202.434086102563</v>
      </c>
      <c r="N379" s="180">
        <f t="shared" si="95"/>
        <v>10032.203440843838</v>
      </c>
      <c r="O379" s="132">
        <f t="shared" si="90"/>
        <v>36170.230645258722</v>
      </c>
    </row>
    <row r="380" spans="1:15" x14ac:dyDescent="0.25">
      <c r="A380" s="72">
        <f t="shared" si="96"/>
        <v>215</v>
      </c>
      <c r="B380" s="183">
        <f t="shared" si="91"/>
        <v>0</v>
      </c>
      <c r="C380" s="184">
        <f>-Parking!$E$89/12</f>
        <v>0</v>
      </c>
      <c r="D380" s="183">
        <f>Parking!$E$87/12*B379</f>
        <v>0</v>
      </c>
      <c r="E380" s="185">
        <f t="shared" si="92"/>
        <v>0</v>
      </c>
      <c r="F380" s="72">
        <f t="shared" si="97"/>
        <v>215</v>
      </c>
      <c r="G380" s="180">
        <f t="shared" si="93"/>
        <v>5946921.3194980416</v>
      </c>
      <c r="H380" s="186">
        <f>-Parking!$E$94/12</f>
        <v>46202.434086102563</v>
      </c>
      <c r="I380" s="149">
        <f>Parking!$E$92/12*G379</f>
        <v>9971.9197231017388</v>
      </c>
      <c r="J380" s="187">
        <f t="shared" si="94"/>
        <v>36230.514363000824</v>
      </c>
      <c r="K380" s="72">
        <f t="shared" si="98"/>
        <v>215</v>
      </c>
      <c r="L380" s="180">
        <f t="shared" si="95"/>
        <v>5946921.3194980416</v>
      </c>
      <c r="M380" s="181">
        <f t="shared" si="95"/>
        <v>46202.434086102563</v>
      </c>
      <c r="N380" s="180">
        <f t="shared" si="95"/>
        <v>9971.9197231017388</v>
      </c>
      <c r="O380" s="132">
        <f t="shared" si="90"/>
        <v>36230.514363000824</v>
      </c>
    </row>
    <row r="381" spans="1:15" x14ac:dyDescent="0.25">
      <c r="A381" s="72">
        <f t="shared" si="96"/>
        <v>216</v>
      </c>
      <c r="B381" s="183">
        <f t="shared" si="91"/>
        <v>0</v>
      </c>
      <c r="C381" s="184">
        <f>-Parking!$E$89/12</f>
        <v>0</v>
      </c>
      <c r="D381" s="183">
        <f>Parking!$E$87/12*B380</f>
        <v>0</v>
      </c>
      <c r="E381" s="185">
        <f t="shared" si="92"/>
        <v>0</v>
      </c>
      <c r="F381" s="72">
        <f t="shared" si="97"/>
        <v>216</v>
      </c>
      <c r="G381" s="180">
        <f t="shared" si="93"/>
        <v>5910630.4209444355</v>
      </c>
      <c r="H381" s="186">
        <f>-Parking!$E$94/12</f>
        <v>46202.434086102563</v>
      </c>
      <c r="I381" s="149">
        <f>Parking!$E$92/12*G380</f>
        <v>9911.5355324967368</v>
      </c>
      <c r="J381" s="187">
        <f t="shared" si="94"/>
        <v>36290.898553605824</v>
      </c>
      <c r="K381" s="72">
        <f t="shared" si="98"/>
        <v>216</v>
      </c>
      <c r="L381" s="180">
        <f t="shared" si="95"/>
        <v>5910630.4209444355</v>
      </c>
      <c r="M381" s="181">
        <f t="shared" si="95"/>
        <v>46202.434086102563</v>
      </c>
      <c r="N381" s="180">
        <f t="shared" si="95"/>
        <v>9911.5355324967368</v>
      </c>
      <c r="O381" s="132">
        <f t="shared" si="90"/>
        <v>36290.898553605824</v>
      </c>
    </row>
    <row r="382" spans="1:15" x14ac:dyDescent="0.25">
      <c r="A382" s="72">
        <f t="shared" si="96"/>
        <v>217</v>
      </c>
      <c r="B382" s="183">
        <f t="shared" si="91"/>
        <v>0</v>
      </c>
      <c r="C382" s="184">
        <f>-Parking!$E$89/12</f>
        <v>0</v>
      </c>
      <c r="D382" s="183">
        <f>Parking!$E$87/12*B381</f>
        <v>0</v>
      </c>
      <c r="E382" s="185">
        <f t="shared" si="92"/>
        <v>0</v>
      </c>
      <c r="F382" s="72">
        <f t="shared" si="97"/>
        <v>217</v>
      </c>
      <c r="G382" s="180">
        <f t="shared" si="93"/>
        <v>5874279.037559907</v>
      </c>
      <c r="H382" s="186">
        <f>-Parking!$E$94/12</f>
        <v>46202.434086102563</v>
      </c>
      <c r="I382" s="149">
        <f>Parking!$E$92/12*G381</f>
        <v>9851.0507015740604</v>
      </c>
      <c r="J382" s="187">
        <f t="shared" si="94"/>
        <v>36351.383384528504</v>
      </c>
      <c r="K382" s="72">
        <f t="shared" si="98"/>
        <v>217</v>
      </c>
      <c r="L382" s="180">
        <f t="shared" si="95"/>
        <v>5874279.037559907</v>
      </c>
      <c r="M382" s="181">
        <f t="shared" si="95"/>
        <v>46202.434086102563</v>
      </c>
      <c r="N382" s="180">
        <f t="shared" si="95"/>
        <v>9851.0507015740604</v>
      </c>
      <c r="O382" s="132">
        <f t="shared" si="90"/>
        <v>36351.383384528504</v>
      </c>
    </row>
    <row r="383" spans="1:15" x14ac:dyDescent="0.25">
      <c r="A383" s="72">
        <f t="shared" si="96"/>
        <v>218</v>
      </c>
      <c r="B383" s="183">
        <f t="shared" si="91"/>
        <v>0</v>
      </c>
      <c r="C383" s="184">
        <f>-Parking!$E$89/12</f>
        <v>0</v>
      </c>
      <c r="D383" s="183">
        <f>Parking!$E$87/12*B382</f>
        <v>0</v>
      </c>
      <c r="E383" s="185">
        <f t="shared" si="92"/>
        <v>0</v>
      </c>
      <c r="F383" s="72">
        <f t="shared" si="97"/>
        <v>218</v>
      </c>
      <c r="G383" s="180">
        <f t="shared" si="93"/>
        <v>5837867.0685364045</v>
      </c>
      <c r="H383" s="186">
        <f>-Parking!$E$94/12</f>
        <v>46202.434086102563</v>
      </c>
      <c r="I383" s="149">
        <f>Parking!$E$92/12*G382</f>
        <v>9790.4650625998456</v>
      </c>
      <c r="J383" s="187">
        <f t="shared" si="94"/>
        <v>36411.969023502716</v>
      </c>
      <c r="K383" s="72">
        <f t="shared" si="98"/>
        <v>218</v>
      </c>
      <c r="L383" s="180">
        <f t="shared" si="95"/>
        <v>5837867.0685364045</v>
      </c>
      <c r="M383" s="181">
        <f t="shared" si="95"/>
        <v>46202.434086102563</v>
      </c>
      <c r="N383" s="180">
        <f t="shared" si="95"/>
        <v>9790.4650625998456</v>
      </c>
      <c r="O383" s="132">
        <f t="shared" si="90"/>
        <v>36411.969023502716</v>
      </c>
    </row>
    <row r="384" spans="1:15" x14ac:dyDescent="0.25">
      <c r="A384" s="72">
        <f t="shared" si="96"/>
        <v>219</v>
      </c>
      <c r="B384" s="183">
        <f t="shared" si="91"/>
        <v>0</v>
      </c>
      <c r="C384" s="184">
        <f>-Parking!$E$89/12</f>
        <v>0</v>
      </c>
      <c r="D384" s="183">
        <f>Parking!$E$87/12*B383</f>
        <v>0</v>
      </c>
      <c r="E384" s="185">
        <f t="shared" si="92"/>
        <v>0</v>
      </c>
      <c r="F384" s="72">
        <f t="shared" si="97"/>
        <v>219</v>
      </c>
      <c r="G384" s="180">
        <f t="shared" si="93"/>
        <v>5801394.4128978625</v>
      </c>
      <c r="H384" s="186">
        <f>-Parking!$E$94/12</f>
        <v>46202.434086102563</v>
      </c>
      <c r="I384" s="149">
        <f>Parking!$E$92/12*G383</f>
        <v>9729.778447560675</v>
      </c>
      <c r="J384" s="187">
        <f t="shared" si="94"/>
        <v>36472.655638541888</v>
      </c>
      <c r="K384" s="72">
        <f t="shared" si="98"/>
        <v>219</v>
      </c>
      <c r="L384" s="180">
        <f t="shared" si="95"/>
        <v>5801394.4128978625</v>
      </c>
      <c r="M384" s="181">
        <f t="shared" si="95"/>
        <v>46202.434086102563</v>
      </c>
      <c r="N384" s="180">
        <f t="shared" si="95"/>
        <v>9729.778447560675</v>
      </c>
      <c r="O384" s="132">
        <f t="shared" si="90"/>
        <v>36472.655638541888</v>
      </c>
    </row>
    <row r="385" spans="1:15" x14ac:dyDescent="0.25">
      <c r="A385" s="72">
        <f t="shared" si="96"/>
        <v>220</v>
      </c>
      <c r="B385" s="183">
        <f t="shared" si="91"/>
        <v>0</v>
      </c>
      <c r="C385" s="184">
        <f>-Parking!$E$89/12</f>
        <v>0</v>
      </c>
      <c r="D385" s="183">
        <f>Parking!$E$87/12*B384</f>
        <v>0</v>
      </c>
      <c r="E385" s="185">
        <f t="shared" si="92"/>
        <v>0</v>
      </c>
      <c r="F385" s="72">
        <f t="shared" si="97"/>
        <v>220</v>
      </c>
      <c r="G385" s="180">
        <f t="shared" si="93"/>
        <v>5764860.9694999233</v>
      </c>
      <c r="H385" s="186">
        <f>-Parking!$E$94/12</f>
        <v>46202.434086102563</v>
      </c>
      <c r="I385" s="149">
        <f>Parking!$E$92/12*G384</f>
        <v>9668.990688163105</v>
      </c>
      <c r="J385" s="187">
        <f t="shared" si="94"/>
        <v>36533.44339793946</v>
      </c>
      <c r="K385" s="72">
        <f t="shared" si="98"/>
        <v>220</v>
      </c>
      <c r="L385" s="180">
        <f t="shared" si="95"/>
        <v>5764860.9694999233</v>
      </c>
      <c r="M385" s="181">
        <f t="shared" si="95"/>
        <v>46202.434086102563</v>
      </c>
      <c r="N385" s="180">
        <f t="shared" si="95"/>
        <v>9668.990688163105</v>
      </c>
      <c r="O385" s="132">
        <f t="shared" si="90"/>
        <v>36533.44339793946</v>
      </c>
    </row>
    <row r="386" spans="1:15" x14ac:dyDescent="0.25">
      <c r="A386" s="72">
        <f t="shared" si="96"/>
        <v>221</v>
      </c>
      <c r="B386" s="183">
        <f t="shared" si="91"/>
        <v>0</v>
      </c>
      <c r="C386" s="184">
        <f>-Parking!$E$89/12</f>
        <v>0</v>
      </c>
      <c r="D386" s="183">
        <f>Parking!$E$87/12*B385</f>
        <v>0</v>
      </c>
      <c r="E386" s="185">
        <f t="shared" si="92"/>
        <v>0</v>
      </c>
      <c r="F386" s="72">
        <f t="shared" si="97"/>
        <v>221</v>
      </c>
      <c r="G386" s="180">
        <f t="shared" si="93"/>
        <v>5728266.6370296543</v>
      </c>
      <c r="H386" s="186">
        <f>-Parking!$E$94/12</f>
        <v>46202.434086102563</v>
      </c>
      <c r="I386" s="149">
        <f>Parking!$E$92/12*G385</f>
        <v>9608.1016158332059</v>
      </c>
      <c r="J386" s="187">
        <f t="shared" si="94"/>
        <v>36594.332470269357</v>
      </c>
      <c r="K386" s="72">
        <f t="shared" si="98"/>
        <v>221</v>
      </c>
      <c r="L386" s="180">
        <f t="shared" si="95"/>
        <v>5728266.6370296543</v>
      </c>
      <c r="M386" s="181">
        <f t="shared" si="95"/>
        <v>46202.434086102563</v>
      </c>
      <c r="N386" s="180">
        <f t="shared" si="95"/>
        <v>9608.1016158332059</v>
      </c>
      <c r="O386" s="132">
        <f t="shared" si="90"/>
        <v>36594.332470269357</v>
      </c>
    </row>
    <row r="387" spans="1:15" x14ac:dyDescent="0.25">
      <c r="A387" s="72">
        <f t="shared" si="96"/>
        <v>222</v>
      </c>
      <c r="B387" s="183">
        <f t="shared" si="91"/>
        <v>0</v>
      </c>
      <c r="C387" s="184">
        <f>-Parking!$E$89/12</f>
        <v>0</v>
      </c>
      <c r="D387" s="183">
        <f>Parking!$E$87/12*B386</f>
        <v>0</v>
      </c>
      <c r="E387" s="185">
        <f t="shared" si="92"/>
        <v>0</v>
      </c>
      <c r="F387" s="72">
        <f t="shared" si="97"/>
        <v>222</v>
      </c>
      <c r="G387" s="180">
        <f t="shared" si="93"/>
        <v>5691611.3140052678</v>
      </c>
      <c r="H387" s="186">
        <f>-Parking!$E$94/12</f>
        <v>46202.434086102563</v>
      </c>
      <c r="I387" s="149">
        <f>Parking!$E$92/12*G386</f>
        <v>9547.1110617160921</v>
      </c>
      <c r="J387" s="187">
        <f t="shared" si="94"/>
        <v>36655.323024386467</v>
      </c>
      <c r="K387" s="72">
        <f t="shared" si="98"/>
        <v>222</v>
      </c>
      <c r="L387" s="180">
        <f t="shared" si="95"/>
        <v>5691611.3140052678</v>
      </c>
      <c r="M387" s="181">
        <f t="shared" si="95"/>
        <v>46202.434086102563</v>
      </c>
      <c r="N387" s="180">
        <f t="shared" si="95"/>
        <v>9547.1110617160921</v>
      </c>
      <c r="O387" s="132">
        <f t="shared" si="90"/>
        <v>36655.323024386467</v>
      </c>
    </row>
    <row r="388" spans="1:15" x14ac:dyDescent="0.25">
      <c r="A388" s="72">
        <f t="shared" si="96"/>
        <v>223</v>
      </c>
      <c r="B388" s="183">
        <f t="shared" si="91"/>
        <v>0</v>
      </c>
      <c r="C388" s="184">
        <f>-Parking!$E$89/12</f>
        <v>0</v>
      </c>
      <c r="D388" s="183">
        <f>Parking!$E$87/12*B387</f>
        <v>0</v>
      </c>
      <c r="E388" s="185">
        <f t="shared" si="92"/>
        <v>0</v>
      </c>
      <c r="F388" s="72">
        <f t="shared" si="97"/>
        <v>223</v>
      </c>
      <c r="G388" s="180">
        <f t="shared" si="93"/>
        <v>5654894.8987758411</v>
      </c>
      <c r="H388" s="186">
        <f>-Parking!$E$94/12</f>
        <v>46202.434086102563</v>
      </c>
      <c r="I388" s="149">
        <f>Parking!$E$92/12*G387</f>
        <v>9486.0188566754478</v>
      </c>
      <c r="J388" s="187">
        <f t="shared" si="94"/>
        <v>36716.415229427119</v>
      </c>
      <c r="K388" s="72">
        <f t="shared" si="98"/>
        <v>223</v>
      </c>
      <c r="L388" s="180">
        <f t="shared" si="95"/>
        <v>5654894.8987758411</v>
      </c>
      <c r="M388" s="181">
        <f t="shared" si="95"/>
        <v>46202.434086102563</v>
      </c>
      <c r="N388" s="180">
        <f t="shared" si="95"/>
        <v>9486.0188566754478</v>
      </c>
      <c r="O388" s="132">
        <f t="shared" si="90"/>
        <v>36716.415229427119</v>
      </c>
    </row>
    <row r="389" spans="1:15" x14ac:dyDescent="0.25">
      <c r="A389" s="72">
        <f t="shared" si="96"/>
        <v>224</v>
      </c>
      <c r="B389" s="183">
        <f t="shared" si="91"/>
        <v>0</v>
      </c>
      <c r="C389" s="184">
        <f>-Parking!$E$89/12</f>
        <v>0</v>
      </c>
      <c r="D389" s="183">
        <f>Parking!$E$87/12*B388</f>
        <v>0</v>
      </c>
      <c r="E389" s="185">
        <f t="shared" si="92"/>
        <v>0</v>
      </c>
      <c r="F389" s="72">
        <f t="shared" si="97"/>
        <v>224</v>
      </c>
      <c r="G389" s="180">
        <f t="shared" si="93"/>
        <v>5618117.289521032</v>
      </c>
      <c r="H389" s="186">
        <f>-Parking!$E$94/12</f>
        <v>46202.434086102563</v>
      </c>
      <c r="I389" s="149">
        <f>Parking!$E$92/12*G388</f>
        <v>9424.82483129307</v>
      </c>
      <c r="J389" s="187">
        <f t="shared" si="94"/>
        <v>36777.609254809489</v>
      </c>
      <c r="K389" s="72">
        <f t="shared" si="98"/>
        <v>224</v>
      </c>
      <c r="L389" s="180">
        <f t="shared" si="95"/>
        <v>5618117.289521032</v>
      </c>
      <c r="M389" s="181">
        <f t="shared" si="95"/>
        <v>46202.434086102563</v>
      </c>
      <c r="N389" s="180">
        <f t="shared" si="95"/>
        <v>9424.82483129307</v>
      </c>
      <c r="O389" s="132">
        <f t="shared" si="90"/>
        <v>36777.609254809489</v>
      </c>
    </row>
    <row r="390" spans="1:15" x14ac:dyDescent="0.25">
      <c r="A390" s="72">
        <f t="shared" si="96"/>
        <v>225</v>
      </c>
      <c r="B390" s="183">
        <f t="shared" si="91"/>
        <v>0</v>
      </c>
      <c r="C390" s="184">
        <f>-Parking!$E$89/12</f>
        <v>0</v>
      </c>
      <c r="D390" s="183">
        <f>Parking!$E$87/12*B389</f>
        <v>0</v>
      </c>
      <c r="E390" s="185">
        <f t="shared" si="92"/>
        <v>0</v>
      </c>
      <c r="F390" s="72">
        <f t="shared" si="97"/>
        <v>225</v>
      </c>
      <c r="G390" s="180">
        <f t="shared" si="93"/>
        <v>5581278.3842507983</v>
      </c>
      <c r="H390" s="186">
        <f>-Parking!$E$94/12</f>
        <v>46202.434086102563</v>
      </c>
      <c r="I390" s="149">
        <f>Parking!$E$92/12*G389</f>
        <v>9363.528815868387</v>
      </c>
      <c r="J390" s="187">
        <f t="shared" si="94"/>
        <v>36838.905270234172</v>
      </c>
      <c r="K390" s="72">
        <f t="shared" si="98"/>
        <v>225</v>
      </c>
      <c r="L390" s="180">
        <f t="shared" si="95"/>
        <v>5581278.3842507983</v>
      </c>
      <c r="M390" s="181">
        <f t="shared" si="95"/>
        <v>46202.434086102563</v>
      </c>
      <c r="N390" s="180">
        <f t="shared" si="95"/>
        <v>9363.528815868387</v>
      </c>
      <c r="O390" s="132">
        <f t="shared" si="90"/>
        <v>36838.905270234172</v>
      </c>
    </row>
    <row r="391" spans="1:15" x14ac:dyDescent="0.25">
      <c r="A391" s="72">
        <f t="shared" si="96"/>
        <v>226</v>
      </c>
      <c r="B391" s="183">
        <f t="shared" si="91"/>
        <v>0</v>
      </c>
      <c r="C391" s="184">
        <f>-Parking!$E$89/12</f>
        <v>0</v>
      </c>
      <c r="D391" s="183">
        <f>Parking!$E$87/12*B390</f>
        <v>0</v>
      </c>
      <c r="E391" s="185">
        <f t="shared" si="92"/>
        <v>0</v>
      </c>
      <c r="F391" s="72">
        <f t="shared" si="97"/>
        <v>226</v>
      </c>
      <c r="G391" s="180">
        <f t="shared" si="93"/>
        <v>5544378.0808051135</v>
      </c>
      <c r="H391" s="186">
        <f>-Parking!$E$94/12</f>
        <v>46202.434086102563</v>
      </c>
      <c r="I391" s="149">
        <f>Parking!$E$92/12*G390</f>
        <v>9302.1306404179977</v>
      </c>
      <c r="J391" s="187">
        <f t="shared" si="94"/>
        <v>36900.303445684563</v>
      </c>
      <c r="K391" s="72">
        <f t="shared" si="98"/>
        <v>226</v>
      </c>
      <c r="L391" s="180">
        <f t="shared" si="95"/>
        <v>5544378.0808051135</v>
      </c>
      <c r="M391" s="181">
        <f t="shared" si="95"/>
        <v>46202.434086102563</v>
      </c>
      <c r="N391" s="180">
        <f t="shared" si="95"/>
        <v>9302.1306404179977</v>
      </c>
      <c r="O391" s="132">
        <f t="shared" si="90"/>
        <v>36900.303445684563</v>
      </c>
    </row>
    <row r="392" spans="1:15" x14ac:dyDescent="0.25">
      <c r="A392" s="72">
        <f t="shared" si="96"/>
        <v>227</v>
      </c>
      <c r="B392" s="183">
        <f t="shared" si="91"/>
        <v>0</v>
      </c>
      <c r="C392" s="184">
        <f>-Parking!$E$89/12</f>
        <v>0</v>
      </c>
      <c r="D392" s="183">
        <f>Parking!$E$87/12*B391</f>
        <v>0</v>
      </c>
      <c r="E392" s="185">
        <f t="shared" si="92"/>
        <v>0</v>
      </c>
      <c r="F392" s="72">
        <f t="shared" si="97"/>
        <v>227</v>
      </c>
      <c r="G392" s="180">
        <f t="shared" si="93"/>
        <v>5507416.2768536862</v>
      </c>
      <c r="H392" s="186">
        <f>-Parking!$E$94/12</f>
        <v>46202.434086102563</v>
      </c>
      <c r="I392" s="149">
        <f>Parking!$E$92/12*G391</f>
        <v>9240.6301346751898</v>
      </c>
      <c r="J392" s="187">
        <f t="shared" si="94"/>
        <v>36961.80395142737</v>
      </c>
      <c r="K392" s="72">
        <f t="shared" si="98"/>
        <v>227</v>
      </c>
      <c r="L392" s="180">
        <f t="shared" si="95"/>
        <v>5507416.2768536862</v>
      </c>
      <c r="M392" s="181">
        <f t="shared" si="95"/>
        <v>46202.434086102563</v>
      </c>
      <c r="N392" s="180">
        <f t="shared" si="95"/>
        <v>9240.6301346751898</v>
      </c>
      <c r="O392" s="132">
        <f t="shared" si="90"/>
        <v>36961.80395142737</v>
      </c>
    </row>
    <row r="393" spans="1:15" x14ac:dyDescent="0.25">
      <c r="A393" s="72">
        <f t="shared" si="96"/>
        <v>228</v>
      </c>
      <c r="B393" s="183">
        <f t="shared" si="91"/>
        <v>0</v>
      </c>
      <c r="C393" s="184">
        <f>-Parking!$E$89/12</f>
        <v>0</v>
      </c>
      <c r="D393" s="183">
        <f>Parking!$E$87/12*B392</f>
        <v>0</v>
      </c>
      <c r="E393" s="185">
        <f t="shared" si="92"/>
        <v>0</v>
      </c>
      <c r="F393" s="72">
        <f t="shared" si="97"/>
        <v>228</v>
      </c>
      <c r="G393" s="180">
        <f t="shared" si="93"/>
        <v>5470392.8698956734</v>
      </c>
      <c r="H393" s="186">
        <f>-Parking!$E$94/12</f>
        <v>46202.434086102563</v>
      </c>
      <c r="I393" s="149">
        <f>Parking!$E$92/12*G392</f>
        <v>9179.0271280894776</v>
      </c>
      <c r="J393" s="187">
        <f t="shared" si="94"/>
        <v>37023.406958013089</v>
      </c>
      <c r="K393" s="72">
        <f t="shared" si="98"/>
        <v>228</v>
      </c>
      <c r="L393" s="180">
        <f t="shared" si="95"/>
        <v>5470392.8698956734</v>
      </c>
      <c r="M393" s="181">
        <f t="shared" si="95"/>
        <v>46202.434086102563</v>
      </c>
      <c r="N393" s="180">
        <f t="shared" si="95"/>
        <v>9179.0271280894776</v>
      </c>
      <c r="O393" s="132">
        <f t="shared" si="90"/>
        <v>37023.406958013089</v>
      </c>
    </row>
    <row r="394" spans="1:15" x14ac:dyDescent="0.25">
      <c r="A394" s="72">
        <f t="shared" si="96"/>
        <v>229</v>
      </c>
      <c r="B394" s="183">
        <f t="shared" si="91"/>
        <v>0</v>
      </c>
      <c r="C394" s="184">
        <f>-Parking!$E$89/12</f>
        <v>0</v>
      </c>
      <c r="D394" s="183">
        <f>Parking!$E$87/12*B393</f>
        <v>0</v>
      </c>
      <c r="E394" s="185">
        <f t="shared" si="92"/>
        <v>0</v>
      </c>
      <c r="F394" s="72">
        <f t="shared" si="97"/>
        <v>229</v>
      </c>
      <c r="G394" s="180">
        <f t="shared" si="93"/>
        <v>5433307.7572593968</v>
      </c>
      <c r="H394" s="186">
        <f>-Parking!$E$94/12</f>
        <v>46202.434086102563</v>
      </c>
      <c r="I394" s="149">
        <f>Parking!$E$92/12*G393</f>
        <v>9117.3214498261223</v>
      </c>
      <c r="J394" s="187">
        <f t="shared" si="94"/>
        <v>37085.112636276441</v>
      </c>
      <c r="K394" s="72">
        <f t="shared" si="98"/>
        <v>229</v>
      </c>
      <c r="L394" s="180">
        <f t="shared" si="95"/>
        <v>5433307.7572593968</v>
      </c>
      <c r="M394" s="181">
        <f t="shared" si="95"/>
        <v>46202.434086102563</v>
      </c>
      <c r="N394" s="180">
        <f t="shared" si="95"/>
        <v>9117.3214498261223</v>
      </c>
      <c r="O394" s="132">
        <f t="shared" si="90"/>
        <v>37085.112636276441</v>
      </c>
    </row>
    <row r="395" spans="1:15" x14ac:dyDescent="0.25">
      <c r="A395" s="72">
        <f t="shared" si="96"/>
        <v>230</v>
      </c>
      <c r="B395" s="183">
        <f t="shared" si="91"/>
        <v>0</v>
      </c>
      <c r="C395" s="184">
        <f>-Parking!$E$89/12</f>
        <v>0</v>
      </c>
      <c r="D395" s="183">
        <f>Parking!$E$87/12*B394</f>
        <v>0</v>
      </c>
      <c r="E395" s="185">
        <f t="shared" si="92"/>
        <v>0</v>
      </c>
      <c r="F395" s="72">
        <f t="shared" si="97"/>
        <v>230</v>
      </c>
      <c r="G395" s="180">
        <f t="shared" si="93"/>
        <v>5396160.83610206</v>
      </c>
      <c r="H395" s="186">
        <f>-Parking!$E$94/12</f>
        <v>46202.434086102563</v>
      </c>
      <c r="I395" s="149">
        <f>Parking!$E$92/12*G394</f>
        <v>9055.5129287656619</v>
      </c>
      <c r="J395" s="187">
        <f t="shared" si="94"/>
        <v>37146.921157336903</v>
      </c>
      <c r="K395" s="72">
        <f t="shared" si="98"/>
        <v>230</v>
      </c>
      <c r="L395" s="180">
        <f t="shared" si="95"/>
        <v>5396160.83610206</v>
      </c>
      <c r="M395" s="181">
        <f t="shared" si="95"/>
        <v>46202.434086102563</v>
      </c>
      <c r="N395" s="180">
        <f t="shared" si="95"/>
        <v>9055.5129287656619</v>
      </c>
      <c r="O395" s="132">
        <f t="shared" si="90"/>
        <v>37146.921157336903</v>
      </c>
    </row>
    <row r="396" spans="1:15" x14ac:dyDescent="0.25">
      <c r="A396" s="72">
        <f t="shared" si="96"/>
        <v>231</v>
      </c>
      <c r="B396" s="183">
        <f t="shared" si="91"/>
        <v>0</v>
      </c>
      <c r="C396" s="184">
        <f>-Parking!$E$89/12</f>
        <v>0</v>
      </c>
      <c r="D396" s="183">
        <f>Parking!$E$87/12*B395</f>
        <v>0</v>
      </c>
      <c r="E396" s="185">
        <f t="shared" si="92"/>
        <v>0</v>
      </c>
      <c r="F396" s="72">
        <f t="shared" si="97"/>
        <v>231</v>
      </c>
      <c r="G396" s="180">
        <f t="shared" si="93"/>
        <v>5358952.0034094611</v>
      </c>
      <c r="H396" s="186">
        <f>-Parking!$E$94/12</f>
        <v>46202.434086102563</v>
      </c>
      <c r="I396" s="149">
        <f>Parking!$E$92/12*G395</f>
        <v>8993.6013935034334</v>
      </c>
      <c r="J396" s="187">
        <f t="shared" si="94"/>
        <v>37208.832692599128</v>
      </c>
      <c r="K396" s="72">
        <f t="shared" si="98"/>
        <v>231</v>
      </c>
      <c r="L396" s="180">
        <f t="shared" si="95"/>
        <v>5358952.0034094611</v>
      </c>
      <c r="M396" s="181">
        <f t="shared" si="95"/>
        <v>46202.434086102563</v>
      </c>
      <c r="N396" s="180">
        <f t="shared" si="95"/>
        <v>8993.6013935034334</v>
      </c>
      <c r="O396" s="132">
        <f t="shared" si="90"/>
        <v>37208.832692599128</v>
      </c>
    </row>
    <row r="397" spans="1:15" x14ac:dyDescent="0.25">
      <c r="A397" s="72">
        <f t="shared" si="96"/>
        <v>232</v>
      </c>
      <c r="B397" s="183">
        <f t="shared" si="91"/>
        <v>0</v>
      </c>
      <c r="C397" s="184">
        <f>-Parking!$E$89/12</f>
        <v>0</v>
      </c>
      <c r="D397" s="183">
        <f>Parking!$E$87/12*B396</f>
        <v>0</v>
      </c>
      <c r="E397" s="185">
        <f t="shared" si="92"/>
        <v>0</v>
      </c>
      <c r="F397" s="72">
        <f t="shared" si="97"/>
        <v>232</v>
      </c>
      <c r="G397" s="180">
        <f t="shared" si="93"/>
        <v>5321681.155995708</v>
      </c>
      <c r="H397" s="186">
        <f>-Parking!$E$94/12</f>
        <v>46202.434086102563</v>
      </c>
      <c r="I397" s="149">
        <f>Parking!$E$92/12*G396</f>
        <v>8931.5866723491017</v>
      </c>
      <c r="J397" s="187">
        <f t="shared" si="94"/>
        <v>37270.847413753465</v>
      </c>
      <c r="K397" s="72">
        <f t="shared" si="98"/>
        <v>232</v>
      </c>
      <c r="L397" s="180">
        <f t="shared" si="95"/>
        <v>5321681.155995708</v>
      </c>
      <c r="M397" s="181">
        <f t="shared" si="95"/>
        <v>46202.434086102563</v>
      </c>
      <c r="N397" s="180">
        <f t="shared" si="95"/>
        <v>8931.5866723491017</v>
      </c>
      <c r="O397" s="132">
        <f t="shared" si="90"/>
        <v>37270.847413753465</v>
      </c>
    </row>
    <row r="398" spans="1:15" x14ac:dyDescent="0.25">
      <c r="A398" s="72">
        <f t="shared" si="96"/>
        <v>233</v>
      </c>
      <c r="B398" s="183">
        <f t="shared" si="91"/>
        <v>0</v>
      </c>
      <c r="C398" s="184">
        <f>-Parking!$E$89/12</f>
        <v>0</v>
      </c>
      <c r="D398" s="183">
        <f>Parking!$E$87/12*B397</f>
        <v>0</v>
      </c>
      <c r="E398" s="185">
        <f t="shared" si="92"/>
        <v>0</v>
      </c>
      <c r="F398" s="72">
        <f t="shared" si="97"/>
        <v>233</v>
      </c>
      <c r="G398" s="180">
        <f t="shared" si="93"/>
        <v>5284348.1905029314</v>
      </c>
      <c r="H398" s="186">
        <f>-Parking!$E$94/12</f>
        <v>46202.434086102563</v>
      </c>
      <c r="I398" s="149">
        <f>Parking!$E$92/12*G397</f>
        <v>8869.4685933261808</v>
      </c>
      <c r="J398" s="187">
        <f t="shared" si="94"/>
        <v>37332.965492776384</v>
      </c>
      <c r="K398" s="72">
        <f t="shared" si="98"/>
        <v>233</v>
      </c>
      <c r="L398" s="180">
        <f t="shared" si="95"/>
        <v>5284348.1905029314</v>
      </c>
      <c r="M398" s="181">
        <f t="shared" si="95"/>
        <v>46202.434086102563</v>
      </c>
      <c r="N398" s="180">
        <f t="shared" si="95"/>
        <v>8869.4685933261808</v>
      </c>
      <c r="O398" s="132">
        <f t="shared" si="90"/>
        <v>37332.965492776384</v>
      </c>
    </row>
    <row r="399" spans="1:15" x14ac:dyDescent="0.25">
      <c r="A399" s="72">
        <f t="shared" si="96"/>
        <v>234</v>
      </c>
      <c r="B399" s="183">
        <f t="shared" si="91"/>
        <v>0</v>
      </c>
      <c r="C399" s="184">
        <f>-Parking!$E$89/12</f>
        <v>0</v>
      </c>
      <c r="D399" s="183">
        <f>Parking!$E$87/12*B398</f>
        <v>0</v>
      </c>
      <c r="E399" s="185">
        <f t="shared" si="92"/>
        <v>0</v>
      </c>
      <c r="F399" s="72">
        <f t="shared" si="97"/>
        <v>234</v>
      </c>
      <c r="G399" s="180">
        <f t="shared" si="93"/>
        <v>5246953.0034010001</v>
      </c>
      <c r="H399" s="186">
        <f>-Parking!$E$94/12</f>
        <v>46202.434086102563</v>
      </c>
      <c r="I399" s="149">
        <f>Parking!$E$92/12*G398</f>
        <v>8807.246984171552</v>
      </c>
      <c r="J399" s="187">
        <f t="shared" si="94"/>
        <v>37395.187101931013</v>
      </c>
      <c r="K399" s="72">
        <f t="shared" si="98"/>
        <v>234</v>
      </c>
      <c r="L399" s="180">
        <f t="shared" si="95"/>
        <v>5246953.0034010001</v>
      </c>
      <c r="M399" s="181">
        <f t="shared" si="95"/>
        <v>46202.434086102563</v>
      </c>
      <c r="N399" s="180">
        <f t="shared" si="95"/>
        <v>8807.246984171552</v>
      </c>
      <c r="O399" s="132">
        <f t="shared" si="90"/>
        <v>37395.187101931013</v>
      </c>
    </row>
    <row r="400" spans="1:15" x14ac:dyDescent="0.25">
      <c r="A400" s="72">
        <f t="shared" si="96"/>
        <v>235</v>
      </c>
      <c r="B400" s="183">
        <f t="shared" si="91"/>
        <v>0</v>
      </c>
      <c r="C400" s="184">
        <f>-Parking!$E$89/12</f>
        <v>0</v>
      </c>
      <c r="D400" s="183">
        <f>Parking!$E$87/12*B399</f>
        <v>0</v>
      </c>
      <c r="E400" s="185">
        <f t="shared" si="92"/>
        <v>0</v>
      </c>
      <c r="F400" s="72">
        <f t="shared" si="97"/>
        <v>235</v>
      </c>
      <c r="G400" s="180">
        <f t="shared" si="93"/>
        <v>5209495.4909872329</v>
      </c>
      <c r="H400" s="186">
        <f>-Parking!$E$94/12</f>
        <v>46202.434086102563</v>
      </c>
      <c r="I400" s="149">
        <f>Parking!$E$92/12*G399</f>
        <v>8744.921672335</v>
      </c>
      <c r="J400" s="187">
        <f t="shared" si="94"/>
        <v>37457.512413767559</v>
      </c>
      <c r="K400" s="72">
        <f t="shared" si="98"/>
        <v>235</v>
      </c>
      <c r="L400" s="180">
        <f t="shared" si="95"/>
        <v>5209495.4909872329</v>
      </c>
      <c r="M400" s="181">
        <f t="shared" si="95"/>
        <v>46202.434086102563</v>
      </c>
      <c r="N400" s="180">
        <f t="shared" si="95"/>
        <v>8744.921672335</v>
      </c>
      <c r="O400" s="132">
        <f t="shared" si="90"/>
        <v>37457.512413767559</v>
      </c>
    </row>
    <row r="401" spans="1:15" x14ac:dyDescent="0.25">
      <c r="A401" s="72">
        <f t="shared" si="96"/>
        <v>236</v>
      </c>
      <c r="B401" s="183">
        <f t="shared" si="91"/>
        <v>0</v>
      </c>
      <c r="C401" s="184">
        <f>-Parking!$E$89/12</f>
        <v>0</v>
      </c>
      <c r="D401" s="183">
        <f>Parking!$E$87/12*B400</f>
        <v>0</v>
      </c>
      <c r="E401" s="185">
        <f t="shared" si="92"/>
        <v>0</v>
      </c>
      <c r="F401" s="72">
        <f t="shared" si="97"/>
        <v>236</v>
      </c>
      <c r="G401" s="180">
        <f t="shared" si="93"/>
        <v>5171975.5493861092</v>
      </c>
      <c r="H401" s="186">
        <f>-Parking!$E$94/12</f>
        <v>46202.434086102563</v>
      </c>
      <c r="I401" s="149">
        <f>Parking!$E$92/12*G400</f>
        <v>8682.4924849787221</v>
      </c>
      <c r="J401" s="187">
        <f t="shared" si="94"/>
        <v>37519.941601123843</v>
      </c>
      <c r="K401" s="72">
        <f t="shared" si="98"/>
        <v>236</v>
      </c>
      <c r="L401" s="180">
        <f t="shared" si="95"/>
        <v>5171975.5493861092</v>
      </c>
      <c r="M401" s="181">
        <f t="shared" si="95"/>
        <v>46202.434086102563</v>
      </c>
      <c r="N401" s="180">
        <f t="shared" si="95"/>
        <v>8682.4924849787221</v>
      </c>
      <c r="O401" s="132">
        <f t="shared" si="90"/>
        <v>37519.941601123843</v>
      </c>
    </row>
    <row r="402" spans="1:15" x14ac:dyDescent="0.25">
      <c r="A402" s="72">
        <f t="shared" si="96"/>
        <v>237</v>
      </c>
      <c r="B402" s="183">
        <f t="shared" si="91"/>
        <v>0</v>
      </c>
      <c r="C402" s="184">
        <f>-Parking!$E$89/12</f>
        <v>0</v>
      </c>
      <c r="D402" s="183">
        <f>Parking!$E$87/12*B401</f>
        <v>0</v>
      </c>
      <c r="E402" s="185">
        <f t="shared" si="92"/>
        <v>0</v>
      </c>
      <c r="F402" s="72">
        <f t="shared" si="97"/>
        <v>237</v>
      </c>
      <c r="G402" s="180">
        <f t="shared" si="93"/>
        <v>5134393.0745489839</v>
      </c>
      <c r="H402" s="186">
        <f>-Parking!$E$94/12</f>
        <v>46202.434086102563</v>
      </c>
      <c r="I402" s="149">
        <f>Parking!$E$92/12*G401</f>
        <v>8619.9592489768493</v>
      </c>
      <c r="J402" s="187">
        <f t="shared" si="94"/>
        <v>37582.474837125716</v>
      </c>
      <c r="K402" s="72">
        <f t="shared" si="98"/>
        <v>237</v>
      </c>
      <c r="L402" s="180">
        <f t="shared" si="95"/>
        <v>5134393.0745489839</v>
      </c>
      <c r="M402" s="181">
        <f t="shared" si="95"/>
        <v>46202.434086102563</v>
      </c>
      <c r="N402" s="180">
        <f t="shared" si="95"/>
        <v>8619.9592489768493</v>
      </c>
      <c r="O402" s="132">
        <f t="shared" si="90"/>
        <v>37582.474837125716</v>
      </c>
    </row>
    <row r="403" spans="1:15" x14ac:dyDescent="0.25">
      <c r="A403" s="72">
        <f t="shared" si="96"/>
        <v>238</v>
      </c>
      <c r="B403" s="183">
        <f t="shared" si="91"/>
        <v>0</v>
      </c>
      <c r="C403" s="184">
        <f>-Parking!$E$89/12</f>
        <v>0</v>
      </c>
      <c r="D403" s="183">
        <f>Parking!$E$87/12*B402</f>
        <v>0</v>
      </c>
      <c r="E403" s="185">
        <f t="shared" si="92"/>
        <v>0</v>
      </c>
      <c r="F403" s="72">
        <f t="shared" si="97"/>
        <v>238</v>
      </c>
      <c r="G403" s="180">
        <f t="shared" si="93"/>
        <v>5096747.9622537959</v>
      </c>
      <c r="H403" s="186">
        <f>-Parking!$E$94/12</f>
        <v>46202.434086102563</v>
      </c>
      <c r="I403" s="149">
        <f>Parking!$E$92/12*G402</f>
        <v>8557.3217909149735</v>
      </c>
      <c r="J403" s="187">
        <f t="shared" si="94"/>
        <v>37645.112295187588</v>
      </c>
      <c r="K403" s="72">
        <f t="shared" si="98"/>
        <v>238</v>
      </c>
      <c r="L403" s="180">
        <f t="shared" si="95"/>
        <v>5096747.9622537959</v>
      </c>
      <c r="M403" s="181">
        <f t="shared" si="95"/>
        <v>46202.434086102563</v>
      </c>
      <c r="N403" s="180">
        <f t="shared" si="95"/>
        <v>8557.3217909149735</v>
      </c>
      <c r="O403" s="132">
        <f t="shared" si="90"/>
        <v>37645.112295187588</v>
      </c>
    </row>
    <row r="404" spans="1:15" x14ac:dyDescent="0.25">
      <c r="A404" s="72">
        <f t="shared" si="96"/>
        <v>239</v>
      </c>
      <c r="B404" s="183">
        <f t="shared" si="91"/>
        <v>0</v>
      </c>
      <c r="C404" s="184">
        <f>-Parking!$E$89/12</f>
        <v>0</v>
      </c>
      <c r="D404" s="183">
        <f>Parking!$E$87/12*B403</f>
        <v>0</v>
      </c>
      <c r="E404" s="185">
        <f t="shared" si="92"/>
        <v>0</v>
      </c>
      <c r="F404" s="72">
        <f t="shared" si="97"/>
        <v>239</v>
      </c>
      <c r="G404" s="180">
        <f t="shared" si="93"/>
        <v>5059040.1081047831</v>
      </c>
      <c r="H404" s="186">
        <f>-Parking!$E$94/12</f>
        <v>46202.434086102563</v>
      </c>
      <c r="I404" s="149">
        <f>Parking!$E$92/12*G403</f>
        <v>8494.5799370896602</v>
      </c>
      <c r="J404" s="187">
        <f t="shared" si="94"/>
        <v>37707.854149012899</v>
      </c>
      <c r="K404" s="72">
        <f t="shared" si="98"/>
        <v>239</v>
      </c>
      <c r="L404" s="180">
        <f t="shared" si="95"/>
        <v>5059040.1081047831</v>
      </c>
      <c r="M404" s="181">
        <f t="shared" si="95"/>
        <v>46202.434086102563</v>
      </c>
      <c r="N404" s="180">
        <f t="shared" si="95"/>
        <v>8494.5799370896602</v>
      </c>
      <c r="O404" s="132">
        <f t="shared" si="90"/>
        <v>37707.854149012899</v>
      </c>
    </row>
    <row r="405" spans="1:15" x14ac:dyDescent="0.25">
      <c r="A405" s="72">
        <f t="shared" si="96"/>
        <v>240</v>
      </c>
      <c r="B405" s="183">
        <f t="shared" si="91"/>
        <v>0</v>
      </c>
      <c r="C405" s="184">
        <f>-Parking!$E$89/12</f>
        <v>0</v>
      </c>
      <c r="D405" s="183">
        <f>Parking!$E$87/12*B404</f>
        <v>0</v>
      </c>
      <c r="E405" s="185">
        <f t="shared" si="92"/>
        <v>0</v>
      </c>
      <c r="F405" s="72">
        <f t="shared" si="97"/>
        <v>240</v>
      </c>
      <c r="G405" s="180">
        <f t="shared" si="93"/>
        <v>5021269.4075321881</v>
      </c>
      <c r="H405" s="186">
        <f>-Parking!$E$94/12</f>
        <v>46202.434086102563</v>
      </c>
      <c r="I405" s="149">
        <f>Parking!$E$92/12*G404</f>
        <v>8431.733513507972</v>
      </c>
      <c r="J405" s="187">
        <f t="shared" si="94"/>
        <v>37770.700572594593</v>
      </c>
      <c r="K405" s="72">
        <f t="shared" si="98"/>
        <v>240</v>
      </c>
      <c r="L405" s="180">
        <f t="shared" si="95"/>
        <v>5021269.4075321881</v>
      </c>
      <c r="M405" s="181">
        <f t="shared" si="95"/>
        <v>46202.434086102563</v>
      </c>
      <c r="N405" s="180">
        <f t="shared" si="95"/>
        <v>8431.733513507972</v>
      </c>
      <c r="O405" s="132">
        <f t="shared" si="90"/>
        <v>37770.700572594593</v>
      </c>
    </row>
    <row r="406" spans="1:15" x14ac:dyDescent="0.25">
      <c r="A406" s="72">
        <f t="shared" si="96"/>
        <v>241</v>
      </c>
      <c r="B406" s="183">
        <f t="shared" si="91"/>
        <v>0</v>
      </c>
      <c r="C406" s="184">
        <f>-Parking!$E$89/12</f>
        <v>0</v>
      </c>
      <c r="D406" s="183">
        <f>Parking!$E$87/12*B405</f>
        <v>0</v>
      </c>
      <c r="E406" s="185">
        <f t="shared" si="92"/>
        <v>0</v>
      </c>
      <c r="F406" s="72">
        <f t="shared" si="97"/>
        <v>241</v>
      </c>
      <c r="G406" s="180">
        <f t="shared" si="93"/>
        <v>4983435.7557919724</v>
      </c>
      <c r="H406" s="186">
        <f>-Parking!$E$94/12</f>
        <v>46202.434086102563</v>
      </c>
      <c r="I406" s="149">
        <f>Parking!$E$92/12*G405</f>
        <v>8368.7823458869807</v>
      </c>
      <c r="J406" s="187">
        <f t="shared" si="94"/>
        <v>37833.651740215581</v>
      </c>
      <c r="K406" s="72">
        <f t="shared" si="98"/>
        <v>241</v>
      </c>
      <c r="L406" s="180">
        <f t="shared" si="95"/>
        <v>4983435.7557919724</v>
      </c>
      <c r="M406" s="181">
        <f t="shared" si="95"/>
        <v>46202.434086102563</v>
      </c>
      <c r="N406" s="180">
        <f t="shared" si="95"/>
        <v>8368.7823458869807</v>
      </c>
      <c r="O406" s="132">
        <f t="shared" si="90"/>
        <v>37833.651740215581</v>
      </c>
    </row>
    <row r="407" spans="1:15" x14ac:dyDescent="0.25">
      <c r="A407" s="72">
        <f t="shared" si="96"/>
        <v>242</v>
      </c>
      <c r="B407" s="183">
        <f t="shared" si="91"/>
        <v>0</v>
      </c>
      <c r="C407" s="184">
        <f>-Parking!$E$89/12</f>
        <v>0</v>
      </c>
      <c r="D407" s="183">
        <f>Parking!$E$87/12*B406</f>
        <v>0</v>
      </c>
      <c r="E407" s="185">
        <f t="shared" si="92"/>
        <v>0</v>
      </c>
      <c r="F407" s="72">
        <f t="shared" si="97"/>
        <v>242</v>
      </c>
      <c r="G407" s="180">
        <f t="shared" si="93"/>
        <v>4945539.0479655229</v>
      </c>
      <c r="H407" s="186">
        <f>-Parking!$E$94/12</f>
        <v>46202.434086102563</v>
      </c>
      <c r="I407" s="149">
        <f>Parking!$E$92/12*G406</f>
        <v>8305.7262596532873</v>
      </c>
      <c r="J407" s="187">
        <f t="shared" si="94"/>
        <v>37896.707826449274</v>
      </c>
      <c r="K407" s="72">
        <f t="shared" si="98"/>
        <v>242</v>
      </c>
      <c r="L407" s="180">
        <f t="shared" si="95"/>
        <v>4945539.0479655229</v>
      </c>
      <c r="M407" s="181">
        <f t="shared" si="95"/>
        <v>46202.434086102563</v>
      </c>
      <c r="N407" s="180">
        <f t="shared" si="95"/>
        <v>8305.7262596532873</v>
      </c>
      <c r="O407" s="132">
        <f t="shared" si="90"/>
        <v>37896.707826449274</v>
      </c>
    </row>
    <row r="408" spans="1:15" x14ac:dyDescent="0.25">
      <c r="A408" s="72">
        <f t="shared" si="96"/>
        <v>243</v>
      </c>
      <c r="B408" s="183">
        <f t="shared" si="91"/>
        <v>0</v>
      </c>
      <c r="C408" s="184">
        <f>-Parking!$E$89/12</f>
        <v>0</v>
      </c>
      <c r="D408" s="183">
        <f>Parking!$E$87/12*B407</f>
        <v>0</v>
      </c>
      <c r="E408" s="185">
        <f t="shared" si="92"/>
        <v>0</v>
      </c>
      <c r="F408" s="72">
        <f t="shared" si="97"/>
        <v>243</v>
      </c>
      <c r="G408" s="180">
        <f t="shared" si="93"/>
        <v>4907579.1789593631</v>
      </c>
      <c r="H408" s="186">
        <f>-Parking!$E$94/12</f>
        <v>46202.434086102563</v>
      </c>
      <c r="I408" s="149">
        <f>Parking!$E$92/12*G407</f>
        <v>8242.5650799425384</v>
      </c>
      <c r="J408" s="187">
        <f t="shared" si="94"/>
        <v>37959.869006160021</v>
      </c>
      <c r="K408" s="72">
        <f t="shared" si="98"/>
        <v>243</v>
      </c>
      <c r="L408" s="180">
        <f t="shared" si="95"/>
        <v>4907579.1789593631</v>
      </c>
      <c r="M408" s="181">
        <f t="shared" si="95"/>
        <v>46202.434086102563</v>
      </c>
      <c r="N408" s="180">
        <f t="shared" si="95"/>
        <v>8242.5650799425384</v>
      </c>
      <c r="O408" s="132">
        <f t="shared" si="90"/>
        <v>37959.869006160021</v>
      </c>
    </row>
    <row r="409" spans="1:15" x14ac:dyDescent="0.25">
      <c r="A409" s="72">
        <f t="shared" si="96"/>
        <v>244</v>
      </c>
      <c r="B409" s="183">
        <f t="shared" si="91"/>
        <v>0</v>
      </c>
      <c r="C409" s="184">
        <f>-Parking!$E$89/12</f>
        <v>0</v>
      </c>
      <c r="D409" s="183">
        <f>Parking!$E$87/12*B408</f>
        <v>0</v>
      </c>
      <c r="E409" s="185">
        <f t="shared" si="92"/>
        <v>0</v>
      </c>
      <c r="F409" s="72">
        <f t="shared" si="97"/>
        <v>244</v>
      </c>
      <c r="G409" s="180">
        <f t="shared" si="93"/>
        <v>4869556.0435048593</v>
      </c>
      <c r="H409" s="186">
        <f>-Parking!$E$94/12</f>
        <v>46202.434086102563</v>
      </c>
      <c r="I409" s="149">
        <f>Parking!$E$92/12*G408</f>
        <v>8179.2986315989392</v>
      </c>
      <c r="J409" s="187">
        <f t="shared" si="94"/>
        <v>38023.135454503623</v>
      </c>
      <c r="K409" s="72">
        <f t="shared" si="98"/>
        <v>244</v>
      </c>
      <c r="L409" s="180">
        <f t="shared" si="95"/>
        <v>4869556.0435048593</v>
      </c>
      <c r="M409" s="181">
        <f t="shared" si="95"/>
        <v>46202.434086102563</v>
      </c>
      <c r="N409" s="180">
        <f t="shared" si="95"/>
        <v>8179.2986315989392</v>
      </c>
      <c r="O409" s="132">
        <f t="shared" si="90"/>
        <v>38023.135454503623</v>
      </c>
    </row>
    <row r="410" spans="1:15" x14ac:dyDescent="0.25">
      <c r="A410" s="72">
        <f t="shared" si="96"/>
        <v>245</v>
      </c>
      <c r="B410" s="183">
        <f t="shared" si="91"/>
        <v>0</v>
      </c>
      <c r="C410" s="184">
        <f>-Parking!$E$89/12</f>
        <v>0</v>
      </c>
      <c r="D410" s="183">
        <f>Parking!$E$87/12*B409</f>
        <v>0</v>
      </c>
      <c r="E410" s="185">
        <f t="shared" si="92"/>
        <v>0</v>
      </c>
      <c r="F410" s="72">
        <f t="shared" si="97"/>
        <v>245</v>
      </c>
      <c r="G410" s="180">
        <f t="shared" si="93"/>
        <v>4831469.5361579312</v>
      </c>
      <c r="H410" s="186">
        <f>-Parking!$E$94/12</f>
        <v>46202.434086102563</v>
      </c>
      <c r="I410" s="149">
        <f>Parking!$E$92/12*G409</f>
        <v>8115.9267391747662</v>
      </c>
      <c r="J410" s="187">
        <f t="shared" si="94"/>
        <v>38086.5073469278</v>
      </c>
      <c r="K410" s="72">
        <f t="shared" si="98"/>
        <v>245</v>
      </c>
      <c r="L410" s="180">
        <f t="shared" si="95"/>
        <v>4831469.5361579312</v>
      </c>
      <c r="M410" s="181">
        <f t="shared" si="95"/>
        <v>46202.434086102563</v>
      </c>
      <c r="N410" s="180">
        <f t="shared" si="95"/>
        <v>8115.9267391747662</v>
      </c>
      <c r="O410" s="132">
        <f t="shared" si="90"/>
        <v>38086.5073469278</v>
      </c>
    </row>
    <row r="411" spans="1:15" x14ac:dyDescent="0.25">
      <c r="A411" s="72">
        <f t="shared" si="96"/>
        <v>246</v>
      </c>
      <c r="B411" s="183">
        <f t="shared" si="91"/>
        <v>0</v>
      </c>
      <c r="C411" s="184">
        <f>-Parking!$E$89/12</f>
        <v>0</v>
      </c>
      <c r="D411" s="183">
        <f>Parking!$E$87/12*B410</f>
        <v>0</v>
      </c>
      <c r="E411" s="185">
        <f t="shared" si="92"/>
        <v>0</v>
      </c>
      <c r="F411" s="72">
        <f t="shared" si="97"/>
        <v>246</v>
      </c>
      <c r="G411" s="180">
        <f t="shared" si="93"/>
        <v>4793319.5512987589</v>
      </c>
      <c r="H411" s="186">
        <f>-Parking!$E$94/12</f>
        <v>46202.434086102563</v>
      </c>
      <c r="I411" s="149">
        <f>Parking!$E$92/12*G410</f>
        <v>8052.4492269298862</v>
      </c>
      <c r="J411" s="187">
        <f t="shared" si="94"/>
        <v>38149.984859172677</v>
      </c>
      <c r="K411" s="72">
        <f t="shared" si="98"/>
        <v>246</v>
      </c>
      <c r="L411" s="180">
        <f t="shared" si="95"/>
        <v>4793319.5512987589</v>
      </c>
      <c r="M411" s="181">
        <f t="shared" si="95"/>
        <v>46202.434086102563</v>
      </c>
      <c r="N411" s="180">
        <f t="shared" si="95"/>
        <v>8052.4492269298862</v>
      </c>
      <c r="O411" s="132">
        <f t="shared" si="90"/>
        <v>38149.984859172677</v>
      </c>
    </row>
    <row r="412" spans="1:15" x14ac:dyDescent="0.25">
      <c r="A412" s="72">
        <f t="shared" si="96"/>
        <v>247</v>
      </c>
      <c r="B412" s="183">
        <f t="shared" si="91"/>
        <v>0</v>
      </c>
      <c r="C412" s="184">
        <f>-Parking!$E$89/12</f>
        <v>0</v>
      </c>
      <c r="D412" s="183">
        <f>Parking!$E$87/12*B411</f>
        <v>0</v>
      </c>
      <c r="E412" s="185">
        <f t="shared" si="92"/>
        <v>0</v>
      </c>
      <c r="F412" s="72">
        <f t="shared" si="97"/>
        <v>247</v>
      </c>
      <c r="G412" s="180">
        <f t="shared" si="93"/>
        <v>4755105.9831314879</v>
      </c>
      <c r="H412" s="186">
        <f>-Parking!$E$94/12</f>
        <v>46202.434086102563</v>
      </c>
      <c r="I412" s="149">
        <f>Parking!$E$92/12*G411</f>
        <v>7988.8659188312658</v>
      </c>
      <c r="J412" s="187">
        <f t="shared" si="94"/>
        <v>38213.568167271296</v>
      </c>
      <c r="K412" s="72">
        <f t="shared" si="98"/>
        <v>247</v>
      </c>
      <c r="L412" s="180">
        <f t="shared" si="95"/>
        <v>4755105.9831314879</v>
      </c>
      <c r="M412" s="181">
        <f t="shared" si="95"/>
        <v>46202.434086102563</v>
      </c>
      <c r="N412" s="180">
        <f t="shared" si="95"/>
        <v>7988.8659188312658</v>
      </c>
      <c r="O412" s="132">
        <f t="shared" si="90"/>
        <v>38213.568167271296</v>
      </c>
    </row>
    <row r="413" spans="1:15" x14ac:dyDescent="0.25">
      <c r="A413" s="72">
        <f t="shared" si="96"/>
        <v>248</v>
      </c>
      <c r="B413" s="183">
        <f t="shared" si="91"/>
        <v>0</v>
      </c>
      <c r="C413" s="184">
        <f>-Parking!$E$89/12</f>
        <v>0</v>
      </c>
      <c r="D413" s="183">
        <f>Parking!$E$87/12*B412</f>
        <v>0</v>
      </c>
      <c r="E413" s="185">
        <f t="shared" si="92"/>
        <v>0</v>
      </c>
      <c r="F413" s="72">
        <f t="shared" si="97"/>
        <v>248</v>
      </c>
      <c r="G413" s="180">
        <f t="shared" si="93"/>
        <v>4716828.7256839378</v>
      </c>
      <c r="H413" s="186">
        <f>-Parking!$E$94/12</f>
        <v>46202.434086102563</v>
      </c>
      <c r="I413" s="149">
        <f>Parking!$E$92/12*G412</f>
        <v>7925.1766385524807</v>
      </c>
      <c r="J413" s="187">
        <f t="shared" si="94"/>
        <v>38277.257447550081</v>
      </c>
      <c r="K413" s="72">
        <f t="shared" si="98"/>
        <v>248</v>
      </c>
      <c r="L413" s="180">
        <f t="shared" si="95"/>
        <v>4716828.7256839378</v>
      </c>
      <c r="M413" s="181">
        <f t="shared" si="95"/>
        <v>46202.434086102563</v>
      </c>
      <c r="N413" s="180">
        <f t="shared" si="95"/>
        <v>7925.1766385524807</v>
      </c>
      <c r="O413" s="132">
        <f t="shared" si="90"/>
        <v>38277.257447550081</v>
      </c>
    </row>
    <row r="414" spans="1:15" x14ac:dyDescent="0.25">
      <c r="A414" s="72">
        <f t="shared" si="96"/>
        <v>249</v>
      </c>
      <c r="B414" s="183">
        <f t="shared" si="91"/>
        <v>0</v>
      </c>
      <c r="C414" s="184">
        <f>-Parking!$E$89/12</f>
        <v>0</v>
      </c>
      <c r="D414" s="183">
        <f>Parking!$E$87/12*B413</f>
        <v>0</v>
      </c>
      <c r="E414" s="185">
        <f t="shared" si="92"/>
        <v>0</v>
      </c>
      <c r="F414" s="72">
        <f t="shared" si="97"/>
        <v>249</v>
      </c>
      <c r="G414" s="180">
        <f t="shared" si="93"/>
        <v>4678487.6728073088</v>
      </c>
      <c r="H414" s="186">
        <f>-Parking!$E$94/12</f>
        <v>46202.434086102563</v>
      </c>
      <c r="I414" s="149">
        <f>Parking!$E$92/12*G413</f>
        <v>7861.3812094732302</v>
      </c>
      <c r="J414" s="187">
        <f t="shared" si="94"/>
        <v>38341.052876629336</v>
      </c>
      <c r="K414" s="72">
        <f t="shared" si="98"/>
        <v>249</v>
      </c>
      <c r="L414" s="180">
        <f t="shared" si="95"/>
        <v>4678487.6728073088</v>
      </c>
      <c r="M414" s="181">
        <f t="shared" si="95"/>
        <v>46202.434086102563</v>
      </c>
      <c r="N414" s="180">
        <f t="shared" si="95"/>
        <v>7861.3812094732302</v>
      </c>
      <c r="O414" s="132">
        <f t="shared" si="90"/>
        <v>38341.052876629336</v>
      </c>
    </row>
    <row r="415" spans="1:15" x14ac:dyDescent="0.25">
      <c r="A415" s="72">
        <f t="shared" si="96"/>
        <v>250</v>
      </c>
      <c r="B415" s="183">
        <f t="shared" si="91"/>
        <v>0</v>
      </c>
      <c r="C415" s="184">
        <f>-Parking!$E$89/12</f>
        <v>0</v>
      </c>
      <c r="D415" s="183">
        <f>Parking!$E$87/12*B414</f>
        <v>0</v>
      </c>
      <c r="E415" s="185">
        <f t="shared" si="92"/>
        <v>0</v>
      </c>
      <c r="F415" s="72">
        <f t="shared" si="97"/>
        <v>250</v>
      </c>
      <c r="G415" s="180">
        <f t="shared" si="93"/>
        <v>4640082.7181758853</v>
      </c>
      <c r="H415" s="186">
        <f>-Parking!$E$94/12</f>
        <v>46202.434086102563</v>
      </c>
      <c r="I415" s="149">
        <f>Parking!$E$92/12*G414</f>
        <v>7797.4794546788489</v>
      </c>
      <c r="J415" s="187">
        <f t="shared" si="94"/>
        <v>38404.954631423716</v>
      </c>
      <c r="K415" s="72">
        <f t="shared" si="98"/>
        <v>250</v>
      </c>
      <c r="L415" s="180">
        <f t="shared" si="95"/>
        <v>4640082.7181758853</v>
      </c>
      <c r="M415" s="181">
        <f t="shared" si="95"/>
        <v>46202.434086102563</v>
      </c>
      <c r="N415" s="180">
        <f t="shared" si="95"/>
        <v>7797.4794546788489</v>
      </c>
      <c r="O415" s="132">
        <f t="shared" si="90"/>
        <v>38404.954631423716</v>
      </c>
    </row>
    <row r="416" spans="1:15" x14ac:dyDescent="0.25">
      <c r="A416" s="72">
        <f t="shared" si="96"/>
        <v>251</v>
      </c>
      <c r="B416" s="183">
        <f t="shared" si="91"/>
        <v>0</v>
      </c>
      <c r="C416" s="184">
        <f>-Parking!$E$89/12</f>
        <v>0</v>
      </c>
      <c r="D416" s="183">
        <f>Parking!$E$87/12*B415</f>
        <v>0</v>
      </c>
      <c r="E416" s="185">
        <f t="shared" si="92"/>
        <v>0</v>
      </c>
      <c r="F416" s="72">
        <f t="shared" si="97"/>
        <v>251</v>
      </c>
      <c r="G416" s="180">
        <f t="shared" si="93"/>
        <v>4601613.7552867429</v>
      </c>
      <c r="H416" s="186">
        <f>-Parking!$E$94/12</f>
        <v>46202.434086102563</v>
      </c>
      <c r="I416" s="149">
        <f>Parking!$E$92/12*G415</f>
        <v>7733.4711969598093</v>
      </c>
      <c r="J416" s="187">
        <f t="shared" si="94"/>
        <v>38468.962889142756</v>
      </c>
      <c r="K416" s="72">
        <f t="shared" si="98"/>
        <v>251</v>
      </c>
      <c r="L416" s="180">
        <f t="shared" si="95"/>
        <v>4601613.7552867429</v>
      </c>
      <c r="M416" s="181">
        <f t="shared" si="95"/>
        <v>46202.434086102563</v>
      </c>
      <c r="N416" s="180">
        <f t="shared" si="95"/>
        <v>7733.4711969598093</v>
      </c>
      <c r="O416" s="132">
        <f t="shared" si="90"/>
        <v>38468.962889142756</v>
      </c>
    </row>
    <row r="417" spans="1:15" x14ac:dyDescent="0.25">
      <c r="A417" s="72">
        <f t="shared" si="96"/>
        <v>252</v>
      </c>
      <c r="B417" s="183">
        <f t="shared" si="91"/>
        <v>0</v>
      </c>
      <c r="C417" s="184">
        <f>-Parking!$E$89/12</f>
        <v>0</v>
      </c>
      <c r="D417" s="183">
        <f>Parking!$E$87/12*B416</f>
        <v>0</v>
      </c>
      <c r="E417" s="185">
        <f t="shared" si="92"/>
        <v>0</v>
      </c>
      <c r="F417" s="72">
        <f t="shared" si="97"/>
        <v>252</v>
      </c>
      <c r="G417" s="180">
        <f t="shared" si="93"/>
        <v>4563080.6774594514</v>
      </c>
      <c r="H417" s="186">
        <f>-Parking!$E$94/12</f>
        <v>46202.434086102563</v>
      </c>
      <c r="I417" s="149">
        <f>Parking!$E$92/12*G416</f>
        <v>7669.3562588112391</v>
      </c>
      <c r="J417" s="187">
        <f t="shared" si="94"/>
        <v>38533.077827291323</v>
      </c>
      <c r="K417" s="72">
        <f t="shared" si="98"/>
        <v>252</v>
      </c>
      <c r="L417" s="180">
        <f t="shared" si="95"/>
        <v>4563080.6774594514</v>
      </c>
      <c r="M417" s="181">
        <f t="shared" si="95"/>
        <v>46202.434086102563</v>
      </c>
      <c r="N417" s="180">
        <f t="shared" si="95"/>
        <v>7669.3562588112391</v>
      </c>
      <c r="O417" s="132">
        <f t="shared" si="90"/>
        <v>38533.077827291323</v>
      </c>
    </row>
    <row r="418" spans="1:15" x14ac:dyDescent="0.25">
      <c r="A418" s="72">
        <f t="shared" si="96"/>
        <v>253</v>
      </c>
      <c r="B418" s="183">
        <f t="shared" si="91"/>
        <v>0</v>
      </c>
      <c r="C418" s="184">
        <f>-Parking!$E$89/12</f>
        <v>0</v>
      </c>
      <c r="D418" s="183">
        <f>Parking!$E$87/12*B417</f>
        <v>0</v>
      </c>
      <c r="E418" s="185">
        <f t="shared" si="92"/>
        <v>0</v>
      </c>
      <c r="F418" s="72">
        <f t="shared" si="97"/>
        <v>253</v>
      </c>
      <c r="G418" s="180">
        <f t="shared" si="93"/>
        <v>4524483.3778357813</v>
      </c>
      <c r="H418" s="186">
        <f>-Parking!$E$94/12</f>
        <v>46202.434086102563</v>
      </c>
      <c r="I418" s="149">
        <f>Parking!$E$92/12*G417</f>
        <v>7605.1344624324192</v>
      </c>
      <c r="J418" s="187">
        <f t="shared" si="94"/>
        <v>38597.299623670144</v>
      </c>
      <c r="K418" s="72">
        <f t="shared" si="98"/>
        <v>253</v>
      </c>
      <c r="L418" s="180">
        <f t="shared" si="95"/>
        <v>4524483.3778357813</v>
      </c>
      <c r="M418" s="181">
        <f t="shared" si="95"/>
        <v>46202.434086102563</v>
      </c>
      <c r="N418" s="180">
        <f t="shared" si="95"/>
        <v>7605.1344624324192</v>
      </c>
      <c r="O418" s="132">
        <f t="shared" si="90"/>
        <v>38597.299623670144</v>
      </c>
    </row>
    <row r="419" spans="1:15" x14ac:dyDescent="0.25">
      <c r="A419" s="72">
        <f t="shared" si="96"/>
        <v>254</v>
      </c>
      <c r="B419" s="183">
        <f t="shared" si="91"/>
        <v>0</v>
      </c>
      <c r="C419" s="184">
        <f>-Parking!$E$89/12</f>
        <v>0</v>
      </c>
      <c r="D419" s="183">
        <f>Parking!$E$87/12*B418</f>
        <v>0</v>
      </c>
      <c r="E419" s="185">
        <f t="shared" si="92"/>
        <v>0</v>
      </c>
      <c r="F419" s="72">
        <f t="shared" si="97"/>
        <v>254</v>
      </c>
      <c r="G419" s="180">
        <f t="shared" si="93"/>
        <v>4485821.7493794048</v>
      </c>
      <c r="H419" s="186">
        <f>-Parking!$E$94/12</f>
        <v>46202.434086102563</v>
      </c>
      <c r="I419" s="149">
        <f>Parking!$E$92/12*G418</f>
        <v>7540.8056297263029</v>
      </c>
      <c r="J419" s="187">
        <f t="shared" si="94"/>
        <v>38661.62845637626</v>
      </c>
      <c r="K419" s="72">
        <f t="shared" si="98"/>
        <v>254</v>
      </c>
      <c r="L419" s="180">
        <f t="shared" si="95"/>
        <v>4485821.7493794048</v>
      </c>
      <c r="M419" s="181">
        <f t="shared" si="95"/>
        <v>46202.434086102563</v>
      </c>
      <c r="N419" s="180">
        <f t="shared" si="95"/>
        <v>7540.8056297263029</v>
      </c>
      <c r="O419" s="132">
        <f t="shared" si="90"/>
        <v>38661.62845637626</v>
      </c>
    </row>
    <row r="420" spans="1:15" x14ac:dyDescent="0.25">
      <c r="A420" s="72">
        <f t="shared" si="96"/>
        <v>255</v>
      </c>
      <c r="B420" s="183">
        <f t="shared" si="91"/>
        <v>0</v>
      </c>
      <c r="C420" s="184">
        <f>-Parking!$E$89/12</f>
        <v>0</v>
      </c>
      <c r="D420" s="183">
        <f>Parking!$E$87/12*B419</f>
        <v>0</v>
      </c>
      <c r="E420" s="185">
        <f t="shared" si="92"/>
        <v>0</v>
      </c>
      <c r="F420" s="72">
        <f t="shared" si="97"/>
        <v>255</v>
      </c>
      <c r="G420" s="180">
        <f t="shared" si="93"/>
        <v>4447095.684875601</v>
      </c>
      <c r="H420" s="186">
        <f>-Parking!$E$94/12</f>
        <v>46202.434086102563</v>
      </c>
      <c r="I420" s="149">
        <f>Parking!$E$92/12*G419</f>
        <v>7476.3695822990085</v>
      </c>
      <c r="J420" s="187">
        <f t="shared" si="94"/>
        <v>38726.064503803558</v>
      </c>
      <c r="K420" s="72">
        <f t="shared" si="98"/>
        <v>255</v>
      </c>
      <c r="L420" s="180">
        <f t="shared" si="95"/>
        <v>4447095.684875601</v>
      </c>
      <c r="M420" s="181">
        <f t="shared" si="95"/>
        <v>46202.434086102563</v>
      </c>
      <c r="N420" s="180">
        <f t="shared" si="95"/>
        <v>7476.3695822990085</v>
      </c>
      <c r="O420" s="132">
        <f t="shared" si="90"/>
        <v>38726.064503803558</v>
      </c>
    </row>
    <row r="421" spans="1:15" x14ac:dyDescent="0.25">
      <c r="A421" s="72">
        <f t="shared" si="96"/>
        <v>256</v>
      </c>
      <c r="B421" s="183">
        <f t="shared" si="91"/>
        <v>0</v>
      </c>
      <c r="C421" s="184">
        <f>-Parking!$E$89/12</f>
        <v>0</v>
      </c>
      <c r="D421" s="183">
        <f>Parking!$E$87/12*B420</f>
        <v>0</v>
      </c>
      <c r="E421" s="185">
        <f t="shared" si="92"/>
        <v>0</v>
      </c>
      <c r="F421" s="72">
        <f t="shared" si="97"/>
        <v>256</v>
      </c>
      <c r="G421" s="180">
        <f t="shared" si="93"/>
        <v>4408305.0769309578</v>
      </c>
      <c r="H421" s="186">
        <f>-Parking!$E$94/12</f>
        <v>46202.434086102563</v>
      </c>
      <c r="I421" s="149">
        <f>Parking!$E$92/12*G420</f>
        <v>7411.8261414593353</v>
      </c>
      <c r="J421" s="187">
        <f t="shared" si="94"/>
        <v>38790.607944643227</v>
      </c>
      <c r="K421" s="72">
        <f t="shared" si="98"/>
        <v>256</v>
      </c>
      <c r="L421" s="180">
        <f t="shared" si="95"/>
        <v>4408305.0769309578</v>
      </c>
      <c r="M421" s="181">
        <f t="shared" si="95"/>
        <v>46202.434086102563</v>
      </c>
      <c r="N421" s="180">
        <f t="shared" si="95"/>
        <v>7411.8261414593353</v>
      </c>
      <c r="O421" s="132">
        <f t="shared" si="95"/>
        <v>38790.607944643227</v>
      </c>
    </row>
    <row r="422" spans="1:15" x14ac:dyDescent="0.25">
      <c r="A422" s="72">
        <f t="shared" si="96"/>
        <v>257</v>
      </c>
      <c r="B422" s="183">
        <f t="shared" ref="B422:B485" si="99">B421-E422</f>
        <v>0</v>
      </c>
      <c r="C422" s="184">
        <f>-Parking!$E$89/12</f>
        <v>0</v>
      </c>
      <c r="D422" s="183">
        <f>Parking!$E$87/12*B421</f>
        <v>0</v>
      </c>
      <c r="E422" s="185">
        <f t="shared" ref="E422:E485" si="100">C422-D422</f>
        <v>0</v>
      </c>
      <c r="F422" s="72">
        <f t="shared" si="97"/>
        <v>257</v>
      </c>
      <c r="G422" s="180">
        <f t="shared" ref="G422:G485" si="101">G421-J422</f>
        <v>4369449.8179730736</v>
      </c>
      <c r="H422" s="186">
        <f>-Parking!$E$94/12</f>
        <v>46202.434086102563</v>
      </c>
      <c r="I422" s="149">
        <f>Parking!$E$92/12*G421</f>
        <v>7347.1751282182631</v>
      </c>
      <c r="J422" s="187">
        <f t="shared" ref="J422:J485" si="102">H422-I422</f>
        <v>38855.258957884304</v>
      </c>
      <c r="K422" s="72">
        <f t="shared" si="98"/>
        <v>257</v>
      </c>
      <c r="L422" s="180">
        <f t="shared" ref="L422:O485" si="103">G422+B422</f>
        <v>4369449.8179730736</v>
      </c>
      <c r="M422" s="181">
        <f t="shared" si="103"/>
        <v>46202.434086102563</v>
      </c>
      <c r="N422" s="180">
        <f t="shared" si="103"/>
        <v>7347.1751282182631</v>
      </c>
      <c r="O422" s="132">
        <f t="shared" si="103"/>
        <v>38855.258957884304</v>
      </c>
    </row>
    <row r="423" spans="1:15" x14ac:dyDescent="0.25">
      <c r="A423" s="72">
        <f t="shared" ref="A423:A486" si="104">A422+1</f>
        <v>258</v>
      </c>
      <c r="B423" s="183">
        <f t="shared" si="99"/>
        <v>0</v>
      </c>
      <c r="C423" s="184">
        <f>-Parking!$E$89/12</f>
        <v>0</v>
      </c>
      <c r="D423" s="183">
        <f>Parking!$E$87/12*B422</f>
        <v>0</v>
      </c>
      <c r="E423" s="185">
        <f t="shared" si="100"/>
        <v>0</v>
      </c>
      <c r="F423" s="72">
        <f t="shared" ref="F423:F486" si="105">F422+1</f>
        <v>258</v>
      </c>
      <c r="G423" s="180">
        <f t="shared" si="101"/>
        <v>4330529.8002502592</v>
      </c>
      <c r="H423" s="186">
        <f>-Parking!$E$94/12</f>
        <v>46202.434086102563</v>
      </c>
      <c r="I423" s="149">
        <f>Parking!$E$92/12*G422</f>
        <v>7282.4163632884565</v>
      </c>
      <c r="J423" s="187">
        <f t="shared" si="102"/>
        <v>38920.017722814104</v>
      </c>
      <c r="K423" s="72">
        <f t="shared" ref="K423:K486" si="106">K422+1</f>
        <v>258</v>
      </c>
      <c r="L423" s="180">
        <f t="shared" si="103"/>
        <v>4330529.8002502592</v>
      </c>
      <c r="M423" s="181">
        <f t="shared" si="103"/>
        <v>46202.434086102563</v>
      </c>
      <c r="N423" s="180">
        <f t="shared" si="103"/>
        <v>7282.4163632884565</v>
      </c>
      <c r="O423" s="132">
        <f t="shared" si="103"/>
        <v>38920.017722814104</v>
      </c>
    </row>
    <row r="424" spans="1:15" x14ac:dyDescent="0.25">
      <c r="A424" s="72">
        <f t="shared" si="104"/>
        <v>259</v>
      </c>
      <c r="B424" s="183">
        <f t="shared" si="99"/>
        <v>0</v>
      </c>
      <c r="C424" s="184">
        <f>-Parking!$E$89/12</f>
        <v>0</v>
      </c>
      <c r="D424" s="183">
        <f>Parking!$E$87/12*B423</f>
        <v>0</v>
      </c>
      <c r="E424" s="185">
        <f t="shared" si="100"/>
        <v>0</v>
      </c>
      <c r="F424" s="72">
        <f t="shared" si="105"/>
        <v>259</v>
      </c>
      <c r="G424" s="180">
        <f t="shared" si="101"/>
        <v>4291544.9158312408</v>
      </c>
      <c r="H424" s="186">
        <f>-Parking!$E$94/12</f>
        <v>46202.434086102563</v>
      </c>
      <c r="I424" s="149">
        <f>Parking!$E$92/12*G423</f>
        <v>7217.5496670837656</v>
      </c>
      <c r="J424" s="187">
        <f t="shared" si="102"/>
        <v>38984.884419018796</v>
      </c>
      <c r="K424" s="72">
        <f t="shared" si="106"/>
        <v>259</v>
      </c>
      <c r="L424" s="180">
        <f t="shared" si="103"/>
        <v>4291544.9158312408</v>
      </c>
      <c r="M424" s="181">
        <f t="shared" si="103"/>
        <v>46202.434086102563</v>
      </c>
      <c r="N424" s="180">
        <f t="shared" si="103"/>
        <v>7217.5496670837656</v>
      </c>
      <c r="O424" s="132">
        <f t="shared" si="103"/>
        <v>38984.884419018796</v>
      </c>
    </row>
    <row r="425" spans="1:15" x14ac:dyDescent="0.25">
      <c r="A425" s="72">
        <f t="shared" si="104"/>
        <v>260</v>
      </c>
      <c r="B425" s="183">
        <f t="shared" si="99"/>
        <v>0</v>
      </c>
      <c r="C425" s="184">
        <f>-Parking!$E$89/12</f>
        <v>0</v>
      </c>
      <c r="D425" s="183">
        <f>Parking!$E$87/12*B424</f>
        <v>0</v>
      </c>
      <c r="E425" s="185">
        <f t="shared" si="100"/>
        <v>0</v>
      </c>
      <c r="F425" s="72">
        <f t="shared" si="105"/>
        <v>260</v>
      </c>
      <c r="G425" s="180">
        <f t="shared" si="101"/>
        <v>4252495.0566048566</v>
      </c>
      <c r="H425" s="186">
        <f>-Parking!$E$94/12</f>
        <v>46202.434086102563</v>
      </c>
      <c r="I425" s="149">
        <f>Parking!$E$92/12*G424</f>
        <v>7152.5748597187348</v>
      </c>
      <c r="J425" s="187">
        <f t="shared" si="102"/>
        <v>39049.859226383829</v>
      </c>
      <c r="K425" s="72">
        <f t="shared" si="106"/>
        <v>260</v>
      </c>
      <c r="L425" s="180">
        <f t="shared" si="103"/>
        <v>4252495.0566048566</v>
      </c>
      <c r="M425" s="181">
        <f t="shared" si="103"/>
        <v>46202.434086102563</v>
      </c>
      <c r="N425" s="180">
        <f t="shared" si="103"/>
        <v>7152.5748597187348</v>
      </c>
      <c r="O425" s="132">
        <f t="shared" si="103"/>
        <v>39049.859226383829</v>
      </c>
    </row>
    <row r="426" spans="1:15" x14ac:dyDescent="0.25">
      <c r="A426" s="72">
        <f t="shared" si="104"/>
        <v>261</v>
      </c>
      <c r="B426" s="183">
        <f t="shared" si="99"/>
        <v>0</v>
      </c>
      <c r="C426" s="184">
        <f>-Parking!$E$89/12</f>
        <v>0</v>
      </c>
      <c r="D426" s="183">
        <f>Parking!$E$87/12*B425</f>
        <v>0</v>
      </c>
      <c r="E426" s="185">
        <f t="shared" si="100"/>
        <v>0</v>
      </c>
      <c r="F426" s="72">
        <f t="shared" si="105"/>
        <v>261</v>
      </c>
      <c r="G426" s="180">
        <f t="shared" si="101"/>
        <v>4213380.1142797619</v>
      </c>
      <c r="H426" s="186">
        <f>-Parking!$E$94/12</f>
        <v>46202.434086102563</v>
      </c>
      <c r="I426" s="149">
        <f>Parking!$E$92/12*G425</f>
        <v>7087.4917610080947</v>
      </c>
      <c r="J426" s="187">
        <f t="shared" si="102"/>
        <v>39114.942325094467</v>
      </c>
      <c r="K426" s="72">
        <f t="shared" si="106"/>
        <v>261</v>
      </c>
      <c r="L426" s="180">
        <f t="shared" si="103"/>
        <v>4213380.1142797619</v>
      </c>
      <c r="M426" s="181">
        <f t="shared" si="103"/>
        <v>46202.434086102563</v>
      </c>
      <c r="N426" s="180">
        <f t="shared" si="103"/>
        <v>7087.4917610080947</v>
      </c>
      <c r="O426" s="132">
        <f t="shared" si="103"/>
        <v>39114.942325094467</v>
      </c>
    </row>
    <row r="427" spans="1:15" x14ac:dyDescent="0.25">
      <c r="A427" s="72">
        <f t="shared" si="104"/>
        <v>262</v>
      </c>
      <c r="B427" s="183">
        <f t="shared" si="99"/>
        <v>0</v>
      </c>
      <c r="C427" s="184">
        <f>-Parking!$E$89/12</f>
        <v>0</v>
      </c>
      <c r="D427" s="183">
        <f>Parking!$E$87/12*B426</f>
        <v>0</v>
      </c>
      <c r="E427" s="185">
        <f t="shared" si="100"/>
        <v>0</v>
      </c>
      <c r="F427" s="72">
        <f t="shared" si="105"/>
        <v>262</v>
      </c>
      <c r="G427" s="180">
        <f t="shared" si="101"/>
        <v>4174199.9803841258</v>
      </c>
      <c r="H427" s="186">
        <f>-Parking!$E$94/12</f>
        <v>46202.434086102563</v>
      </c>
      <c r="I427" s="149">
        <f>Parking!$E$92/12*G426</f>
        <v>7022.3001904662706</v>
      </c>
      <c r="J427" s="187">
        <f t="shared" si="102"/>
        <v>39180.133895636289</v>
      </c>
      <c r="K427" s="72">
        <f t="shared" si="106"/>
        <v>262</v>
      </c>
      <c r="L427" s="180">
        <f t="shared" si="103"/>
        <v>4174199.9803841258</v>
      </c>
      <c r="M427" s="181">
        <f t="shared" si="103"/>
        <v>46202.434086102563</v>
      </c>
      <c r="N427" s="180">
        <f t="shared" si="103"/>
        <v>7022.3001904662706</v>
      </c>
      <c r="O427" s="132">
        <f t="shared" si="103"/>
        <v>39180.133895636289</v>
      </c>
    </row>
    <row r="428" spans="1:15" x14ac:dyDescent="0.25">
      <c r="A428" s="72">
        <f t="shared" si="104"/>
        <v>263</v>
      </c>
      <c r="B428" s="183">
        <f t="shared" si="99"/>
        <v>0</v>
      </c>
      <c r="C428" s="184">
        <f>-Parking!$E$89/12</f>
        <v>0</v>
      </c>
      <c r="D428" s="183">
        <f>Parking!$E$87/12*B427</f>
        <v>0</v>
      </c>
      <c r="E428" s="185">
        <f t="shared" si="100"/>
        <v>0</v>
      </c>
      <c r="F428" s="72">
        <f t="shared" si="105"/>
        <v>263</v>
      </c>
      <c r="G428" s="180">
        <f t="shared" si="101"/>
        <v>4134954.5462653302</v>
      </c>
      <c r="H428" s="186">
        <f>-Parking!$E$94/12</f>
        <v>46202.434086102563</v>
      </c>
      <c r="I428" s="149">
        <f>Parking!$E$92/12*G427</f>
        <v>6956.9999673068769</v>
      </c>
      <c r="J428" s="187">
        <f t="shared" si="102"/>
        <v>39245.434118795689</v>
      </c>
      <c r="K428" s="72">
        <f t="shared" si="106"/>
        <v>263</v>
      </c>
      <c r="L428" s="180">
        <f t="shared" si="103"/>
        <v>4134954.5462653302</v>
      </c>
      <c r="M428" s="181">
        <f t="shared" si="103"/>
        <v>46202.434086102563</v>
      </c>
      <c r="N428" s="180">
        <f t="shared" si="103"/>
        <v>6956.9999673068769</v>
      </c>
      <c r="O428" s="132">
        <f t="shared" si="103"/>
        <v>39245.434118795689</v>
      </c>
    </row>
    <row r="429" spans="1:15" x14ac:dyDescent="0.25">
      <c r="A429" s="72">
        <f t="shared" si="104"/>
        <v>264</v>
      </c>
      <c r="B429" s="183">
        <f t="shared" si="99"/>
        <v>0</v>
      </c>
      <c r="C429" s="184">
        <f>-Parking!$E$89/12</f>
        <v>0</v>
      </c>
      <c r="D429" s="183">
        <f>Parking!$E$87/12*B428</f>
        <v>0</v>
      </c>
      <c r="E429" s="185">
        <f t="shared" si="100"/>
        <v>0</v>
      </c>
      <c r="F429" s="72">
        <f t="shared" si="105"/>
        <v>264</v>
      </c>
      <c r="G429" s="180">
        <f t="shared" si="101"/>
        <v>4095643.7030896698</v>
      </c>
      <c r="H429" s="186">
        <f>-Parking!$E$94/12</f>
        <v>46202.434086102563</v>
      </c>
      <c r="I429" s="149">
        <f>Parking!$E$92/12*G428</f>
        <v>6891.5909104422171</v>
      </c>
      <c r="J429" s="187">
        <f t="shared" si="102"/>
        <v>39310.843175660346</v>
      </c>
      <c r="K429" s="72">
        <f t="shared" si="106"/>
        <v>264</v>
      </c>
      <c r="L429" s="180">
        <f t="shared" si="103"/>
        <v>4095643.7030896698</v>
      </c>
      <c r="M429" s="181">
        <f t="shared" si="103"/>
        <v>46202.434086102563</v>
      </c>
      <c r="N429" s="180">
        <f t="shared" si="103"/>
        <v>6891.5909104422171</v>
      </c>
      <c r="O429" s="132">
        <f t="shared" si="103"/>
        <v>39310.843175660346</v>
      </c>
    </row>
    <row r="430" spans="1:15" x14ac:dyDescent="0.25">
      <c r="A430" s="72">
        <f t="shared" si="104"/>
        <v>265</v>
      </c>
      <c r="B430" s="183">
        <f t="shared" si="99"/>
        <v>0</v>
      </c>
      <c r="C430" s="184">
        <f>-Parking!$E$89/12</f>
        <v>0</v>
      </c>
      <c r="D430" s="183">
        <f>Parking!$E$87/12*B429</f>
        <v>0</v>
      </c>
      <c r="E430" s="185">
        <f t="shared" si="100"/>
        <v>0</v>
      </c>
      <c r="F430" s="72">
        <f t="shared" si="105"/>
        <v>265</v>
      </c>
      <c r="G430" s="180">
        <f t="shared" si="101"/>
        <v>4056267.3418420502</v>
      </c>
      <c r="H430" s="186">
        <f>-Parking!$E$94/12</f>
        <v>46202.434086102563</v>
      </c>
      <c r="I430" s="149">
        <f>Parking!$E$92/12*G429</f>
        <v>6826.0728384827835</v>
      </c>
      <c r="J430" s="187">
        <f t="shared" si="102"/>
        <v>39376.361247619781</v>
      </c>
      <c r="K430" s="72">
        <f t="shared" si="106"/>
        <v>265</v>
      </c>
      <c r="L430" s="180">
        <f t="shared" si="103"/>
        <v>4056267.3418420502</v>
      </c>
      <c r="M430" s="181">
        <f t="shared" si="103"/>
        <v>46202.434086102563</v>
      </c>
      <c r="N430" s="180">
        <f t="shared" si="103"/>
        <v>6826.0728384827835</v>
      </c>
      <c r="O430" s="132">
        <f t="shared" si="103"/>
        <v>39376.361247619781</v>
      </c>
    </row>
    <row r="431" spans="1:15" x14ac:dyDescent="0.25">
      <c r="A431" s="72">
        <f t="shared" si="104"/>
        <v>266</v>
      </c>
      <c r="B431" s="183">
        <f t="shared" si="99"/>
        <v>0</v>
      </c>
      <c r="C431" s="184">
        <f>-Parking!$E$89/12</f>
        <v>0</v>
      </c>
      <c r="D431" s="183">
        <f>Parking!$E$87/12*B430</f>
        <v>0</v>
      </c>
      <c r="E431" s="185">
        <f t="shared" si="100"/>
        <v>0</v>
      </c>
      <c r="F431" s="72">
        <f t="shared" si="105"/>
        <v>266</v>
      </c>
      <c r="G431" s="180">
        <f t="shared" si="101"/>
        <v>4016825.3533256846</v>
      </c>
      <c r="H431" s="186">
        <f>-Parking!$E$94/12</f>
        <v>46202.434086102563</v>
      </c>
      <c r="I431" s="149">
        <f>Parking!$E$92/12*G430</f>
        <v>6760.4455697367512</v>
      </c>
      <c r="J431" s="187">
        <f t="shared" si="102"/>
        <v>39441.988516365811</v>
      </c>
      <c r="K431" s="72">
        <f t="shared" si="106"/>
        <v>266</v>
      </c>
      <c r="L431" s="180">
        <f t="shared" si="103"/>
        <v>4016825.3533256846</v>
      </c>
      <c r="M431" s="181">
        <f t="shared" si="103"/>
        <v>46202.434086102563</v>
      </c>
      <c r="N431" s="180">
        <f t="shared" si="103"/>
        <v>6760.4455697367512</v>
      </c>
      <c r="O431" s="132">
        <f t="shared" si="103"/>
        <v>39441.988516365811</v>
      </c>
    </row>
    <row r="432" spans="1:15" x14ac:dyDescent="0.25">
      <c r="A432" s="72">
        <f t="shared" si="104"/>
        <v>267</v>
      </c>
      <c r="B432" s="183">
        <f t="shared" si="99"/>
        <v>0</v>
      </c>
      <c r="C432" s="184">
        <f>-Parking!$E$89/12</f>
        <v>0</v>
      </c>
      <c r="D432" s="183">
        <f>Parking!$E$87/12*B431</f>
        <v>0</v>
      </c>
      <c r="E432" s="185">
        <f t="shared" si="100"/>
        <v>0</v>
      </c>
      <c r="F432" s="72">
        <f t="shared" si="105"/>
        <v>267</v>
      </c>
      <c r="G432" s="180">
        <f t="shared" si="101"/>
        <v>3977317.6281617912</v>
      </c>
      <c r="H432" s="186">
        <f>-Parking!$E$94/12</f>
        <v>46202.434086102563</v>
      </c>
      <c r="I432" s="149">
        <f>Parking!$E$92/12*G431</f>
        <v>6694.7089222094746</v>
      </c>
      <c r="J432" s="187">
        <f t="shared" si="102"/>
        <v>39507.72516389309</v>
      </c>
      <c r="K432" s="72">
        <f t="shared" si="106"/>
        <v>267</v>
      </c>
      <c r="L432" s="180">
        <f t="shared" si="103"/>
        <v>3977317.6281617912</v>
      </c>
      <c r="M432" s="181">
        <f t="shared" si="103"/>
        <v>46202.434086102563</v>
      </c>
      <c r="N432" s="180">
        <f t="shared" si="103"/>
        <v>6694.7089222094746</v>
      </c>
      <c r="O432" s="132">
        <f t="shared" si="103"/>
        <v>39507.72516389309</v>
      </c>
    </row>
    <row r="433" spans="1:15" x14ac:dyDescent="0.25">
      <c r="A433" s="72">
        <f t="shared" si="104"/>
        <v>268</v>
      </c>
      <c r="B433" s="183">
        <f t="shared" si="99"/>
        <v>0</v>
      </c>
      <c r="C433" s="184">
        <f>-Parking!$E$89/12</f>
        <v>0</v>
      </c>
      <c r="D433" s="183">
        <f>Parking!$E$87/12*B432</f>
        <v>0</v>
      </c>
      <c r="E433" s="185">
        <f t="shared" si="100"/>
        <v>0</v>
      </c>
      <c r="F433" s="72">
        <f t="shared" si="105"/>
        <v>268</v>
      </c>
      <c r="G433" s="180">
        <f t="shared" si="101"/>
        <v>3937744.0567892916</v>
      </c>
      <c r="H433" s="186">
        <f>-Parking!$E$94/12</f>
        <v>46202.434086102563</v>
      </c>
      <c r="I433" s="149">
        <f>Parking!$E$92/12*G432</f>
        <v>6628.8627136029854</v>
      </c>
      <c r="J433" s="187">
        <f t="shared" si="102"/>
        <v>39573.57137249958</v>
      </c>
      <c r="K433" s="72">
        <f t="shared" si="106"/>
        <v>268</v>
      </c>
      <c r="L433" s="180">
        <f t="shared" si="103"/>
        <v>3937744.0567892916</v>
      </c>
      <c r="M433" s="181">
        <f t="shared" si="103"/>
        <v>46202.434086102563</v>
      </c>
      <c r="N433" s="180">
        <f t="shared" si="103"/>
        <v>6628.8627136029854</v>
      </c>
      <c r="O433" s="132">
        <f t="shared" si="103"/>
        <v>39573.57137249958</v>
      </c>
    </row>
    <row r="434" spans="1:15" x14ac:dyDescent="0.25">
      <c r="A434" s="72">
        <f t="shared" si="104"/>
        <v>269</v>
      </c>
      <c r="B434" s="183">
        <f t="shared" si="99"/>
        <v>0</v>
      </c>
      <c r="C434" s="184">
        <f>-Parking!$E$89/12</f>
        <v>0</v>
      </c>
      <c r="D434" s="183">
        <f>Parking!$E$87/12*B433</f>
        <v>0</v>
      </c>
      <c r="E434" s="185">
        <f t="shared" si="100"/>
        <v>0</v>
      </c>
      <c r="F434" s="72">
        <f t="shared" si="105"/>
        <v>269</v>
      </c>
      <c r="G434" s="180">
        <f t="shared" si="101"/>
        <v>3898104.5294645047</v>
      </c>
      <c r="H434" s="186">
        <f>-Parking!$E$94/12</f>
        <v>46202.434086102563</v>
      </c>
      <c r="I434" s="149">
        <f>Parking!$E$92/12*G433</f>
        <v>6562.9067613154866</v>
      </c>
      <c r="J434" s="187">
        <f t="shared" si="102"/>
        <v>39639.527324787079</v>
      </c>
      <c r="K434" s="72">
        <f t="shared" si="106"/>
        <v>269</v>
      </c>
      <c r="L434" s="180">
        <f t="shared" si="103"/>
        <v>3898104.5294645047</v>
      </c>
      <c r="M434" s="181">
        <f t="shared" si="103"/>
        <v>46202.434086102563</v>
      </c>
      <c r="N434" s="180">
        <f t="shared" si="103"/>
        <v>6562.9067613154866</v>
      </c>
      <c r="O434" s="132">
        <f t="shared" si="103"/>
        <v>39639.527324787079</v>
      </c>
    </row>
    <row r="435" spans="1:15" x14ac:dyDescent="0.25">
      <c r="A435" s="72">
        <f t="shared" si="104"/>
        <v>270</v>
      </c>
      <c r="B435" s="183">
        <f t="shared" si="99"/>
        <v>0</v>
      </c>
      <c r="C435" s="184">
        <f>-Parking!$E$89/12</f>
        <v>0</v>
      </c>
      <c r="D435" s="183">
        <f>Parking!$E$87/12*B434</f>
        <v>0</v>
      </c>
      <c r="E435" s="185">
        <f t="shared" si="100"/>
        <v>0</v>
      </c>
      <c r="F435" s="72">
        <f t="shared" si="105"/>
        <v>270</v>
      </c>
      <c r="G435" s="180">
        <f t="shared" si="101"/>
        <v>3858398.9362608432</v>
      </c>
      <c r="H435" s="186">
        <f>-Parking!$E$94/12</f>
        <v>46202.434086102563</v>
      </c>
      <c r="I435" s="149">
        <f>Parking!$E$92/12*G434</f>
        <v>6496.8408824408416</v>
      </c>
      <c r="J435" s="187">
        <f t="shared" si="102"/>
        <v>39705.593203661723</v>
      </c>
      <c r="K435" s="72">
        <f t="shared" si="106"/>
        <v>270</v>
      </c>
      <c r="L435" s="180">
        <f t="shared" si="103"/>
        <v>3858398.9362608432</v>
      </c>
      <c r="M435" s="181">
        <f t="shared" si="103"/>
        <v>46202.434086102563</v>
      </c>
      <c r="N435" s="180">
        <f t="shared" si="103"/>
        <v>6496.8408824408416</v>
      </c>
      <c r="O435" s="132">
        <f t="shared" si="103"/>
        <v>39705.593203661723</v>
      </c>
    </row>
    <row r="436" spans="1:15" x14ac:dyDescent="0.25">
      <c r="A436" s="72">
        <f t="shared" si="104"/>
        <v>271</v>
      </c>
      <c r="B436" s="183">
        <f t="shared" si="99"/>
        <v>0</v>
      </c>
      <c r="C436" s="184">
        <f>-Parking!$E$89/12</f>
        <v>0</v>
      </c>
      <c r="D436" s="183">
        <f>Parking!$E$87/12*B435</f>
        <v>0</v>
      </c>
      <c r="E436" s="185">
        <f t="shared" si="100"/>
        <v>0</v>
      </c>
      <c r="F436" s="72">
        <f t="shared" si="105"/>
        <v>271</v>
      </c>
      <c r="G436" s="180">
        <f t="shared" si="101"/>
        <v>3818627.1670685089</v>
      </c>
      <c r="H436" s="186">
        <f>-Parking!$E$94/12</f>
        <v>46202.434086102563</v>
      </c>
      <c r="I436" s="149">
        <f>Parking!$E$92/12*G435</f>
        <v>6430.664893768072</v>
      </c>
      <c r="J436" s="187">
        <f t="shared" si="102"/>
        <v>39771.76919233449</v>
      </c>
      <c r="K436" s="72">
        <f t="shared" si="106"/>
        <v>271</v>
      </c>
      <c r="L436" s="180">
        <f t="shared" si="103"/>
        <v>3818627.1670685089</v>
      </c>
      <c r="M436" s="181">
        <f t="shared" si="103"/>
        <v>46202.434086102563</v>
      </c>
      <c r="N436" s="180">
        <f t="shared" si="103"/>
        <v>6430.664893768072</v>
      </c>
      <c r="O436" s="132">
        <f t="shared" si="103"/>
        <v>39771.76919233449</v>
      </c>
    </row>
    <row r="437" spans="1:15" x14ac:dyDescent="0.25">
      <c r="A437" s="72">
        <f t="shared" si="104"/>
        <v>272</v>
      </c>
      <c r="B437" s="183">
        <f t="shared" si="99"/>
        <v>0</v>
      </c>
      <c r="C437" s="184">
        <f>-Parking!$E$89/12</f>
        <v>0</v>
      </c>
      <c r="D437" s="183">
        <f>Parking!$E$87/12*B436</f>
        <v>0</v>
      </c>
      <c r="E437" s="185">
        <f t="shared" si="100"/>
        <v>0</v>
      </c>
      <c r="F437" s="72">
        <f t="shared" si="105"/>
        <v>272</v>
      </c>
      <c r="G437" s="180">
        <f t="shared" si="101"/>
        <v>3778789.1115941871</v>
      </c>
      <c r="H437" s="186">
        <f>-Parking!$E$94/12</f>
        <v>46202.434086102563</v>
      </c>
      <c r="I437" s="149">
        <f>Parking!$E$92/12*G436</f>
        <v>6364.3786117808486</v>
      </c>
      <c r="J437" s="187">
        <f t="shared" si="102"/>
        <v>39838.055474321714</v>
      </c>
      <c r="K437" s="72">
        <f t="shared" si="106"/>
        <v>272</v>
      </c>
      <c r="L437" s="180">
        <f t="shared" si="103"/>
        <v>3778789.1115941871</v>
      </c>
      <c r="M437" s="181">
        <f t="shared" si="103"/>
        <v>46202.434086102563</v>
      </c>
      <c r="N437" s="180">
        <f t="shared" si="103"/>
        <v>6364.3786117808486</v>
      </c>
      <c r="O437" s="132">
        <f t="shared" si="103"/>
        <v>39838.055474321714</v>
      </c>
    </row>
    <row r="438" spans="1:15" x14ac:dyDescent="0.25">
      <c r="A438" s="72">
        <f t="shared" si="104"/>
        <v>273</v>
      </c>
      <c r="B438" s="183">
        <f t="shared" si="99"/>
        <v>0</v>
      </c>
      <c r="C438" s="184">
        <f>-Parking!$E$89/12</f>
        <v>0</v>
      </c>
      <c r="D438" s="183">
        <f>Parking!$E$87/12*B437</f>
        <v>0</v>
      </c>
      <c r="E438" s="185">
        <f t="shared" si="100"/>
        <v>0</v>
      </c>
      <c r="F438" s="72">
        <f t="shared" si="105"/>
        <v>273</v>
      </c>
      <c r="G438" s="180">
        <f t="shared" si="101"/>
        <v>3738884.6593607417</v>
      </c>
      <c r="H438" s="186">
        <f>-Parking!$E$94/12</f>
        <v>46202.434086102563</v>
      </c>
      <c r="I438" s="149">
        <f>Parking!$E$92/12*G437</f>
        <v>6297.9818526569788</v>
      </c>
      <c r="J438" s="187">
        <f t="shared" si="102"/>
        <v>39904.452233445583</v>
      </c>
      <c r="K438" s="72">
        <f t="shared" si="106"/>
        <v>273</v>
      </c>
      <c r="L438" s="180">
        <f t="shared" si="103"/>
        <v>3738884.6593607417</v>
      </c>
      <c r="M438" s="181">
        <f t="shared" si="103"/>
        <v>46202.434086102563</v>
      </c>
      <c r="N438" s="180">
        <f t="shared" si="103"/>
        <v>6297.9818526569788</v>
      </c>
      <c r="O438" s="132">
        <f t="shared" si="103"/>
        <v>39904.452233445583</v>
      </c>
    </row>
    <row r="439" spans="1:15" x14ac:dyDescent="0.25">
      <c r="A439" s="72">
        <f t="shared" si="104"/>
        <v>274</v>
      </c>
      <c r="B439" s="183">
        <f t="shared" si="99"/>
        <v>0</v>
      </c>
      <c r="C439" s="184">
        <f>-Parking!$E$89/12</f>
        <v>0</v>
      </c>
      <c r="D439" s="183">
        <f>Parking!$E$87/12*B438</f>
        <v>0</v>
      </c>
      <c r="E439" s="185">
        <f t="shared" si="100"/>
        <v>0</v>
      </c>
      <c r="F439" s="72">
        <f t="shared" si="105"/>
        <v>274</v>
      </c>
      <c r="G439" s="180">
        <f t="shared" si="101"/>
        <v>3698913.6997069069</v>
      </c>
      <c r="H439" s="186">
        <f>-Parking!$E$94/12</f>
        <v>46202.434086102563</v>
      </c>
      <c r="I439" s="149">
        <f>Parking!$E$92/12*G438</f>
        <v>6231.4744322679035</v>
      </c>
      <c r="J439" s="187">
        <f t="shared" si="102"/>
        <v>39970.95965383466</v>
      </c>
      <c r="K439" s="72">
        <f t="shared" si="106"/>
        <v>274</v>
      </c>
      <c r="L439" s="180">
        <f t="shared" si="103"/>
        <v>3698913.6997069069</v>
      </c>
      <c r="M439" s="181">
        <f t="shared" si="103"/>
        <v>46202.434086102563</v>
      </c>
      <c r="N439" s="180">
        <f t="shared" si="103"/>
        <v>6231.4744322679035</v>
      </c>
      <c r="O439" s="132">
        <f t="shared" si="103"/>
        <v>39970.95965383466</v>
      </c>
    </row>
    <row r="440" spans="1:15" x14ac:dyDescent="0.25">
      <c r="A440" s="72">
        <f t="shared" si="104"/>
        <v>275</v>
      </c>
      <c r="B440" s="183">
        <f t="shared" si="99"/>
        <v>0</v>
      </c>
      <c r="C440" s="184">
        <f>-Parking!$E$89/12</f>
        <v>0</v>
      </c>
      <c r="D440" s="183">
        <f>Parking!$E$87/12*B439</f>
        <v>0</v>
      </c>
      <c r="E440" s="185">
        <f t="shared" si="100"/>
        <v>0</v>
      </c>
      <c r="F440" s="72">
        <f t="shared" si="105"/>
        <v>275</v>
      </c>
      <c r="G440" s="180">
        <f t="shared" si="101"/>
        <v>3658876.1217869828</v>
      </c>
      <c r="H440" s="186">
        <f>-Parking!$E$94/12</f>
        <v>46202.434086102563</v>
      </c>
      <c r="I440" s="149">
        <f>Parking!$E$92/12*G439</f>
        <v>6164.8561661781787</v>
      </c>
      <c r="J440" s="187">
        <f t="shared" si="102"/>
        <v>40037.577919924384</v>
      </c>
      <c r="K440" s="72">
        <f t="shared" si="106"/>
        <v>275</v>
      </c>
      <c r="L440" s="180">
        <f t="shared" si="103"/>
        <v>3658876.1217869828</v>
      </c>
      <c r="M440" s="181">
        <f t="shared" si="103"/>
        <v>46202.434086102563</v>
      </c>
      <c r="N440" s="180">
        <f t="shared" si="103"/>
        <v>6164.8561661781787</v>
      </c>
      <c r="O440" s="132">
        <f t="shared" si="103"/>
        <v>40037.577919924384</v>
      </c>
    </row>
    <row r="441" spans="1:15" x14ac:dyDescent="0.25">
      <c r="A441" s="72">
        <f t="shared" si="104"/>
        <v>276</v>
      </c>
      <c r="B441" s="183">
        <f t="shared" si="99"/>
        <v>0</v>
      </c>
      <c r="C441" s="184">
        <f>-Parking!$E$89/12</f>
        <v>0</v>
      </c>
      <c r="D441" s="183">
        <f>Parking!$E$87/12*B440</f>
        <v>0</v>
      </c>
      <c r="E441" s="185">
        <f t="shared" si="100"/>
        <v>0</v>
      </c>
      <c r="F441" s="72">
        <f t="shared" si="105"/>
        <v>276</v>
      </c>
      <c r="G441" s="180">
        <f t="shared" si="101"/>
        <v>3618771.8145705252</v>
      </c>
      <c r="H441" s="186">
        <f>-Parking!$E$94/12</f>
        <v>46202.434086102563</v>
      </c>
      <c r="I441" s="149">
        <f>Parking!$E$92/12*G440</f>
        <v>6098.1268696449715</v>
      </c>
      <c r="J441" s="187">
        <f t="shared" si="102"/>
        <v>40104.307216457593</v>
      </c>
      <c r="K441" s="72">
        <f t="shared" si="106"/>
        <v>276</v>
      </c>
      <c r="L441" s="180">
        <f t="shared" si="103"/>
        <v>3618771.8145705252</v>
      </c>
      <c r="M441" s="181">
        <f t="shared" si="103"/>
        <v>46202.434086102563</v>
      </c>
      <c r="N441" s="180">
        <f t="shared" si="103"/>
        <v>6098.1268696449715</v>
      </c>
      <c r="O441" s="132">
        <f t="shared" si="103"/>
        <v>40104.307216457593</v>
      </c>
    </row>
    <row r="442" spans="1:15" x14ac:dyDescent="0.25">
      <c r="A442" s="72">
        <f t="shared" si="104"/>
        <v>277</v>
      </c>
      <c r="B442" s="183">
        <f t="shared" si="99"/>
        <v>0</v>
      </c>
      <c r="C442" s="184">
        <f>-Parking!$E$89/12</f>
        <v>0</v>
      </c>
      <c r="D442" s="183">
        <f>Parking!$E$87/12*B441</f>
        <v>0</v>
      </c>
      <c r="E442" s="185">
        <f t="shared" si="100"/>
        <v>0</v>
      </c>
      <c r="F442" s="72">
        <f t="shared" si="105"/>
        <v>277</v>
      </c>
      <c r="G442" s="180">
        <f t="shared" si="101"/>
        <v>3578600.6668420401</v>
      </c>
      <c r="H442" s="186">
        <f>-Parking!$E$94/12</f>
        <v>46202.434086102563</v>
      </c>
      <c r="I442" s="149">
        <f>Parking!$E$92/12*G441</f>
        <v>6031.2863576175423</v>
      </c>
      <c r="J442" s="187">
        <f t="shared" si="102"/>
        <v>40171.147728485019</v>
      </c>
      <c r="K442" s="72">
        <f t="shared" si="106"/>
        <v>277</v>
      </c>
      <c r="L442" s="180">
        <f t="shared" si="103"/>
        <v>3578600.6668420401</v>
      </c>
      <c r="M442" s="181">
        <f t="shared" si="103"/>
        <v>46202.434086102563</v>
      </c>
      <c r="N442" s="180">
        <f t="shared" si="103"/>
        <v>6031.2863576175423</v>
      </c>
      <c r="O442" s="132">
        <f t="shared" si="103"/>
        <v>40171.147728485019</v>
      </c>
    </row>
    <row r="443" spans="1:15" x14ac:dyDescent="0.25">
      <c r="A443" s="72">
        <f t="shared" si="104"/>
        <v>278</v>
      </c>
      <c r="B443" s="183">
        <f t="shared" si="99"/>
        <v>0</v>
      </c>
      <c r="C443" s="184">
        <f>-Parking!$E$89/12</f>
        <v>0</v>
      </c>
      <c r="D443" s="183">
        <f>Parking!$E$87/12*B442</f>
        <v>0</v>
      </c>
      <c r="E443" s="185">
        <f t="shared" si="100"/>
        <v>0</v>
      </c>
      <c r="F443" s="72">
        <f t="shared" si="105"/>
        <v>278</v>
      </c>
      <c r="G443" s="180">
        <f t="shared" si="101"/>
        <v>3538362.5672006742</v>
      </c>
      <c r="H443" s="186">
        <f>-Parking!$E$94/12</f>
        <v>46202.434086102563</v>
      </c>
      <c r="I443" s="149">
        <f>Parking!$E$92/12*G442</f>
        <v>5964.3344447367335</v>
      </c>
      <c r="J443" s="187">
        <f t="shared" si="102"/>
        <v>40238.099641365829</v>
      </c>
      <c r="K443" s="72">
        <f t="shared" si="106"/>
        <v>278</v>
      </c>
      <c r="L443" s="180">
        <f t="shared" si="103"/>
        <v>3538362.5672006742</v>
      </c>
      <c r="M443" s="181">
        <f t="shared" si="103"/>
        <v>46202.434086102563</v>
      </c>
      <c r="N443" s="180">
        <f t="shared" si="103"/>
        <v>5964.3344447367335</v>
      </c>
      <c r="O443" s="132">
        <f t="shared" si="103"/>
        <v>40238.099641365829</v>
      </c>
    </row>
    <row r="444" spans="1:15" x14ac:dyDescent="0.25">
      <c r="A444" s="72">
        <f t="shared" si="104"/>
        <v>279</v>
      </c>
      <c r="B444" s="183">
        <f t="shared" si="99"/>
        <v>0</v>
      </c>
      <c r="C444" s="184">
        <f>-Parking!$E$89/12</f>
        <v>0</v>
      </c>
      <c r="D444" s="183">
        <f>Parking!$E$87/12*B443</f>
        <v>0</v>
      </c>
      <c r="E444" s="185">
        <f t="shared" si="100"/>
        <v>0</v>
      </c>
      <c r="F444" s="72">
        <f t="shared" si="105"/>
        <v>279</v>
      </c>
      <c r="G444" s="180">
        <f t="shared" si="101"/>
        <v>3498057.404059906</v>
      </c>
      <c r="H444" s="186">
        <f>-Parking!$E$94/12</f>
        <v>46202.434086102563</v>
      </c>
      <c r="I444" s="149">
        <f>Parking!$E$92/12*G443</f>
        <v>5897.2709453344578</v>
      </c>
      <c r="J444" s="187">
        <f t="shared" si="102"/>
        <v>40305.163140768105</v>
      </c>
      <c r="K444" s="72">
        <f t="shared" si="106"/>
        <v>279</v>
      </c>
      <c r="L444" s="180">
        <f t="shared" si="103"/>
        <v>3498057.404059906</v>
      </c>
      <c r="M444" s="181">
        <f t="shared" si="103"/>
        <v>46202.434086102563</v>
      </c>
      <c r="N444" s="180">
        <f t="shared" si="103"/>
        <v>5897.2709453344578</v>
      </c>
      <c r="O444" s="132">
        <f t="shared" si="103"/>
        <v>40305.163140768105</v>
      </c>
    </row>
    <row r="445" spans="1:15" x14ac:dyDescent="0.25">
      <c r="A445" s="72">
        <f t="shared" si="104"/>
        <v>280</v>
      </c>
      <c r="B445" s="183">
        <f t="shared" si="99"/>
        <v>0</v>
      </c>
      <c r="C445" s="184">
        <f>-Parking!$E$89/12</f>
        <v>0</v>
      </c>
      <c r="D445" s="183">
        <f>Parking!$E$87/12*B444</f>
        <v>0</v>
      </c>
      <c r="E445" s="185">
        <f t="shared" si="100"/>
        <v>0</v>
      </c>
      <c r="F445" s="72">
        <f t="shared" si="105"/>
        <v>280</v>
      </c>
      <c r="G445" s="180">
        <f t="shared" si="101"/>
        <v>3457685.0656472365</v>
      </c>
      <c r="H445" s="186">
        <f>-Parking!$E$94/12</f>
        <v>46202.434086102563</v>
      </c>
      <c r="I445" s="149">
        <f>Parking!$E$92/12*G444</f>
        <v>5830.0956734331767</v>
      </c>
      <c r="J445" s="187">
        <f t="shared" si="102"/>
        <v>40372.338412669385</v>
      </c>
      <c r="K445" s="72">
        <f t="shared" si="106"/>
        <v>280</v>
      </c>
      <c r="L445" s="180">
        <f t="shared" si="103"/>
        <v>3457685.0656472365</v>
      </c>
      <c r="M445" s="181">
        <f t="shared" si="103"/>
        <v>46202.434086102563</v>
      </c>
      <c r="N445" s="180">
        <f t="shared" si="103"/>
        <v>5830.0956734331767</v>
      </c>
      <c r="O445" s="132">
        <f t="shared" si="103"/>
        <v>40372.338412669385</v>
      </c>
    </row>
    <row r="446" spans="1:15" x14ac:dyDescent="0.25">
      <c r="A446" s="72">
        <f t="shared" si="104"/>
        <v>281</v>
      </c>
      <c r="B446" s="183">
        <f t="shared" si="99"/>
        <v>0</v>
      </c>
      <c r="C446" s="184">
        <f>-Parking!$E$89/12</f>
        <v>0</v>
      </c>
      <c r="D446" s="183">
        <f>Parking!$E$87/12*B445</f>
        <v>0</v>
      </c>
      <c r="E446" s="185">
        <f t="shared" si="100"/>
        <v>0</v>
      </c>
      <c r="F446" s="72">
        <f t="shared" si="105"/>
        <v>281</v>
      </c>
      <c r="G446" s="180">
        <f t="shared" si="101"/>
        <v>3417245.4400038794</v>
      </c>
      <c r="H446" s="186">
        <f>-Parking!$E$94/12</f>
        <v>46202.434086102563</v>
      </c>
      <c r="I446" s="149">
        <f>Parking!$E$92/12*G445</f>
        <v>5762.808442745395</v>
      </c>
      <c r="J446" s="187">
        <f t="shared" si="102"/>
        <v>40439.625643357169</v>
      </c>
      <c r="K446" s="72">
        <f t="shared" si="106"/>
        <v>281</v>
      </c>
      <c r="L446" s="180">
        <f t="shared" si="103"/>
        <v>3417245.4400038794</v>
      </c>
      <c r="M446" s="181">
        <f t="shared" si="103"/>
        <v>46202.434086102563</v>
      </c>
      <c r="N446" s="180">
        <f t="shared" si="103"/>
        <v>5762.808442745395</v>
      </c>
      <c r="O446" s="132">
        <f t="shared" si="103"/>
        <v>40439.625643357169</v>
      </c>
    </row>
    <row r="447" spans="1:15" x14ac:dyDescent="0.25">
      <c r="A447" s="72">
        <f t="shared" si="104"/>
        <v>282</v>
      </c>
      <c r="B447" s="183">
        <f t="shared" si="99"/>
        <v>0</v>
      </c>
      <c r="C447" s="184">
        <f>-Parking!$E$89/12</f>
        <v>0</v>
      </c>
      <c r="D447" s="183">
        <f>Parking!$E$87/12*B446</f>
        <v>0</v>
      </c>
      <c r="E447" s="185">
        <f t="shared" si="100"/>
        <v>0</v>
      </c>
      <c r="F447" s="72">
        <f t="shared" si="105"/>
        <v>282</v>
      </c>
      <c r="G447" s="180">
        <f t="shared" si="101"/>
        <v>3376738.4149844497</v>
      </c>
      <c r="H447" s="186">
        <f>-Parking!$E$94/12</f>
        <v>46202.434086102563</v>
      </c>
      <c r="I447" s="149">
        <f>Parking!$E$92/12*G446</f>
        <v>5695.4090666731327</v>
      </c>
      <c r="J447" s="187">
        <f t="shared" si="102"/>
        <v>40507.025019429428</v>
      </c>
      <c r="K447" s="72">
        <f t="shared" si="106"/>
        <v>282</v>
      </c>
      <c r="L447" s="180">
        <f t="shared" si="103"/>
        <v>3376738.4149844497</v>
      </c>
      <c r="M447" s="181">
        <f t="shared" si="103"/>
        <v>46202.434086102563</v>
      </c>
      <c r="N447" s="180">
        <f t="shared" si="103"/>
        <v>5695.4090666731327</v>
      </c>
      <c r="O447" s="132">
        <f t="shared" si="103"/>
        <v>40507.025019429428</v>
      </c>
    </row>
    <row r="448" spans="1:15" x14ac:dyDescent="0.25">
      <c r="A448" s="72">
        <f t="shared" si="104"/>
        <v>283</v>
      </c>
      <c r="B448" s="183">
        <f t="shared" si="99"/>
        <v>0</v>
      </c>
      <c r="C448" s="184">
        <f>-Parking!$E$89/12</f>
        <v>0</v>
      </c>
      <c r="D448" s="183">
        <f>Parking!$E$87/12*B447</f>
        <v>0</v>
      </c>
      <c r="E448" s="185">
        <f t="shared" si="100"/>
        <v>0</v>
      </c>
      <c r="F448" s="72">
        <f t="shared" si="105"/>
        <v>283</v>
      </c>
      <c r="G448" s="180">
        <f t="shared" si="101"/>
        <v>3336163.8782566544</v>
      </c>
      <c r="H448" s="186">
        <f>-Parking!$E$94/12</f>
        <v>46202.434086102563</v>
      </c>
      <c r="I448" s="149">
        <f>Parking!$E$92/12*G447</f>
        <v>5627.8973583074167</v>
      </c>
      <c r="J448" s="187">
        <f t="shared" si="102"/>
        <v>40574.536727795145</v>
      </c>
      <c r="K448" s="72">
        <f t="shared" si="106"/>
        <v>283</v>
      </c>
      <c r="L448" s="180">
        <f t="shared" si="103"/>
        <v>3336163.8782566544</v>
      </c>
      <c r="M448" s="181">
        <f t="shared" si="103"/>
        <v>46202.434086102563</v>
      </c>
      <c r="N448" s="180">
        <f t="shared" si="103"/>
        <v>5627.8973583074167</v>
      </c>
      <c r="O448" s="132">
        <f t="shared" si="103"/>
        <v>40574.536727795145</v>
      </c>
    </row>
    <row r="449" spans="1:15" x14ac:dyDescent="0.25">
      <c r="A449" s="72">
        <f t="shared" si="104"/>
        <v>284</v>
      </c>
      <c r="B449" s="183">
        <f t="shared" si="99"/>
        <v>0</v>
      </c>
      <c r="C449" s="184">
        <f>-Parking!$E$89/12</f>
        <v>0</v>
      </c>
      <c r="D449" s="183">
        <f>Parking!$E$87/12*B448</f>
        <v>0</v>
      </c>
      <c r="E449" s="185">
        <f t="shared" si="100"/>
        <v>0</v>
      </c>
      <c r="F449" s="72">
        <f t="shared" si="105"/>
        <v>284</v>
      </c>
      <c r="G449" s="180">
        <f t="shared" si="101"/>
        <v>3295521.7173009794</v>
      </c>
      <c r="H449" s="186">
        <f>-Parking!$E$94/12</f>
        <v>46202.434086102563</v>
      </c>
      <c r="I449" s="149">
        <f>Parking!$E$92/12*G448</f>
        <v>5560.2731304277577</v>
      </c>
      <c r="J449" s="187">
        <f t="shared" si="102"/>
        <v>40642.160955674808</v>
      </c>
      <c r="K449" s="72">
        <f t="shared" si="106"/>
        <v>284</v>
      </c>
      <c r="L449" s="180">
        <f t="shared" si="103"/>
        <v>3295521.7173009794</v>
      </c>
      <c r="M449" s="181">
        <f t="shared" si="103"/>
        <v>46202.434086102563</v>
      </c>
      <c r="N449" s="180">
        <f t="shared" si="103"/>
        <v>5560.2731304277577</v>
      </c>
      <c r="O449" s="132">
        <f t="shared" si="103"/>
        <v>40642.160955674808</v>
      </c>
    </row>
    <row r="450" spans="1:15" x14ac:dyDescent="0.25">
      <c r="A450" s="72">
        <f t="shared" si="104"/>
        <v>285</v>
      </c>
      <c r="B450" s="183">
        <f t="shared" si="99"/>
        <v>0</v>
      </c>
      <c r="C450" s="184">
        <f>-Parking!$E$89/12</f>
        <v>0</v>
      </c>
      <c r="D450" s="183">
        <f>Parking!$E$87/12*B449</f>
        <v>0</v>
      </c>
      <c r="E450" s="185">
        <f t="shared" si="100"/>
        <v>0</v>
      </c>
      <c r="F450" s="72">
        <f t="shared" si="105"/>
        <v>285</v>
      </c>
      <c r="G450" s="180">
        <f t="shared" si="101"/>
        <v>3254811.8194103786</v>
      </c>
      <c r="H450" s="186">
        <f>-Parking!$E$94/12</f>
        <v>46202.434086102563</v>
      </c>
      <c r="I450" s="149">
        <f>Parking!$E$92/12*G449</f>
        <v>5492.5361955016324</v>
      </c>
      <c r="J450" s="187">
        <f t="shared" si="102"/>
        <v>40709.897890600929</v>
      </c>
      <c r="K450" s="72">
        <f t="shared" si="106"/>
        <v>285</v>
      </c>
      <c r="L450" s="180">
        <f t="shared" si="103"/>
        <v>3254811.8194103786</v>
      </c>
      <c r="M450" s="181">
        <f t="shared" si="103"/>
        <v>46202.434086102563</v>
      </c>
      <c r="N450" s="180">
        <f t="shared" si="103"/>
        <v>5492.5361955016324</v>
      </c>
      <c r="O450" s="132">
        <f t="shared" si="103"/>
        <v>40709.897890600929</v>
      </c>
    </row>
    <row r="451" spans="1:15" x14ac:dyDescent="0.25">
      <c r="A451" s="72">
        <f t="shared" si="104"/>
        <v>286</v>
      </c>
      <c r="B451" s="183">
        <f t="shared" si="99"/>
        <v>0</v>
      </c>
      <c r="C451" s="184">
        <f>-Parking!$E$89/12</f>
        <v>0</v>
      </c>
      <c r="D451" s="183">
        <f>Parking!$E$87/12*B450</f>
        <v>0</v>
      </c>
      <c r="E451" s="185">
        <f t="shared" si="100"/>
        <v>0</v>
      </c>
      <c r="F451" s="72">
        <f t="shared" si="105"/>
        <v>286</v>
      </c>
      <c r="G451" s="180">
        <f t="shared" si="101"/>
        <v>3214034.0716899601</v>
      </c>
      <c r="H451" s="186">
        <f>-Parking!$E$94/12</f>
        <v>46202.434086102563</v>
      </c>
      <c r="I451" s="149">
        <f>Parking!$E$92/12*G450</f>
        <v>5424.6863656839651</v>
      </c>
      <c r="J451" s="187">
        <f t="shared" si="102"/>
        <v>40777.7477204186</v>
      </c>
      <c r="K451" s="72">
        <f t="shared" si="106"/>
        <v>286</v>
      </c>
      <c r="L451" s="180">
        <f t="shared" si="103"/>
        <v>3214034.0716899601</v>
      </c>
      <c r="M451" s="181">
        <f t="shared" si="103"/>
        <v>46202.434086102563</v>
      </c>
      <c r="N451" s="180">
        <f t="shared" si="103"/>
        <v>5424.6863656839651</v>
      </c>
      <c r="O451" s="132">
        <f t="shared" si="103"/>
        <v>40777.7477204186</v>
      </c>
    </row>
    <row r="452" spans="1:15" x14ac:dyDescent="0.25">
      <c r="A452" s="72">
        <f t="shared" si="104"/>
        <v>287</v>
      </c>
      <c r="B452" s="183">
        <f t="shared" si="99"/>
        <v>0</v>
      </c>
      <c r="C452" s="184">
        <f>-Parking!$E$89/12</f>
        <v>0</v>
      </c>
      <c r="D452" s="183">
        <f>Parking!$E$87/12*B451</f>
        <v>0</v>
      </c>
      <c r="E452" s="185">
        <f t="shared" si="100"/>
        <v>0</v>
      </c>
      <c r="F452" s="72">
        <f t="shared" si="105"/>
        <v>287</v>
      </c>
      <c r="G452" s="180">
        <f t="shared" si="101"/>
        <v>3173188.3610566743</v>
      </c>
      <c r="H452" s="186">
        <f>-Parking!$E$94/12</f>
        <v>46202.434086102563</v>
      </c>
      <c r="I452" s="149">
        <f>Parking!$E$92/12*G451</f>
        <v>5356.7234528166009</v>
      </c>
      <c r="J452" s="187">
        <f t="shared" si="102"/>
        <v>40845.710633285962</v>
      </c>
      <c r="K452" s="72">
        <f t="shared" si="106"/>
        <v>287</v>
      </c>
      <c r="L452" s="180">
        <f t="shared" si="103"/>
        <v>3173188.3610566743</v>
      </c>
      <c r="M452" s="181">
        <f t="shared" si="103"/>
        <v>46202.434086102563</v>
      </c>
      <c r="N452" s="180">
        <f t="shared" si="103"/>
        <v>5356.7234528166009</v>
      </c>
      <c r="O452" s="132">
        <f t="shared" si="103"/>
        <v>40845.710633285962</v>
      </c>
    </row>
    <row r="453" spans="1:15" x14ac:dyDescent="0.25">
      <c r="A453" s="72">
        <f t="shared" si="104"/>
        <v>288</v>
      </c>
      <c r="B453" s="183">
        <f t="shared" si="99"/>
        <v>0</v>
      </c>
      <c r="C453" s="184">
        <f>-Parking!$E$89/12</f>
        <v>0</v>
      </c>
      <c r="D453" s="183">
        <f>Parking!$E$87/12*B452</f>
        <v>0</v>
      </c>
      <c r="E453" s="185">
        <f t="shared" si="100"/>
        <v>0</v>
      </c>
      <c r="F453" s="72">
        <f t="shared" si="105"/>
        <v>288</v>
      </c>
      <c r="G453" s="180">
        <f t="shared" si="101"/>
        <v>3132274.5742389993</v>
      </c>
      <c r="H453" s="186">
        <f>-Parking!$E$94/12</f>
        <v>46202.434086102563</v>
      </c>
      <c r="I453" s="149">
        <f>Parking!$E$92/12*G452</f>
        <v>5288.6472684277906</v>
      </c>
      <c r="J453" s="187">
        <f t="shared" si="102"/>
        <v>40913.786817674772</v>
      </c>
      <c r="K453" s="72">
        <f t="shared" si="106"/>
        <v>288</v>
      </c>
      <c r="L453" s="180">
        <f t="shared" si="103"/>
        <v>3132274.5742389993</v>
      </c>
      <c r="M453" s="181">
        <f t="shared" si="103"/>
        <v>46202.434086102563</v>
      </c>
      <c r="N453" s="180">
        <f t="shared" si="103"/>
        <v>5288.6472684277906</v>
      </c>
      <c r="O453" s="132">
        <f t="shared" si="103"/>
        <v>40913.786817674772</v>
      </c>
    </row>
    <row r="454" spans="1:15" x14ac:dyDescent="0.25">
      <c r="A454" s="72">
        <f t="shared" si="104"/>
        <v>289</v>
      </c>
      <c r="B454" s="183">
        <f t="shared" si="99"/>
        <v>0</v>
      </c>
      <c r="C454" s="184">
        <f>-Parking!$E$89/12</f>
        <v>0</v>
      </c>
      <c r="D454" s="183">
        <f>Parking!$E$87/12*B453</f>
        <v>0</v>
      </c>
      <c r="E454" s="185">
        <f t="shared" si="100"/>
        <v>0</v>
      </c>
      <c r="F454" s="72">
        <f t="shared" si="105"/>
        <v>289</v>
      </c>
      <c r="G454" s="180">
        <f t="shared" si="101"/>
        <v>3091292.5977766286</v>
      </c>
      <c r="H454" s="186">
        <f>-Parking!$E$94/12</f>
        <v>46202.434086102563</v>
      </c>
      <c r="I454" s="149">
        <f>Parking!$E$92/12*G453</f>
        <v>5220.457623731666</v>
      </c>
      <c r="J454" s="187">
        <f t="shared" si="102"/>
        <v>40981.976462370898</v>
      </c>
      <c r="K454" s="72">
        <f t="shared" si="106"/>
        <v>289</v>
      </c>
      <c r="L454" s="180">
        <f t="shared" si="103"/>
        <v>3091292.5977766286</v>
      </c>
      <c r="M454" s="181">
        <f t="shared" si="103"/>
        <v>46202.434086102563</v>
      </c>
      <c r="N454" s="180">
        <f t="shared" si="103"/>
        <v>5220.457623731666</v>
      </c>
      <c r="O454" s="132">
        <f t="shared" si="103"/>
        <v>40981.976462370898</v>
      </c>
    </row>
    <row r="455" spans="1:15" x14ac:dyDescent="0.25">
      <c r="A455" s="72">
        <f t="shared" si="104"/>
        <v>290</v>
      </c>
      <c r="B455" s="183">
        <f t="shared" si="99"/>
        <v>0</v>
      </c>
      <c r="C455" s="184">
        <f>-Parking!$E$89/12</f>
        <v>0</v>
      </c>
      <c r="D455" s="183">
        <f>Parking!$E$87/12*B454</f>
        <v>0</v>
      </c>
      <c r="E455" s="185">
        <f t="shared" si="100"/>
        <v>0</v>
      </c>
      <c r="F455" s="72">
        <f t="shared" si="105"/>
        <v>290</v>
      </c>
      <c r="G455" s="180">
        <f t="shared" si="101"/>
        <v>3050242.3180201538</v>
      </c>
      <c r="H455" s="186">
        <f>-Parking!$E$94/12</f>
        <v>46202.434086102563</v>
      </c>
      <c r="I455" s="149">
        <f>Parking!$E$92/12*G454</f>
        <v>5152.154329627715</v>
      </c>
      <c r="J455" s="187">
        <f t="shared" si="102"/>
        <v>41050.279756474847</v>
      </c>
      <c r="K455" s="72">
        <f t="shared" si="106"/>
        <v>290</v>
      </c>
      <c r="L455" s="180">
        <f t="shared" si="103"/>
        <v>3050242.3180201538</v>
      </c>
      <c r="M455" s="181">
        <f t="shared" si="103"/>
        <v>46202.434086102563</v>
      </c>
      <c r="N455" s="180">
        <f t="shared" si="103"/>
        <v>5152.154329627715</v>
      </c>
      <c r="O455" s="132">
        <f t="shared" si="103"/>
        <v>41050.279756474847</v>
      </c>
    </row>
    <row r="456" spans="1:15" x14ac:dyDescent="0.25">
      <c r="A456" s="72">
        <f t="shared" si="104"/>
        <v>291</v>
      </c>
      <c r="B456" s="183">
        <f t="shared" si="99"/>
        <v>0</v>
      </c>
      <c r="C456" s="184">
        <f>-Parking!$E$89/12</f>
        <v>0</v>
      </c>
      <c r="D456" s="183">
        <f>Parking!$E$87/12*B455</f>
        <v>0</v>
      </c>
      <c r="E456" s="185">
        <f t="shared" si="100"/>
        <v>0</v>
      </c>
      <c r="F456" s="72">
        <f t="shared" si="105"/>
        <v>291</v>
      </c>
      <c r="G456" s="180">
        <f t="shared" si="101"/>
        <v>3009123.6211307514</v>
      </c>
      <c r="H456" s="186">
        <f>-Parking!$E$94/12</f>
        <v>46202.434086102563</v>
      </c>
      <c r="I456" s="149">
        <f>Parking!$E$92/12*G455</f>
        <v>5083.7371967002564</v>
      </c>
      <c r="J456" s="187">
        <f t="shared" si="102"/>
        <v>41118.696889402308</v>
      </c>
      <c r="K456" s="72">
        <f t="shared" si="106"/>
        <v>291</v>
      </c>
      <c r="L456" s="180">
        <f t="shared" si="103"/>
        <v>3009123.6211307514</v>
      </c>
      <c r="M456" s="181">
        <f t="shared" si="103"/>
        <v>46202.434086102563</v>
      </c>
      <c r="N456" s="180">
        <f t="shared" si="103"/>
        <v>5083.7371967002564</v>
      </c>
      <c r="O456" s="132">
        <f t="shared" si="103"/>
        <v>41118.696889402308</v>
      </c>
    </row>
    <row r="457" spans="1:15" x14ac:dyDescent="0.25">
      <c r="A457" s="72">
        <f t="shared" si="104"/>
        <v>292</v>
      </c>
      <c r="B457" s="183">
        <f t="shared" si="99"/>
        <v>0</v>
      </c>
      <c r="C457" s="184">
        <f>-Parking!$E$89/12</f>
        <v>0</v>
      </c>
      <c r="D457" s="183">
        <f>Parking!$E$87/12*B456</f>
        <v>0</v>
      </c>
      <c r="E457" s="185">
        <f t="shared" si="100"/>
        <v>0</v>
      </c>
      <c r="F457" s="72">
        <f t="shared" si="105"/>
        <v>292</v>
      </c>
      <c r="G457" s="180">
        <f t="shared" si="101"/>
        <v>2967936.3930798667</v>
      </c>
      <c r="H457" s="186">
        <f>-Parking!$E$94/12</f>
        <v>46202.434086102563</v>
      </c>
      <c r="I457" s="149">
        <f>Parking!$E$92/12*G456</f>
        <v>5015.2060352179196</v>
      </c>
      <c r="J457" s="187">
        <f t="shared" si="102"/>
        <v>41187.228050884645</v>
      </c>
      <c r="K457" s="72">
        <f t="shared" si="106"/>
        <v>292</v>
      </c>
      <c r="L457" s="180">
        <f t="shared" si="103"/>
        <v>2967936.3930798667</v>
      </c>
      <c r="M457" s="181">
        <f t="shared" si="103"/>
        <v>46202.434086102563</v>
      </c>
      <c r="N457" s="180">
        <f t="shared" si="103"/>
        <v>5015.2060352179196</v>
      </c>
      <c r="O457" s="132">
        <f t="shared" si="103"/>
        <v>41187.228050884645</v>
      </c>
    </row>
    <row r="458" spans="1:15" x14ac:dyDescent="0.25">
      <c r="A458" s="72">
        <f t="shared" si="104"/>
        <v>293</v>
      </c>
      <c r="B458" s="183">
        <f t="shared" si="99"/>
        <v>0</v>
      </c>
      <c r="C458" s="184">
        <f>-Parking!$E$89/12</f>
        <v>0</v>
      </c>
      <c r="D458" s="183">
        <f>Parking!$E$87/12*B457</f>
        <v>0</v>
      </c>
      <c r="E458" s="185">
        <f t="shared" si="100"/>
        <v>0</v>
      </c>
      <c r="F458" s="72">
        <f t="shared" si="105"/>
        <v>293</v>
      </c>
      <c r="G458" s="180">
        <f t="shared" si="101"/>
        <v>2926680.519648897</v>
      </c>
      <c r="H458" s="186">
        <f>-Parking!$E$94/12</f>
        <v>46202.434086102563</v>
      </c>
      <c r="I458" s="149">
        <f>Parking!$E$92/12*G457</f>
        <v>4946.5606551331111</v>
      </c>
      <c r="J458" s="187">
        <f t="shared" si="102"/>
        <v>41255.873430969456</v>
      </c>
      <c r="K458" s="72">
        <f t="shared" si="106"/>
        <v>293</v>
      </c>
      <c r="L458" s="180">
        <f t="shared" si="103"/>
        <v>2926680.519648897</v>
      </c>
      <c r="M458" s="181">
        <f t="shared" si="103"/>
        <v>46202.434086102563</v>
      </c>
      <c r="N458" s="180">
        <f t="shared" si="103"/>
        <v>4946.5606551331111</v>
      </c>
      <c r="O458" s="132">
        <f t="shared" si="103"/>
        <v>41255.873430969456</v>
      </c>
    </row>
    <row r="459" spans="1:15" x14ac:dyDescent="0.25">
      <c r="A459" s="72">
        <f t="shared" si="104"/>
        <v>294</v>
      </c>
      <c r="B459" s="183">
        <f t="shared" si="99"/>
        <v>0</v>
      </c>
      <c r="C459" s="184">
        <f>-Parking!$E$89/12</f>
        <v>0</v>
      </c>
      <c r="D459" s="183">
        <f>Parking!$E$87/12*B458</f>
        <v>0</v>
      </c>
      <c r="E459" s="185">
        <f t="shared" si="100"/>
        <v>0</v>
      </c>
      <c r="F459" s="72">
        <f t="shared" si="105"/>
        <v>294</v>
      </c>
      <c r="G459" s="180">
        <f t="shared" si="101"/>
        <v>2885355.8864288758</v>
      </c>
      <c r="H459" s="186">
        <f>-Parking!$E$94/12</f>
        <v>46202.434086102563</v>
      </c>
      <c r="I459" s="149">
        <f>Parking!$E$92/12*G458</f>
        <v>4877.8008660814949</v>
      </c>
      <c r="J459" s="187">
        <f t="shared" si="102"/>
        <v>41324.633220021067</v>
      </c>
      <c r="K459" s="72">
        <f t="shared" si="106"/>
        <v>294</v>
      </c>
      <c r="L459" s="180">
        <f t="shared" si="103"/>
        <v>2885355.8864288758</v>
      </c>
      <c r="M459" s="181">
        <f t="shared" si="103"/>
        <v>46202.434086102563</v>
      </c>
      <c r="N459" s="180">
        <f t="shared" si="103"/>
        <v>4877.8008660814949</v>
      </c>
      <c r="O459" s="132">
        <f t="shared" si="103"/>
        <v>41324.633220021067</v>
      </c>
    </row>
    <row r="460" spans="1:15" x14ac:dyDescent="0.25">
      <c r="A460" s="72">
        <f t="shared" si="104"/>
        <v>295</v>
      </c>
      <c r="B460" s="183">
        <f t="shared" si="99"/>
        <v>0</v>
      </c>
      <c r="C460" s="184">
        <f>-Parking!$E$89/12</f>
        <v>0</v>
      </c>
      <c r="D460" s="183">
        <f>Parking!$E$87/12*B459</f>
        <v>0</v>
      </c>
      <c r="E460" s="185">
        <f t="shared" si="100"/>
        <v>0</v>
      </c>
      <c r="F460" s="72">
        <f t="shared" si="105"/>
        <v>295</v>
      </c>
      <c r="G460" s="180">
        <f t="shared" si="101"/>
        <v>2843962.3788201548</v>
      </c>
      <c r="H460" s="186">
        <f>-Parking!$E$94/12</f>
        <v>46202.434086102563</v>
      </c>
      <c r="I460" s="149">
        <f>Parking!$E$92/12*G459</f>
        <v>4808.9264773814602</v>
      </c>
      <c r="J460" s="187">
        <f t="shared" si="102"/>
        <v>41393.507608721105</v>
      </c>
      <c r="K460" s="72">
        <f t="shared" si="106"/>
        <v>295</v>
      </c>
      <c r="L460" s="180">
        <f t="shared" si="103"/>
        <v>2843962.3788201548</v>
      </c>
      <c r="M460" s="181">
        <f t="shared" si="103"/>
        <v>46202.434086102563</v>
      </c>
      <c r="N460" s="180">
        <f t="shared" si="103"/>
        <v>4808.9264773814602</v>
      </c>
      <c r="O460" s="132">
        <f t="shared" si="103"/>
        <v>41393.507608721105</v>
      </c>
    </row>
    <row r="461" spans="1:15" x14ac:dyDescent="0.25">
      <c r="A461" s="72">
        <f t="shared" si="104"/>
        <v>296</v>
      </c>
      <c r="B461" s="183">
        <f t="shared" si="99"/>
        <v>0</v>
      </c>
      <c r="C461" s="184">
        <f>-Parking!$E$89/12</f>
        <v>0</v>
      </c>
      <c r="D461" s="183">
        <f>Parking!$E$87/12*B460</f>
        <v>0</v>
      </c>
      <c r="E461" s="185">
        <f t="shared" si="100"/>
        <v>0</v>
      </c>
      <c r="F461" s="72">
        <f t="shared" si="105"/>
        <v>296</v>
      </c>
      <c r="G461" s="180">
        <f t="shared" si="101"/>
        <v>2802499.8820320857</v>
      </c>
      <c r="H461" s="186">
        <f>-Parking!$E$94/12</f>
        <v>46202.434086102563</v>
      </c>
      <c r="I461" s="149">
        <f>Parking!$E$92/12*G460</f>
        <v>4739.937298033592</v>
      </c>
      <c r="J461" s="187">
        <f t="shared" si="102"/>
        <v>41462.496788068973</v>
      </c>
      <c r="K461" s="72">
        <f t="shared" si="106"/>
        <v>296</v>
      </c>
      <c r="L461" s="180">
        <f t="shared" si="103"/>
        <v>2802499.8820320857</v>
      </c>
      <c r="M461" s="181">
        <f t="shared" si="103"/>
        <v>46202.434086102563</v>
      </c>
      <c r="N461" s="180">
        <f t="shared" si="103"/>
        <v>4739.937298033592</v>
      </c>
      <c r="O461" s="132">
        <f t="shared" si="103"/>
        <v>41462.496788068973</v>
      </c>
    </row>
    <row r="462" spans="1:15" x14ac:dyDescent="0.25">
      <c r="A462" s="72">
        <f t="shared" si="104"/>
        <v>297</v>
      </c>
      <c r="B462" s="183">
        <f t="shared" si="99"/>
        <v>0</v>
      </c>
      <c r="C462" s="184">
        <f>-Parking!$E$89/12</f>
        <v>0</v>
      </c>
      <c r="D462" s="183">
        <f>Parking!$E$87/12*B461</f>
        <v>0</v>
      </c>
      <c r="E462" s="185">
        <f t="shared" si="100"/>
        <v>0</v>
      </c>
      <c r="F462" s="72">
        <f t="shared" si="105"/>
        <v>297</v>
      </c>
      <c r="G462" s="180">
        <f t="shared" si="101"/>
        <v>2760968.2810827033</v>
      </c>
      <c r="H462" s="186">
        <f>-Parking!$E$94/12</f>
        <v>46202.434086102563</v>
      </c>
      <c r="I462" s="149">
        <f>Parking!$E$92/12*G461</f>
        <v>4670.8331367201426</v>
      </c>
      <c r="J462" s="187">
        <f t="shared" si="102"/>
        <v>41531.600949382424</v>
      </c>
      <c r="K462" s="72">
        <f t="shared" si="106"/>
        <v>297</v>
      </c>
      <c r="L462" s="180">
        <f t="shared" si="103"/>
        <v>2760968.2810827033</v>
      </c>
      <c r="M462" s="181">
        <f t="shared" si="103"/>
        <v>46202.434086102563</v>
      </c>
      <c r="N462" s="180">
        <f t="shared" si="103"/>
        <v>4670.8331367201426</v>
      </c>
      <c r="O462" s="132">
        <f t="shared" si="103"/>
        <v>41531.600949382424</v>
      </c>
    </row>
    <row r="463" spans="1:15" x14ac:dyDescent="0.25">
      <c r="A463" s="72">
        <f t="shared" si="104"/>
        <v>298</v>
      </c>
      <c r="B463" s="183">
        <f t="shared" si="99"/>
        <v>0</v>
      </c>
      <c r="C463" s="184">
        <f>-Parking!$E$89/12</f>
        <v>0</v>
      </c>
      <c r="D463" s="183">
        <f>Parking!$E$87/12*B462</f>
        <v>0</v>
      </c>
      <c r="E463" s="185">
        <f t="shared" si="100"/>
        <v>0</v>
      </c>
      <c r="F463" s="72">
        <f t="shared" si="105"/>
        <v>298</v>
      </c>
      <c r="G463" s="180">
        <f t="shared" si="101"/>
        <v>2719367.4607984051</v>
      </c>
      <c r="H463" s="186">
        <f>-Parking!$E$94/12</f>
        <v>46202.434086102563</v>
      </c>
      <c r="I463" s="149">
        <f>Parking!$E$92/12*G462</f>
        <v>4601.6138018045058</v>
      </c>
      <c r="J463" s="187">
        <f t="shared" si="102"/>
        <v>41600.820284298054</v>
      </c>
      <c r="K463" s="72">
        <f t="shared" si="106"/>
        <v>298</v>
      </c>
      <c r="L463" s="180">
        <f t="shared" si="103"/>
        <v>2719367.4607984051</v>
      </c>
      <c r="M463" s="181">
        <f t="shared" si="103"/>
        <v>46202.434086102563</v>
      </c>
      <c r="N463" s="180">
        <f t="shared" si="103"/>
        <v>4601.6138018045058</v>
      </c>
      <c r="O463" s="132">
        <f t="shared" si="103"/>
        <v>41600.820284298054</v>
      </c>
    </row>
    <row r="464" spans="1:15" x14ac:dyDescent="0.25">
      <c r="A464" s="72">
        <f t="shared" si="104"/>
        <v>299</v>
      </c>
      <c r="B464" s="183">
        <f t="shared" si="99"/>
        <v>0</v>
      </c>
      <c r="C464" s="184">
        <f>-Parking!$E$89/12</f>
        <v>0</v>
      </c>
      <c r="D464" s="183">
        <f>Parking!$E$87/12*B463</f>
        <v>0</v>
      </c>
      <c r="E464" s="185">
        <f t="shared" si="100"/>
        <v>0</v>
      </c>
      <c r="F464" s="72">
        <f t="shared" si="105"/>
        <v>299</v>
      </c>
      <c r="G464" s="180">
        <f t="shared" si="101"/>
        <v>2677697.3058136334</v>
      </c>
      <c r="H464" s="186">
        <f>-Parking!$E$94/12</f>
        <v>46202.434086102563</v>
      </c>
      <c r="I464" s="149">
        <f>Parking!$E$92/12*G463</f>
        <v>4532.2791013306751</v>
      </c>
      <c r="J464" s="187">
        <f t="shared" si="102"/>
        <v>41670.154984771885</v>
      </c>
      <c r="K464" s="72">
        <f t="shared" si="106"/>
        <v>299</v>
      </c>
      <c r="L464" s="180">
        <f t="shared" si="103"/>
        <v>2677697.3058136334</v>
      </c>
      <c r="M464" s="181">
        <f t="shared" si="103"/>
        <v>46202.434086102563</v>
      </c>
      <c r="N464" s="180">
        <f t="shared" si="103"/>
        <v>4532.2791013306751</v>
      </c>
      <c r="O464" s="132">
        <f t="shared" si="103"/>
        <v>41670.154984771885</v>
      </c>
    </row>
    <row r="465" spans="1:15" x14ac:dyDescent="0.25">
      <c r="A465" s="72">
        <f t="shared" si="104"/>
        <v>300</v>
      </c>
      <c r="B465" s="183">
        <f t="shared" si="99"/>
        <v>0</v>
      </c>
      <c r="C465" s="184">
        <f>-Parking!$E$89/12</f>
        <v>0</v>
      </c>
      <c r="D465" s="183">
        <f>Parking!$E$87/12*B464</f>
        <v>0</v>
      </c>
      <c r="E465" s="185">
        <f t="shared" si="100"/>
        <v>0</v>
      </c>
      <c r="F465" s="72">
        <f t="shared" si="105"/>
        <v>300</v>
      </c>
      <c r="G465" s="180">
        <f t="shared" si="101"/>
        <v>2635957.7005705535</v>
      </c>
      <c r="H465" s="186">
        <f>-Parking!$E$94/12</f>
        <v>46202.434086102563</v>
      </c>
      <c r="I465" s="149">
        <f>Parking!$E$92/12*G464</f>
        <v>4462.8288430227221</v>
      </c>
      <c r="J465" s="187">
        <f t="shared" si="102"/>
        <v>41739.605243079845</v>
      </c>
      <c r="K465" s="72">
        <f t="shared" si="106"/>
        <v>300</v>
      </c>
      <c r="L465" s="180">
        <f t="shared" si="103"/>
        <v>2635957.7005705535</v>
      </c>
      <c r="M465" s="181">
        <f t="shared" si="103"/>
        <v>46202.434086102563</v>
      </c>
      <c r="N465" s="180">
        <f t="shared" si="103"/>
        <v>4462.8288430227221</v>
      </c>
      <c r="O465" s="132">
        <f t="shared" si="103"/>
        <v>41739.605243079845</v>
      </c>
    </row>
    <row r="466" spans="1:15" x14ac:dyDescent="0.25">
      <c r="A466" s="72">
        <f t="shared" si="104"/>
        <v>301</v>
      </c>
      <c r="B466" s="183">
        <f t="shared" si="99"/>
        <v>0</v>
      </c>
      <c r="C466" s="184">
        <f>-Parking!$E$89/12</f>
        <v>0</v>
      </c>
      <c r="D466" s="183">
        <f>Parking!$E$87/12*B465</f>
        <v>0</v>
      </c>
      <c r="E466" s="185">
        <f t="shared" si="100"/>
        <v>0</v>
      </c>
      <c r="F466" s="72">
        <f t="shared" si="105"/>
        <v>301</v>
      </c>
      <c r="G466" s="180">
        <f t="shared" si="101"/>
        <v>2594148.529318735</v>
      </c>
      <c r="H466" s="186">
        <f>-Parking!$E$94/12</f>
        <v>46202.434086102563</v>
      </c>
      <c r="I466" s="149">
        <f>Parking!$E$92/12*G465</f>
        <v>4393.2628342842563</v>
      </c>
      <c r="J466" s="187">
        <f t="shared" si="102"/>
        <v>41809.171251818305</v>
      </c>
      <c r="K466" s="72">
        <f t="shared" si="106"/>
        <v>301</v>
      </c>
      <c r="L466" s="180">
        <f t="shared" si="103"/>
        <v>2594148.529318735</v>
      </c>
      <c r="M466" s="181">
        <f t="shared" si="103"/>
        <v>46202.434086102563</v>
      </c>
      <c r="N466" s="180">
        <f t="shared" si="103"/>
        <v>4393.2628342842563</v>
      </c>
      <c r="O466" s="132">
        <f t="shared" si="103"/>
        <v>41809.171251818305</v>
      </c>
    </row>
    <row r="467" spans="1:15" x14ac:dyDescent="0.25">
      <c r="A467" s="72">
        <f t="shared" si="104"/>
        <v>302</v>
      </c>
      <c r="B467" s="183">
        <f t="shared" si="99"/>
        <v>0</v>
      </c>
      <c r="C467" s="184">
        <f>-Parking!$E$89/12</f>
        <v>0</v>
      </c>
      <c r="D467" s="183">
        <f>Parking!$E$87/12*B466</f>
        <v>0</v>
      </c>
      <c r="E467" s="185">
        <f t="shared" si="100"/>
        <v>0</v>
      </c>
      <c r="F467" s="72">
        <f t="shared" si="105"/>
        <v>302</v>
      </c>
      <c r="G467" s="180">
        <f t="shared" si="101"/>
        <v>2552269.6761148302</v>
      </c>
      <c r="H467" s="186">
        <f>-Parking!$E$94/12</f>
        <v>46202.434086102563</v>
      </c>
      <c r="I467" s="149">
        <f>Parking!$E$92/12*G466</f>
        <v>4323.5808821978917</v>
      </c>
      <c r="J467" s="187">
        <f t="shared" si="102"/>
        <v>41878.853203904669</v>
      </c>
      <c r="K467" s="72">
        <f t="shared" si="106"/>
        <v>302</v>
      </c>
      <c r="L467" s="180">
        <f t="shared" si="103"/>
        <v>2552269.6761148302</v>
      </c>
      <c r="M467" s="181">
        <f t="shared" si="103"/>
        <v>46202.434086102563</v>
      </c>
      <c r="N467" s="180">
        <f t="shared" si="103"/>
        <v>4323.5808821978917</v>
      </c>
      <c r="O467" s="132">
        <f t="shared" si="103"/>
        <v>41878.853203904669</v>
      </c>
    </row>
    <row r="468" spans="1:15" x14ac:dyDescent="0.25">
      <c r="A468" s="72">
        <f t="shared" si="104"/>
        <v>303</v>
      </c>
      <c r="B468" s="183">
        <f t="shared" si="99"/>
        <v>0</v>
      </c>
      <c r="C468" s="184">
        <f>-Parking!$E$89/12</f>
        <v>0</v>
      </c>
      <c r="D468" s="183">
        <f>Parking!$E$87/12*B467</f>
        <v>0</v>
      </c>
      <c r="E468" s="185">
        <f t="shared" si="100"/>
        <v>0</v>
      </c>
      <c r="F468" s="72">
        <f t="shared" si="105"/>
        <v>303</v>
      </c>
      <c r="G468" s="180">
        <f t="shared" si="101"/>
        <v>2510321.0248222523</v>
      </c>
      <c r="H468" s="186">
        <f>-Parking!$E$94/12</f>
        <v>46202.434086102563</v>
      </c>
      <c r="I468" s="149">
        <f>Parking!$E$92/12*G467</f>
        <v>4253.7827935247169</v>
      </c>
      <c r="J468" s="187">
        <f t="shared" si="102"/>
        <v>41948.651292577844</v>
      </c>
      <c r="K468" s="72">
        <f t="shared" si="106"/>
        <v>303</v>
      </c>
      <c r="L468" s="180">
        <f t="shared" si="103"/>
        <v>2510321.0248222523</v>
      </c>
      <c r="M468" s="181">
        <f t="shared" si="103"/>
        <v>46202.434086102563</v>
      </c>
      <c r="N468" s="180">
        <f t="shared" si="103"/>
        <v>4253.7827935247169</v>
      </c>
      <c r="O468" s="132">
        <f t="shared" si="103"/>
        <v>41948.651292577844</v>
      </c>
    </row>
    <row r="469" spans="1:15" x14ac:dyDescent="0.25">
      <c r="A469" s="72">
        <f t="shared" si="104"/>
        <v>304</v>
      </c>
      <c r="B469" s="183">
        <f t="shared" si="99"/>
        <v>0</v>
      </c>
      <c r="C469" s="184">
        <f>-Parking!$E$89/12</f>
        <v>0</v>
      </c>
      <c r="D469" s="183">
        <f>Parking!$E$87/12*B468</f>
        <v>0</v>
      </c>
      <c r="E469" s="185">
        <f t="shared" si="100"/>
        <v>0</v>
      </c>
      <c r="F469" s="72">
        <f t="shared" si="105"/>
        <v>304</v>
      </c>
      <c r="G469" s="180">
        <f t="shared" si="101"/>
        <v>2468302.4591108537</v>
      </c>
      <c r="H469" s="186">
        <f>-Parking!$E$94/12</f>
        <v>46202.434086102563</v>
      </c>
      <c r="I469" s="149">
        <f>Parking!$E$92/12*G468</f>
        <v>4183.8683747037539</v>
      </c>
      <c r="J469" s="187">
        <f t="shared" si="102"/>
        <v>42018.565711398813</v>
      </c>
      <c r="K469" s="72">
        <f t="shared" si="106"/>
        <v>304</v>
      </c>
      <c r="L469" s="180">
        <f t="shared" si="103"/>
        <v>2468302.4591108537</v>
      </c>
      <c r="M469" s="181">
        <f t="shared" si="103"/>
        <v>46202.434086102563</v>
      </c>
      <c r="N469" s="180">
        <f t="shared" si="103"/>
        <v>4183.8683747037539</v>
      </c>
      <c r="O469" s="132">
        <f t="shared" si="103"/>
        <v>42018.565711398813</v>
      </c>
    </row>
    <row r="470" spans="1:15" x14ac:dyDescent="0.25">
      <c r="A470" s="72">
        <f t="shared" si="104"/>
        <v>305</v>
      </c>
      <c r="B470" s="183">
        <f t="shared" si="99"/>
        <v>0</v>
      </c>
      <c r="C470" s="184">
        <f>-Parking!$E$89/12</f>
        <v>0</v>
      </c>
      <c r="D470" s="183">
        <f>Parking!$E$87/12*B469</f>
        <v>0</v>
      </c>
      <c r="E470" s="185">
        <f t="shared" si="100"/>
        <v>0</v>
      </c>
      <c r="F470" s="72">
        <f t="shared" si="105"/>
        <v>305</v>
      </c>
      <c r="G470" s="180">
        <f t="shared" si="101"/>
        <v>2426213.8624566025</v>
      </c>
      <c r="H470" s="186">
        <f>-Parking!$E$94/12</f>
        <v>46202.434086102563</v>
      </c>
      <c r="I470" s="149">
        <f>Parking!$E$92/12*G469</f>
        <v>4113.8374318514234</v>
      </c>
      <c r="J470" s="187">
        <f t="shared" si="102"/>
        <v>42088.596654251138</v>
      </c>
      <c r="K470" s="72">
        <f t="shared" si="106"/>
        <v>305</v>
      </c>
      <c r="L470" s="180">
        <f t="shared" si="103"/>
        <v>2426213.8624566025</v>
      </c>
      <c r="M470" s="181">
        <f t="shared" si="103"/>
        <v>46202.434086102563</v>
      </c>
      <c r="N470" s="180">
        <f t="shared" si="103"/>
        <v>4113.8374318514234</v>
      </c>
      <c r="O470" s="132">
        <f t="shared" si="103"/>
        <v>42088.596654251138</v>
      </c>
    </row>
    <row r="471" spans="1:15" x14ac:dyDescent="0.25">
      <c r="A471" s="72">
        <f t="shared" si="104"/>
        <v>306</v>
      </c>
      <c r="B471" s="183">
        <f t="shared" si="99"/>
        <v>0</v>
      </c>
      <c r="C471" s="184">
        <f>-Parking!$E$89/12</f>
        <v>0</v>
      </c>
      <c r="D471" s="183">
        <f>Parking!$E$87/12*B470</f>
        <v>0</v>
      </c>
      <c r="E471" s="185">
        <f t="shared" si="100"/>
        <v>0</v>
      </c>
      <c r="F471" s="72">
        <f t="shared" si="105"/>
        <v>306</v>
      </c>
      <c r="G471" s="180">
        <f t="shared" si="101"/>
        <v>2384055.1181412609</v>
      </c>
      <c r="H471" s="186">
        <f>-Parking!$E$94/12</f>
        <v>46202.434086102563</v>
      </c>
      <c r="I471" s="149">
        <f>Parking!$E$92/12*G470</f>
        <v>4043.6897707610046</v>
      </c>
      <c r="J471" s="187">
        <f t="shared" si="102"/>
        <v>42158.744315341559</v>
      </c>
      <c r="K471" s="72">
        <f t="shared" si="106"/>
        <v>306</v>
      </c>
      <c r="L471" s="180">
        <f t="shared" si="103"/>
        <v>2384055.1181412609</v>
      </c>
      <c r="M471" s="181">
        <f t="shared" si="103"/>
        <v>46202.434086102563</v>
      </c>
      <c r="N471" s="180">
        <f t="shared" si="103"/>
        <v>4043.6897707610046</v>
      </c>
      <c r="O471" s="132">
        <f t="shared" si="103"/>
        <v>42158.744315341559</v>
      </c>
    </row>
    <row r="472" spans="1:15" x14ac:dyDescent="0.25">
      <c r="A472" s="72">
        <f t="shared" si="104"/>
        <v>307</v>
      </c>
      <c r="B472" s="183">
        <f t="shared" si="99"/>
        <v>0</v>
      </c>
      <c r="C472" s="184">
        <f>-Parking!$E$89/12</f>
        <v>0</v>
      </c>
      <c r="D472" s="183">
        <f>Parking!$E$87/12*B471</f>
        <v>0</v>
      </c>
      <c r="E472" s="185">
        <f t="shared" si="100"/>
        <v>0</v>
      </c>
      <c r="F472" s="72">
        <f t="shared" si="105"/>
        <v>307</v>
      </c>
      <c r="G472" s="180">
        <f t="shared" si="101"/>
        <v>2341826.1092520603</v>
      </c>
      <c r="H472" s="186">
        <f>-Parking!$E$94/12</f>
        <v>46202.434086102563</v>
      </c>
      <c r="I472" s="149">
        <f>Parking!$E$92/12*G471</f>
        <v>3973.425196902102</v>
      </c>
      <c r="J472" s="187">
        <f t="shared" si="102"/>
        <v>42229.008889200464</v>
      </c>
      <c r="K472" s="72">
        <f t="shared" si="106"/>
        <v>307</v>
      </c>
      <c r="L472" s="180">
        <f t="shared" si="103"/>
        <v>2341826.1092520603</v>
      </c>
      <c r="M472" s="181">
        <f t="shared" si="103"/>
        <v>46202.434086102563</v>
      </c>
      <c r="N472" s="180">
        <f t="shared" si="103"/>
        <v>3973.425196902102</v>
      </c>
      <c r="O472" s="132">
        <f t="shared" si="103"/>
        <v>42229.008889200464</v>
      </c>
    </row>
    <row r="473" spans="1:15" x14ac:dyDescent="0.25">
      <c r="A473" s="72">
        <f t="shared" si="104"/>
        <v>308</v>
      </c>
      <c r="B473" s="183">
        <f t="shared" si="99"/>
        <v>0</v>
      </c>
      <c r="C473" s="184">
        <f>-Parking!$E$89/12</f>
        <v>0</v>
      </c>
      <c r="D473" s="183">
        <f>Parking!$E$87/12*B472</f>
        <v>0</v>
      </c>
      <c r="E473" s="185">
        <f t="shared" si="100"/>
        <v>0</v>
      </c>
      <c r="F473" s="72">
        <f t="shared" si="105"/>
        <v>308</v>
      </c>
      <c r="G473" s="180">
        <f t="shared" si="101"/>
        <v>2299526.7186813778</v>
      </c>
      <c r="H473" s="186">
        <f>-Parking!$E$94/12</f>
        <v>46202.434086102563</v>
      </c>
      <c r="I473" s="149">
        <f>Parking!$E$92/12*G472</f>
        <v>3903.0435154201009</v>
      </c>
      <c r="J473" s="187">
        <f t="shared" si="102"/>
        <v>42299.390570682459</v>
      </c>
      <c r="K473" s="72">
        <f t="shared" si="106"/>
        <v>308</v>
      </c>
      <c r="L473" s="180">
        <f t="shared" si="103"/>
        <v>2299526.7186813778</v>
      </c>
      <c r="M473" s="181">
        <f t="shared" si="103"/>
        <v>46202.434086102563</v>
      </c>
      <c r="N473" s="180">
        <f t="shared" si="103"/>
        <v>3903.0435154201009</v>
      </c>
      <c r="O473" s="132">
        <f t="shared" si="103"/>
        <v>42299.390570682459</v>
      </c>
    </row>
    <row r="474" spans="1:15" x14ac:dyDescent="0.25">
      <c r="A474" s="72">
        <f t="shared" si="104"/>
        <v>309</v>
      </c>
      <c r="B474" s="183">
        <f t="shared" si="99"/>
        <v>0</v>
      </c>
      <c r="C474" s="184">
        <f>-Parking!$E$89/12</f>
        <v>0</v>
      </c>
      <c r="D474" s="183">
        <f>Parking!$E$87/12*B473</f>
        <v>0</v>
      </c>
      <c r="E474" s="185">
        <f t="shared" si="100"/>
        <v>0</v>
      </c>
      <c r="F474" s="72">
        <f t="shared" si="105"/>
        <v>309</v>
      </c>
      <c r="G474" s="180">
        <f t="shared" si="101"/>
        <v>2257156.8291264111</v>
      </c>
      <c r="H474" s="186">
        <f>-Parking!$E$94/12</f>
        <v>46202.434086102563</v>
      </c>
      <c r="I474" s="149">
        <f>Parking!$E$92/12*G473</f>
        <v>3832.5445311356298</v>
      </c>
      <c r="J474" s="187">
        <f t="shared" si="102"/>
        <v>42369.889554966932</v>
      </c>
      <c r="K474" s="72">
        <f t="shared" si="106"/>
        <v>309</v>
      </c>
      <c r="L474" s="180">
        <f t="shared" si="103"/>
        <v>2257156.8291264111</v>
      </c>
      <c r="M474" s="181">
        <f t="shared" si="103"/>
        <v>46202.434086102563</v>
      </c>
      <c r="N474" s="180">
        <f t="shared" si="103"/>
        <v>3832.5445311356298</v>
      </c>
      <c r="O474" s="132">
        <f t="shared" si="103"/>
        <v>42369.889554966932</v>
      </c>
    </row>
    <row r="475" spans="1:15" x14ac:dyDescent="0.25">
      <c r="A475" s="72">
        <f t="shared" si="104"/>
        <v>310</v>
      </c>
      <c r="B475" s="183">
        <f t="shared" si="99"/>
        <v>0</v>
      </c>
      <c r="C475" s="184">
        <f>-Parking!$E$89/12</f>
        <v>0</v>
      </c>
      <c r="D475" s="183">
        <f>Parking!$E$87/12*B474</f>
        <v>0</v>
      </c>
      <c r="E475" s="185">
        <f t="shared" si="100"/>
        <v>0</v>
      </c>
      <c r="F475" s="72">
        <f t="shared" si="105"/>
        <v>310</v>
      </c>
      <c r="G475" s="180">
        <f t="shared" si="101"/>
        <v>2214716.3230888527</v>
      </c>
      <c r="H475" s="186">
        <f>-Parking!$E$94/12</f>
        <v>46202.434086102563</v>
      </c>
      <c r="I475" s="149">
        <f>Parking!$E$92/12*G474</f>
        <v>3761.9280485440186</v>
      </c>
      <c r="J475" s="187">
        <f t="shared" si="102"/>
        <v>42440.506037558545</v>
      </c>
      <c r="K475" s="72">
        <f t="shared" si="106"/>
        <v>310</v>
      </c>
      <c r="L475" s="180">
        <f t="shared" si="103"/>
        <v>2214716.3230888527</v>
      </c>
      <c r="M475" s="181">
        <f t="shared" si="103"/>
        <v>46202.434086102563</v>
      </c>
      <c r="N475" s="180">
        <f t="shared" si="103"/>
        <v>3761.9280485440186</v>
      </c>
      <c r="O475" s="132">
        <f t="shared" si="103"/>
        <v>42440.506037558545</v>
      </c>
    </row>
    <row r="476" spans="1:15" x14ac:dyDescent="0.25">
      <c r="A476" s="72">
        <f t="shared" si="104"/>
        <v>311</v>
      </c>
      <c r="B476" s="183">
        <f t="shared" si="99"/>
        <v>0</v>
      </c>
      <c r="C476" s="184">
        <f>-Parking!$E$89/12</f>
        <v>0</v>
      </c>
      <c r="D476" s="183">
        <f>Parking!$E$87/12*B475</f>
        <v>0</v>
      </c>
      <c r="E476" s="185">
        <f t="shared" si="100"/>
        <v>0</v>
      </c>
      <c r="F476" s="72">
        <f t="shared" si="105"/>
        <v>311</v>
      </c>
      <c r="G476" s="180">
        <f t="shared" si="101"/>
        <v>2172205.0828745649</v>
      </c>
      <c r="H476" s="186">
        <f>-Parking!$E$94/12</f>
        <v>46202.434086102563</v>
      </c>
      <c r="I476" s="149">
        <f>Parking!$E$92/12*G475</f>
        <v>3691.1938718147549</v>
      </c>
      <c r="J476" s="187">
        <f t="shared" si="102"/>
        <v>42511.240214287805</v>
      </c>
      <c r="K476" s="72">
        <f t="shared" si="106"/>
        <v>311</v>
      </c>
      <c r="L476" s="180">
        <f t="shared" si="103"/>
        <v>2172205.0828745649</v>
      </c>
      <c r="M476" s="181">
        <f t="shared" si="103"/>
        <v>46202.434086102563</v>
      </c>
      <c r="N476" s="180">
        <f t="shared" si="103"/>
        <v>3691.1938718147549</v>
      </c>
      <c r="O476" s="132">
        <f t="shared" si="103"/>
        <v>42511.240214287805</v>
      </c>
    </row>
    <row r="477" spans="1:15" x14ac:dyDescent="0.25">
      <c r="A477" s="72">
        <f t="shared" si="104"/>
        <v>312</v>
      </c>
      <c r="B477" s="183">
        <f t="shared" si="99"/>
        <v>0</v>
      </c>
      <c r="C477" s="184">
        <f>-Parking!$E$89/12</f>
        <v>0</v>
      </c>
      <c r="D477" s="183">
        <f>Parking!$E$87/12*B476</f>
        <v>0</v>
      </c>
      <c r="E477" s="185">
        <f t="shared" si="100"/>
        <v>0</v>
      </c>
      <c r="F477" s="72">
        <f t="shared" si="105"/>
        <v>312</v>
      </c>
      <c r="G477" s="180">
        <f t="shared" si="101"/>
        <v>2129622.9905932532</v>
      </c>
      <c r="H477" s="186">
        <f>-Parking!$E$94/12</f>
        <v>46202.434086102563</v>
      </c>
      <c r="I477" s="149">
        <f>Parking!$E$92/12*G476</f>
        <v>3620.3418047909418</v>
      </c>
      <c r="J477" s="187">
        <f t="shared" si="102"/>
        <v>42582.092281311619</v>
      </c>
      <c r="K477" s="72">
        <f t="shared" si="106"/>
        <v>312</v>
      </c>
      <c r="L477" s="180">
        <f t="shared" si="103"/>
        <v>2129622.9905932532</v>
      </c>
      <c r="M477" s="181">
        <f t="shared" si="103"/>
        <v>46202.434086102563</v>
      </c>
      <c r="N477" s="180">
        <f t="shared" si="103"/>
        <v>3620.3418047909418</v>
      </c>
      <c r="O477" s="132">
        <f t="shared" si="103"/>
        <v>42582.092281311619</v>
      </c>
    </row>
    <row r="478" spans="1:15" x14ac:dyDescent="0.25">
      <c r="A478" s="72">
        <f t="shared" si="104"/>
        <v>313</v>
      </c>
      <c r="B478" s="183">
        <f t="shared" si="99"/>
        <v>0</v>
      </c>
      <c r="C478" s="184">
        <f>-Parking!$E$89/12</f>
        <v>0</v>
      </c>
      <c r="D478" s="183">
        <f>Parking!$E$87/12*B477</f>
        <v>0</v>
      </c>
      <c r="E478" s="185">
        <f t="shared" si="100"/>
        <v>0</v>
      </c>
      <c r="F478" s="72">
        <f t="shared" si="105"/>
        <v>313</v>
      </c>
      <c r="G478" s="180">
        <f t="shared" si="101"/>
        <v>2086969.9281581393</v>
      </c>
      <c r="H478" s="186">
        <f>-Parking!$E$94/12</f>
        <v>46202.434086102563</v>
      </c>
      <c r="I478" s="149">
        <f>Parking!$E$92/12*G477</f>
        <v>3549.3716509887554</v>
      </c>
      <c r="J478" s="187">
        <f t="shared" si="102"/>
        <v>42653.06243511381</v>
      </c>
      <c r="K478" s="72">
        <f t="shared" si="106"/>
        <v>313</v>
      </c>
      <c r="L478" s="180">
        <f t="shared" si="103"/>
        <v>2086969.9281581393</v>
      </c>
      <c r="M478" s="181">
        <f t="shared" si="103"/>
        <v>46202.434086102563</v>
      </c>
      <c r="N478" s="180">
        <f t="shared" si="103"/>
        <v>3549.3716509887554</v>
      </c>
      <c r="O478" s="132">
        <f t="shared" si="103"/>
        <v>42653.06243511381</v>
      </c>
    </row>
    <row r="479" spans="1:15" x14ac:dyDescent="0.25">
      <c r="A479" s="72">
        <f t="shared" si="104"/>
        <v>314</v>
      </c>
      <c r="B479" s="183">
        <f t="shared" si="99"/>
        <v>0</v>
      </c>
      <c r="C479" s="184">
        <f>-Parking!$E$89/12</f>
        <v>0</v>
      </c>
      <c r="D479" s="183">
        <f>Parking!$E$87/12*B478</f>
        <v>0</v>
      </c>
      <c r="E479" s="185">
        <f t="shared" si="100"/>
        <v>0</v>
      </c>
      <c r="F479" s="72">
        <f t="shared" si="105"/>
        <v>314</v>
      </c>
      <c r="G479" s="180">
        <f t="shared" si="101"/>
        <v>2044245.7772856336</v>
      </c>
      <c r="H479" s="186">
        <f>-Parking!$E$94/12</f>
        <v>46202.434086102563</v>
      </c>
      <c r="I479" s="149">
        <f>Parking!$E$92/12*G478</f>
        <v>3478.2832135968993</v>
      </c>
      <c r="J479" s="187">
        <f t="shared" si="102"/>
        <v>42724.150872505663</v>
      </c>
      <c r="K479" s="72">
        <f t="shared" si="106"/>
        <v>314</v>
      </c>
      <c r="L479" s="180">
        <f t="shared" si="103"/>
        <v>2044245.7772856336</v>
      </c>
      <c r="M479" s="181">
        <f t="shared" si="103"/>
        <v>46202.434086102563</v>
      </c>
      <c r="N479" s="180">
        <f t="shared" si="103"/>
        <v>3478.2832135968993</v>
      </c>
      <c r="O479" s="132">
        <f t="shared" si="103"/>
        <v>42724.150872505663</v>
      </c>
    </row>
    <row r="480" spans="1:15" x14ac:dyDescent="0.25">
      <c r="A480" s="72">
        <f t="shared" si="104"/>
        <v>315</v>
      </c>
      <c r="B480" s="183">
        <f t="shared" si="99"/>
        <v>0</v>
      </c>
      <c r="C480" s="184">
        <f>-Parking!$E$89/12</f>
        <v>0</v>
      </c>
      <c r="D480" s="183">
        <f>Parking!$E$87/12*B479</f>
        <v>0</v>
      </c>
      <c r="E480" s="185">
        <f t="shared" si="100"/>
        <v>0</v>
      </c>
      <c r="F480" s="72">
        <f t="shared" si="105"/>
        <v>315</v>
      </c>
      <c r="G480" s="180">
        <f t="shared" si="101"/>
        <v>2001450.419495007</v>
      </c>
      <c r="H480" s="186">
        <f>-Parking!$E$94/12</f>
        <v>46202.434086102563</v>
      </c>
      <c r="I480" s="149">
        <f>Parking!$E$92/12*G479</f>
        <v>3407.0762954760562</v>
      </c>
      <c r="J480" s="187">
        <f t="shared" si="102"/>
        <v>42795.357790626505</v>
      </c>
      <c r="K480" s="72">
        <f t="shared" si="106"/>
        <v>315</v>
      </c>
      <c r="L480" s="180">
        <f t="shared" si="103"/>
        <v>2001450.419495007</v>
      </c>
      <c r="M480" s="181">
        <f t="shared" si="103"/>
        <v>46202.434086102563</v>
      </c>
      <c r="N480" s="180">
        <f t="shared" si="103"/>
        <v>3407.0762954760562</v>
      </c>
      <c r="O480" s="132">
        <f t="shared" si="103"/>
        <v>42795.357790626505</v>
      </c>
    </row>
    <row r="481" spans="1:15" x14ac:dyDescent="0.25">
      <c r="A481" s="72">
        <f t="shared" si="104"/>
        <v>316</v>
      </c>
      <c r="B481" s="183">
        <f t="shared" si="99"/>
        <v>0</v>
      </c>
      <c r="C481" s="184">
        <f>-Parking!$E$89/12</f>
        <v>0</v>
      </c>
      <c r="D481" s="183">
        <f>Parking!$E$87/12*B480</f>
        <v>0</v>
      </c>
      <c r="E481" s="185">
        <f t="shared" si="100"/>
        <v>0</v>
      </c>
      <c r="F481" s="72">
        <f t="shared" si="105"/>
        <v>316</v>
      </c>
      <c r="G481" s="180">
        <f t="shared" si="101"/>
        <v>1958583.7361080628</v>
      </c>
      <c r="H481" s="186">
        <f>-Parking!$E$94/12</f>
        <v>46202.434086102563</v>
      </c>
      <c r="I481" s="149">
        <f>Parking!$E$92/12*G480</f>
        <v>3335.7506991583455</v>
      </c>
      <c r="J481" s="187">
        <f t="shared" si="102"/>
        <v>42866.68338694422</v>
      </c>
      <c r="K481" s="72">
        <f t="shared" si="106"/>
        <v>316</v>
      </c>
      <c r="L481" s="180">
        <f t="shared" si="103"/>
        <v>1958583.7361080628</v>
      </c>
      <c r="M481" s="181">
        <f t="shared" si="103"/>
        <v>46202.434086102563</v>
      </c>
      <c r="N481" s="180">
        <f t="shared" si="103"/>
        <v>3335.7506991583455</v>
      </c>
      <c r="O481" s="132">
        <f t="shared" si="103"/>
        <v>42866.68338694422</v>
      </c>
    </row>
    <row r="482" spans="1:15" x14ac:dyDescent="0.25">
      <c r="A482" s="72">
        <f t="shared" si="104"/>
        <v>317</v>
      </c>
      <c r="B482" s="183">
        <f t="shared" si="99"/>
        <v>0</v>
      </c>
      <c r="C482" s="184">
        <f>-Parking!$E$89/12</f>
        <v>0</v>
      </c>
      <c r="D482" s="183">
        <f>Parking!$E$87/12*B481</f>
        <v>0</v>
      </c>
      <c r="E482" s="185">
        <f t="shared" si="100"/>
        <v>0</v>
      </c>
      <c r="F482" s="72">
        <f t="shared" si="105"/>
        <v>317</v>
      </c>
      <c r="G482" s="180">
        <f t="shared" si="101"/>
        <v>1915645.608248807</v>
      </c>
      <c r="H482" s="186">
        <f>-Parking!$E$94/12</f>
        <v>46202.434086102563</v>
      </c>
      <c r="I482" s="149">
        <f>Parking!$E$92/12*G481</f>
        <v>3264.3062268467716</v>
      </c>
      <c r="J482" s="187">
        <f t="shared" si="102"/>
        <v>42938.127859255794</v>
      </c>
      <c r="K482" s="72">
        <f t="shared" si="106"/>
        <v>317</v>
      </c>
      <c r="L482" s="180">
        <f t="shared" si="103"/>
        <v>1915645.608248807</v>
      </c>
      <c r="M482" s="181">
        <f t="shared" si="103"/>
        <v>46202.434086102563</v>
      </c>
      <c r="N482" s="180">
        <f t="shared" si="103"/>
        <v>3264.3062268467716</v>
      </c>
      <c r="O482" s="132">
        <f t="shared" si="103"/>
        <v>42938.127859255794</v>
      </c>
    </row>
    <row r="483" spans="1:15" x14ac:dyDescent="0.25">
      <c r="A483" s="72">
        <f t="shared" si="104"/>
        <v>318</v>
      </c>
      <c r="B483" s="183">
        <f t="shared" si="99"/>
        <v>0</v>
      </c>
      <c r="C483" s="184">
        <f>-Parking!$E$89/12</f>
        <v>0</v>
      </c>
      <c r="D483" s="183">
        <f>Parking!$E$87/12*B482</f>
        <v>0</v>
      </c>
      <c r="E483" s="185">
        <f t="shared" si="100"/>
        <v>0</v>
      </c>
      <c r="F483" s="72">
        <f t="shared" si="105"/>
        <v>318</v>
      </c>
      <c r="G483" s="180">
        <f t="shared" si="101"/>
        <v>1872635.9168431191</v>
      </c>
      <c r="H483" s="186">
        <f>-Parking!$E$94/12</f>
        <v>46202.434086102563</v>
      </c>
      <c r="I483" s="149">
        <f>Parking!$E$92/12*G482</f>
        <v>3192.7426804146785</v>
      </c>
      <c r="J483" s="187">
        <f t="shared" si="102"/>
        <v>43009.691405687881</v>
      </c>
      <c r="K483" s="72">
        <f t="shared" si="106"/>
        <v>318</v>
      </c>
      <c r="L483" s="180">
        <f t="shared" si="103"/>
        <v>1872635.9168431191</v>
      </c>
      <c r="M483" s="181">
        <f t="shared" si="103"/>
        <v>46202.434086102563</v>
      </c>
      <c r="N483" s="180">
        <f t="shared" si="103"/>
        <v>3192.7426804146785</v>
      </c>
      <c r="O483" s="132">
        <f t="shared" si="103"/>
        <v>43009.691405687881</v>
      </c>
    </row>
    <row r="484" spans="1:15" x14ac:dyDescent="0.25">
      <c r="A484" s="72">
        <f t="shared" si="104"/>
        <v>319</v>
      </c>
      <c r="B484" s="183">
        <f t="shared" si="99"/>
        <v>0</v>
      </c>
      <c r="C484" s="184">
        <f>-Parking!$E$89/12</f>
        <v>0</v>
      </c>
      <c r="D484" s="183">
        <f>Parking!$E$87/12*B483</f>
        <v>0</v>
      </c>
      <c r="E484" s="185">
        <f t="shared" si="100"/>
        <v>0</v>
      </c>
      <c r="F484" s="72">
        <f t="shared" si="105"/>
        <v>319</v>
      </c>
      <c r="G484" s="180">
        <f t="shared" si="101"/>
        <v>1829554.5426184216</v>
      </c>
      <c r="H484" s="186">
        <f>-Parking!$E$94/12</f>
        <v>46202.434086102563</v>
      </c>
      <c r="I484" s="149">
        <f>Parking!$E$92/12*G483</f>
        <v>3121.0598614051987</v>
      </c>
      <c r="J484" s="187">
        <f t="shared" si="102"/>
        <v>43081.374224697363</v>
      </c>
      <c r="K484" s="72">
        <f t="shared" si="106"/>
        <v>319</v>
      </c>
      <c r="L484" s="180">
        <f t="shared" si="103"/>
        <v>1829554.5426184216</v>
      </c>
      <c r="M484" s="181">
        <f t="shared" si="103"/>
        <v>46202.434086102563</v>
      </c>
      <c r="N484" s="180">
        <f t="shared" si="103"/>
        <v>3121.0598614051987</v>
      </c>
      <c r="O484" s="132">
        <f t="shared" si="103"/>
        <v>43081.374224697363</v>
      </c>
    </row>
    <row r="485" spans="1:15" x14ac:dyDescent="0.25">
      <c r="A485" s="72">
        <f t="shared" si="104"/>
        <v>320</v>
      </c>
      <c r="B485" s="183">
        <f t="shared" si="99"/>
        <v>0</v>
      </c>
      <c r="C485" s="184">
        <f>-Parking!$E$89/12</f>
        <v>0</v>
      </c>
      <c r="D485" s="183">
        <f>Parking!$E$87/12*B484</f>
        <v>0</v>
      </c>
      <c r="E485" s="185">
        <f t="shared" si="100"/>
        <v>0</v>
      </c>
      <c r="F485" s="72">
        <f t="shared" si="105"/>
        <v>320</v>
      </c>
      <c r="G485" s="180">
        <f t="shared" si="101"/>
        <v>1786401.3661033497</v>
      </c>
      <c r="H485" s="186">
        <f>-Parking!$E$94/12</f>
        <v>46202.434086102563</v>
      </c>
      <c r="I485" s="149">
        <f>Parking!$E$92/12*G484</f>
        <v>3049.2575710307028</v>
      </c>
      <c r="J485" s="187">
        <f t="shared" si="102"/>
        <v>43153.176515071857</v>
      </c>
      <c r="K485" s="72">
        <f t="shared" si="106"/>
        <v>320</v>
      </c>
      <c r="L485" s="180">
        <f t="shared" si="103"/>
        <v>1786401.3661033497</v>
      </c>
      <c r="M485" s="181">
        <f t="shared" si="103"/>
        <v>46202.434086102563</v>
      </c>
      <c r="N485" s="180">
        <f t="shared" si="103"/>
        <v>3049.2575710307028</v>
      </c>
      <c r="O485" s="132">
        <f t="shared" ref="O485:O525" si="107">J485+E485</f>
        <v>43153.176515071857</v>
      </c>
    </row>
    <row r="486" spans="1:15" x14ac:dyDescent="0.25">
      <c r="A486" s="72">
        <f t="shared" si="104"/>
        <v>321</v>
      </c>
      <c r="B486" s="183">
        <f t="shared" ref="B486:B525" si="108">B485-E486</f>
        <v>0</v>
      </c>
      <c r="C486" s="184">
        <f>-Parking!$E$89/12</f>
        <v>0</v>
      </c>
      <c r="D486" s="183">
        <f>Parking!$E$87/12*B485</f>
        <v>0</v>
      </c>
      <c r="E486" s="185">
        <f t="shared" ref="E486:E525" si="109">C486-D486</f>
        <v>0</v>
      </c>
      <c r="F486" s="72">
        <f t="shared" si="105"/>
        <v>321</v>
      </c>
      <c r="G486" s="180">
        <f t="shared" ref="G486:G525" si="110">G485-J486</f>
        <v>1743176.2676274194</v>
      </c>
      <c r="H486" s="186">
        <f>-Parking!$E$94/12</f>
        <v>46202.434086102563</v>
      </c>
      <c r="I486" s="149">
        <f>Parking!$E$92/12*G485</f>
        <v>2977.3356101722497</v>
      </c>
      <c r="J486" s="187">
        <f t="shared" ref="J486:J525" si="111">H486-I486</f>
        <v>43225.09847593031</v>
      </c>
      <c r="K486" s="72">
        <f t="shared" si="106"/>
        <v>321</v>
      </c>
      <c r="L486" s="180">
        <f t="shared" ref="L486:N525" si="112">G486+B486</f>
        <v>1743176.2676274194</v>
      </c>
      <c r="M486" s="181">
        <f t="shared" si="112"/>
        <v>46202.434086102563</v>
      </c>
      <c r="N486" s="180">
        <f t="shared" si="112"/>
        <v>2977.3356101722497</v>
      </c>
      <c r="O486" s="132">
        <f t="shared" si="107"/>
        <v>43225.09847593031</v>
      </c>
    </row>
    <row r="487" spans="1:15" x14ac:dyDescent="0.25">
      <c r="A487" s="72">
        <f t="shared" ref="A487:A525" si="113">A486+1</f>
        <v>322</v>
      </c>
      <c r="B487" s="183">
        <f t="shared" si="108"/>
        <v>0</v>
      </c>
      <c r="C487" s="184">
        <f>-Parking!$E$89/12</f>
        <v>0</v>
      </c>
      <c r="D487" s="183">
        <f>Parking!$E$87/12*B486</f>
        <v>0</v>
      </c>
      <c r="E487" s="185">
        <f t="shared" si="109"/>
        <v>0</v>
      </c>
      <c r="F487" s="72">
        <f t="shared" ref="F487:F525" si="114">F486+1</f>
        <v>322</v>
      </c>
      <c r="G487" s="180">
        <f t="shared" si="110"/>
        <v>1699879.1273206959</v>
      </c>
      <c r="H487" s="186">
        <f>-Parking!$E$94/12</f>
        <v>46202.434086102563</v>
      </c>
      <c r="I487" s="149">
        <f>Parking!$E$92/12*G486</f>
        <v>2905.2937793790325</v>
      </c>
      <c r="J487" s="187">
        <f t="shared" si="111"/>
        <v>43297.14030672353</v>
      </c>
      <c r="K487" s="72">
        <f t="shared" ref="K487:K525" si="115">K486+1</f>
        <v>322</v>
      </c>
      <c r="L487" s="180">
        <f t="shared" si="112"/>
        <v>1699879.1273206959</v>
      </c>
      <c r="M487" s="181">
        <f t="shared" si="112"/>
        <v>46202.434086102563</v>
      </c>
      <c r="N487" s="180">
        <f t="shared" si="112"/>
        <v>2905.2937793790325</v>
      </c>
      <c r="O487" s="132">
        <f t="shared" si="107"/>
        <v>43297.14030672353</v>
      </c>
    </row>
    <row r="488" spans="1:15" x14ac:dyDescent="0.25">
      <c r="A488" s="72">
        <f t="shared" si="113"/>
        <v>323</v>
      </c>
      <c r="B488" s="183">
        <f t="shared" si="108"/>
        <v>0</v>
      </c>
      <c r="C488" s="184">
        <f>-Parking!$E$89/12</f>
        <v>0</v>
      </c>
      <c r="D488" s="183">
        <f>Parking!$E$87/12*B487</f>
        <v>0</v>
      </c>
      <c r="E488" s="185">
        <f t="shared" si="109"/>
        <v>0</v>
      </c>
      <c r="F488" s="72">
        <f t="shared" si="114"/>
        <v>323</v>
      </c>
      <c r="G488" s="180">
        <f t="shared" si="110"/>
        <v>1656509.8251134611</v>
      </c>
      <c r="H488" s="186">
        <f>-Parking!$E$94/12</f>
        <v>46202.434086102563</v>
      </c>
      <c r="I488" s="149">
        <f>Parking!$E$92/12*G487</f>
        <v>2833.1318788678268</v>
      </c>
      <c r="J488" s="187">
        <f t="shared" si="111"/>
        <v>43369.302207234738</v>
      </c>
      <c r="K488" s="72">
        <f t="shared" si="115"/>
        <v>323</v>
      </c>
      <c r="L488" s="180">
        <f t="shared" si="112"/>
        <v>1656509.8251134611</v>
      </c>
      <c r="M488" s="181">
        <f t="shared" si="112"/>
        <v>46202.434086102563</v>
      </c>
      <c r="N488" s="180">
        <f t="shared" si="112"/>
        <v>2833.1318788678268</v>
      </c>
      <c r="O488" s="132">
        <f t="shared" si="107"/>
        <v>43369.302207234738</v>
      </c>
    </row>
    <row r="489" spans="1:15" x14ac:dyDescent="0.25">
      <c r="A489" s="72">
        <f t="shared" si="113"/>
        <v>324</v>
      </c>
      <c r="B489" s="183">
        <f t="shared" si="108"/>
        <v>0</v>
      </c>
      <c r="C489" s="184">
        <f>-Parking!$E$89/12</f>
        <v>0</v>
      </c>
      <c r="D489" s="183">
        <f>Parking!$E$87/12*B488</f>
        <v>0</v>
      </c>
      <c r="E489" s="185">
        <f t="shared" si="109"/>
        <v>0</v>
      </c>
      <c r="F489" s="72">
        <f t="shared" si="114"/>
        <v>324</v>
      </c>
      <c r="G489" s="180">
        <f t="shared" si="110"/>
        <v>1613068.240735881</v>
      </c>
      <c r="H489" s="186">
        <f>-Parking!$E$94/12</f>
        <v>46202.434086102563</v>
      </c>
      <c r="I489" s="149">
        <f>Parking!$E$92/12*G488</f>
        <v>2760.8497085224353</v>
      </c>
      <c r="J489" s="187">
        <f t="shared" si="111"/>
        <v>43441.584377580126</v>
      </c>
      <c r="K489" s="72">
        <f t="shared" si="115"/>
        <v>324</v>
      </c>
      <c r="L489" s="180">
        <f t="shared" si="112"/>
        <v>1613068.240735881</v>
      </c>
      <c r="M489" s="181">
        <f t="shared" si="112"/>
        <v>46202.434086102563</v>
      </c>
      <c r="N489" s="180">
        <f t="shared" si="112"/>
        <v>2760.8497085224353</v>
      </c>
      <c r="O489" s="132">
        <f t="shared" si="107"/>
        <v>43441.584377580126</v>
      </c>
    </row>
    <row r="490" spans="1:15" x14ac:dyDescent="0.25">
      <c r="A490" s="72">
        <f t="shared" si="113"/>
        <v>325</v>
      </c>
      <c r="B490" s="183">
        <f t="shared" si="108"/>
        <v>0</v>
      </c>
      <c r="C490" s="184">
        <f>-Parking!$E$89/12</f>
        <v>0</v>
      </c>
      <c r="D490" s="183">
        <f>Parking!$E$87/12*B489</f>
        <v>0</v>
      </c>
      <c r="E490" s="185">
        <f t="shared" si="109"/>
        <v>0</v>
      </c>
      <c r="F490" s="72">
        <f t="shared" si="114"/>
        <v>325</v>
      </c>
      <c r="G490" s="180">
        <f t="shared" si="110"/>
        <v>1569554.2537176716</v>
      </c>
      <c r="H490" s="186">
        <f>-Parking!$E$94/12</f>
        <v>46202.434086102563</v>
      </c>
      <c r="I490" s="149">
        <f>Parking!$E$92/12*G489</f>
        <v>2688.4470678931352</v>
      </c>
      <c r="J490" s="187">
        <f t="shared" si="111"/>
        <v>43513.987018209431</v>
      </c>
      <c r="K490" s="72">
        <f t="shared" si="115"/>
        <v>325</v>
      </c>
      <c r="L490" s="180">
        <f t="shared" si="112"/>
        <v>1569554.2537176716</v>
      </c>
      <c r="M490" s="181">
        <f t="shared" si="112"/>
        <v>46202.434086102563</v>
      </c>
      <c r="N490" s="180">
        <f t="shared" si="112"/>
        <v>2688.4470678931352</v>
      </c>
      <c r="O490" s="132">
        <f t="shared" si="107"/>
        <v>43513.987018209431</v>
      </c>
    </row>
    <row r="491" spans="1:15" x14ac:dyDescent="0.25">
      <c r="A491" s="72">
        <f t="shared" si="113"/>
        <v>326</v>
      </c>
      <c r="B491" s="183">
        <f t="shared" si="108"/>
        <v>0</v>
      </c>
      <c r="C491" s="184">
        <f>-Parking!$E$89/12</f>
        <v>0</v>
      </c>
      <c r="D491" s="183">
        <f>Parking!$E$87/12*B490</f>
        <v>0</v>
      </c>
      <c r="E491" s="185">
        <f t="shared" si="109"/>
        <v>0</v>
      </c>
      <c r="F491" s="72">
        <f t="shared" si="114"/>
        <v>326</v>
      </c>
      <c r="G491" s="180">
        <f t="shared" si="110"/>
        <v>1525967.7433877653</v>
      </c>
      <c r="H491" s="186">
        <f>-Parking!$E$94/12</f>
        <v>46202.434086102563</v>
      </c>
      <c r="I491" s="149">
        <f>Parking!$E$92/12*G490</f>
        <v>2615.9237561961195</v>
      </c>
      <c r="J491" s="187">
        <f t="shared" si="111"/>
        <v>43586.510329906443</v>
      </c>
      <c r="K491" s="72">
        <f t="shared" si="115"/>
        <v>326</v>
      </c>
      <c r="L491" s="180">
        <f t="shared" si="112"/>
        <v>1525967.7433877653</v>
      </c>
      <c r="M491" s="181">
        <f t="shared" si="112"/>
        <v>46202.434086102563</v>
      </c>
      <c r="N491" s="180">
        <f t="shared" si="112"/>
        <v>2615.9237561961195</v>
      </c>
      <c r="O491" s="132">
        <f t="shared" si="107"/>
        <v>43586.510329906443</v>
      </c>
    </row>
    <row r="492" spans="1:15" x14ac:dyDescent="0.25">
      <c r="A492" s="72">
        <f t="shared" si="113"/>
        <v>327</v>
      </c>
      <c r="B492" s="183">
        <f t="shared" si="108"/>
        <v>0</v>
      </c>
      <c r="C492" s="184">
        <f>-Parking!$E$89/12</f>
        <v>0</v>
      </c>
      <c r="D492" s="183">
        <f>Parking!$E$87/12*B491</f>
        <v>0</v>
      </c>
      <c r="E492" s="185">
        <f t="shared" si="109"/>
        <v>0</v>
      </c>
      <c r="F492" s="72">
        <f t="shared" si="114"/>
        <v>327</v>
      </c>
      <c r="G492" s="180">
        <f t="shared" si="110"/>
        <v>1482308.5888739757</v>
      </c>
      <c r="H492" s="186">
        <f>-Parking!$E$94/12</f>
        <v>46202.434086102563</v>
      </c>
      <c r="I492" s="149">
        <f>Parking!$E$92/12*G491</f>
        <v>2543.279572312942</v>
      </c>
      <c r="J492" s="187">
        <f t="shared" si="111"/>
        <v>43659.154513789617</v>
      </c>
      <c r="K492" s="72">
        <f t="shared" si="115"/>
        <v>327</v>
      </c>
      <c r="L492" s="180">
        <f t="shared" si="112"/>
        <v>1482308.5888739757</v>
      </c>
      <c r="M492" s="181">
        <f t="shared" si="112"/>
        <v>46202.434086102563</v>
      </c>
      <c r="N492" s="180">
        <f t="shared" si="112"/>
        <v>2543.279572312942</v>
      </c>
      <c r="O492" s="132">
        <f t="shared" si="107"/>
        <v>43659.154513789617</v>
      </c>
    </row>
    <row r="493" spans="1:15" x14ac:dyDescent="0.25">
      <c r="A493" s="72">
        <f t="shared" si="113"/>
        <v>328</v>
      </c>
      <c r="B493" s="183">
        <f t="shared" si="108"/>
        <v>0</v>
      </c>
      <c r="C493" s="184">
        <f>-Parking!$E$89/12</f>
        <v>0</v>
      </c>
      <c r="D493" s="183">
        <f>Parking!$E$87/12*B492</f>
        <v>0</v>
      </c>
      <c r="E493" s="185">
        <f t="shared" si="109"/>
        <v>0</v>
      </c>
      <c r="F493" s="72">
        <f t="shared" si="114"/>
        <v>328</v>
      </c>
      <c r="G493" s="180">
        <f t="shared" si="110"/>
        <v>1438576.6691026632</v>
      </c>
      <c r="H493" s="186">
        <f>-Parking!$E$94/12</f>
        <v>46202.434086102563</v>
      </c>
      <c r="I493" s="149">
        <f>Parking!$E$92/12*G492</f>
        <v>2470.5143147899598</v>
      </c>
      <c r="J493" s="187">
        <f t="shared" si="111"/>
        <v>43731.919771312605</v>
      </c>
      <c r="K493" s="72">
        <f t="shared" si="115"/>
        <v>328</v>
      </c>
      <c r="L493" s="180">
        <f t="shared" si="112"/>
        <v>1438576.6691026632</v>
      </c>
      <c r="M493" s="181">
        <f t="shared" si="112"/>
        <v>46202.434086102563</v>
      </c>
      <c r="N493" s="180">
        <f t="shared" si="112"/>
        <v>2470.5143147899598</v>
      </c>
      <c r="O493" s="132">
        <f t="shared" si="107"/>
        <v>43731.919771312605</v>
      </c>
    </row>
    <row r="494" spans="1:15" x14ac:dyDescent="0.25">
      <c r="A494" s="72">
        <f t="shared" si="113"/>
        <v>329</v>
      </c>
      <c r="B494" s="183">
        <f t="shared" si="108"/>
        <v>0</v>
      </c>
      <c r="C494" s="184">
        <f>-Parking!$E$89/12</f>
        <v>0</v>
      </c>
      <c r="D494" s="183">
        <f>Parking!$E$87/12*B493</f>
        <v>0</v>
      </c>
      <c r="E494" s="185">
        <f t="shared" si="109"/>
        <v>0</v>
      </c>
      <c r="F494" s="72">
        <f t="shared" si="114"/>
        <v>329</v>
      </c>
      <c r="G494" s="180">
        <f t="shared" si="110"/>
        <v>1394771.8627983984</v>
      </c>
      <c r="H494" s="186">
        <f>-Parking!$E$94/12</f>
        <v>46202.434086102563</v>
      </c>
      <c r="I494" s="149">
        <f>Parking!$E$92/12*G493</f>
        <v>2397.6277818377721</v>
      </c>
      <c r="J494" s="187">
        <f t="shared" si="111"/>
        <v>43804.806304264792</v>
      </c>
      <c r="K494" s="72">
        <f t="shared" si="115"/>
        <v>329</v>
      </c>
      <c r="L494" s="180">
        <f t="shared" si="112"/>
        <v>1394771.8627983984</v>
      </c>
      <c r="M494" s="181">
        <f t="shared" si="112"/>
        <v>46202.434086102563</v>
      </c>
      <c r="N494" s="180">
        <f t="shared" si="112"/>
        <v>2397.6277818377721</v>
      </c>
      <c r="O494" s="132">
        <f t="shared" si="107"/>
        <v>43804.806304264792</v>
      </c>
    </row>
    <row r="495" spans="1:15" x14ac:dyDescent="0.25">
      <c r="A495" s="72">
        <f t="shared" si="113"/>
        <v>330</v>
      </c>
      <c r="B495" s="183">
        <f t="shared" si="108"/>
        <v>0</v>
      </c>
      <c r="C495" s="184">
        <f>-Parking!$E$89/12</f>
        <v>0</v>
      </c>
      <c r="D495" s="183">
        <f>Parking!$E$87/12*B494</f>
        <v>0</v>
      </c>
      <c r="E495" s="185">
        <f t="shared" si="109"/>
        <v>0</v>
      </c>
      <c r="F495" s="72">
        <f t="shared" si="114"/>
        <v>330</v>
      </c>
      <c r="G495" s="180">
        <f t="shared" si="110"/>
        <v>1350894.0484836265</v>
      </c>
      <c r="H495" s="186">
        <f>-Parking!$E$94/12</f>
        <v>46202.434086102563</v>
      </c>
      <c r="I495" s="149">
        <f>Parking!$E$92/12*G494</f>
        <v>2324.6197713306642</v>
      </c>
      <c r="J495" s="187">
        <f t="shared" si="111"/>
        <v>43877.814314771902</v>
      </c>
      <c r="K495" s="72">
        <f t="shared" si="115"/>
        <v>330</v>
      </c>
      <c r="L495" s="180">
        <f t="shared" si="112"/>
        <v>1350894.0484836265</v>
      </c>
      <c r="M495" s="181">
        <f t="shared" si="112"/>
        <v>46202.434086102563</v>
      </c>
      <c r="N495" s="180">
        <f t="shared" si="112"/>
        <v>2324.6197713306642</v>
      </c>
      <c r="O495" s="132">
        <f t="shared" si="107"/>
        <v>43877.814314771902</v>
      </c>
    </row>
    <row r="496" spans="1:15" x14ac:dyDescent="0.25">
      <c r="A496" s="72">
        <f t="shared" si="113"/>
        <v>331</v>
      </c>
      <c r="B496" s="183">
        <f t="shared" si="108"/>
        <v>0</v>
      </c>
      <c r="C496" s="184">
        <f>-Parking!$E$89/12</f>
        <v>0</v>
      </c>
      <c r="D496" s="183">
        <f>Parking!$E$87/12*B495</f>
        <v>0</v>
      </c>
      <c r="E496" s="185">
        <f t="shared" si="109"/>
        <v>0</v>
      </c>
      <c r="F496" s="72">
        <f t="shared" si="114"/>
        <v>331</v>
      </c>
      <c r="G496" s="180">
        <f t="shared" si="110"/>
        <v>1306943.1044783299</v>
      </c>
      <c r="H496" s="186">
        <f>-Parking!$E$94/12</f>
        <v>46202.434086102563</v>
      </c>
      <c r="I496" s="149">
        <f>Parking!$E$92/12*G495</f>
        <v>2251.4900808060443</v>
      </c>
      <c r="J496" s="187">
        <f t="shared" si="111"/>
        <v>43950.944005296522</v>
      </c>
      <c r="K496" s="72">
        <f t="shared" si="115"/>
        <v>331</v>
      </c>
      <c r="L496" s="180">
        <f t="shared" si="112"/>
        <v>1306943.1044783299</v>
      </c>
      <c r="M496" s="181">
        <f t="shared" si="112"/>
        <v>46202.434086102563</v>
      </c>
      <c r="N496" s="180">
        <f t="shared" si="112"/>
        <v>2251.4900808060443</v>
      </c>
      <c r="O496" s="132">
        <f t="shared" si="107"/>
        <v>43950.944005296522</v>
      </c>
    </row>
    <row r="497" spans="1:15" x14ac:dyDescent="0.25">
      <c r="A497" s="72">
        <f t="shared" si="113"/>
        <v>332</v>
      </c>
      <c r="B497" s="183">
        <f t="shared" si="108"/>
        <v>0</v>
      </c>
      <c r="C497" s="184">
        <f>-Parking!$E$89/12</f>
        <v>0</v>
      </c>
      <c r="D497" s="183">
        <f>Parking!$E$87/12*B496</f>
        <v>0</v>
      </c>
      <c r="E497" s="185">
        <f t="shared" si="109"/>
        <v>0</v>
      </c>
      <c r="F497" s="72">
        <f t="shared" si="114"/>
        <v>332</v>
      </c>
      <c r="G497" s="180">
        <f t="shared" si="110"/>
        <v>1262918.9088996912</v>
      </c>
      <c r="H497" s="186">
        <f>-Parking!$E$94/12</f>
        <v>46202.434086102563</v>
      </c>
      <c r="I497" s="149">
        <f>Parking!$E$92/12*G496</f>
        <v>2178.2385074638833</v>
      </c>
      <c r="J497" s="187">
        <f t="shared" si="111"/>
        <v>44024.195578638682</v>
      </c>
      <c r="K497" s="72">
        <f t="shared" si="115"/>
        <v>332</v>
      </c>
      <c r="L497" s="180">
        <f t="shared" si="112"/>
        <v>1262918.9088996912</v>
      </c>
      <c r="M497" s="181">
        <f t="shared" si="112"/>
        <v>46202.434086102563</v>
      </c>
      <c r="N497" s="180">
        <f t="shared" si="112"/>
        <v>2178.2385074638833</v>
      </c>
      <c r="O497" s="132">
        <f t="shared" si="107"/>
        <v>44024.195578638682</v>
      </c>
    </row>
    <row r="498" spans="1:15" x14ac:dyDescent="0.25">
      <c r="A498" s="72">
        <f t="shared" si="113"/>
        <v>333</v>
      </c>
      <c r="B498" s="183">
        <f t="shared" si="108"/>
        <v>0</v>
      </c>
      <c r="C498" s="184">
        <f>-Parking!$E$89/12</f>
        <v>0</v>
      </c>
      <c r="D498" s="183">
        <f>Parking!$E$87/12*B497</f>
        <v>0</v>
      </c>
      <c r="E498" s="185">
        <f t="shared" si="109"/>
        <v>0</v>
      </c>
      <c r="F498" s="72">
        <f t="shared" si="114"/>
        <v>333</v>
      </c>
      <c r="G498" s="180">
        <f t="shared" si="110"/>
        <v>1218821.3396617547</v>
      </c>
      <c r="H498" s="186">
        <f>-Parking!$E$94/12</f>
        <v>46202.434086102563</v>
      </c>
      <c r="I498" s="149">
        <f>Parking!$E$92/12*G497</f>
        <v>2104.8648481661521</v>
      </c>
      <c r="J498" s="187">
        <f t="shared" si="111"/>
        <v>44097.569237936412</v>
      </c>
      <c r="K498" s="72">
        <f t="shared" si="115"/>
        <v>333</v>
      </c>
      <c r="L498" s="180">
        <f t="shared" si="112"/>
        <v>1218821.3396617547</v>
      </c>
      <c r="M498" s="181">
        <f t="shared" si="112"/>
        <v>46202.434086102563</v>
      </c>
      <c r="N498" s="180">
        <f t="shared" si="112"/>
        <v>2104.8648481661521</v>
      </c>
      <c r="O498" s="132">
        <f t="shared" si="107"/>
        <v>44097.569237936412</v>
      </c>
    </row>
    <row r="499" spans="1:15" x14ac:dyDescent="0.25">
      <c r="A499" s="72">
        <f t="shared" si="113"/>
        <v>334</v>
      </c>
      <c r="B499" s="183">
        <f t="shared" si="108"/>
        <v>0</v>
      </c>
      <c r="C499" s="184">
        <f>-Parking!$E$89/12</f>
        <v>0</v>
      </c>
      <c r="D499" s="183">
        <f>Parking!$E$87/12*B498</f>
        <v>0</v>
      </c>
      <c r="E499" s="185">
        <f t="shared" si="109"/>
        <v>0</v>
      </c>
      <c r="F499" s="72">
        <f t="shared" si="114"/>
        <v>334</v>
      </c>
      <c r="G499" s="180">
        <f t="shared" si="110"/>
        <v>1174650.2744750883</v>
      </c>
      <c r="H499" s="186">
        <f>-Parking!$E$94/12</f>
        <v>46202.434086102563</v>
      </c>
      <c r="I499" s="149">
        <f>Parking!$E$92/12*G498</f>
        <v>2031.3688994362578</v>
      </c>
      <c r="J499" s="187">
        <f t="shared" si="111"/>
        <v>44171.065186666303</v>
      </c>
      <c r="K499" s="72">
        <f t="shared" si="115"/>
        <v>334</v>
      </c>
      <c r="L499" s="180">
        <f t="shared" si="112"/>
        <v>1174650.2744750883</v>
      </c>
      <c r="M499" s="181">
        <f t="shared" si="112"/>
        <v>46202.434086102563</v>
      </c>
      <c r="N499" s="180">
        <f t="shared" si="112"/>
        <v>2031.3688994362578</v>
      </c>
      <c r="O499" s="132">
        <f t="shared" si="107"/>
        <v>44171.065186666303</v>
      </c>
    </row>
    <row r="500" spans="1:15" x14ac:dyDescent="0.25">
      <c r="A500" s="72">
        <f t="shared" si="113"/>
        <v>335</v>
      </c>
      <c r="B500" s="183">
        <f t="shared" si="108"/>
        <v>0</v>
      </c>
      <c r="C500" s="184">
        <f>-Parking!$E$89/12</f>
        <v>0</v>
      </c>
      <c r="D500" s="183">
        <f>Parking!$E$87/12*B499</f>
        <v>0</v>
      </c>
      <c r="E500" s="185">
        <f t="shared" si="109"/>
        <v>0</v>
      </c>
      <c r="F500" s="72">
        <f t="shared" si="114"/>
        <v>335</v>
      </c>
      <c r="G500" s="180">
        <f t="shared" si="110"/>
        <v>1130405.5908464442</v>
      </c>
      <c r="H500" s="186">
        <f>-Parking!$E$94/12</f>
        <v>46202.434086102563</v>
      </c>
      <c r="I500" s="149">
        <f>Parking!$E$92/12*G499</f>
        <v>1957.7504574584807</v>
      </c>
      <c r="J500" s="187">
        <f t="shared" si="111"/>
        <v>44244.683628644081</v>
      </c>
      <c r="K500" s="72">
        <f t="shared" si="115"/>
        <v>335</v>
      </c>
      <c r="L500" s="180">
        <f t="shared" si="112"/>
        <v>1130405.5908464442</v>
      </c>
      <c r="M500" s="181">
        <f t="shared" si="112"/>
        <v>46202.434086102563</v>
      </c>
      <c r="N500" s="180">
        <f t="shared" si="112"/>
        <v>1957.7504574584807</v>
      </c>
      <c r="O500" s="132">
        <f t="shared" si="107"/>
        <v>44244.683628644081</v>
      </c>
    </row>
    <row r="501" spans="1:15" x14ac:dyDescent="0.25">
      <c r="A501" s="72">
        <f t="shared" si="113"/>
        <v>336</v>
      </c>
      <c r="B501" s="183">
        <f t="shared" si="108"/>
        <v>0</v>
      </c>
      <c r="C501" s="184">
        <f>-Parking!$E$89/12</f>
        <v>0</v>
      </c>
      <c r="D501" s="183">
        <f>Parking!$E$87/12*B500</f>
        <v>0</v>
      </c>
      <c r="E501" s="185">
        <f t="shared" si="109"/>
        <v>0</v>
      </c>
      <c r="F501" s="72">
        <f t="shared" si="114"/>
        <v>336</v>
      </c>
      <c r="G501" s="180">
        <f t="shared" si="110"/>
        <v>1086087.1660784192</v>
      </c>
      <c r="H501" s="186">
        <f>-Parking!$E$94/12</f>
        <v>46202.434086102563</v>
      </c>
      <c r="I501" s="149">
        <f>Parking!$E$92/12*G500</f>
        <v>1884.0093180774072</v>
      </c>
      <c r="J501" s="187">
        <f t="shared" si="111"/>
        <v>44318.424768025157</v>
      </c>
      <c r="K501" s="72">
        <f t="shared" si="115"/>
        <v>336</v>
      </c>
      <c r="L501" s="180">
        <f t="shared" si="112"/>
        <v>1086087.1660784192</v>
      </c>
      <c r="M501" s="181">
        <f t="shared" si="112"/>
        <v>46202.434086102563</v>
      </c>
      <c r="N501" s="180">
        <f t="shared" si="112"/>
        <v>1884.0093180774072</v>
      </c>
      <c r="O501" s="132">
        <f t="shared" si="107"/>
        <v>44318.424768025157</v>
      </c>
    </row>
    <row r="502" spans="1:15" x14ac:dyDescent="0.25">
      <c r="A502" s="72">
        <f t="shared" si="113"/>
        <v>337</v>
      </c>
      <c r="B502" s="183">
        <f t="shared" si="108"/>
        <v>0</v>
      </c>
      <c r="C502" s="184">
        <f>-Parking!$E$89/12</f>
        <v>0</v>
      </c>
      <c r="D502" s="183">
        <f>Parking!$E$87/12*B501</f>
        <v>0</v>
      </c>
      <c r="E502" s="185">
        <f t="shared" si="109"/>
        <v>0</v>
      </c>
      <c r="F502" s="72">
        <f t="shared" si="114"/>
        <v>337</v>
      </c>
      <c r="G502" s="180">
        <f t="shared" si="110"/>
        <v>1041694.877269114</v>
      </c>
      <c r="H502" s="186">
        <f>-Parking!$E$94/12</f>
        <v>46202.434086102563</v>
      </c>
      <c r="I502" s="149">
        <f>Parking!$E$92/12*G501</f>
        <v>1810.1452767973653</v>
      </c>
      <c r="J502" s="187">
        <f t="shared" si="111"/>
        <v>44392.288809305195</v>
      </c>
      <c r="K502" s="72">
        <f t="shared" si="115"/>
        <v>337</v>
      </c>
      <c r="L502" s="180">
        <f t="shared" si="112"/>
        <v>1041694.877269114</v>
      </c>
      <c r="M502" s="181">
        <f t="shared" si="112"/>
        <v>46202.434086102563</v>
      </c>
      <c r="N502" s="180">
        <f t="shared" si="112"/>
        <v>1810.1452767973653</v>
      </c>
      <c r="O502" s="132">
        <f t="shared" si="107"/>
        <v>44392.288809305195</v>
      </c>
    </row>
    <row r="503" spans="1:15" x14ac:dyDescent="0.25">
      <c r="A503" s="72">
        <f t="shared" si="113"/>
        <v>338</v>
      </c>
      <c r="B503" s="183">
        <f t="shared" si="108"/>
        <v>0</v>
      </c>
      <c r="C503" s="184">
        <f>-Parking!$E$89/12</f>
        <v>0</v>
      </c>
      <c r="D503" s="183">
        <f>Parking!$E$87/12*B502</f>
        <v>0</v>
      </c>
      <c r="E503" s="185">
        <f t="shared" si="109"/>
        <v>0</v>
      </c>
      <c r="F503" s="72">
        <f t="shared" si="114"/>
        <v>338</v>
      </c>
      <c r="G503" s="180">
        <f t="shared" si="110"/>
        <v>997228.60131179332</v>
      </c>
      <c r="H503" s="186">
        <f>-Parking!$E$94/12</f>
        <v>46202.434086102563</v>
      </c>
      <c r="I503" s="149">
        <f>Parking!$E$92/12*G502</f>
        <v>1736.1581287818567</v>
      </c>
      <c r="J503" s="187">
        <f t="shared" si="111"/>
        <v>44466.275957320708</v>
      </c>
      <c r="K503" s="72">
        <f t="shared" si="115"/>
        <v>338</v>
      </c>
      <c r="L503" s="180">
        <f t="shared" si="112"/>
        <v>997228.60131179332</v>
      </c>
      <c r="M503" s="181">
        <f t="shared" si="112"/>
        <v>46202.434086102563</v>
      </c>
      <c r="N503" s="180">
        <f t="shared" si="112"/>
        <v>1736.1581287818567</v>
      </c>
      <c r="O503" s="132">
        <f t="shared" si="107"/>
        <v>44466.275957320708</v>
      </c>
    </row>
    <row r="504" spans="1:15" x14ac:dyDescent="0.25">
      <c r="A504" s="72">
        <f t="shared" si="113"/>
        <v>339</v>
      </c>
      <c r="B504" s="183">
        <f t="shared" si="108"/>
        <v>0</v>
      </c>
      <c r="C504" s="184">
        <f>-Parking!$E$89/12</f>
        <v>0</v>
      </c>
      <c r="D504" s="183">
        <f>Parking!$E$87/12*B503</f>
        <v>0</v>
      </c>
      <c r="E504" s="185">
        <f t="shared" si="109"/>
        <v>0</v>
      </c>
      <c r="F504" s="72">
        <f t="shared" si="114"/>
        <v>339</v>
      </c>
      <c r="G504" s="180">
        <f t="shared" si="110"/>
        <v>952688.21489454375</v>
      </c>
      <c r="H504" s="186">
        <f>-Parking!$E$94/12</f>
        <v>46202.434086102563</v>
      </c>
      <c r="I504" s="149">
        <f>Parking!$E$92/12*G503</f>
        <v>1662.0476688529889</v>
      </c>
      <c r="J504" s="187">
        <f t="shared" si="111"/>
        <v>44540.386417249574</v>
      </c>
      <c r="K504" s="72">
        <f t="shared" si="115"/>
        <v>339</v>
      </c>
      <c r="L504" s="180">
        <f t="shared" si="112"/>
        <v>952688.21489454375</v>
      </c>
      <c r="M504" s="181">
        <f t="shared" si="112"/>
        <v>46202.434086102563</v>
      </c>
      <c r="N504" s="180">
        <f t="shared" si="112"/>
        <v>1662.0476688529889</v>
      </c>
      <c r="O504" s="132">
        <f t="shared" si="107"/>
        <v>44540.386417249574</v>
      </c>
    </row>
    <row r="505" spans="1:15" x14ac:dyDescent="0.25">
      <c r="A505" s="72">
        <f t="shared" si="113"/>
        <v>340</v>
      </c>
      <c r="B505" s="183">
        <f t="shared" si="108"/>
        <v>0</v>
      </c>
      <c r="C505" s="184">
        <f>-Parking!$E$89/12</f>
        <v>0</v>
      </c>
      <c r="D505" s="183">
        <f>Parking!$E$87/12*B504</f>
        <v>0</v>
      </c>
      <c r="E505" s="185">
        <f t="shared" si="109"/>
        <v>0</v>
      </c>
      <c r="F505" s="72">
        <f t="shared" si="114"/>
        <v>340</v>
      </c>
      <c r="G505" s="180">
        <f t="shared" si="110"/>
        <v>908073.59449993214</v>
      </c>
      <c r="H505" s="186">
        <f>-Parking!$E$94/12</f>
        <v>46202.434086102563</v>
      </c>
      <c r="I505" s="149">
        <f>Parking!$E$92/12*G504</f>
        <v>1587.8136914909064</v>
      </c>
      <c r="J505" s="187">
        <f t="shared" si="111"/>
        <v>44614.620394611658</v>
      </c>
      <c r="K505" s="72">
        <f t="shared" si="115"/>
        <v>340</v>
      </c>
      <c r="L505" s="180">
        <f t="shared" si="112"/>
        <v>908073.59449993214</v>
      </c>
      <c r="M505" s="181">
        <f t="shared" si="112"/>
        <v>46202.434086102563</v>
      </c>
      <c r="N505" s="180">
        <f t="shared" si="112"/>
        <v>1587.8136914909064</v>
      </c>
      <c r="O505" s="132">
        <f t="shared" si="107"/>
        <v>44614.620394611658</v>
      </c>
    </row>
    <row r="506" spans="1:15" x14ac:dyDescent="0.25">
      <c r="A506" s="72">
        <f t="shared" si="113"/>
        <v>341</v>
      </c>
      <c r="B506" s="183">
        <f t="shared" si="108"/>
        <v>0</v>
      </c>
      <c r="C506" s="184">
        <f>-Parking!$E$89/12</f>
        <v>0</v>
      </c>
      <c r="D506" s="183">
        <f>Parking!$E$87/12*B505</f>
        <v>0</v>
      </c>
      <c r="E506" s="185">
        <f t="shared" si="109"/>
        <v>0</v>
      </c>
      <c r="F506" s="72">
        <f t="shared" si="114"/>
        <v>341</v>
      </c>
      <c r="G506" s="180">
        <f t="shared" si="110"/>
        <v>863384.61640466284</v>
      </c>
      <c r="H506" s="186">
        <f>-Parking!$E$94/12</f>
        <v>46202.434086102563</v>
      </c>
      <c r="I506" s="149">
        <f>Parking!$E$92/12*G505</f>
        <v>1513.4559908332203</v>
      </c>
      <c r="J506" s="187">
        <f t="shared" si="111"/>
        <v>44688.97809526934</v>
      </c>
      <c r="K506" s="72">
        <f t="shared" si="115"/>
        <v>341</v>
      </c>
      <c r="L506" s="180">
        <f t="shared" si="112"/>
        <v>863384.61640466284</v>
      </c>
      <c r="M506" s="181">
        <f t="shared" si="112"/>
        <v>46202.434086102563</v>
      </c>
      <c r="N506" s="180">
        <f t="shared" si="112"/>
        <v>1513.4559908332203</v>
      </c>
      <c r="O506" s="132">
        <f t="shared" si="107"/>
        <v>44688.97809526934</v>
      </c>
    </row>
    <row r="507" spans="1:15" x14ac:dyDescent="0.25">
      <c r="A507" s="72">
        <f t="shared" si="113"/>
        <v>342</v>
      </c>
      <c r="B507" s="183">
        <f t="shared" si="108"/>
        <v>0</v>
      </c>
      <c r="C507" s="184">
        <f>-Parking!$E$89/12</f>
        <v>0</v>
      </c>
      <c r="D507" s="183">
        <f>Parking!$E$87/12*B506</f>
        <v>0</v>
      </c>
      <c r="E507" s="185">
        <f t="shared" si="109"/>
        <v>0</v>
      </c>
      <c r="F507" s="72">
        <f t="shared" si="114"/>
        <v>342</v>
      </c>
      <c r="G507" s="180">
        <f t="shared" si="110"/>
        <v>818621.1566792347</v>
      </c>
      <c r="H507" s="186">
        <f>-Parking!$E$94/12</f>
        <v>46202.434086102563</v>
      </c>
      <c r="I507" s="149">
        <f>Parking!$E$92/12*G506</f>
        <v>1438.9743606744382</v>
      </c>
      <c r="J507" s="187">
        <f t="shared" si="111"/>
        <v>44763.459725428125</v>
      </c>
      <c r="K507" s="72">
        <f t="shared" si="115"/>
        <v>342</v>
      </c>
      <c r="L507" s="180">
        <f t="shared" si="112"/>
        <v>818621.1566792347</v>
      </c>
      <c r="M507" s="181">
        <f t="shared" si="112"/>
        <v>46202.434086102563</v>
      </c>
      <c r="N507" s="180">
        <f t="shared" si="112"/>
        <v>1438.9743606744382</v>
      </c>
      <c r="O507" s="132">
        <f t="shared" si="107"/>
        <v>44763.459725428125</v>
      </c>
    </row>
    <row r="508" spans="1:15" x14ac:dyDescent="0.25">
      <c r="A508" s="72">
        <f t="shared" si="113"/>
        <v>343</v>
      </c>
      <c r="B508" s="183">
        <f t="shared" si="108"/>
        <v>0</v>
      </c>
      <c r="C508" s="184">
        <f>-Parking!$E$89/12</f>
        <v>0</v>
      </c>
      <c r="D508" s="183">
        <f>Parking!$E$87/12*B507</f>
        <v>0</v>
      </c>
      <c r="E508" s="185">
        <f t="shared" si="109"/>
        <v>0</v>
      </c>
      <c r="F508" s="72">
        <f t="shared" si="114"/>
        <v>343</v>
      </c>
      <c r="G508" s="180">
        <f t="shared" si="110"/>
        <v>773783.09118759749</v>
      </c>
      <c r="H508" s="186">
        <f>-Parking!$E$94/12</f>
        <v>46202.434086102563</v>
      </c>
      <c r="I508" s="149">
        <f>Parking!$E$92/12*G507</f>
        <v>1364.3685944653912</v>
      </c>
      <c r="J508" s="187">
        <f t="shared" si="111"/>
        <v>44838.065491637171</v>
      </c>
      <c r="K508" s="72">
        <f t="shared" si="115"/>
        <v>343</v>
      </c>
      <c r="L508" s="180">
        <f t="shared" si="112"/>
        <v>773783.09118759749</v>
      </c>
      <c r="M508" s="181">
        <f t="shared" si="112"/>
        <v>46202.434086102563</v>
      </c>
      <c r="N508" s="180">
        <f t="shared" si="112"/>
        <v>1364.3685944653912</v>
      </c>
      <c r="O508" s="132">
        <f t="shared" si="107"/>
        <v>44838.065491637171</v>
      </c>
    </row>
    <row r="509" spans="1:15" x14ac:dyDescent="0.25">
      <c r="A509" s="72">
        <f t="shared" si="113"/>
        <v>344</v>
      </c>
      <c r="B509" s="183">
        <f t="shared" si="108"/>
        <v>0</v>
      </c>
      <c r="C509" s="184">
        <f>-Parking!$E$89/12</f>
        <v>0</v>
      </c>
      <c r="D509" s="183">
        <f>Parking!$E$87/12*B508</f>
        <v>0</v>
      </c>
      <c r="E509" s="185">
        <f t="shared" si="109"/>
        <v>0</v>
      </c>
      <c r="F509" s="72">
        <f t="shared" si="114"/>
        <v>344</v>
      </c>
      <c r="G509" s="180">
        <f t="shared" si="110"/>
        <v>728870.29558680754</v>
      </c>
      <c r="H509" s="186">
        <f>-Parking!$E$94/12</f>
        <v>46202.434086102563</v>
      </c>
      <c r="I509" s="149">
        <f>Parking!$E$92/12*G508</f>
        <v>1289.6384853126626</v>
      </c>
      <c r="J509" s="187">
        <f t="shared" si="111"/>
        <v>44912.795600789897</v>
      </c>
      <c r="K509" s="72">
        <f t="shared" si="115"/>
        <v>344</v>
      </c>
      <c r="L509" s="180">
        <f t="shared" si="112"/>
        <v>728870.29558680754</v>
      </c>
      <c r="M509" s="181">
        <f t="shared" si="112"/>
        <v>46202.434086102563</v>
      </c>
      <c r="N509" s="180">
        <f t="shared" si="112"/>
        <v>1289.6384853126626</v>
      </c>
      <c r="O509" s="132">
        <f t="shared" si="107"/>
        <v>44912.795600789897</v>
      </c>
    </row>
    <row r="510" spans="1:15" x14ac:dyDescent="0.25">
      <c r="A510" s="72">
        <f t="shared" si="113"/>
        <v>345</v>
      </c>
      <c r="B510" s="183">
        <f t="shared" si="108"/>
        <v>0</v>
      </c>
      <c r="C510" s="184">
        <f>-Parking!$E$89/12</f>
        <v>0</v>
      </c>
      <c r="D510" s="183">
        <f>Parking!$E$87/12*B509</f>
        <v>0</v>
      </c>
      <c r="E510" s="185">
        <f t="shared" si="109"/>
        <v>0</v>
      </c>
      <c r="F510" s="72">
        <f t="shared" si="114"/>
        <v>345</v>
      </c>
      <c r="G510" s="180">
        <f t="shared" si="110"/>
        <v>683882.64532668295</v>
      </c>
      <c r="H510" s="186">
        <f>-Parking!$E$94/12</f>
        <v>46202.434086102563</v>
      </c>
      <c r="I510" s="149">
        <f>Parking!$E$92/12*G509</f>
        <v>1214.7838259780126</v>
      </c>
      <c r="J510" s="187">
        <f t="shared" si="111"/>
        <v>44987.650260124552</v>
      </c>
      <c r="K510" s="72">
        <f t="shared" si="115"/>
        <v>345</v>
      </c>
      <c r="L510" s="180">
        <f t="shared" si="112"/>
        <v>683882.64532668295</v>
      </c>
      <c r="M510" s="181">
        <f t="shared" si="112"/>
        <v>46202.434086102563</v>
      </c>
      <c r="N510" s="180">
        <f t="shared" si="112"/>
        <v>1214.7838259780126</v>
      </c>
      <c r="O510" s="132">
        <f t="shared" si="107"/>
        <v>44987.650260124552</v>
      </c>
    </row>
    <row r="511" spans="1:15" x14ac:dyDescent="0.25">
      <c r="A511" s="72">
        <f t="shared" si="113"/>
        <v>346</v>
      </c>
      <c r="B511" s="183">
        <f t="shared" si="108"/>
        <v>0</v>
      </c>
      <c r="C511" s="184">
        <f>-Parking!$E$89/12</f>
        <v>0</v>
      </c>
      <c r="D511" s="183">
        <f>Parking!$E$87/12*B510</f>
        <v>0</v>
      </c>
      <c r="E511" s="185">
        <f t="shared" si="109"/>
        <v>0</v>
      </c>
      <c r="F511" s="72">
        <f t="shared" si="114"/>
        <v>346</v>
      </c>
      <c r="G511" s="180">
        <f t="shared" si="110"/>
        <v>638820.01564945816</v>
      </c>
      <c r="H511" s="186">
        <f>-Parking!$E$94/12</f>
        <v>46202.434086102563</v>
      </c>
      <c r="I511" s="149">
        <f>Parking!$E$92/12*G510</f>
        <v>1139.8044088778049</v>
      </c>
      <c r="J511" s="187">
        <f t="shared" si="111"/>
        <v>45062.629677224759</v>
      </c>
      <c r="K511" s="72">
        <f t="shared" si="115"/>
        <v>346</v>
      </c>
      <c r="L511" s="180">
        <f t="shared" si="112"/>
        <v>638820.01564945816</v>
      </c>
      <c r="M511" s="181">
        <f t="shared" si="112"/>
        <v>46202.434086102563</v>
      </c>
      <c r="N511" s="180">
        <f t="shared" si="112"/>
        <v>1139.8044088778049</v>
      </c>
      <c r="O511" s="132">
        <f t="shared" si="107"/>
        <v>45062.629677224759</v>
      </c>
    </row>
    <row r="512" spans="1:15" x14ac:dyDescent="0.25">
      <c r="A512" s="72">
        <f t="shared" si="113"/>
        <v>347</v>
      </c>
      <c r="B512" s="183">
        <f t="shared" si="108"/>
        <v>0</v>
      </c>
      <c r="C512" s="184">
        <f>-Parking!$E$89/12</f>
        <v>0</v>
      </c>
      <c r="D512" s="183">
        <f>Parking!$E$87/12*B511</f>
        <v>0</v>
      </c>
      <c r="E512" s="185">
        <f t="shared" si="109"/>
        <v>0</v>
      </c>
      <c r="F512" s="72">
        <f t="shared" si="114"/>
        <v>347</v>
      </c>
      <c r="G512" s="180">
        <f t="shared" si="110"/>
        <v>593682.28158943797</v>
      </c>
      <c r="H512" s="186">
        <f>-Parking!$E$94/12</f>
        <v>46202.434086102563</v>
      </c>
      <c r="I512" s="149">
        <f>Parking!$E$92/12*G511</f>
        <v>1064.7000260824304</v>
      </c>
      <c r="J512" s="187">
        <f t="shared" si="111"/>
        <v>45137.734060020135</v>
      </c>
      <c r="K512" s="72">
        <f t="shared" si="115"/>
        <v>347</v>
      </c>
      <c r="L512" s="180">
        <f t="shared" si="112"/>
        <v>593682.28158943797</v>
      </c>
      <c r="M512" s="181">
        <f t="shared" si="112"/>
        <v>46202.434086102563</v>
      </c>
      <c r="N512" s="180">
        <f t="shared" si="112"/>
        <v>1064.7000260824304</v>
      </c>
      <c r="O512" s="132">
        <f t="shared" si="107"/>
        <v>45137.734060020135</v>
      </c>
    </row>
    <row r="513" spans="1:15" x14ac:dyDescent="0.25">
      <c r="A513" s="72">
        <f t="shared" si="113"/>
        <v>348</v>
      </c>
      <c r="B513" s="183">
        <f t="shared" si="108"/>
        <v>0</v>
      </c>
      <c r="C513" s="184">
        <f>-Parking!$E$89/12</f>
        <v>0</v>
      </c>
      <c r="D513" s="183">
        <f>Parking!$E$87/12*B512</f>
        <v>0</v>
      </c>
      <c r="E513" s="185">
        <f t="shared" si="109"/>
        <v>0</v>
      </c>
      <c r="F513" s="72">
        <f t="shared" si="114"/>
        <v>348</v>
      </c>
      <c r="G513" s="180">
        <f t="shared" si="110"/>
        <v>548469.3179726511</v>
      </c>
      <c r="H513" s="186">
        <f>-Parking!$E$94/12</f>
        <v>46202.434086102563</v>
      </c>
      <c r="I513" s="149">
        <f>Parking!$E$92/12*G512</f>
        <v>989.47046931573004</v>
      </c>
      <c r="J513" s="187">
        <f t="shared" si="111"/>
        <v>45212.96361678683</v>
      </c>
      <c r="K513" s="72">
        <f t="shared" si="115"/>
        <v>348</v>
      </c>
      <c r="L513" s="180">
        <f t="shared" si="112"/>
        <v>548469.3179726511</v>
      </c>
      <c r="M513" s="181">
        <f t="shared" si="112"/>
        <v>46202.434086102563</v>
      </c>
      <c r="N513" s="180">
        <f t="shared" si="112"/>
        <v>989.47046931573004</v>
      </c>
      <c r="O513" s="132">
        <f t="shared" si="107"/>
        <v>45212.96361678683</v>
      </c>
    </row>
    <row r="514" spans="1:15" x14ac:dyDescent="0.25">
      <c r="A514" s="72">
        <f t="shared" si="113"/>
        <v>349</v>
      </c>
      <c r="B514" s="183">
        <f t="shared" si="108"/>
        <v>0</v>
      </c>
      <c r="C514" s="184">
        <f>-Parking!$E$89/12</f>
        <v>0</v>
      </c>
      <c r="D514" s="183">
        <f>Parking!$E$87/12*B513</f>
        <v>0</v>
      </c>
      <c r="E514" s="185">
        <f t="shared" si="109"/>
        <v>0</v>
      </c>
      <c r="F514" s="72">
        <f t="shared" si="114"/>
        <v>349</v>
      </c>
      <c r="G514" s="180">
        <f t="shared" si="110"/>
        <v>503180.99941650295</v>
      </c>
      <c r="H514" s="186">
        <f>-Parking!$E$94/12</f>
        <v>46202.434086102563</v>
      </c>
      <c r="I514" s="149">
        <f>Parking!$E$92/12*G513</f>
        <v>914.11552995441855</v>
      </c>
      <c r="J514" s="187">
        <f t="shared" si="111"/>
        <v>45288.318556148144</v>
      </c>
      <c r="K514" s="72">
        <f t="shared" si="115"/>
        <v>349</v>
      </c>
      <c r="L514" s="180">
        <f t="shared" si="112"/>
        <v>503180.99941650295</v>
      </c>
      <c r="M514" s="181">
        <f t="shared" si="112"/>
        <v>46202.434086102563</v>
      </c>
      <c r="N514" s="180">
        <f t="shared" si="112"/>
        <v>914.11552995441855</v>
      </c>
      <c r="O514" s="132">
        <f t="shared" si="107"/>
        <v>45288.318556148144</v>
      </c>
    </row>
    <row r="515" spans="1:15" x14ac:dyDescent="0.25">
      <c r="A515" s="72">
        <f t="shared" si="113"/>
        <v>350</v>
      </c>
      <c r="B515" s="183">
        <f t="shared" si="108"/>
        <v>0</v>
      </c>
      <c r="C515" s="184">
        <f>-Parking!$E$89/12</f>
        <v>0</v>
      </c>
      <c r="D515" s="183">
        <f>Parking!$E$87/12*B514</f>
        <v>0</v>
      </c>
      <c r="E515" s="185">
        <f t="shared" si="109"/>
        <v>0</v>
      </c>
      <c r="F515" s="72">
        <f t="shared" si="114"/>
        <v>350</v>
      </c>
      <c r="G515" s="180">
        <f t="shared" si="110"/>
        <v>457817.2003294279</v>
      </c>
      <c r="H515" s="186">
        <f>-Parking!$E$94/12</f>
        <v>46202.434086102563</v>
      </c>
      <c r="I515" s="149">
        <f>Parking!$E$92/12*G514</f>
        <v>838.63499902750493</v>
      </c>
      <c r="J515" s="187">
        <f t="shared" si="111"/>
        <v>45363.799087075058</v>
      </c>
      <c r="K515" s="72">
        <f t="shared" si="115"/>
        <v>350</v>
      </c>
      <c r="L515" s="180">
        <f t="shared" si="112"/>
        <v>457817.2003294279</v>
      </c>
      <c r="M515" s="181">
        <f t="shared" si="112"/>
        <v>46202.434086102563</v>
      </c>
      <c r="N515" s="180">
        <f t="shared" si="112"/>
        <v>838.63499902750493</v>
      </c>
      <c r="O515" s="132">
        <f t="shared" si="107"/>
        <v>45363.799087075058</v>
      </c>
    </row>
    <row r="516" spans="1:15" x14ac:dyDescent="0.25">
      <c r="A516" s="72">
        <f t="shared" si="113"/>
        <v>351</v>
      </c>
      <c r="B516" s="183">
        <f t="shared" si="108"/>
        <v>0</v>
      </c>
      <c r="C516" s="184">
        <f>-Parking!$E$89/12</f>
        <v>0</v>
      </c>
      <c r="D516" s="183">
        <f>Parking!$E$87/12*B515</f>
        <v>0</v>
      </c>
      <c r="E516" s="185">
        <f t="shared" si="109"/>
        <v>0</v>
      </c>
      <c r="F516" s="72">
        <f t="shared" si="114"/>
        <v>351</v>
      </c>
      <c r="G516" s="180">
        <f t="shared" si="110"/>
        <v>412377.79491054104</v>
      </c>
      <c r="H516" s="186">
        <f>-Parking!$E$94/12</f>
        <v>46202.434086102563</v>
      </c>
      <c r="I516" s="149">
        <f>Parking!$E$92/12*G515</f>
        <v>763.0286672157132</v>
      </c>
      <c r="J516" s="187">
        <f t="shared" si="111"/>
        <v>45439.405418886847</v>
      </c>
      <c r="K516" s="72">
        <f t="shared" si="115"/>
        <v>351</v>
      </c>
      <c r="L516" s="180">
        <f t="shared" si="112"/>
        <v>412377.79491054104</v>
      </c>
      <c r="M516" s="181">
        <f t="shared" si="112"/>
        <v>46202.434086102563</v>
      </c>
      <c r="N516" s="180">
        <f t="shared" si="112"/>
        <v>763.0286672157132</v>
      </c>
      <c r="O516" s="132">
        <f t="shared" si="107"/>
        <v>45439.405418886847</v>
      </c>
    </row>
    <row r="517" spans="1:15" x14ac:dyDescent="0.25">
      <c r="A517" s="72">
        <f t="shared" si="113"/>
        <v>352</v>
      </c>
      <c r="B517" s="183">
        <f t="shared" si="108"/>
        <v>0</v>
      </c>
      <c r="C517" s="184">
        <f>-Parking!$E$89/12</f>
        <v>0</v>
      </c>
      <c r="D517" s="183">
        <f>Parking!$E$87/12*B516</f>
        <v>0</v>
      </c>
      <c r="E517" s="185">
        <f t="shared" si="109"/>
        <v>0</v>
      </c>
      <c r="F517" s="72">
        <f t="shared" si="114"/>
        <v>352</v>
      </c>
      <c r="G517" s="180">
        <f t="shared" si="110"/>
        <v>366862.65714928939</v>
      </c>
      <c r="H517" s="186">
        <f>-Parking!$E$94/12</f>
        <v>46202.434086102563</v>
      </c>
      <c r="I517" s="149">
        <f>Parking!$E$92/12*G516</f>
        <v>687.29632485090178</v>
      </c>
      <c r="J517" s="187">
        <f t="shared" si="111"/>
        <v>45515.137761251659</v>
      </c>
      <c r="K517" s="72">
        <f t="shared" si="115"/>
        <v>352</v>
      </c>
      <c r="L517" s="180">
        <f t="shared" si="112"/>
        <v>366862.65714928939</v>
      </c>
      <c r="M517" s="181">
        <f t="shared" si="112"/>
        <v>46202.434086102563</v>
      </c>
      <c r="N517" s="180">
        <f t="shared" si="112"/>
        <v>687.29632485090178</v>
      </c>
      <c r="O517" s="132">
        <f t="shared" si="107"/>
        <v>45515.137761251659</v>
      </c>
    </row>
    <row r="518" spans="1:15" x14ac:dyDescent="0.25">
      <c r="A518" s="72">
        <f t="shared" si="113"/>
        <v>353</v>
      </c>
      <c r="B518" s="183">
        <f t="shared" si="108"/>
        <v>0</v>
      </c>
      <c r="C518" s="184">
        <f>-Parking!$E$89/12</f>
        <v>0</v>
      </c>
      <c r="D518" s="183">
        <f>Parking!$E$87/12*B517</f>
        <v>0</v>
      </c>
      <c r="E518" s="185">
        <f t="shared" si="109"/>
        <v>0</v>
      </c>
      <c r="F518" s="72">
        <f t="shared" si="114"/>
        <v>353</v>
      </c>
      <c r="G518" s="180">
        <f t="shared" si="110"/>
        <v>321271.6608251023</v>
      </c>
      <c r="H518" s="186">
        <f>-Parking!$E$94/12</f>
        <v>46202.434086102563</v>
      </c>
      <c r="I518" s="149">
        <f>Parking!$E$92/12*G517</f>
        <v>611.43776191548238</v>
      </c>
      <c r="J518" s="187">
        <f t="shared" si="111"/>
        <v>45590.996324187079</v>
      </c>
      <c r="K518" s="72">
        <f t="shared" si="115"/>
        <v>353</v>
      </c>
      <c r="L518" s="180">
        <f t="shared" si="112"/>
        <v>321271.6608251023</v>
      </c>
      <c r="M518" s="181">
        <f t="shared" si="112"/>
        <v>46202.434086102563</v>
      </c>
      <c r="N518" s="180">
        <f t="shared" si="112"/>
        <v>611.43776191548238</v>
      </c>
      <c r="O518" s="132">
        <f t="shared" si="107"/>
        <v>45590.996324187079</v>
      </c>
    </row>
    <row r="519" spans="1:15" x14ac:dyDescent="0.25">
      <c r="A519" s="72">
        <f t="shared" si="113"/>
        <v>354</v>
      </c>
      <c r="B519" s="183">
        <f t="shared" si="108"/>
        <v>0</v>
      </c>
      <c r="C519" s="184">
        <f>-Parking!$E$89/12</f>
        <v>0</v>
      </c>
      <c r="D519" s="183">
        <f>Parking!$E$87/12*B518</f>
        <v>0</v>
      </c>
      <c r="E519" s="185">
        <f t="shared" si="109"/>
        <v>0</v>
      </c>
      <c r="F519" s="72">
        <f t="shared" si="114"/>
        <v>354</v>
      </c>
      <c r="G519" s="180">
        <f t="shared" si="110"/>
        <v>275604.67950704158</v>
      </c>
      <c r="H519" s="186">
        <f>-Parking!$E$94/12</f>
        <v>46202.434086102563</v>
      </c>
      <c r="I519" s="149">
        <f>Parking!$E$92/12*G518</f>
        <v>535.4527680418372</v>
      </c>
      <c r="J519" s="187">
        <f t="shared" si="111"/>
        <v>45666.981318060723</v>
      </c>
      <c r="K519" s="72">
        <f t="shared" si="115"/>
        <v>354</v>
      </c>
      <c r="L519" s="180">
        <f t="shared" si="112"/>
        <v>275604.67950704158</v>
      </c>
      <c r="M519" s="181">
        <f t="shared" si="112"/>
        <v>46202.434086102563</v>
      </c>
      <c r="N519" s="180">
        <f t="shared" si="112"/>
        <v>535.4527680418372</v>
      </c>
      <c r="O519" s="132">
        <f t="shared" si="107"/>
        <v>45666.981318060723</v>
      </c>
    </row>
    <row r="520" spans="1:15" x14ac:dyDescent="0.25">
      <c r="A520" s="72">
        <f t="shared" si="113"/>
        <v>355</v>
      </c>
      <c r="B520" s="183">
        <f t="shared" si="108"/>
        <v>0</v>
      </c>
      <c r="C520" s="184">
        <f>-Parking!$E$89/12</f>
        <v>0</v>
      </c>
      <c r="D520" s="183">
        <f>Parking!$E$87/12*B519</f>
        <v>0</v>
      </c>
      <c r="E520" s="185">
        <f t="shared" si="109"/>
        <v>0</v>
      </c>
      <c r="F520" s="72">
        <f t="shared" si="114"/>
        <v>355</v>
      </c>
      <c r="G520" s="180">
        <f t="shared" si="110"/>
        <v>229861.58655345076</v>
      </c>
      <c r="H520" s="186">
        <f>-Parking!$E$94/12</f>
        <v>46202.434086102563</v>
      </c>
      <c r="I520" s="149">
        <f>Parking!$E$92/12*G519</f>
        <v>459.34113251173602</v>
      </c>
      <c r="J520" s="187">
        <f t="shared" si="111"/>
        <v>45743.092953590829</v>
      </c>
      <c r="K520" s="72">
        <f t="shared" si="115"/>
        <v>355</v>
      </c>
      <c r="L520" s="180">
        <f t="shared" si="112"/>
        <v>229861.58655345076</v>
      </c>
      <c r="M520" s="181">
        <f t="shared" si="112"/>
        <v>46202.434086102563</v>
      </c>
      <c r="N520" s="180">
        <f t="shared" si="112"/>
        <v>459.34113251173602</v>
      </c>
      <c r="O520" s="132">
        <f t="shared" si="107"/>
        <v>45743.092953590829</v>
      </c>
    </row>
    <row r="521" spans="1:15" x14ac:dyDescent="0.25">
      <c r="A521" s="72">
        <f t="shared" si="113"/>
        <v>356</v>
      </c>
      <c r="B521" s="183">
        <f t="shared" si="108"/>
        <v>0</v>
      </c>
      <c r="C521" s="184">
        <f>-Parking!$E$89/12</f>
        <v>0</v>
      </c>
      <c r="D521" s="183">
        <f>Parking!$E$87/12*B520</f>
        <v>0</v>
      </c>
      <c r="E521" s="185">
        <f t="shared" si="109"/>
        <v>0</v>
      </c>
      <c r="F521" s="72">
        <f t="shared" si="114"/>
        <v>356</v>
      </c>
      <c r="G521" s="180">
        <f t="shared" si="110"/>
        <v>184042.25511160394</v>
      </c>
      <c r="H521" s="186">
        <f>-Parking!$E$94/12</f>
        <v>46202.434086102563</v>
      </c>
      <c r="I521" s="149">
        <f>Parking!$E$92/12*G520</f>
        <v>383.10264425575127</v>
      </c>
      <c r="J521" s="187">
        <f t="shared" si="111"/>
        <v>45819.331441846814</v>
      </c>
      <c r="K521" s="72">
        <f t="shared" si="115"/>
        <v>356</v>
      </c>
      <c r="L521" s="180">
        <f t="shared" si="112"/>
        <v>184042.25511160394</v>
      </c>
      <c r="M521" s="181">
        <f t="shared" si="112"/>
        <v>46202.434086102563</v>
      </c>
      <c r="N521" s="180">
        <f t="shared" si="112"/>
        <v>383.10264425575127</v>
      </c>
      <c r="O521" s="132">
        <f t="shared" si="107"/>
        <v>45819.331441846814</v>
      </c>
    </row>
    <row r="522" spans="1:15" x14ac:dyDescent="0.25">
      <c r="A522" s="72">
        <f t="shared" si="113"/>
        <v>357</v>
      </c>
      <c r="B522" s="183">
        <f t="shared" si="108"/>
        <v>0</v>
      </c>
      <c r="C522" s="184">
        <f>-Parking!$E$89/12</f>
        <v>0</v>
      </c>
      <c r="D522" s="183">
        <f>Parking!$E$87/12*B521</f>
        <v>0</v>
      </c>
      <c r="E522" s="185">
        <f t="shared" si="109"/>
        <v>0</v>
      </c>
      <c r="F522" s="72">
        <f t="shared" si="114"/>
        <v>357</v>
      </c>
      <c r="G522" s="180">
        <f t="shared" si="110"/>
        <v>138146.55811735406</v>
      </c>
      <c r="H522" s="186">
        <f>-Parking!$E$94/12</f>
        <v>46202.434086102563</v>
      </c>
      <c r="I522" s="149">
        <f>Parking!$E$92/12*G521</f>
        <v>306.73709185267325</v>
      </c>
      <c r="J522" s="187">
        <f t="shared" si="111"/>
        <v>45895.696994249891</v>
      </c>
      <c r="K522" s="72">
        <f t="shared" si="115"/>
        <v>357</v>
      </c>
      <c r="L522" s="180">
        <f t="shared" si="112"/>
        <v>138146.55811735406</v>
      </c>
      <c r="M522" s="181">
        <f t="shared" si="112"/>
        <v>46202.434086102563</v>
      </c>
      <c r="N522" s="180">
        <f t="shared" si="112"/>
        <v>306.73709185267325</v>
      </c>
      <c r="O522" s="132">
        <f t="shared" si="107"/>
        <v>45895.696994249891</v>
      </c>
    </row>
    <row r="523" spans="1:15" x14ac:dyDescent="0.25">
      <c r="A523" s="72">
        <f t="shared" si="113"/>
        <v>358</v>
      </c>
      <c r="B523" s="183">
        <f t="shared" si="108"/>
        <v>0</v>
      </c>
      <c r="C523" s="184">
        <f>-Parking!$E$89/12</f>
        <v>0</v>
      </c>
      <c r="D523" s="183">
        <f>Parking!$E$87/12*B522</f>
        <v>0</v>
      </c>
      <c r="E523" s="185">
        <f t="shared" si="109"/>
        <v>0</v>
      </c>
      <c r="F523" s="72">
        <f t="shared" si="114"/>
        <v>358</v>
      </c>
      <c r="G523" s="180">
        <f t="shared" si="110"/>
        <v>92174.368294780419</v>
      </c>
      <c r="H523" s="186">
        <f>-Parking!$E$94/12</f>
        <v>46202.434086102563</v>
      </c>
      <c r="I523" s="149">
        <f>Parking!$E$92/12*G522</f>
        <v>230.24426352892345</v>
      </c>
      <c r="J523" s="187">
        <f t="shared" si="111"/>
        <v>45972.189822573637</v>
      </c>
      <c r="K523" s="72">
        <f t="shared" si="115"/>
        <v>358</v>
      </c>
      <c r="L523" s="180">
        <f t="shared" si="112"/>
        <v>92174.368294780419</v>
      </c>
      <c r="M523" s="181">
        <f t="shared" si="112"/>
        <v>46202.434086102563</v>
      </c>
      <c r="N523" s="180">
        <f t="shared" si="112"/>
        <v>230.24426352892345</v>
      </c>
      <c r="O523" s="132">
        <f t="shared" si="107"/>
        <v>45972.189822573637</v>
      </c>
    </row>
    <row r="524" spans="1:15" x14ac:dyDescent="0.25">
      <c r="A524" s="72">
        <f t="shared" si="113"/>
        <v>359</v>
      </c>
      <c r="B524" s="183">
        <f t="shared" si="108"/>
        <v>0</v>
      </c>
      <c r="C524" s="184">
        <f>-Parking!$E$89/12</f>
        <v>0</v>
      </c>
      <c r="D524" s="183">
        <f>Parking!$E$87/12*B523</f>
        <v>0</v>
      </c>
      <c r="E524" s="185">
        <f t="shared" si="109"/>
        <v>0</v>
      </c>
      <c r="F524" s="72">
        <f t="shared" si="114"/>
        <v>359</v>
      </c>
      <c r="G524" s="180">
        <f t="shared" si="110"/>
        <v>46125.558155835824</v>
      </c>
      <c r="H524" s="186">
        <f>-Parking!$E$94/12</f>
        <v>46202.434086102563</v>
      </c>
      <c r="I524" s="149">
        <f>Parking!$E$92/12*G523</f>
        <v>153.62394715796736</v>
      </c>
      <c r="J524" s="187">
        <f t="shared" si="111"/>
        <v>46048.810138944595</v>
      </c>
      <c r="K524" s="72">
        <f t="shared" si="115"/>
        <v>359</v>
      </c>
      <c r="L524" s="180">
        <f t="shared" si="112"/>
        <v>46125.558155835824</v>
      </c>
      <c r="M524" s="181">
        <f t="shared" si="112"/>
        <v>46202.434086102563</v>
      </c>
      <c r="N524" s="180">
        <f t="shared" si="112"/>
        <v>153.62394715796736</v>
      </c>
      <c r="O524" s="132">
        <f t="shared" si="107"/>
        <v>46048.810138944595</v>
      </c>
    </row>
    <row r="525" spans="1:15" ht="16.5" thickBot="1" x14ac:dyDescent="0.3">
      <c r="A525" s="73">
        <f t="shared" si="113"/>
        <v>360</v>
      </c>
      <c r="B525" s="191">
        <f t="shared" si="108"/>
        <v>0</v>
      </c>
      <c r="C525" s="192">
        <f>-Parking!$E$89/12</f>
        <v>0</v>
      </c>
      <c r="D525" s="191">
        <f>Parking!$E$87/12*B524</f>
        <v>0</v>
      </c>
      <c r="E525" s="193">
        <f t="shared" si="109"/>
        <v>0</v>
      </c>
      <c r="F525" s="73">
        <f t="shared" si="114"/>
        <v>360</v>
      </c>
      <c r="G525" s="188">
        <f t="shared" si="110"/>
        <v>-7.0140231400728226E-9</v>
      </c>
      <c r="H525" s="194">
        <f>-Parking!$E$94/12</f>
        <v>46202.434086102563</v>
      </c>
      <c r="I525" s="195">
        <f>Parking!$E$92/12*G524</f>
        <v>76.875930259726374</v>
      </c>
      <c r="J525" s="196">
        <f t="shared" si="111"/>
        <v>46125.558155842838</v>
      </c>
      <c r="K525" s="73">
        <f t="shared" si="115"/>
        <v>360</v>
      </c>
      <c r="L525" s="188">
        <f t="shared" si="112"/>
        <v>-7.0140231400728226E-9</v>
      </c>
      <c r="M525" s="189">
        <f t="shared" si="112"/>
        <v>46202.434086102563</v>
      </c>
      <c r="N525" s="188">
        <f t="shared" si="112"/>
        <v>76.875930259726374</v>
      </c>
      <c r="O525" s="190">
        <f t="shared" si="107"/>
        <v>46125.558155842838</v>
      </c>
    </row>
  </sheetData>
  <sortState ref="I91:I92">
    <sortCondition ref="I88"/>
  </sortState>
  <mergeCells count="1">
    <mergeCell ref="M14:O14"/>
  </mergeCells>
  <pageMargins left="0" right="0" top="0" bottom="0" header="0" footer="0"/>
  <pageSetup scale="55"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H504"/>
  <sheetViews>
    <sheetView zoomScale="70" zoomScaleNormal="70" zoomScalePageLayoutView="70" workbookViewId="0">
      <pane ySplit="11" topLeftCell="A12" activePane="bottomLeft" state="frozen"/>
      <selection activeCell="G39" sqref="G39"/>
      <selection pane="bottomLeft"/>
    </sheetView>
  </sheetViews>
  <sheetFormatPr defaultColWidth="8.85546875" defaultRowHeight="15.75" x14ac:dyDescent="0.25"/>
  <cols>
    <col min="1" max="1" width="48.42578125" style="503" customWidth="1"/>
    <col min="2" max="2" width="17.28515625" style="503" customWidth="1"/>
    <col min="3" max="3" width="14.85546875" style="503" customWidth="1"/>
    <col min="4" max="4" width="15.7109375" style="503" customWidth="1"/>
    <col min="5" max="6" width="16.42578125" style="503" customWidth="1"/>
    <col min="7" max="7" width="19.140625" style="503" bestFit="1" customWidth="1"/>
    <col min="8" max="8" width="16.42578125" style="503" customWidth="1"/>
    <col min="9" max="9" width="20.7109375" style="503" customWidth="1"/>
    <col min="10" max="10" width="16.85546875" style="503" customWidth="1"/>
    <col min="11" max="11" width="15.140625" style="503" bestFit="1" customWidth="1"/>
    <col min="12" max="13" width="14.85546875" style="503" customWidth="1"/>
    <col min="14" max="14" width="15.42578125" style="503" customWidth="1"/>
    <col min="15" max="15" width="15.85546875" style="503" customWidth="1"/>
    <col min="16" max="16" width="15.42578125" style="503" customWidth="1"/>
    <col min="17" max="17" width="14.7109375" style="503" customWidth="1"/>
    <col min="18" max="18" width="20" style="503" customWidth="1"/>
    <col min="19" max="19" width="16" style="503" customWidth="1"/>
    <col min="20" max="20" width="23.42578125" style="503" bestFit="1" customWidth="1"/>
    <col min="21" max="21" width="16.140625" style="503" customWidth="1"/>
    <col min="22" max="22" width="18.140625" style="503" bestFit="1" customWidth="1"/>
    <col min="23" max="23" width="13.7109375" style="503" bestFit="1" customWidth="1"/>
    <col min="24" max="24" width="20.7109375" style="503" bestFit="1" customWidth="1"/>
    <col min="25" max="26" width="15" style="503" bestFit="1" customWidth="1"/>
    <col min="27" max="27" width="15.85546875" style="503" bestFit="1" customWidth="1"/>
    <col min="28" max="28" width="15" style="503" bestFit="1" customWidth="1"/>
    <col min="29" max="29" width="15" style="503" customWidth="1"/>
    <col min="30" max="31" width="15" style="503" bestFit="1" customWidth="1"/>
    <col min="32" max="32" width="15.85546875" style="503" bestFit="1" customWidth="1"/>
    <col min="33" max="33" width="12.85546875" style="503" customWidth="1"/>
    <col min="34" max="34" width="13" style="503" bestFit="1" customWidth="1"/>
    <col min="35" max="16384" width="8.85546875" style="503"/>
  </cols>
  <sheetData>
    <row r="1" spans="1:27" ht="23.25" x14ac:dyDescent="0.35">
      <c r="A1" s="228" t="s">
        <v>549</v>
      </c>
    </row>
    <row r="3" spans="1:27" ht="16.5" thickBot="1" x14ac:dyDescent="0.3">
      <c r="A3" s="874" t="s">
        <v>210</v>
      </c>
      <c r="B3" s="875"/>
      <c r="C3" s="875"/>
      <c r="D3" s="875"/>
      <c r="E3" s="875"/>
      <c r="F3" s="875"/>
      <c r="G3" s="875"/>
      <c r="H3" s="875"/>
      <c r="I3" s="875"/>
      <c r="J3" s="875"/>
      <c r="K3" s="875"/>
      <c r="L3" s="875"/>
      <c r="M3" s="875"/>
      <c r="N3" s="875"/>
      <c r="O3" s="875"/>
      <c r="P3" s="875"/>
      <c r="Q3" s="875"/>
      <c r="R3" s="875"/>
      <c r="S3" s="875"/>
      <c r="T3" s="875"/>
      <c r="U3" s="224"/>
      <c r="V3" s="224"/>
      <c r="W3" s="224"/>
      <c r="X3" s="224"/>
    </row>
    <row r="4" spans="1:27" ht="16.5" thickBot="1" x14ac:dyDescent="0.3">
      <c r="A4" s="504"/>
      <c r="B4" s="876" t="s">
        <v>190</v>
      </c>
      <c r="C4" s="877"/>
      <c r="D4" s="876" t="s">
        <v>1</v>
      </c>
      <c r="E4" s="877"/>
      <c r="F4" s="876" t="s">
        <v>0</v>
      </c>
      <c r="G4" s="877"/>
      <c r="H4" s="876" t="s">
        <v>468</v>
      </c>
      <c r="I4" s="877"/>
      <c r="J4" s="876" t="s">
        <v>2</v>
      </c>
      <c r="K4" s="877"/>
      <c r="L4" s="876" t="s">
        <v>469</v>
      </c>
      <c r="M4" s="877"/>
      <c r="N4" s="878" t="s">
        <v>211</v>
      </c>
      <c r="O4" s="879"/>
      <c r="P4" s="879"/>
      <c r="Q4" s="879"/>
      <c r="R4" s="879"/>
      <c r="S4" s="879"/>
      <c r="T4" s="505"/>
      <c r="U4" s="506"/>
      <c r="V4" s="507" t="s">
        <v>189</v>
      </c>
      <c r="W4" s="508"/>
      <c r="X4" s="509"/>
    </row>
    <row r="5" spans="1:27" ht="16.5" thickBot="1" x14ac:dyDescent="0.3">
      <c r="A5" s="510"/>
      <c r="B5" s="511" t="s">
        <v>19</v>
      </c>
      <c r="C5" s="512" t="s">
        <v>20</v>
      </c>
      <c r="D5" s="511" t="s">
        <v>19</v>
      </c>
      <c r="E5" s="512" t="s">
        <v>20</v>
      </c>
      <c r="F5" s="511" t="s">
        <v>19</v>
      </c>
      <c r="G5" s="512" t="s">
        <v>20</v>
      </c>
      <c r="H5" s="511" t="s">
        <v>19</v>
      </c>
      <c r="I5" s="512" t="s">
        <v>20</v>
      </c>
      <c r="J5" s="511" t="s">
        <v>19</v>
      </c>
      <c r="K5" s="512" t="s">
        <v>20</v>
      </c>
      <c r="L5" s="511" t="s">
        <v>19</v>
      </c>
      <c r="M5" s="513" t="s">
        <v>20</v>
      </c>
      <c r="N5" s="805" t="s">
        <v>19</v>
      </c>
      <c r="O5" s="806" t="s">
        <v>94</v>
      </c>
      <c r="P5" s="806" t="s">
        <v>243</v>
      </c>
      <c r="Q5" s="806" t="s">
        <v>248</v>
      </c>
      <c r="R5" s="806" t="s">
        <v>253</v>
      </c>
      <c r="S5" s="807" t="s">
        <v>258</v>
      </c>
      <c r="T5" s="802"/>
      <c r="U5" s="514"/>
      <c r="V5" s="515" t="s">
        <v>19</v>
      </c>
      <c r="W5" s="516" t="s">
        <v>20</v>
      </c>
      <c r="X5" s="517" t="s">
        <v>212</v>
      </c>
    </row>
    <row r="6" spans="1:27" x14ac:dyDescent="0.25">
      <c r="A6" s="518" t="s">
        <v>21</v>
      </c>
      <c r="B6" s="519">
        <f>'Residential Rental'!D5</f>
        <v>0.1</v>
      </c>
      <c r="C6" s="520">
        <f>'Residential Rental'!E5</f>
        <v>0.18732188661050037</v>
      </c>
      <c r="D6" s="519">
        <f>Office!D5</f>
        <v>0.1</v>
      </c>
      <c r="E6" s="520">
        <f>Office!E5</f>
        <v>9.8493657164612364E-2</v>
      </c>
      <c r="F6" s="519">
        <f>'Retail &amp; Restaurant'!D5</f>
        <v>0.1</v>
      </c>
      <c r="G6" s="520">
        <f>'Retail &amp; Restaurant'!E5</f>
        <v>0.24545227947511306</v>
      </c>
      <c r="H6" s="519">
        <f>Hotel!D5</f>
        <v>0.1</v>
      </c>
      <c r="I6" s="520">
        <f>Hotel!E5</f>
        <v>0.27590035966426479</v>
      </c>
      <c r="J6" s="519">
        <f>Industrial!D5</f>
        <v>0.1</v>
      </c>
      <c r="K6" s="520">
        <f>Industrial!E5</f>
        <v>6.8490395678479393E-2</v>
      </c>
      <c r="L6" s="521">
        <f>Parking!D5</f>
        <v>0.1</v>
      </c>
      <c r="M6" s="520">
        <f>Parking!E5</f>
        <v>0.192876237117826</v>
      </c>
      <c r="N6" s="522">
        <v>0.1</v>
      </c>
      <c r="O6" s="523">
        <f>IF(L108=0,0,E102)</f>
        <v>0.29122735977830061</v>
      </c>
      <c r="P6" s="523">
        <f>IF(Q108=0,0,Q102)</f>
        <v>0</v>
      </c>
      <c r="Q6" s="523">
        <f>IF(V108=0,0,V102)</f>
        <v>0</v>
      </c>
      <c r="R6" s="523">
        <f>IF(AA108=0,0,AA102)</f>
        <v>0</v>
      </c>
      <c r="S6" s="808">
        <f>IF(AF108=0,0,AF102)</f>
        <v>0</v>
      </c>
      <c r="T6" s="803" t="s">
        <v>35</v>
      </c>
      <c r="U6" s="525"/>
      <c r="V6" s="526">
        <f>'Residential For Sale'!B30</f>
        <v>0.25</v>
      </c>
      <c r="W6" s="527">
        <f>'Residential For Sale'!B34</f>
        <v>0.29956824975091334</v>
      </c>
      <c r="X6" s="528">
        <f>'Residential For Sale'!B52</f>
        <v>0</v>
      </c>
    </row>
    <row r="7" spans="1:27" ht="16.5" thickBot="1" x14ac:dyDescent="0.3">
      <c r="A7" s="524" t="s">
        <v>22</v>
      </c>
      <c r="B7" s="519">
        <f>'Residential Rental'!D6</f>
        <v>0.12</v>
      </c>
      <c r="C7" s="520">
        <f>'Residential Rental'!E6</f>
        <v>0.13712266074556978</v>
      </c>
      <c r="D7" s="519">
        <f>Office!D6</f>
        <v>0.12</v>
      </c>
      <c r="E7" s="520">
        <f>Office!E6</f>
        <v>9.8549368665077575E-2</v>
      </c>
      <c r="F7" s="519">
        <f>'Retail &amp; Restaurant'!D6</f>
        <v>0.12</v>
      </c>
      <c r="G7" s="520">
        <f>'Retail &amp; Restaurant'!E6</f>
        <v>0.16492270867505421</v>
      </c>
      <c r="H7" s="519">
        <f>Hotel!D6</f>
        <v>0.12</v>
      </c>
      <c r="I7" s="520">
        <f>Hotel!E6</f>
        <v>0.19155661109885491</v>
      </c>
      <c r="J7" s="519">
        <f>Industrial!D6</f>
        <v>0.12</v>
      </c>
      <c r="K7" s="520">
        <f>Industrial!E6</f>
        <v>5.1101385980766301E-2</v>
      </c>
      <c r="L7" s="521">
        <f>Parking!D6</f>
        <v>0.12</v>
      </c>
      <c r="M7" s="520">
        <f>Parking!E6</f>
        <v>6.3086119622082215E-2</v>
      </c>
      <c r="N7" s="522">
        <v>0.12</v>
      </c>
      <c r="O7" s="523">
        <f>L115</f>
        <v>0.15549222401257201</v>
      </c>
      <c r="P7" s="523">
        <f>Q115</f>
        <v>0</v>
      </c>
      <c r="Q7" s="523">
        <f>V115</f>
        <v>0</v>
      </c>
      <c r="R7" s="523">
        <f>AA115</f>
        <v>0</v>
      </c>
      <c r="S7" s="808">
        <f>AF115</f>
        <v>0</v>
      </c>
      <c r="T7" s="804" t="s">
        <v>191</v>
      </c>
      <c r="U7" s="529"/>
      <c r="V7" s="530">
        <f>'Residential For Sale'!B35</f>
        <v>0.5</v>
      </c>
      <c r="W7" s="531">
        <f>'Residential For Sale'!B38</f>
        <v>0.72777150233984189</v>
      </c>
      <c r="X7" s="532">
        <f>'Residential For Sale'!B57</f>
        <v>0</v>
      </c>
    </row>
    <row r="8" spans="1:27" x14ac:dyDescent="0.25">
      <c r="A8" s="524" t="s">
        <v>23</v>
      </c>
      <c r="B8" s="519">
        <f>'Residential Rental'!D7</f>
        <v>0.25</v>
      </c>
      <c r="C8" s="520">
        <f>'Residential Rental'!E7</f>
        <v>0.29580323951731313</v>
      </c>
      <c r="D8" s="519">
        <f>Office!D7</f>
        <v>0.25</v>
      </c>
      <c r="E8" s="520">
        <f>Office!E7</f>
        <v>0.21048177513824351</v>
      </c>
      <c r="F8" s="519">
        <f>'Retail &amp; Restaurant'!D7</f>
        <v>0.25</v>
      </c>
      <c r="G8" s="520">
        <f>'Retail &amp; Restaurant'!E7</f>
        <v>0.31385323192470871</v>
      </c>
      <c r="H8" s="519">
        <f>Hotel!D7</f>
        <v>0.25</v>
      </c>
      <c r="I8" s="520">
        <f>Hotel!E7</f>
        <v>0.34198677630517316</v>
      </c>
      <c r="J8" s="519">
        <f>Industrial!D7</f>
        <v>0.25</v>
      </c>
      <c r="K8" s="520">
        <f>Industrial!E7</f>
        <v>3.4124867603331444E-2</v>
      </c>
      <c r="L8" s="521">
        <f>Parking!D7</f>
        <v>0.25</v>
      </c>
      <c r="M8" s="520">
        <f>Parking!E7</f>
        <v>0.26247166808461087</v>
      </c>
      <c r="N8" s="522">
        <v>0.25</v>
      </c>
      <c r="O8" s="523">
        <f>L123</f>
        <v>0.35965207050144188</v>
      </c>
      <c r="P8" s="523">
        <f>Q123</f>
        <v>0</v>
      </c>
      <c r="Q8" s="523">
        <f>V123</f>
        <v>0</v>
      </c>
      <c r="R8" s="523">
        <f>AA123</f>
        <v>0</v>
      </c>
      <c r="S8" s="808">
        <f>AF123</f>
        <v>0</v>
      </c>
      <c r="T8" s="525"/>
      <c r="U8" s="525"/>
      <c r="V8" s="525"/>
      <c r="W8" s="525"/>
      <c r="X8" s="534"/>
    </row>
    <row r="9" spans="1:27" ht="16.5" thickBot="1" x14ac:dyDescent="0.3">
      <c r="A9" s="524" t="s">
        <v>24</v>
      </c>
      <c r="B9" s="535">
        <f>'Residential Rental'!D8</f>
        <v>1.25</v>
      </c>
      <c r="C9" s="536">
        <f>'Residential Rental'!E8</f>
        <v>1.8542004738864539</v>
      </c>
      <c r="D9" s="535">
        <f>Office!D8</f>
        <v>1.25</v>
      </c>
      <c r="E9" s="536">
        <f>Office!E8</f>
        <v>1.3853950805040691</v>
      </c>
      <c r="F9" s="535">
        <f>'Retail &amp; Restaurant'!D8</f>
        <v>1.25</v>
      </c>
      <c r="G9" s="536">
        <f>'Retail &amp; Restaurant'!E8</f>
        <v>2.8950950154478723</v>
      </c>
      <c r="H9" s="535">
        <f>Hotel!D8</f>
        <v>1.25</v>
      </c>
      <c r="I9" s="536">
        <f>Hotel!E8</f>
        <v>4.1348212989077791</v>
      </c>
      <c r="J9" s="535">
        <f>Industrial!D8</f>
        <v>1.25</v>
      </c>
      <c r="K9" s="536">
        <f>Industrial!E8</f>
        <v>0.61488292294627667</v>
      </c>
      <c r="L9" s="537">
        <f>Parking!D8</f>
        <v>1.25</v>
      </c>
      <c r="M9" s="536">
        <f>Parking!E8</f>
        <v>1.3863931284217914</v>
      </c>
      <c r="N9" s="538">
        <v>1.25</v>
      </c>
      <c r="O9" s="539">
        <f>E96/E98</f>
        <v>2.8133741084272947</v>
      </c>
      <c r="P9" s="539">
        <f>Q96/Q98</f>
        <v>3.9915201132716658</v>
      </c>
      <c r="Q9" s="539">
        <f>V96/V98</f>
        <v>4.619904143232846</v>
      </c>
      <c r="R9" s="539">
        <f>AA96/AA98</f>
        <v>5.3483734578710003</v>
      </c>
      <c r="S9" s="809">
        <f>AF96/AF98</f>
        <v>6.1928690482541002</v>
      </c>
      <c r="T9" s="540"/>
      <c r="U9" s="540"/>
      <c r="V9" s="540"/>
      <c r="W9" s="540"/>
      <c r="X9" s="541"/>
    </row>
    <row r="10" spans="1:27" ht="16.5" thickBot="1" x14ac:dyDescent="0.3">
      <c r="A10" s="524" t="s">
        <v>25</v>
      </c>
      <c r="B10" s="542">
        <f>'Residential Rental'!D9</f>
        <v>0.05</v>
      </c>
      <c r="C10" s="543">
        <f>'Residential Rental'!E9</f>
        <v>7.1210786165145423E-2</v>
      </c>
      <c r="D10" s="542">
        <f>Office!D9</f>
        <v>0.05</v>
      </c>
      <c r="E10" s="543">
        <f>Office!E9</f>
        <v>6.8994372356951272E-2</v>
      </c>
      <c r="F10" s="542">
        <f>'Retail &amp; Restaurant'!D9</f>
        <v>0.05</v>
      </c>
      <c r="G10" s="543">
        <f>'Retail &amp; Restaurant'!E9</f>
        <v>9.7171389918413675E-2</v>
      </c>
      <c r="H10" s="542">
        <f>Hotel!D9</f>
        <v>7.4999999999999997E-2</v>
      </c>
      <c r="I10" s="543">
        <f>Hotel!E9</f>
        <v>0.11899987744893803</v>
      </c>
      <c r="J10" s="542">
        <f>Industrial!D9</f>
        <v>0.05</v>
      </c>
      <c r="K10" s="543">
        <f>Industrial!E9</f>
        <v>4.975136895124721E-2</v>
      </c>
      <c r="L10" s="544">
        <f>Parking!D9</f>
        <v>0.04</v>
      </c>
      <c r="M10" s="543">
        <f>Parking!E9</f>
        <v>2.5270429823639251E-2</v>
      </c>
      <c r="N10" s="810">
        <v>0.05</v>
      </c>
      <c r="O10" s="811">
        <f>L136</f>
        <v>4.3850184397848269E-2</v>
      </c>
      <c r="P10" s="811">
        <f>Q136</f>
        <v>0</v>
      </c>
      <c r="Q10" s="811">
        <f>V136</f>
        <v>0</v>
      </c>
      <c r="R10" s="811">
        <f>AA136</f>
        <v>0</v>
      </c>
      <c r="S10" s="812">
        <f>AF136</f>
        <v>0</v>
      </c>
      <c r="U10" s="545"/>
    </row>
    <row r="11" spans="1:27" ht="16.5" thickBot="1" x14ac:dyDescent="0.3">
      <c r="A11" s="546"/>
      <c r="B11" s="547"/>
      <c r="C11" s="548"/>
      <c r="D11" s="547"/>
      <c r="E11" s="548"/>
      <c r="F11" s="547"/>
      <c r="G11" s="548"/>
      <c r="H11" s="547"/>
      <c r="I11" s="548"/>
      <c r="J11" s="547"/>
      <c r="K11" s="548"/>
      <c r="L11" s="548"/>
      <c r="M11" s="548"/>
      <c r="N11" s="547"/>
      <c r="O11" s="548"/>
      <c r="P11" s="548"/>
      <c r="Q11" s="548"/>
      <c r="R11" s="548"/>
      <c r="S11" s="549"/>
      <c r="T11" s="545"/>
    </row>
    <row r="12" spans="1:27" s="11" customFormat="1" ht="16.5" thickBot="1" x14ac:dyDescent="0.3">
      <c r="B12" s="551"/>
    </row>
    <row r="13" spans="1:27" ht="16.5" thickBot="1" x14ac:dyDescent="0.3">
      <c r="A13" s="552" t="s">
        <v>34</v>
      </c>
      <c r="B13" s="553" t="s">
        <v>213</v>
      </c>
      <c r="C13" s="554" t="s">
        <v>1</v>
      </c>
      <c r="D13" s="554" t="s">
        <v>0</v>
      </c>
      <c r="E13" s="554" t="s">
        <v>468</v>
      </c>
      <c r="F13" s="554" t="s">
        <v>2</v>
      </c>
      <c r="G13" s="555" t="s">
        <v>469</v>
      </c>
      <c r="H13" s="556" t="s">
        <v>214</v>
      </c>
      <c r="I13" s="557" t="s">
        <v>215</v>
      </c>
      <c r="K13" s="11"/>
      <c r="L13" s="11"/>
      <c r="M13" s="11"/>
      <c r="T13" s="558"/>
      <c r="U13" s="558"/>
      <c r="V13" s="559"/>
      <c r="W13" s="558"/>
      <c r="X13" s="550"/>
      <c r="Y13" s="550"/>
      <c r="Z13" s="550"/>
      <c r="AA13" s="545"/>
    </row>
    <row r="14" spans="1:27" s="564" customFormat="1" x14ac:dyDescent="0.25">
      <c r="A14" s="560" t="s">
        <v>554</v>
      </c>
      <c r="B14" s="561">
        <f>'Residential Rental'!L4</f>
        <v>3040000</v>
      </c>
      <c r="C14" s="562">
        <f>Office!L4</f>
        <v>2160000</v>
      </c>
      <c r="D14" s="562">
        <f>'Retail &amp; Restaurant'!L4</f>
        <v>7220000</v>
      </c>
      <c r="E14" s="562">
        <f>Hotel!L4</f>
        <v>34700000</v>
      </c>
      <c r="F14" s="562">
        <f>Industrial!L4</f>
        <v>2400000</v>
      </c>
      <c r="G14" s="562">
        <f>Parking!L4</f>
        <v>13610700</v>
      </c>
      <c r="H14" s="563">
        <f t="shared" ref="H14:H19" si="0">SUM(B14:G14)</f>
        <v>63130700</v>
      </c>
      <c r="I14" s="563">
        <f>'Residential For Sale'!B14</f>
        <v>3046000</v>
      </c>
      <c r="K14" s="166"/>
      <c r="L14" s="166"/>
      <c r="M14" s="166"/>
      <c r="T14" s="565"/>
      <c r="U14" s="565"/>
      <c r="V14" s="566"/>
      <c r="W14" s="565"/>
      <c r="X14" s="567"/>
      <c r="Y14" s="567"/>
      <c r="Z14" s="567"/>
      <c r="AA14" s="568"/>
    </row>
    <row r="15" spans="1:27" x14ac:dyDescent="0.25">
      <c r="A15" s="569" t="s">
        <v>38</v>
      </c>
      <c r="B15" s="570">
        <f>'Residential Rental'!L5</f>
        <v>0</v>
      </c>
      <c r="C15" s="571">
        <f>Office!L5</f>
        <v>0</v>
      </c>
      <c r="D15" s="571">
        <f>'Retail &amp; Restaurant'!L5</f>
        <v>0</v>
      </c>
      <c r="E15" s="571">
        <f>Hotel!L5</f>
        <v>0</v>
      </c>
      <c r="F15" s="571">
        <f>Industrial!L5</f>
        <v>0</v>
      </c>
      <c r="G15" s="571">
        <f>Parking!L5</f>
        <v>0</v>
      </c>
      <c r="H15" s="572">
        <f t="shared" si="0"/>
        <v>0</v>
      </c>
      <c r="I15" s="573" t="e">
        <f>'Residential For Sale'!#REF!</f>
        <v>#REF!</v>
      </c>
      <c r="T15" s="39"/>
      <c r="U15" s="39"/>
      <c r="V15" s="39"/>
      <c r="W15" s="39"/>
      <c r="X15" s="39"/>
      <c r="Y15" s="39"/>
      <c r="Z15" s="39"/>
      <c r="AA15" s="545"/>
    </row>
    <row r="16" spans="1:27" ht="16.5" thickBot="1" x14ac:dyDescent="0.3">
      <c r="A16" s="574" t="s">
        <v>39</v>
      </c>
      <c r="B16" s="575">
        <f>'Residential Rental'!L6</f>
        <v>0</v>
      </c>
      <c r="C16" s="576">
        <f>Office!L6</f>
        <v>0</v>
      </c>
      <c r="D16" s="576">
        <f>'Retail &amp; Restaurant'!L6</f>
        <v>0</v>
      </c>
      <c r="E16" s="576">
        <f>Hotel!L6</f>
        <v>0</v>
      </c>
      <c r="F16" s="576">
        <f>Industrial!L6</f>
        <v>0</v>
      </c>
      <c r="G16" s="576">
        <f>Parking!L6</f>
        <v>0</v>
      </c>
      <c r="H16" s="577">
        <f t="shared" si="0"/>
        <v>0</v>
      </c>
      <c r="I16" s="578" t="e">
        <f>'Residential For Sale'!#REF!</f>
        <v>#REF!</v>
      </c>
      <c r="T16" s="550"/>
      <c r="U16" s="243"/>
      <c r="V16" s="550"/>
      <c r="W16" s="567"/>
      <c r="X16" s="550"/>
      <c r="Y16" s="550"/>
      <c r="Z16" s="243"/>
      <c r="AA16" s="545"/>
    </row>
    <row r="17" spans="1:27" ht="16.5" thickBot="1" x14ac:dyDescent="0.3">
      <c r="A17" s="579" t="s">
        <v>40</v>
      </c>
      <c r="B17" s="580">
        <f>'Residential Rental'!L7</f>
        <v>400000</v>
      </c>
      <c r="C17" s="581">
        <f>Office!L7</f>
        <v>200000</v>
      </c>
      <c r="D17" s="581">
        <f>'Retail &amp; Restaurant'!L7</f>
        <v>250000</v>
      </c>
      <c r="E17" s="581">
        <f>Hotel!L7</f>
        <v>2000000</v>
      </c>
      <c r="F17" s="581">
        <f>Industrial!L7</f>
        <v>250000</v>
      </c>
      <c r="G17" s="581">
        <f>Parking!L7</f>
        <v>1000000</v>
      </c>
      <c r="H17" s="582">
        <f t="shared" si="0"/>
        <v>4100000</v>
      </c>
      <c r="I17" s="583" t="e">
        <f>'Residential For Sale'!#REF!</f>
        <v>#REF!</v>
      </c>
      <c r="J17" s="584" t="s">
        <v>192</v>
      </c>
      <c r="T17" s="550"/>
      <c r="U17" s="243"/>
      <c r="V17" s="550"/>
      <c r="W17" s="567"/>
      <c r="X17" s="550"/>
      <c r="Y17" s="550"/>
      <c r="Z17" s="243"/>
      <c r="AA17" s="545"/>
    </row>
    <row r="18" spans="1:27" ht="16.5" thickBot="1" x14ac:dyDescent="0.3">
      <c r="A18" s="552" t="s">
        <v>533</v>
      </c>
      <c r="B18" s="585">
        <f>'Residential Rental'!L8</f>
        <v>400000</v>
      </c>
      <c r="C18" s="586">
        <f>Office!L8</f>
        <v>200000</v>
      </c>
      <c r="D18" s="586">
        <f>'Retail &amp; Restaurant'!L8</f>
        <v>250000</v>
      </c>
      <c r="E18" s="586">
        <f>Hotel!L8</f>
        <v>2000000</v>
      </c>
      <c r="F18" s="586">
        <f>Industrial!L8</f>
        <v>250000</v>
      </c>
      <c r="G18" s="586">
        <f>Parking!L8</f>
        <v>1000000</v>
      </c>
      <c r="H18" s="587">
        <f t="shared" si="0"/>
        <v>4100000</v>
      </c>
      <c r="I18" s="587" t="e">
        <f>SUM(I15:I17)</f>
        <v>#REF!</v>
      </c>
      <c r="J18" s="588" t="e">
        <f>SUM(G18:I18)</f>
        <v>#REF!</v>
      </c>
      <c r="T18" s="550"/>
      <c r="U18" s="243"/>
      <c r="V18" s="550"/>
      <c r="W18" s="567"/>
      <c r="X18" s="550"/>
      <c r="Y18" s="550"/>
      <c r="Z18" s="243"/>
      <c r="AA18" s="545"/>
    </row>
    <row r="19" spans="1:27" ht="16.5" thickBot="1" x14ac:dyDescent="0.3">
      <c r="A19" s="552" t="s">
        <v>432</v>
      </c>
      <c r="B19" s="585">
        <f>'Residential Rental'!L9</f>
        <v>2640000</v>
      </c>
      <c r="C19" s="586">
        <f>Office!L9</f>
        <v>1960000</v>
      </c>
      <c r="D19" s="586">
        <f>'Retail &amp; Restaurant'!L9</f>
        <v>6970000</v>
      </c>
      <c r="E19" s="586">
        <f>Hotel!L9</f>
        <v>32700000</v>
      </c>
      <c r="F19" s="586">
        <f>Industrial!L9</f>
        <v>2150000</v>
      </c>
      <c r="G19" s="586">
        <f>Parking!L9</f>
        <v>12610700</v>
      </c>
      <c r="H19" s="587">
        <f t="shared" si="0"/>
        <v>59030700</v>
      </c>
      <c r="I19" s="589">
        <f>'Residential For Sale'!B49</f>
        <v>0</v>
      </c>
      <c r="J19" s="588">
        <f>SUM(G19:I19)</f>
        <v>71641400</v>
      </c>
      <c r="T19" s="550"/>
      <c r="U19" s="243"/>
      <c r="V19" s="550"/>
      <c r="W19" s="567"/>
      <c r="X19" s="550"/>
      <c r="Y19" s="550"/>
      <c r="Z19" s="243"/>
      <c r="AA19" s="545"/>
    </row>
    <row r="20" spans="1:27" ht="16.5" thickBot="1" x14ac:dyDescent="0.3">
      <c r="E20" s="503" t="s">
        <v>9</v>
      </c>
      <c r="T20" s="590"/>
      <c r="U20" s="550"/>
      <c r="V20" s="550"/>
      <c r="W20" s="567"/>
      <c r="X20" s="550"/>
      <c r="Y20" s="550"/>
      <c r="Z20" s="550"/>
      <c r="AA20" s="545"/>
    </row>
    <row r="21" spans="1:27" ht="16.5" thickBot="1" x14ac:dyDescent="0.3">
      <c r="A21" s="70" t="s">
        <v>217</v>
      </c>
      <c r="B21" s="591"/>
      <c r="C21" s="592"/>
      <c r="D21" s="71"/>
      <c r="E21" s="591"/>
      <c r="F21" s="591"/>
      <c r="G21" s="591"/>
      <c r="H21" s="591"/>
      <c r="I21" s="593"/>
      <c r="J21" s="591"/>
      <c r="K21" s="594"/>
      <c r="N21" s="545"/>
      <c r="O21" s="545"/>
      <c r="P21" s="545"/>
      <c r="Q21" s="545"/>
      <c r="T21" s="550"/>
      <c r="U21" s="595"/>
      <c r="V21" s="596"/>
      <c r="W21" s="567"/>
      <c r="X21" s="550"/>
      <c r="Y21" s="550"/>
      <c r="Z21" s="39"/>
      <c r="AA21" s="545"/>
    </row>
    <row r="22" spans="1:27" ht="16.5" thickBot="1" x14ac:dyDescent="0.3">
      <c r="A22" s="597"/>
      <c r="B22" s="841" t="s">
        <v>190</v>
      </c>
      <c r="C22" s="842" t="s">
        <v>1</v>
      </c>
      <c r="D22" s="842" t="s">
        <v>0</v>
      </c>
      <c r="E22" s="842" t="s">
        <v>468</v>
      </c>
      <c r="F22" s="842" t="s">
        <v>2</v>
      </c>
      <c r="G22" s="842" t="s">
        <v>469</v>
      </c>
      <c r="H22" s="843" t="s">
        <v>214</v>
      </c>
      <c r="I22" s="880" t="s">
        <v>189</v>
      </c>
      <c r="J22" s="881"/>
      <c r="K22" s="882"/>
      <c r="N22" s="545"/>
      <c r="O22" s="545"/>
      <c r="P22" s="545"/>
      <c r="Q22" s="545"/>
      <c r="T22" s="590"/>
      <c r="U22" s="39"/>
      <c r="V22" s="39"/>
      <c r="W22" s="39"/>
      <c r="X22" s="39"/>
      <c r="Y22" s="39"/>
      <c r="Z22" s="39"/>
      <c r="AA22" s="545"/>
    </row>
    <row r="23" spans="1:27" ht="16.5" thickBot="1" x14ac:dyDescent="0.3">
      <c r="A23" s="598" t="s">
        <v>432</v>
      </c>
      <c r="B23" s="599">
        <f>B19</f>
        <v>2640000</v>
      </c>
      <c r="C23" s="599">
        <f t="shared" ref="C23:G23" si="1">C19</f>
        <v>1960000</v>
      </c>
      <c r="D23" s="599">
        <f t="shared" si="1"/>
        <v>6970000</v>
      </c>
      <c r="E23" s="599">
        <f t="shared" si="1"/>
        <v>32700000</v>
      </c>
      <c r="F23" s="599">
        <f t="shared" si="1"/>
        <v>2150000</v>
      </c>
      <c r="G23" s="599">
        <f t="shared" si="1"/>
        <v>12610700</v>
      </c>
      <c r="H23" s="600">
        <f>SUM(B23,C23,D23,E23,F23,G23)</f>
        <v>59030700</v>
      </c>
      <c r="I23" s="598" t="s">
        <v>44</v>
      </c>
      <c r="J23" s="601"/>
      <c r="K23" s="602">
        <f>I19</f>
        <v>0</v>
      </c>
      <c r="N23" s="545"/>
      <c r="O23" s="545"/>
      <c r="P23" s="545"/>
      <c r="Q23" s="545"/>
      <c r="T23" s="39"/>
      <c r="U23" s="39"/>
      <c r="V23" s="39"/>
      <c r="W23" s="39"/>
      <c r="X23" s="39"/>
      <c r="Y23" s="39"/>
      <c r="Z23" s="39"/>
      <c r="AA23" s="545"/>
    </row>
    <row r="24" spans="1:27" ht="16.5" thickBot="1" x14ac:dyDescent="0.3">
      <c r="A24" s="603" t="s">
        <v>216</v>
      </c>
      <c r="B24" s="604">
        <f>'Residential Rental'!C46</f>
        <v>88000</v>
      </c>
      <c r="C24" s="604">
        <f>Office!C44</f>
        <v>163.33333333333334</v>
      </c>
      <c r="D24" s="604">
        <f>'Retail &amp; Restaurant'!C46</f>
        <v>199.14285714285714</v>
      </c>
      <c r="E24" s="604">
        <f>Hotel!C46</f>
        <v>163500</v>
      </c>
      <c r="F24" s="604">
        <f>Industrial!C44</f>
        <v>204.76190476190476</v>
      </c>
      <c r="G24" s="604">
        <f>Parking!C40</f>
        <v>25205</v>
      </c>
      <c r="H24" s="605"/>
      <c r="I24" s="605"/>
      <c r="J24" s="605"/>
      <c r="K24" s="605"/>
      <c r="L24" s="605"/>
      <c r="N24" s="545"/>
      <c r="O24" s="545"/>
      <c r="P24" s="545"/>
      <c r="Q24" s="545"/>
      <c r="T24" s="39"/>
      <c r="U24" s="39"/>
      <c r="V24" s="39"/>
      <c r="W24" s="39"/>
      <c r="X24" s="39"/>
      <c r="Y24" s="39"/>
      <c r="Z24" s="39"/>
      <c r="AA24" s="545"/>
    </row>
    <row r="25" spans="1:27" ht="16.5" thickBot="1" x14ac:dyDescent="0.3">
      <c r="A25" s="70" t="s">
        <v>491</v>
      </c>
      <c r="B25" s="606"/>
      <c r="C25" s="606"/>
      <c r="D25" s="606"/>
      <c r="E25" s="606"/>
      <c r="F25" s="606"/>
      <c r="G25" s="606"/>
      <c r="H25" s="607"/>
      <c r="I25" s="871" t="s">
        <v>26</v>
      </c>
      <c r="J25" s="872"/>
      <c r="K25" s="873"/>
      <c r="N25" s="545"/>
      <c r="O25" s="545"/>
      <c r="P25" s="545"/>
      <c r="Q25" s="545"/>
      <c r="T25" s="545"/>
      <c r="U25" s="545"/>
      <c r="V25" s="545"/>
      <c r="W25" s="545"/>
      <c r="X25" s="545"/>
      <c r="Y25" s="545"/>
      <c r="Z25" s="545"/>
      <c r="AA25" s="545"/>
    </row>
    <row r="26" spans="1:27" ht="16.5" thickBot="1" x14ac:dyDescent="0.3">
      <c r="A26" s="608" t="s">
        <v>45</v>
      </c>
      <c r="B26" s="609" t="s">
        <v>3</v>
      </c>
      <c r="C26" s="609" t="s">
        <v>3</v>
      </c>
      <c r="D26" s="609" t="s">
        <v>3</v>
      </c>
      <c r="E26" s="609" t="s">
        <v>3</v>
      </c>
      <c r="F26" s="609" t="s">
        <v>3</v>
      </c>
      <c r="G26" s="609" t="s">
        <v>3</v>
      </c>
      <c r="H26" s="610" t="s">
        <v>43</v>
      </c>
      <c r="I26" s="611"/>
      <c r="J26" s="612"/>
      <c r="K26" s="613" t="s">
        <v>43</v>
      </c>
      <c r="N26" s="545"/>
      <c r="O26" s="545"/>
      <c r="P26" s="545"/>
      <c r="Q26" s="545"/>
    </row>
    <row r="27" spans="1:27" x14ac:dyDescent="0.25">
      <c r="A27" s="614" t="s">
        <v>49</v>
      </c>
      <c r="B27" s="615">
        <f>'Residential Rental'!C48</f>
        <v>30</v>
      </c>
      <c r="C27" s="616"/>
      <c r="D27" s="616"/>
      <c r="E27" s="617">
        <f>Hotel!C48</f>
        <v>200</v>
      </c>
      <c r="F27" s="616"/>
      <c r="G27" s="616">
        <f>Parking!C42</f>
        <v>540</v>
      </c>
      <c r="H27" s="618"/>
      <c r="I27" s="619" t="s">
        <v>28</v>
      </c>
      <c r="J27" s="620"/>
      <c r="K27" s="621">
        <f>'Residential For Sale'!B20</f>
        <v>12</v>
      </c>
      <c r="N27" s="545"/>
      <c r="O27" s="545"/>
      <c r="P27" s="545"/>
      <c r="Q27" s="545"/>
    </row>
    <row r="28" spans="1:27" ht="16.5" thickBot="1" x14ac:dyDescent="0.3">
      <c r="A28" s="622" t="s">
        <v>558</v>
      </c>
      <c r="B28" s="623">
        <f>'Residential Rental'!C49</f>
        <v>27000</v>
      </c>
      <c r="C28" s="624">
        <f>Office!C46</f>
        <v>12000</v>
      </c>
      <c r="D28" s="624">
        <f>'Retail &amp; Restaurant'!C48</f>
        <v>35000</v>
      </c>
      <c r="E28" s="624">
        <f>Hotel!C49</f>
        <v>160000</v>
      </c>
      <c r="F28" s="624">
        <f>Industrial!C46</f>
        <v>10500</v>
      </c>
      <c r="G28" s="624"/>
      <c r="H28" s="625">
        <f>SUM(B28,C28,D28,E28,F28)</f>
        <v>244500</v>
      </c>
      <c r="I28" s="626" t="s">
        <v>218</v>
      </c>
      <c r="J28" s="627"/>
      <c r="K28" s="628">
        <f>'Residential For Sale'!B22</f>
        <v>350000</v>
      </c>
      <c r="N28" s="545"/>
      <c r="O28" s="545"/>
      <c r="P28" s="545"/>
      <c r="Q28" s="545"/>
    </row>
    <row r="29" spans="1:27" x14ac:dyDescent="0.25">
      <c r="A29" s="622" t="s">
        <v>557</v>
      </c>
      <c r="B29" s="629">
        <f>'Residential Rental'!E49</f>
        <v>30000</v>
      </c>
      <c r="C29" s="851">
        <f>Office!D46</f>
        <v>21</v>
      </c>
      <c r="D29" s="630">
        <f>'Retail &amp; Restaurant'!C36</f>
        <v>12</v>
      </c>
      <c r="E29" s="631">
        <f>Hotel!C38*365</f>
        <v>52925</v>
      </c>
      <c r="F29" s="851">
        <f>Industrial!C36</f>
        <v>17.5</v>
      </c>
      <c r="G29" s="631">
        <f>Parking!C32*12</f>
        <v>2400</v>
      </c>
      <c r="H29" s="632"/>
      <c r="N29" s="545"/>
      <c r="O29" s="545"/>
      <c r="P29" s="545"/>
      <c r="Q29" s="545"/>
      <c r="R29" s="39"/>
      <c r="S29" s="39"/>
    </row>
    <row r="30" spans="1:27" x14ac:dyDescent="0.25">
      <c r="A30" s="622" t="s">
        <v>134</v>
      </c>
      <c r="B30" s="633"/>
      <c r="C30" s="633"/>
      <c r="D30" s="633">
        <f>'Retail &amp; Restaurant'!D49</f>
        <v>14000000</v>
      </c>
      <c r="E30" s="633"/>
      <c r="F30" s="633"/>
      <c r="G30" s="633"/>
      <c r="H30" s="634">
        <f>D30</f>
        <v>14000000</v>
      </c>
      <c r="N30" s="545"/>
      <c r="O30" s="545"/>
      <c r="P30" s="545"/>
      <c r="Q30" s="545"/>
      <c r="R30" s="545"/>
      <c r="S30" s="39"/>
    </row>
    <row r="31" spans="1:27" x14ac:dyDescent="0.25">
      <c r="A31" s="622" t="s">
        <v>135</v>
      </c>
      <c r="B31" s="633"/>
      <c r="C31" s="633"/>
      <c r="D31" s="633">
        <f>'Retail &amp; Restaurant'!D51</f>
        <v>700000</v>
      </c>
      <c r="E31" s="633"/>
      <c r="F31" s="633"/>
      <c r="G31" s="633"/>
      <c r="H31" s="634">
        <f>D31</f>
        <v>700000</v>
      </c>
      <c r="Q31" s="545"/>
      <c r="S31" s="11"/>
    </row>
    <row r="32" spans="1:27" x14ac:dyDescent="0.25">
      <c r="A32" s="622" t="s">
        <v>51</v>
      </c>
      <c r="B32" s="633">
        <f>'Residential Rental'!E50</f>
        <v>360000</v>
      </c>
      <c r="C32" s="633">
        <f>Office!D47</f>
        <v>252000</v>
      </c>
      <c r="D32" s="633">
        <f>'Retail &amp; Restaurant'!D52</f>
        <v>1120000</v>
      </c>
      <c r="E32" s="633">
        <f>Hotel!E50</f>
        <v>10585000</v>
      </c>
      <c r="F32" s="633">
        <f>Industrial!D48</f>
        <v>183750</v>
      </c>
      <c r="G32" s="633">
        <f>Parking!D44</f>
        <v>1296000</v>
      </c>
      <c r="H32" s="635">
        <f t="shared" ref="H32:H39" si="2">SUM(B32,C32,D32,E32,F32,G32)</f>
        <v>13796750</v>
      </c>
      <c r="Q32" s="386"/>
      <c r="R32" s="386"/>
      <c r="S32" s="11"/>
    </row>
    <row r="33" spans="1:19" x14ac:dyDescent="0.25">
      <c r="A33" s="622" t="s">
        <v>52</v>
      </c>
      <c r="B33" s="633">
        <f>'Residential Rental'!E51</f>
        <v>9000</v>
      </c>
      <c r="C33" s="633">
        <f>Office!D48</f>
        <v>12600</v>
      </c>
      <c r="D33" s="633">
        <f>'Retail &amp; Restaurant'!D53</f>
        <v>56000</v>
      </c>
      <c r="E33" s="633">
        <f>Hotel!E51</f>
        <v>529250</v>
      </c>
      <c r="F33" s="633">
        <f>Industrial!D49</f>
        <v>9187.5</v>
      </c>
      <c r="G33" s="633">
        <f>Parking!D45</f>
        <v>64800</v>
      </c>
      <c r="H33" s="635">
        <f t="shared" si="2"/>
        <v>680837.5</v>
      </c>
      <c r="Q33" s="386"/>
      <c r="R33" s="386"/>
      <c r="S33" s="11"/>
    </row>
    <row r="34" spans="1:19" x14ac:dyDescent="0.25">
      <c r="A34" s="622" t="s">
        <v>53</v>
      </c>
      <c r="B34" s="633">
        <f>'Residential Rental'!E52</f>
        <v>369000</v>
      </c>
      <c r="C34" s="633">
        <f>Office!D49</f>
        <v>264600</v>
      </c>
      <c r="D34" s="633">
        <f>'Retail &amp; Restaurant'!D54</f>
        <v>1176000</v>
      </c>
      <c r="E34" s="633">
        <f>Hotel!E52</f>
        <v>11114250</v>
      </c>
      <c r="F34" s="633">
        <f>Industrial!D50</f>
        <v>192937.5</v>
      </c>
      <c r="G34" s="633">
        <f>Parking!D46</f>
        <v>1360800</v>
      </c>
      <c r="H34" s="635">
        <f t="shared" si="2"/>
        <v>14477587.5</v>
      </c>
      <c r="Q34" s="545"/>
      <c r="R34" s="545"/>
      <c r="S34" s="11"/>
    </row>
    <row r="35" spans="1:19" x14ac:dyDescent="0.25">
      <c r="A35" s="636" t="s">
        <v>54</v>
      </c>
      <c r="B35" s="633">
        <f>'Residential Rental'!E53</f>
        <v>22140</v>
      </c>
      <c r="C35" s="633">
        <f>Office!D50</f>
        <v>15876</v>
      </c>
      <c r="D35" s="633">
        <f>'Retail &amp; Restaurant'!D55</f>
        <v>88200</v>
      </c>
      <c r="E35" s="633">
        <f>Hotel!E53</f>
        <v>2778562.5</v>
      </c>
      <c r="F35" s="633">
        <f>Industrial!D51</f>
        <v>9646.875</v>
      </c>
      <c r="G35" s="633">
        <f>Parking!D47</f>
        <v>340200</v>
      </c>
      <c r="H35" s="635">
        <f t="shared" si="2"/>
        <v>3254625.375</v>
      </c>
      <c r="Q35" s="545"/>
      <c r="R35" s="545"/>
      <c r="S35" s="11"/>
    </row>
    <row r="36" spans="1:19" x14ac:dyDescent="0.25">
      <c r="A36" s="636" t="s">
        <v>55</v>
      </c>
      <c r="B36" s="633">
        <f>'Residential Rental'!E54</f>
        <v>5535</v>
      </c>
      <c r="C36" s="633">
        <f>Office!D51</f>
        <v>3969</v>
      </c>
      <c r="D36" s="633">
        <f>'Retail &amp; Restaurant'!D56</f>
        <v>29400</v>
      </c>
      <c r="E36" s="633">
        <f>Hotel!E54</f>
        <v>222285</v>
      </c>
      <c r="F36" s="633">
        <f>Industrial!D52</f>
        <v>3858.75</v>
      </c>
      <c r="G36" s="633">
        <f>Parking!D48</f>
        <v>27216</v>
      </c>
      <c r="H36" s="635">
        <f t="shared" si="2"/>
        <v>292263.75</v>
      </c>
      <c r="Q36" s="545"/>
      <c r="R36" s="545"/>
      <c r="S36" s="11"/>
    </row>
    <row r="37" spans="1:19" x14ac:dyDescent="0.25">
      <c r="A37" s="622" t="s">
        <v>56</v>
      </c>
      <c r="B37" s="633">
        <f>'Residential Rental'!E55</f>
        <v>341325</v>
      </c>
      <c r="C37" s="633">
        <f>Office!D52</f>
        <v>244755</v>
      </c>
      <c r="D37" s="633">
        <f>'Retail &amp; Restaurant'!D57</f>
        <v>1058400</v>
      </c>
      <c r="E37" s="633">
        <f>Hotel!E55</f>
        <v>8113402.5</v>
      </c>
      <c r="F37" s="633">
        <f>Industrial!D53</f>
        <v>179431.875</v>
      </c>
      <c r="G37" s="633">
        <f>Parking!D49</f>
        <v>993384</v>
      </c>
      <c r="H37" s="635">
        <f t="shared" si="2"/>
        <v>10930698.375</v>
      </c>
      <c r="Q37" s="545"/>
      <c r="S37" s="11"/>
    </row>
    <row r="38" spans="1:19" ht="16.5" thickBot="1" x14ac:dyDescent="0.3">
      <c r="A38" s="637" t="s">
        <v>219</v>
      </c>
      <c r="B38" s="633">
        <f>'Residential Rental'!E56</f>
        <v>105000</v>
      </c>
      <c r="C38" s="633">
        <f>Office!D53</f>
        <v>105840</v>
      </c>
      <c r="D38" s="633">
        <f>'Retail &amp; Restaurant'!D58</f>
        <v>245000</v>
      </c>
      <c r="E38" s="633">
        <f>Hotel!E56</f>
        <v>3704749.9999999995</v>
      </c>
      <c r="F38" s="633">
        <f>Industrial!D54</f>
        <v>52500</v>
      </c>
      <c r="G38" s="633">
        <f>Parking!D50</f>
        <v>453600</v>
      </c>
      <c r="H38" s="635">
        <f t="shared" si="2"/>
        <v>4666690</v>
      </c>
      <c r="Q38" s="545"/>
      <c r="S38" s="11"/>
    </row>
    <row r="39" spans="1:19" ht="16.5" thickBot="1" x14ac:dyDescent="0.3">
      <c r="A39" s="388" t="s">
        <v>4</v>
      </c>
      <c r="B39" s="638">
        <f>'Residential Rental'!E57</f>
        <v>236325</v>
      </c>
      <c r="C39" s="638">
        <f>Office!D54</f>
        <v>138915</v>
      </c>
      <c r="D39" s="638">
        <f>'Retail &amp; Restaurant'!D59</f>
        <v>813400</v>
      </c>
      <c r="E39" s="638">
        <f>Hotel!E57</f>
        <v>4408652.5</v>
      </c>
      <c r="F39" s="638">
        <f>Industrial!D55</f>
        <v>126931.875</v>
      </c>
      <c r="G39" s="638">
        <f>Parking!D51</f>
        <v>539784</v>
      </c>
      <c r="H39" s="639">
        <f t="shared" si="2"/>
        <v>6264008.375</v>
      </c>
      <c r="Q39" s="545"/>
      <c r="S39" s="11"/>
    </row>
    <row r="40" spans="1:19" ht="16.5" thickBot="1" x14ac:dyDescent="0.3">
      <c r="R40" s="11"/>
      <c r="S40" s="11"/>
    </row>
    <row r="41" spans="1:19" ht="16.5" thickBot="1" x14ac:dyDescent="0.3">
      <c r="A41" s="388" t="s">
        <v>58</v>
      </c>
      <c r="B41" s="844" t="s">
        <v>213</v>
      </c>
      <c r="C41" s="845" t="s">
        <v>1</v>
      </c>
      <c r="D41" s="846" t="s">
        <v>0</v>
      </c>
      <c r="E41" s="846" t="s">
        <v>468</v>
      </c>
      <c r="F41" s="846" t="s">
        <v>2</v>
      </c>
      <c r="G41" s="847" t="s">
        <v>469</v>
      </c>
      <c r="H41" s="848" t="s">
        <v>214</v>
      </c>
    </row>
    <row r="42" spans="1:19" x14ac:dyDescent="0.25">
      <c r="A42" s="640" t="s">
        <v>59</v>
      </c>
      <c r="B42" s="641">
        <f>'Residential Rental'!C60</f>
        <v>7.773848684210527E-2</v>
      </c>
      <c r="C42" s="642">
        <f>Office!C57</f>
        <v>6.4312499999999995E-2</v>
      </c>
      <c r="D42" s="642">
        <f>'Retail &amp; Restaurant'!C62</f>
        <v>0.11265927977839335</v>
      </c>
      <c r="E42" s="643">
        <f>Hotel!C60</f>
        <v>0.12705050432276657</v>
      </c>
      <c r="F42" s="643">
        <f>Industrial!C58</f>
        <v>5.2888281250000002E-2</v>
      </c>
      <c r="G42" s="643">
        <f>Parking!C54</f>
        <v>3.9658797857567943E-2</v>
      </c>
      <c r="H42" s="644">
        <f>H39/H14</f>
        <v>9.9222856312380509E-2</v>
      </c>
    </row>
    <row r="43" spans="1:19" x14ac:dyDescent="0.25">
      <c r="A43" s="645" t="s">
        <v>60</v>
      </c>
      <c r="B43" s="646">
        <f>'Residential Rental'!C61</f>
        <v>129822.63562658374</v>
      </c>
      <c r="C43" s="647">
        <f>Office!C58</f>
        <v>99159.384520130377</v>
      </c>
      <c r="D43" s="647">
        <f>'Retail &amp; Restaurant'!C63</f>
        <v>296341.2445609413</v>
      </c>
      <c r="E43" s="648">
        <f>Hotel!C61</f>
        <v>1119066.3641188717</v>
      </c>
      <c r="F43" s="648">
        <f>Industrial!C59</f>
        <v>202741.0772609665</v>
      </c>
      <c r="G43" s="648">
        <f>Parking!C55</f>
        <v>554429.20903323079</v>
      </c>
      <c r="H43" s="649">
        <f>SUM(B43:G43)</f>
        <v>2401559.9151207246</v>
      </c>
      <c r="I43" s="650"/>
    </row>
    <row r="44" spans="1:19" ht="16.5" thickBot="1" x14ac:dyDescent="0.3">
      <c r="A44" s="645" t="s">
        <v>61</v>
      </c>
      <c r="B44" s="651">
        <f>'Residential Rental'!C62</f>
        <v>106502.36437341626</v>
      </c>
      <c r="C44" s="647">
        <f>Office!C59</f>
        <v>39755.615479869623</v>
      </c>
      <c r="D44" s="652">
        <f>'Retail &amp; Restaurant'!C64</f>
        <v>517058.7554390587</v>
      </c>
      <c r="E44" s="653">
        <f>Hotel!C62</f>
        <v>3289586.1358811283</v>
      </c>
      <c r="F44" s="653">
        <f>Industrial!C60</f>
        <v>-75809.2022609665</v>
      </c>
      <c r="G44" s="653">
        <f>Parking!C56</f>
        <v>-14645.209033230785</v>
      </c>
      <c r="H44" s="654">
        <f>H39-H43</f>
        <v>3862448.4598792754</v>
      </c>
    </row>
    <row r="45" spans="1:19" ht="16.5" thickBot="1" x14ac:dyDescent="0.3">
      <c r="A45" s="655" t="s">
        <v>62</v>
      </c>
      <c r="B45" s="656">
        <f>'Residential Rental'!C63</f>
        <v>0.17990264252266253</v>
      </c>
      <c r="C45" s="657">
        <f>Office!C60</f>
        <v>0.10246292649450933</v>
      </c>
      <c r="D45" s="657">
        <f>'Retail &amp; Restaurant'!C65</f>
        <v>0.22598721828630189</v>
      </c>
      <c r="E45" s="658">
        <f>Hotel!C63</f>
        <v>0.25871695917271947</v>
      </c>
      <c r="F45" s="658">
        <f>Industrial!C61</f>
        <v>6.6499300228917979E-2</v>
      </c>
      <c r="G45" s="658">
        <f>Parking!C57</f>
        <v>-1.3185566789619865E-2</v>
      </c>
      <c r="H45" s="659">
        <f>H44/H71</f>
        <v>0.25829383095015118</v>
      </c>
    </row>
    <row r="46" spans="1:19" x14ac:dyDescent="0.25">
      <c r="A46" s="660" t="s">
        <v>63</v>
      </c>
      <c r="B46" s="661"/>
      <c r="C46" s="662"/>
      <c r="D46" s="662"/>
      <c r="E46" s="663"/>
      <c r="F46" s="663"/>
      <c r="G46" s="663"/>
      <c r="H46" s="664"/>
    </row>
    <row r="47" spans="1:19" x14ac:dyDescent="0.25">
      <c r="A47" s="645" t="s">
        <v>64</v>
      </c>
      <c r="B47" s="646">
        <f>'Residential Rental'!C65</f>
        <v>236325</v>
      </c>
      <c r="C47" s="647">
        <f>Office!C62</f>
        <v>138915</v>
      </c>
      <c r="D47" s="647">
        <f>'Retail &amp; Restaurant'!C67</f>
        <v>813400</v>
      </c>
      <c r="E47" s="648">
        <f>Hotel!C65</f>
        <v>4408652.5</v>
      </c>
      <c r="F47" s="648">
        <f>Industrial!C63</f>
        <v>126931.875</v>
      </c>
      <c r="G47" s="648">
        <f>Parking!C59</f>
        <v>539784</v>
      </c>
      <c r="H47" s="649">
        <f>H39</f>
        <v>6264008.375</v>
      </c>
    </row>
    <row r="48" spans="1:19" ht="16.5" thickBot="1" x14ac:dyDescent="0.3">
      <c r="A48" s="645" t="s">
        <v>65</v>
      </c>
      <c r="B48" s="665">
        <f>'Residential Rental'!C66</f>
        <v>7.4999999999999997E-2</v>
      </c>
      <c r="C48" s="666">
        <f>Office!C63</f>
        <v>7.4999999999999997E-2</v>
      </c>
      <c r="D48" s="666">
        <f>'Retail &amp; Restaurant'!C68</f>
        <v>0.1</v>
      </c>
      <c r="E48" s="667">
        <f>Hotel!C66</f>
        <v>0.1</v>
      </c>
      <c r="F48" s="667">
        <f>Industrial!C64</f>
        <v>7.4999999999999997E-2</v>
      </c>
      <c r="G48" s="667">
        <f>Parking!C60</f>
        <v>0.08</v>
      </c>
      <c r="H48" s="668">
        <f>IFERROR(SUMPRODUCT(B19:G19,B48:G48)/H19,0)</f>
        <v>9.2868727628166364E-2</v>
      </c>
    </row>
    <row r="49" spans="1:9" ht="16.5" thickBot="1" x14ac:dyDescent="0.3">
      <c r="A49" s="655" t="s">
        <v>66</v>
      </c>
      <c r="B49" s="669">
        <f>'Residential Rental'!C67</f>
        <v>3151000</v>
      </c>
      <c r="C49" s="670">
        <f>Office!C64</f>
        <v>1852200</v>
      </c>
      <c r="D49" s="670">
        <f>'Retail &amp; Restaurant'!C69</f>
        <v>8134000</v>
      </c>
      <c r="E49" s="671">
        <f>Hotel!C67</f>
        <v>44086525</v>
      </c>
      <c r="F49" s="671">
        <f>Industrial!C65</f>
        <v>1692425</v>
      </c>
      <c r="G49" s="671">
        <f>Parking!C61</f>
        <v>6747300</v>
      </c>
      <c r="H49" s="588">
        <f>H47/H48</f>
        <v>67450136.714268655</v>
      </c>
    </row>
    <row r="50" spans="1:9" ht="16.5" thickBot="1" x14ac:dyDescent="0.3">
      <c r="A50" s="655" t="s">
        <v>559</v>
      </c>
      <c r="B50" s="669">
        <f>'Residential Rental'!C68</f>
        <v>111000</v>
      </c>
      <c r="C50" s="670">
        <f>Office!C65</f>
        <v>-307800</v>
      </c>
      <c r="D50" s="670">
        <f>'Retail &amp; Restaurant'!C70</f>
        <v>914000</v>
      </c>
      <c r="E50" s="671">
        <f>Hotel!C68</f>
        <v>11386525</v>
      </c>
      <c r="F50" s="671">
        <f>Industrial!C66</f>
        <v>-457575</v>
      </c>
      <c r="G50" s="671">
        <f>Parking!C62</f>
        <v>-6863400</v>
      </c>
      <c r="H50" s="588">
        <f>H49-H23</f>
        <v>8419436.7142686546</v>
      </c>
    </row>
    <row r="51" spans="1:9" ht="16.5" thickBot="1" x14ac:dyDescent="0.3">
      <c r="A51" s="672"/>
      <c r="B51" s="672"/>
      <c r="I51" s="545"/>
    </row>
    <row r="52" spans="1:9" ht="16.5" thickBot="1" x14ac:dyDescent="0.3">
      <c r="A52" s="673" t="s">
        <v>67</v>
      </c>
      <c r="B52" s="849" t="s">
        <v>213</v>
      </c>
      <c r="C52" s="845" t="s">
        <v>1</v>
      </c>
      <c r="D52" s="846" t="s">
        <v>0</v>
      </c>
      <c r="E52" s="846" t="s">
        <v>468</v>
      </c>
      <c r="F52" s="846" t="s">
        <v>2</v>
      </c>
      <c r="G52" s="846" t="s">
        <v>469</v>
      </c>
      <c r="H52" s="850" t="s">
        <v>214</v>
      </c>
      <c r="I52" s="545"/>
    </row>
    <row r="53" spans="1:9" x14ac:dyDescent="0.25">
      <c r="A53" s="674" t="s">
        <v>414</v>
      </c>
      <c r="B53" s="675"/>
      <c r="C53" s="676"/>
      <c r="D53" s="676"/>
      <c r="E53" s="677"/>
      <c r="F53" s="677"/>
      <c r="G53" s="677"/>
      <c r="H53" s="678"/>
    </row>
    <row r="54" spans="1:9" x14ac:dyDescent="0.25">
      <c r="A54" s="679" t="s">
        <v>538</v>
      </c>
      <c r="B54" s="680">
        <f>B19</f>
        <v>2640000</v>
      </c>
      <c r="C54" s="680">
        <f t="shared" ref="C54:H54" si="3">C19</f>
        <v>1960000</v>
      </c>
      <c r="D54" s="680">
        <f t="shared" si="3"/>
        <v>6970000</v>
      </c>
      <c r="E54" s="680">
        <f t="shared" si="3"/>
        <v>32700000</v>
      </c>
      <c r="F54" s="680">
        <f t="shared" si="3"/>
        <v>2150000</v>
      </c>
      <c r="G54" s="680">
        <f t="shared" si="3"/>
        <v>12610700</v>
      </c>
      <c r="H54" s="680">
        <f t="shared" si="3"/>
        <v>59030700</v>
      </c>
      <c r="I54" s="682"/>
    </row>
    <row r="55" spans="1:9" x14ac:dyDescent="0.25">
      <c r="A55" s="679" t="s">
        <v>556</v>
      </c>
      <c r="B55" s="683">
        <f>'Residential Rental'!D92</f>
        <v>0.7</v>
      </c>
      <c r="C55" s="684">
        <f>Office!D89</f>
        <v>0.7</v>
      </c>
      <c r="D55" s="684">
        <f>'Retail &amp; Restaurant'!D95</f>
        <v>0.6</v>
      </c>
      <c r="E55" s="685">
        <f>Hotel!D92</f>
        <v>0.55000000000000004</v>
      </c>
      <c r="F55" s="685">
        <f>Industrial!D90</f>
        <v>0.6</v>
      </c>
      <c r="G55" s="685">
        <f>Parking!D86</f>
        <v>0</v>
      </c>
      <c r="H55" s="686">
        <f>H56/H54</f>
        <v>0.45191739213663401</v>
      </c>
    </row>
    <row r="56" spans="1:9" x14ac:dyDescent="0.25">
      <c r="A56" s="687" t="s">
        <v>560</v>
      </c>
      <c r="B56" s="688">
        <f>'Residential Rental'!E92</f>
        <v>1847999.9999999998</v>
      </c>
      <c r="C56" s="689">
        <f>Office!E89</f>
        <v>1372000</v>
      </c>
      <c r="D56" s="689">
        <f>'Retail &amp; Restaurant'!E95</f>
        <v>4182000</v>
      </c>
      <c r="E56" s="690">
        <f>Hotel!E92</f>
        <v>17985000</v>
      </c>
      <c r="F56" s="690">
        <f>Industrial!E90</f>
        <v>1290000</v>
      </c>
      <c r="G56" s="690">
        <f>Parking!E86</f>
        <v>0</v>
      </c>
      <c r="H56" s="681">
        <f>SUM(B56:G56)</f>
        <v>26677000</v>
      </c>
    </row>
    <row r="57" spans="1:9" x14ac:dyDescent="0.25">
      <c r="A57" s="687" t="s">
        <v>515</v>
      </c>
      <c r="B57" s="691">
        <f>'Residential Rental'!E93</f>
        <v>0.05</v>
      </c>
      <c r="C57" s="692">
        <f>Office!E90</f>
        <v>0.05</v>
      </c>
      <c r="D57" s="692">
        <f>'Retail &amp; Restaurant'!E96</f>
        <v>0.05</v>
      </c>
      <c r="E57" s="693">
        <f>Hotel!E93</f>
        <v>0.04</v>
      </c>
      <c r="F57" s="693">
        <f>Industrial!E91</f>
        <v>0.04</v>
      </c>
      <c r="G57" s="693">
        <f>Parking!E87</f>
        <v>4.4999999999999998E-2</v>
      </c>
      <c r="H57" s="694">
        <f>(RATE(H58*12,C145,-H56))*12</f>
        <v>4.283424377975454E-2</v>
      </c>
      <c r="I57" s="695"/>
    </row>
    <row r="58" spans="1:9" x14ac:dyDescent="0.25">
      <c r="A58" s="687" t="s">
        <v>516</v>
      </c>
      <c r="B58" s="696">
        <f>'Residential Rental'!E94</f>
        <v>30</v>
      </c>
      <c r="C58" s="697">
        <f>Office!E91</f>
        <v>30</v>
      </c>
      <c r="D58" s="697">
        <f>'Retail &amp; Restaurant'!E97</f>
        <v>30</v>
      </c>
      <c r="E58" s="698">
        <f>Hotel!E94</f>
        <v>30</v>
      </c>
      <c r="F58" s="698">
        <f>Industrial!E92</f>
        <v>30</v>
      </c>
      <c r="G58" s="698">
        <f>Parking!E88</f>
        <v>30</v>
      </c>
      <c r="H58" s="699">
        <f>AVERAGEIF(B58:F58,"&gt;0")</f>
        <v>30</v>
      </c>
    </row>
    <row r="59" spans="1:9" ht="16.5" thickBot="1" x14ac:dyDescent="0.3">
      <c r="A59" s="700" t="s">
        <v>519</v>
      </c>
      <c r="B59" s="701">
        <f>'Residential Rental'!E95</f>
        <v>-119045.56311917194</v>
      </c>
      <c r="C59" s="702">
        <f>Office!E92</f>
        <v>-88382.312012718583</v>
      </c>
      <c r="D59" s="702">
        <f>'Retail &amp; Restaurant'!E98</f>
        <v>-269398.56329241185</v>
      </c>
      <c r="E59" s="703">
        <f>Hotel!E95</f>
        <v>-1030357.6906735548</v>
      </c>
      <c r="F59" s="703">
        <f>Industrial!E93</f>
        <v>-73903.887738053134</v>
      </c>
      <c r="G59" s="703">
        <f>Parking!E89</f>
        <v>0</v>
      </c>
      <c r="H59" s="704">
        <f>SUM(B59:G59)</f>
        <v>-1581088.0168359103</v>
      </c>
    </row>
    <row r="60" spans="1:9" ht="16.5" thickBot="1" x14ac:dyDescent="0.3">
      <c r="A60" s="68" t="s">
        <v>522</v>
      </c>
      <c r="B60" s="705"/>
      <c r="C60" s="706"/>
      <c r="D60" s="706"/>
      <c r="E60" s="707"/>
      <c r="F60" s="707"/>
      <c r="G60" s="707"/>
      <c r="H60" s="678"/>
    </row>
    <row r="61" spans="1:9" x14ac:dyDescent="0.25">
      <c r="A61" s="687" t="s">
        <v>520</v>
      </c>
      <c r="B61" s="688">
        <f>'Residential Rental'!E97</f>
        <v>200000</v>
      </c>
      <c r="C61" s="689">
        <f>Office!E94</f>
        <v>200000</v>
      </c>
      <c r="D61" s="689">
        <f>'Retail &amp; Restaurant'!E100</f>
        <v>500000</v>
      </c>
      <c r="E61" s="690">
        <f>Hotel!E97</f>
        <v>2000000</v>
      </c>
      <c r="F61" s="690">
        <f>Industrial!E95</f>
        <v>2000000</v>
      </c>
      <c r="G61" s="690">
        <f>Parking!E91</f>
        <v>12500000</v>
      </c>
      <c r="H61" s="708">
        <f>SUM(B61:G61)</f>
        <v>17400000</v>
      </c>
    </row>
    <row r="62" spans="1:9" x14ac:dyDescent="0.25">
      <c r="A62" s="687" t="s">
        <v>515</v>
      </c>
      <c r="B62" s="691">
        <f>'Residential Rental'!E98</f>
        <v>3.5000000000000003E-2</v>
      </c>
      <c r="C62" s="692">
        <f>Office!E95</f>
        <v>3.5000000000000003E-2</v>
      </c>
      <c r="D62" s="692">
        <f>'Retail &amp; Restaurant'!E101</f>
        <v>3.5000000000000003E-2</v>
      </c>
      <c r="E62" s="693">
        <f>Hotel!E98</f>
        <v>0.02</v>
      </c>
      <c r="F62" s="693">
        <f>Industrial!E96</f>
        <v>0.05</v>
      </c>
      <c r="G62" s="693">
        <f>Parking!E92</f>
        <v>0.02</v>
      </c>
      <c r="H62" s="709">
        <f>(RATE(H63*12,H145,-H61))*12</f>
        <v>2.4581082612971081E-2</v>
      </c>
    </row>
    <row r="63" spans="1:9" x14ac:dyDescent="0.25">
      <c r="A63" s="687" t="s">
        <v>516</v>
      </c>
      <c r="B63" s="710">
        <f>'Residential Rental'!E99</f>
        <v>30</v>
      </c>
      <c r="C63" s="697">
        <f>Office!E96</f>
        <v>30</v>
      </c>
      <c r="D63" s="697">
        <f>'Retail &amp; Restaurant'!E102</f>
        <v>30</v>
      </c>
      <c r="E63" s="698">
        <f>Hotel!E99</f>
        <v>30</v>
      </c>
      <c r="F63" s="698">
        <f>Industrial!E97</f>
        <v>30</v>
      </c>
      <c r="G63" s="698">
        <f>Parking!E93</f>
        <v>30</v>
      </c>
      <c r="H63" s="699">
        <f>AVERAGEIF(B63:F63,"&gt;0")</f>
        <v>30</v>
      </c>
      <c r="I63" s="695"/>
    </row>
    <row r="64" spans="1:9" ht="16.5" thickBot="1" x14ac:dyDescent="0.3">
      <c r="A64" s="853" t="s">
        <v>519</v>
      </c>
      <c r="B64" s="688">
        <f>'Residential Rental'!E100</f>
        <v>-10777.072507411787</v>
      </c>
      <c r="C64" s="689">
        <f>Office!E97</f>
        <v>-10777.072507411787</v>
      </c>
      <c r="D64" s="689">
        <f>'Retail &amp; Restaurant'!E103</f>
        <v>-26942.681268529464</v>
      </c>
      <c r="E64" s="690">
        <f>Hotel!E100</f>
        <v>-88708.673445316934</v>
      </c>
      <c r="F64" s="690">
        <f>Industrial!E98</f>
        <v>-128837.18952291337</v>
      </c>
      <c r="G64" s="690">
        <f>Parking!E94</f>
        <v>-554429.20903323079</v>
      </c>
      <c r="H64" s="711">
        <f>SUM(B64:G64)</f>
        <v>-820471.89828481409</v>
      </c>
    </row>
    <row r="65" spans="1:32" ht="17.25" thickTop="1" thickBot="1" x14ac:dyDescent="0.3">
      <c r="A65" s="854" t="s">
        <v>71</v>
      </c>
      <c r="B65" s="688">
        <f>'Residential Rental'!E101</f>
        <v>2047999.9999999998</v>
      </c>
      <c r="C65" s="689">
        <f>Office!E98</f>
        <v>1572000</v>
      </c>
      <c r="D65" s="689">
        <f>'Retail &amp; Restaurant'!E104</f>
        <v>4682000</v>
      </c>
      <c r="E65" s="690">
        <f>Hotel!E101</f>
        <v>19985000</v>
      </c>
      <c r="F65" s="690">
        <f>Industrial!E99</f>
        <v>3290000</v>
      </c>
      <c r="G65" s="690">
        <f>Parking!E95</f>
        <v>12500000</v>
      </c>
      <c r="H65" s="711">
        <f>H56+H61</f>
        <v>44077000</v>
      </c>
    </row>
    <row r="66" spans="1:32" ht="17.25" thickTop="1" thickBot="1" x14ac:dyDescent="0.3">
      <c r="A66" s="852" t="s">
        <v>539</v>
      </c>
      <c r="B66" s="701">
        <f>'Residential Rental'!E102</f>
        <v>-129822.63562658374</v>
      </c>
      <c r="C66" s="702">
        <f>Office!E99</f>
        <v>-99159.384520130377</v>
      </c>
      <c r="D66" s="702">
        <f>'Retail &amp; Restaurant'!E105</f>
        <v>-296341.2445609413</v>
      </c>
      <c r="E66" s="703">
        <f>Hotel!E102</f>
        <v>-1119066.3641188717</v>
      </c>
      <c r="F66" s="703">
        <f>Industrial!E100</f>
        <v>-202741.0772609665</v>
      </c>
      <c r="G66" s="703">
        <f>Parking!E96</f>
        <v>-554429.20903323079</v>
      </c>
      <c r="H66" s="704">
        <f>H59+H64</f>
        <v>-2401559.9151207246</v>
      </c>
    </row>
    <row r="67" spans="1:32" x14ac:dyDescent="0.25">
      <c r="A67" s="674" t="s">
        <v>72</v>
      </c>
      <c r="B67" s="712"/>
      <c r="C67" s="706"/>
      <c r="D67" s="706"/>
      <c r="E67" s="707"/>
      <c r="F67" s="707"/>
      <c r="G67" s="707"/>
      <c r="H67" s="678"/>
    </row>
    <row r="68" spans="1:32" x14ac:dyDescent="0.25">
      <c r="A68" s="679" t="s">
        <v>554</v>
      </c>
      <c r="B68" s="680">
        <f>B14</f>
        <v>3040000</v>
      </c>
      <c r="C68" s="680">
        <f t="shared" ref="C68:H68" si="4">C14</f>
        <v>2160000</v>
      </c>
      <c r="D68" s="680">
        <f t="shared" si="4"/>
        <v>7220000</v>
      </c>
      <c r="E68" s="680">
        <f t="shared" si="4"/>
        <v>34700000</v>
      </c>
      <c r="F68" s="680">
        <f t="shared" si="4"/>
        <v>2400000</v>
      </c>
      <c r="G68" s="680">
        <f t="shared" si="4"/>
        <v>13610700</v>
      </c>
      <c r="H68" s="680">
        <f t="shared" si="4"/>
        <v>63130700</v>
      </c>
    </row>
    <row r="69" spans="1:32" ht="16.5" thickBot="1" x14ac:dyDescent="0.3">
      <c r="A69" s="713" t="s">
        <v>533</v>
      </c>
      <c r="B69" s="714">
        <f>B18</f>
        <v>400000</v>
      </c>
      <c r="C69" s="714">
        <f t="shared" ref="C69:H69" si="5">C18</f>
        <v>200000</v>
      </c>
      <c r="D69" s="714">
        <f t="shared" si="5"/>
        <v>250000</v>
      </c>
      <c r="E69" s="714">
        <f t="shared" si="5"/>
        <v>2000000</v>
      </c>
      <c r="F69" s="714">
        <f t="shared" si="5"/>
        <v>250000</v>
      </c>
      <c r="G69" s="714">
        <f t="shared" si="5"/>
        <v>1000000</v>
      </c>
      <c r="H69" s="714">
        <f t="shared" si="5"/>
        <v>4100000</v>
      </c>
    </row>
    <row r="70" spans="1:32" ht="16.5" thickBot="1" x14ac:dyDescent="0.3">
      <c r="A70" s="717" t="s">
        <v>449</v>
      </c>
      <c r="B70" s="718">
        <f>B68-B69</f>
        <v>2640000</v>
      </c>
      <c r="C70" s="718">
        <f t="shared" ref="C70:H70" si="6">C68-C69</f>
        <v>1960000</v>
      </c>
      <c r="D70" s="718">
        <f t="shared" si="6"/>
        <v>6970000</v>
      </c>
      <c r="E70" s="718">
        <f t="shared" si="6"/>
        <v>32700000</v>
      </c>
      <c r="F70" s="718">
        <f t="shared" si="6"/>
        <v>2150000</v>
      </c>
      <c r="G70" s="718">
        <f t="shared" si="6"/>
        <v>12610700</v>
      </c>
      <c r="H70" s="718">
        <f t="shared" si="6"/>
        <v>59030700</v>
      </c>
    </row>
    <row r="71" spans="1:32" ht="16.5" thickBot="1" x14ac:dyDescent="0.3">
      <c r="A71" s="715" t="s">
        <v>74</v>
      </c>
      <c r="B71" s="716">
        <f>B70-B65</f>
        <v>592000.00000000023</v>
      </c>
      <c r="C71" s="716">
        <f t="shared" ref="C71:H71" si="7">C70-C65</f>
        <v>388000</v>
      </c>
      <c r="D71" s="716">
        <f t="shared" si="7"/>
        <v>2288000</v>
      </c>
      <c r="E71" s="716">
        <f t="shared" si="7"/>
        <v>12715000</v>
      </c>
      <c r="F71" s="716">
        <f t="shared" si="7"/>
        <v>-1140000</v>
      </c>
      <c r="G71" s="716">
        <f t="shared" si="7"/>
        <v>110700</v>
      </c>
      <c r="H71" s="716">
        <f t="shared" si="7"/>
        <v>14953700</v>
      </c>
    </row>
    <row r="72" spans="1:32" x14ac:dyDescent="0.25">
      <c r="A72" s="674" t="s">
        <v>76</v>
      </c>
      <c r="B72" s="719"/>
      <c r="C72" s="706"/>
      <c r="D72" s="706"/>
      <c r="E72" s="707"/>
      <c r="F72" s="707"/>
      <c r="G72" s="707"/>
      <c r="H72" s="678"/>
    </row>
    <row r="73" spans="1:32" x14ac:dyDescent="0.25">
      <c r="A73" s="679" t="s">
        <v>132</v>
      </c>
      <c r="B73" s="720">
        <f>'Residential Rental'!L94</f>
        <v>100000</v>
      </c>
      <c r="C73" s="721">
        <f>Office!L94</f>
        <v>100000</v>
      </c>
      <c r="D73" s="721">
        <f>'Retail &amp; Restaurant'!L94</f>
        <v>25000</v>
      </c>
      <c r="E73" s="722">
        <f>Hotel!L94</f>
        <v>1000000</v>
      </c>
      <c r="F73" s="722">
        <f>Industrial!L94</f>
        <v>50000</v>
      </c>
      <c r="G73" s="722">
        <f>Parking!L95</f>
        <v>200000</v>
      </c>
      <c r="H73" s="723">
        <f>SUMIF(B73:G73,"&gt;0")</f>
        <v>1475000</v>
      </c>
    </row>
    <row r="74" spans="1:32" x14ac:dyDescent="0.25">
      <c r="A74" s="687" t="s">
        <v>78</v>
      </c>
      <c r="B74" s="724">
        <f>'Residential Rental'!L95</f>
        <v>10000</v>
      </c>
      <c r="C74" s="725">
        <f>Office!L95</f>
        <v>10000</v>
      </c>
      <c r="D74" s="725">
        <f>'Retail &amp; Restaurant'!L95</f>
        <v>5000</v>
      </c>
      <c r="E74" s="726">
        <f>Hotel!L95</f>
        <v>50000</v>
      </c>
      <c r="F74" s="726">
        <f>Industrial!L95</f>
        <v>10000</v>
      </c>
      <c r="G74" s="726">
        <f>Parking!L96</f>
        <v>10000</v>
      </c>
      <c r="H74" s="727">
        <f>SUMIF(B74:G74,"&gt;0")</f>
        <v>95000</v>
      </c>
    </row>
    <row r="75" spans="1:32" x14ac:dyDescent="0.25">
      <c r="A75" s="687" t="s">
        <v>442</v>
      </c>
      <c r="B75" s="724">
        <f>'Residential Rental'!L96</f>
        <v>0</v>
      </c>
      <c r="C75" s="725">
        <f>Office!L96</f>
        <v>0</v>
      </c>
      <c r="D75" s="725">
        <f>'Retail &amp; Restaurant'!L96</f>
        <v>0</v>
      </c>
      <c r="E75" s="726">
        <f>Hotel!L96</f>
        <v>0</v>
      </c>
      <c r="F75" s="726">
        <f>Industrial!L96</f>
        <v>0</v>
      </c>
      <c r="G75" s="726">
        <f>Parking!L97</f>
        <v>0</v>
      </c>
      <c r="H75" s="727">
        <f>SUMIF(B75:G75,"&gt;0")</f>
        <v>0</v>
      </c>
    </row>
    <row r="76" spans="1:32" x14ac:dyDescent="0.25">
      <c r="A76" s="687" t="s">
        <v>79</v>
      </c>
      <c r="B76" s="691">
        <f>'Residential Rental'!L97</f>
        <v>0.05</v>
      </c>
      <c r="C76" s="692">
        <f>Office!L97</f>
        <v>0.1</v>
      </c>
      <c r="D76" s="692">
        <f>'Retail &amp; Restaurant'!L97</f>
        <v>0.05</v>
      </c>
      <c r="E76" s="693">
        <f>Hotel!L97</f>
        <v>0.1</v>
      </c>
      <c r="F76" s="693">
        <f>Industrial!L97</f>
        <v>0.05</v>
      </c>
      <c r="G76" s="693">
        <f>Parking!L98</f>
        <v>0.25</v>
      </c>
      <c r="H76" s="709">
        <f>AVERAGEIF(B76:F76,"&gt;0")</f>
        <v>7.0000000000000007E-2</v>
      </c>
    </row>
    <row r="77" spans="1:32" ht="16.5" thickBot="1" x14ac:dyDescent="0.3">
      <c r="A77" s="700" t="s">
        <v>80</v>
      </c>
      <c r="B77" s="728">
        <f>'Residential Rental'!L98</f>
        <v>0.05</v>
      </c>
      <c r="C77" s="729">
        <f>Office!L98</f>
        <v>0.05</v>
      </c>
      <c r="D77" s="729">
        <f>'Retail &amp; Restaurant'!L98</f>
        <v>0.05</v>
      </c>
      <c r="E77" s="730">
        <f>Hotel!L98</f>
        <v>7.4999999999999997E-2</v>
      </c>
      <c r="F77" s="730">
        <f>Industrial!L98</f>
        <v>0.05</v>
      </c>
      <c r="G77" s="730">
        <f>Parking!L99</f>
        <v>0.04</v>
      </c>
      <c r="H77" s="731">
        <f>AVERAGEIF(B77:F77,"&gt;0")</f>
        <v>5.5000000000000007E-2</v>
      </c>
    </row>
    <row r="79" spans="1:32" ht="16.5" thickBot="1" x14ac:dyDescent="0.3"/>
    <row r="80" spans="1:32" ht="16.5" thickBot="1" x14ac:dyDescent="0.3">
      <c r="A80" s="733" t="s">
        <v>220</v>
      </c>
      <c r="B80" s="734"/>
      <c r="C80" s="735" t="s">
        <v>85</v>
      </c>
      <c r="D80" s="735" t="s">
        <v>86</v>
      </c>
      <c r="E80" s="735" t="s">
        <v>87</v>
      </c>
      <c r="F80" s="735" t="s">
        <v>88</v>
      </c>
      <c r="G80" s="735" t="s">
        <v>89</v>
      </c>
      <c r="H80" s="735" t="s">
        <v>90</v>
      </c>
      <c r="I80" s="735" t="s">
        <v>91</v>
      </c>
      <c r="J80" s="735" t="s">
        <v>92</v>
      </c>
      <c r="K80" s="735" t="s">
        <v>93</v>
      </c>
      <c r="L80" s="736" t="s">
        <v>94</v>
      </c>
      <c r="M80" s="735" t="s">
        <v>239</v>
      </c>
      <c r="N80" s="735" t="s">
        <v>240</v>
      </c>
      <c r="O80" s="735" t="s">
        <v>241</v>
      </c>
      <c r="P80" s="735" t="s">
        <v>242</v>
      </c>
      <c r="Q80" s="735" t="s">
        <v>243</v>
      </c>
      <c r="R80" s="735" t="s">
        <v>244</v>
      </c>
      <c r="S80" s="735" t="s">
        <v>245</v>
      </c>
      <c r="T80" s="735" t="s">
        <v>246</v>
      </c>
      <c r="U80" s="735" t="s">
        <v>247</v>
      </c>
      <c r="V80" s="736" t="s">
        <v>248</v>
      </c>
      <c r="W80" s="735" t="s">
        <v>249</v>
      </c>
      <c r="X80" s="735" t="s">
        <v>250</v>
      </c>
      <c r="Y80" s="735" t="s">
        <v>251</v>
      </c>
      <c r="Z80" s="735" t="s">
        <v>252</v>
      </c>
      <c r="AA80" s="735" t="s">
        <v>253</v>
      </c>
      <c r="AB80" s="735" t="s">
        <v>254</v>
      </c>
      <c r="AC80" s="735" t="s">
        <v>255</v>
      </c>
      <c r="AD80" s="735" t="s">
        <v>256</v>
      </c>
      <c r="AE80" s="735" t="s">
        <v>257</v>
      </c>
      <c r="AF80" s="736" t="s">
        <v>258</v>
      </c>
    </row>
    <row r="81" spans="1:32" x14ac:dyDescent="0.25">
      <c r="A81" s="417" t="s">
        <v>425</v>
      </c>
      <c r="B81" s="210"/>
      <c r="C81" s="737">
        <f>'Residential Rental'!E109+Office!E106+'Retail &amp; Restaurant'!E112+Hotel!E109+Industrial!E107+Parking!E103</f>
        <v>13796750</v>
      </c>
      <c r="D81" s="737">
        <f>'Residential Rental'!F109+Office!F106+'Retail &amp; Restaurant'!F112+Hotel!F109+Industrial!F107+Parking!F103</f>
        <v>14210652.5</v>
      </c>
      <c r="E81" s="737">
        <f>'Residential Rental'!G109+Office!G106+'Retail &amp; Restaurant'!G112+Hotel!G109+Industrial!G107+Parking!G103</f>
        <v>14636972.075000001</v>
      </c>
      <c r="F81" s="737">
        <f>'Residential Rental'!H109+Office!H106+'Retail &amp; Restaurant'!H112+Hotel!H109+Industrial!H107+Parking!H103</f>
        <v>15076081.237249998</v>
      </c>
      <c r="G81" s="737">
        <f>'Residential Rental'!I109+Office!I106+'Retail &amp; Restaurant'!I112+Hotel!I109+Industrial!I107+Parking!I103</f>
        <v>15528363.6743675</v>
      </c>
      <c r="H81" s="737">
        <f>'Residential Rental'!J109+Office!J106+'Retail &amp; Restaurant'!J112+Hotel!J109+Industrial!J107+Parking!J103</f>
        <v>15994214.584598524</v>
      </c>
      <c r="I81" s="737">
        <f>'Residential Rental'!K109+Office!K106+'Retail &amp; Restaurant'!K112+Hotel!K109+Industrial!K107+Parking!K103</f>
        <v>16474041.022136483</v>
      </c>
      <c r="J81" s="737">
        <f>'Residential Rental'!L109+Office!L106+'Retail &amp; Restaurant'!L112+Hotel!L109+Industrial!L107+Parking!L103</f>
        <v>16968262.252800576</v>
      </c>
      <c r="K81" s="737">
        <f>'Residential Rental'!M109+Office!M106+'Retail &amp; Restaurant'!M112+Hotel!M109+Industrial!M107+Parking!M103</f>
        <v>17477310.120384596</v>
      </c>
      <c r="L81" s="737">
        <f>'Residential Rental'!N109+Office!N106+'Retail &amp; Restaurant'!N112+Hotel!N109+Industrial!N107+Parking!N103</f>
        <v>18001629.423996132</v>
      </c>
      <c r="M81" s="737">
        <f>'Residential Rental'!O109+Office!O106+'Retail &amp; Restaurant'!O112+Hotel!O109+Industrial!O107+Parking!O103</f>
        <v>18541678.306716017</v>
      </c>
      <c r="N81" s="737">
        <f>'Residential Rental'!P109+Office!P106+'Retail &amp; Restaurant'!P112+Hotel!P109+Industrial!P107+Parking!P103</f>
        <v>19097928.655917499</v>
      </c>
      <c r="O81" s="737">
        <f>'Residential Rental'!Q109+Office!Q106+'Retail &amp; Restaurant'!Q112+Hotel!Q109+Industrial!Q107+Parking!Q103</f>
        <v>19670866.515595026</v>
      </c>
      <c r="P81" s="737">
        <f>'Residential Rental'!R109+Office!R106+'Retail &amp; Restaurant'!R112+Hotel!R109+Industrial!R107+Parking!R103</f>
        <v>20260992.511062875</v>
      </c>
      <c r="Q81" s="737">
        <f>'Residential Rental'!S109+Office!S106+'Retail &amp; Restaurant'!S112+Hotel!S109+Industrial!S107+Parking!S103</f>
        <v>20868822.286394764</v>
      </c>
      <c r="R81" s="737">
        <f>'Residential Rental'!T109+Office!T106+'Retail &amp; Restaurant'!T112+Hotel!T109+Industrial!T107+Parking!T103</f>
        <v>21494886.95498661</v>
      </c>
      <c r="S81" s="737">
        <f>'Residential Rental'!U109+Office!U106+'Retail &amp; Restaurant'!U112+Hotel!U109+Industrial!U107+Parking!U103</f>
        <v>22139733.563636206</v>
      </c>
      <c r="T81" s="737">
        <f>'Residential Rental'!V109+Office!V106+'Retail &amp; Restaurant'!V112+Hotel!V109+Industrial!V107+Parking!V103</f>
        <v>22803925.570545293</v>
      </c>
      <c r="U81" s="737">
        <f>'Residential Rental'!W109+Office!W106+'Retail &amp; Restaurant'!W112+Hotel!W109+Industrial!W107+Parking!W103</f>
        <v>23488043.33766165</v>
      </c>
      <c r="V81" s="737">
        <f>'Residential Rental'!X109+Office!X106+'Retail &amp; Restaurant'!X112+Hotel!X109+Industrial!X107+Parking!X103</f>
        <v>24192684.637791503</v>
      </c>
      <c r="W81" s="737">
        <f>'Residential Rental'!Y109+Office!Y106+'Retail &amp; Restaurant'!Y112+Hotel!Y109+Industrial!Y107+Parking!Y103</f>
        <v>24918465.176925249</v>
      </c>
      <c r="X81" s="737">
        <f>'Residential Rental'!Z109+Office!Z106+'Retail &amp; Restaurant'!Z112+Hotel!Z109+Industrial!Z107+Parking!Z103</f>
        <v>25666019.132233005</v>
      </c>
      <c r="Y81" s="737">
        <f>'Residential Rental'!AA109+Office!AA106+'Retail &amp; Restaurant'!AA112+Hotel!AA109+Industrial!AA107+Parking!AA103</f>
        <v>26435999.7062</v>
      </c>
      <c r="Z81" s="737">
        <f>'Residential Rental'!AB109+Office!AB106+'Retail &amp; Restaurant'!AB112+Hotel!AB109+Industrial!AB107+Parking!AB103</f>
        <v>27229079.697386</v>
      </c>
      <c r="AA81" s="737">
        <f>'Residential Rental'!AC109+Office!AC106+'Retail &amp; Restaurant'!AC112+Hotel!AC109+Industrial!AC107+Parking!AC103</f>
        <v>28045952.088307582</v>
      </c>
      <c r="AB81" s="737">
        <f>'Residential Rental'!AD109+Office!AD106+'Retail &amp; Restaurant'!AD112+Hotel!AD109+Industrial!AD107+Parking!AD103</f>
        <v>28887330.65095681</v>
      </c>
      <c r="AC81" s="737">
        <f>'Residential Rental'!AE109+Office!AE106+'Retail &amp; Restaurant'!AE112+Hotel!AE109+Industrial!AE107+Parking!AE103</f>
        <v>29753950.570485517</v>
      </c>
      <c r="AD81" s="737">
        <f>'Residential Rental'!AF109+Office!AF106+'Retail &amp; Restaurant'!AF112+Hotel!AF109+Industrial!AF107+Parking!AF103</f>
        <v>30646569.087600082</v>
      </c>
      <c r="AE81" s="737">
        <f>'Residential Rental'!AG109+Office!AG106+'Retail &amp; Restaurant'!AG112+Hotel!AG109+Industrial!AG107+Parking!AG103</f>
        <v>31565966.160228085</v>
      </c>
      <c r="AF81" s="738">
        <f>'Residential Rental'!AH109+Office!AH106+'Retail &amp; Restaurant'!AH112+Hotel!AH109+Industrial!AH107+Parking!AH103</f>
        <v>32512945.145034932</v>
      </c>
    </row>
    <row r="82" spans="1:32" x14ac:dyDescent="0.25">
      <c r="A82" s="420" t="s">
        <v>97</v>
      </c>
      <c r="B82" s="210"/>
      <c r="C82" s="149">
        <f>'Residential Rental'!E110+Office!E107+'Retail &amp; Restaurant'!E113+Hotel!E110+Industrial!E108+Parking!E104</f>
        <v>680837.5</v>
      </c>
      <c r="D82" s="149">
        <f>'Residential Rental'!F110+Office!F107+'Retail &amp; Restaurant'!F113+Hotel!F110+Industrial!F108+Parking!F104</f>
        <v>701262.625</v>
      </c>
      <c r="E82" s="149">
        <f>'Residential Rental'!G110+Office!G107+'Retail &amp; Restaurant'!G113+Hotel!G110+Industrial!G108+Parking!G104</f>
        <v>722300.50375000015</v>
      </c>
      <c r="F82" s="149">
        <f>'Residential Rental'!H110+Office!H107+'Retail &amp; Restaurant'!H113+Hotel!H110+Industrial!H108+Parking!H104</f>
        <v>743969.51886250009</v>
      </c>
      <c r="G82" s="149">
        <f>'Residential Rental'!I110+Office!I107+'Retail &amp; Restaurant'!I113+Hotel!I110+Industrial!I108+Parking!I104</f>
        <v>766288.60442837514</v>
      </c>
      <c r="H82" s="149">
        <f>'Residential Rental'!J110+Office!J107+'Retail &amp; Restaurant'!J113+Hotel!J110+Industrial!J108+Parking!J104</f>
        <v>789277.26256122638</v>
      </c>
      <c r="I82" s="149">
        <f>'Residential Rental'!K110+Office!K107+'Retail &amp; Restaurant'!K113+Hotel!K110+Industrial!K108+Parking!K104</f>
        <v>812955.58043806325</v>
      </c>
      <c r="J82" s="149">
        <f>'Residential Rental'!L110+Office!L107+'Retail &amp; Restaurant'!L113+Hotel!L110+Industrial!L108+Parking!L104</f>
        <v>837344.24785120506</v>
      </c>
      <c r="K82" s="149">
        <f>'Residential Rental'!M110+Office!M107+'Retail &amp; Restaurant'!M113+Hotel!M110+Industrial!M108+Parking!M104</f>
        <v>862464.57528674125</v>
      </c>
      <c r="L82" s="149">
        <f>'Residential Rental'!N110+Office!N107+'Retail &amp; Restaurant'!N113+Hotel!N110+Industrial!N108+Parking!N104</f>
        <v>888338.51254534349</v>
      </c>
      <c r="M82" s="149">
        <f>'Residential Rental'!O110+Office!O107+'Retail &amp; Restaurant'!O113+Hotel!O110+Industrial!O108+Parking!O104</f>
        <v>914988.66792170377</v>
      </c>
      <c r="N82" s="149">
        <f>'Residential Rental'!P110+Office!P107+'Retail &amp; Restaurant'!P113+Hotel!P110+Industrial!P108+Parking!P104</f>
        <v>942438.32795935473</v>
      </c>
      <c r="O82" s="149">
        <f>'Residential Rental'!Q110+Office!Q107+'Retail &amp; Restaurant'!Q113+Hotel!Q110+Industrial!Q108+Parking!Q104</f>
        <v>970711.47779813549</v>
      </c>
      <c r="P82" s="149">
        <f>'Residential Rental'!R110+Office!R107+'Retail &amp; Restaurant'!R113+Hotel!R110+Industrial!R108+Parking!R104</f>
        <v>999832.82213207963</v>
      </c>
      <c r="Q82" s="149">
        <f>'Residential Rental'!S110+Office!S107+'Retail &amp; Restaurant'!S113+Hotel!S110+Industrial!S108+Parking!S104</f>
        <v>1029827.806796042</v>
      </c>
      <c r="R82" s="149">
        <f>'Residential Rental'!T110+Office!T107+'Retail &amp; Restaurant'!T113+Hotel!T110+Industrial!T108+Parking!T104</f>
        <v>1060722.6409999232</v>
      </c>
      <c r="S82" s="149">
        <f>'Residential Rental'!U110+Office!U107+'Retail &amp; Restaurant'!U113+Hotel!U110+Industrial!U108+Parking!U104</f>
        <v>1092544.320229921</v>
      </c>
      <c r="T82" s="149">
        <f>'Residential Rental'!V110+Office!V107+'Retail &amp; Restaurant'!V113+Hotel!V110+Industrial!V108+Parking!V104</f>
        <v>1125320.6498368187</v>
      </c>
      <c r="U82" s="149">
        <f>'Residential Rental'!W110+Office!W107+'Retail &amp; Restaurant'!W113+Hotel!W110+Industrial!W108+Parking!W104</f>
        <v>1159080.2693319232</v>
      </c>
      <c r="V82" s="149">
        <f>'Residential Rental'!X110+Office!X107+'Retail &amp; Restaurant'!X113+Hotel!X110+Industrial!X108+Parking!X104</f>
        <v>1193852.677411881</v>
      </c>
      <c r="W82" s="149">
        <f>'Residential Rental'!Y110+Office!Y107+'Retail &amp; Restaurant'!Y113+Hotel!Y110+Industrial!Y108+Parking!Y104</f>
        <v>1229668.2577342375</v>
      </c>
      <c r="X82" s="149">
        <f>'Residential Rental'!Z110+Office!Z107+'Retail &amp; Restaurant'!Z113+Hotel!Z110+Industrial!Z108+Parking!Z104</f>
        <v>1266558.3054662647</v>
      </c>
      <c r="Y82" s="149">
        <f>'Residential Rental'!AA110+Office!AA107+'Retail &amp; Restaurant'!AA113+Hotel!AA110+Industrial!AA108+Parking!AA104</f>
        <v>1304555.0546302528</v>
      </c>
      <c r="Z82" s="149">
        <f>'Residential Rental'!AB110+Office!AB107+'Retail &amp; Restaurant'!AB113+Hotel!AB110+Industrial!AB108+Parking!AB104</f>
        <v>1343691.7062691604</v>
      </c>
      <c r="AA82" s="149">
        <f>'Residential Rental'!AC110+Office!AC107+'Retail &amp; Restaurant'!AC113+Hotel!AC110+Industrial!AC108+Parking!AC104</f>
        <v>1384002.4574572353</v>
      </c>
      <c r="AB82" s="149">
        <f>'Residential Rental'!AD110+Office!AD107+'Retail &amp; Restaurant'!AD113+Hotel!AD110+Industrial!AD108+Parking!AD104</f>
        <v>1425522.5311809524</v>
      </c>
      <c r="AC82" s="149">
        <f>'Residential Rental'!AE110+Office!AE107+'Retail &amp; Restaurant'!AE113+Hotel!AE110+Industrial!AE108+Parking!AE104</f>
        <v>1468288.207116381</v>
      </c>
      <c r="AD82" s="149">
        <f>'Residential Rental'!AF110+Office!AF107+'Retail &amp; Restaurant'!AF113+Hotel!AF110+Industrial!AF108+Parking!AF104</f>
        <v>1512336.8533298727</v>
      </c>
      <c r="AE82" s="149">
        <f>'Residential Rental'!AG110+Office!AG107+'Retail &amp; Restaurant'!AG113+Hotel!AG110+Industrial!AG108+Parking!AG104</f>
        <v>1557706.9589297685</v>
      </c>
      <c r="AF82" s="205">
        <f>'Residential Rental'!AH110+Office!AH107+'Retail &amp; Restaurant'!AH113+Hotel!AH110+Industrial!AH108+Parking!AH104</f>
        <v>1604438.1676976618</v>
      </c>
    </row>
    <row r="83" spans="1:32" x14ac:dyDescent="0.25">
      <c r="A83" s="739" t="s">
        <v>53</v>
      </c>
      <c r="B83" s="740"/>
      <c r="C83" s="741">
        <f>'Residential Rental'!E111+Office!E108+'Retail &amp; Restaurant'!E114+Hotel!E111+Industrial!E109+Parking!E105</f>
        <v>14477587.5</v>
      </c>
      <c r="D83" s="741">
        <f>'Residential Rental'!F111+Office!F108+'Retail &amp; Restaurant'!F114+Hotel!F111+Industrial!F109+Parking!F105</f>
        <v>14911915.125</v>
      </c>
      <c r="E83" s="741">
        <f>'Residential Rental'!G111+Office!G108+'Retail &amp; Restaurant'!G114+Hotel!G111+Industrial!G109+Parking!G105</f>
        <v>15359272.578750001</v>
      </c>
      <c r="F83" s="741">
        <f>'Residential Rental'!H111+Office!H108+'Retail &amp; Restaurant'!H114+Hotel!H111+Industrial!H109+Parking!H105</f>
        <v>15820050.756112501</v>
      </c>
      <c r="G83" s="741">
        <f>'Residential Rental'!I111+Office!I108+'Retail &amp; Restaurant'!I114+Hotel!I111+Industrial!I109+Parking!I105</f>
        <v>16294652.278795874</v>
      </c>
      <c r="H83" s="741">
        <f>'Residential Rental'!J111+Office!J108+'Retail &amp; Restaurant'!J114+Hotel!J111+Industrial!J109+Parking!J105</f>
        <v>16783491.847159751</v>
      </c>
      <c r="I83" s="741">
        <f>'Residential Rental'!K111+Office!K108+'Retail &amp; Restaurant'!K114+Hotel!K111+Industrial!K109+Parking!K105</f>
        <v>17286996.602574546</v>
      </c>
      <c r="J83" s="741">
        <f>'Residential Rental'!L111+Office!L108+'Retail &amp; Restaurant'!L114+Hotel!L111+Industrial!L109+Parking!L105</f>
        <v>17805606.500651784</v>
      </c>
      <c r="K83" s="741">
        <f>'Residential Rental'!M111+Office!M108+'Retail &amp; Restaurant'!M114+Hotel!M111+Industrial!M109+Parking!M105</f>
        <v>18339774.695671339</v>
      </c>
      <c r="L83" s="741">
        <f>'Residential Rental'!N111+Office!N108+'Retail &amp; Restaurant'!N114+Hotel!N111+Industrial!N109+Parking!N105</f>
        <v>18889967.936541479</v>
      </c>
      <c r="M83" s="741">
        <f>'Residential Rental'!O111+Office!O108+'Retail &amp; Restaurant'!O114+Hotel!O111+Industrial!O109+Parking!O105</f>
        <v>19456666.974637724</v>
      </c>
      <c r="N83" s="741">
        <f>'Residential Rental'!P111+Office!P108+'Retail &amp; Restaurant'!P114+Hotel!P111+Industrial!P109+Parking!P105</f>
        <v>20040366.983876854</v>
      </c>
      <c r="O83" s="741">
        <f>'Residential Rental'!Q111+Office!Q108+'Retail &amp; Restaurant'!Q114+Hotel!Q111+Industrial!Q109+Parking!Q105</f>
        <v>20641577.993393157</v>
      </c>
      <c r="P83" s="741">
        <f>'Residential Rental'!R111+Office!R108+'Retail &amp; Restaurant'!R114+Hotel!R111+Industrial!R109+Parking!R105</f>
        <v>21260825.33319496</v>
      </c>
      <c r="Q83" s="741">
        <f>'Residential Rental'!S111+Office!S108+'Retail &amp; Restaurant'!S114+Hotel!S111+Industrial!S109+Parking!S105</f>
        <v>21898650.093190804</v>
      </c>
      <c r="R83" s="741">
        <f>'Residential Rental'!T111+Office!T108+'Retail &amp; Restaurant'!T114+Hotel!T111+Industrial!T109+Parking!T105</f>
        <v>22555609.59598653</v>
      </c>
      <c r="S83" s="741">
        <f>'Residential Rental'!U111+Office!U108+'Retail &amp; Restaurant'!U114+Hotel!U111+Industrial!U109+Parking!U105</f>
        <v>23232277.883866124</v>
      </c>
      <c r="T83" s="741">
        <f>'Residential Rental'!V111+Office!V108+'Retail &amp; Restaurant'!V114+Hotel!V111+Industrial!V109+Parking!V105</f>
        <v>23929246.220382109</v>
      </c>
      <c r="U83" s="741">
        <f>'Residential Rental'!W111+Office!W108+'Retail &amp; Restaurant'!W114+Hotel!W111+Industrial!W109+Parking!W105</f>
        <v>24647123.606993575</v>
      </c>
      <c r="V83" s="741">
        <f>'Residential Rental'!X111+Office!X108+'Retail &amp; Restaurant'!X114+Hotel!X111+Industrial!X109+Parking!X105</f>
        <v>25386537.315203384</v>
      </c>
      <c r="W83" s="741">
        <f>'Residential Rental'!Y111+Office!Y108+'Retail &amp; Restaurant'!Y114+Hotel!Y111+Industrial!Y109+Parking!Y105</f>
        <v>26148133.434659488</v>
      </c>
      <c r="X83" s="741">
        <f>'Residential Rental'!Z111+Office!Z108+'Retail &amp; Restaurant'!Z114+Hotel!Z111+Industrial!Z109+Parking!Z105</f>
        <v>26932577.43769927</v>
      </c>
      <c r="Y83" s="741">
        <f>'Residential Rental'!AA111+Office!AA108+'Retail &amp; Restaurant'!AA114+Hotel!AA111+Industrial!AA109+Parking!AA105</f>
        <v>27740554.760830253</v>
      </c>
      <c r="Z83" s="741">
        <f>'Residential Rental'!AB111+Office!AB108+'Retail &amp; Restaurant'!AB114+Hotel!AB111+Industrial!AB109+Parking!AB105</f>
        <v>28572771.40365516</v>
      </c>
      <c r="AA83" s="741">
        <f>'Residential Rental'!AC111+Office!AC108+'Retail &amp; Restaurant'!AC114+Hotel!AC111+Industrial!AC109+Parking!AC105</f>
        <v>29429954.545764819</v>
      </c>
      <c r="AB83" s="741">
        <f>'Residential Rental'!AD111+Office!AD108+'Retail &amp; Restaurant'!AD114+Hotel!AD111+Industrial!AD109+Parking!AD105</f>
        <v>30312853.182137765</v>
      </c>
      <c r="AC83" s="741">
        <f>'Residential Rental'!AE111+Office!AE108+'Retail &amp; Restaurant'!AE114+Hotel!AE111+Industrial!AE109+Parking!AE105</f>
        <v>31222238.777601898</v>
      </c>
      <c r="AD83" s="741">
        <f>'Residential Rental'!AF111+Office!AF108+'Retail &amp; Restaurant'!AF114+Hotel!AF111+Industrial!AF109+Parking!AF105</f>
        <v>32158905.940929953</v>
      </c>
      <c r="AE83" s="741">
        <f>'Residential Rental'!AG111+Office!AG108+'Retail &amp; Restaurant'!AG114+Hotel!AG111+Industrial!AG109+Parking!AG105</f>
        <v>33123673.119157854</v>
      </c>
      <c r="AF83" s="741">
        <f>'Residential Rental'!AH111+Office!AH108+'Retail &amp; Restaurant'!AH114+Hotel!AH111+Industrial!AH109+Parking!AH105</f>
        <v>34117383.312732592</v>
      </c>
    </row>
    <row r="84" spans="1:32" x14ac:dyDescent="0.25">
      <c r="A84" s="420" t="s">
        <v>54</v>
      </c>
      <c r="B84" s="210"/>
      <c r="C84" s="149">
        <f>'Residential Rental'!E112+Office!E109+'Retail &amp; Restaurant'!E115+Hotel!E112+Industrial!E110+Parking!E106</f>
        <v>3254625.375</v>
      </c>
      <c r="D84" s="149">
        <f>'Residential Rental'!F112+Office!F109+'Retail &amp; Restaurant'!F115+Hotel!F112+Industrial!F110+Parking!F106</f>
        <v>3352264.13625</v>
      </c>
      <c r="E84" s="149">
        <f>'Residential Rental'!G112+Office!G109+'Retail &amp; Restaurant'!G115+Hotel!G112+Industrial!G110+Parking!G106</f>
        <v>3452832.0603374997</v>
      </c>
      <c r="F84" s="149">
        <f>'Residential Rental'!H112+Office!H109+'Retail &amp; Restaurant'!H115+Hotel!H112+Industrial!H110+Parking!H106</f>
        <v>3556417.0221476248</v>
      </c>
      <c r="G84" s="149">
        <f>'Residential Rental'!I112+Office!I109+'Retail &amp; Restaurant'!I115+Hotel!I112+Industrial!I110+Parking!I106</f>
        <v>3663109.5328120538</v>
      </c>
      <c r="H84" s="149">
        <f>'Residential Rental'!J112+Office!J109+'Retail &amp; Restaurant'!J115+Hotel!J112+Industrial!J110+Parking!J106</f>
        <v>3773002.8187964158</v>
      </c>
      <c r="I84" s="149">
        <f>'Residential Rental'!K112+Office!K109+'Retail &amp; Restaurant'!K115+Hotel!K112+Industrial!K110+Parking!K106</f>
        <v>3886192.9033603081</v>
      </c>
      <c r="J84" s="149">
        <f>'Residential Rental'!L112+Office!L109+'Retail &amp; Restaurant'!L115+Hotel!L112+Industrial!L110+Parking!L106</f>
        <v>4002778.6904611178</v>
      </c>
      <c r="K84" s="149">
        <f>'Residential Rental'!M112+Office!M109+'Retail &amp; Restaurant'!M115+Hotel!M112+Industrial!M110+Parking!M106</f>
        <v>4122862.0511749513</v>
      </c>
      <c r="L84" s="149">
        <f>'Residential Rental'!N112+Office!N109+'Retail &amp; Restaurant'!N115+Hotel!N112+Industrial!N110+Parking!N106</f>
        <v>4246547.9127102001</v>
      </c>
      <c r="M84" s="149">
        <f>'Residential Rental'!O112+Office!O109+'Retail &amp; Restaurant'!O115+Hotel!O112+Industrial!O110+Parking!O106</f>
        <v>4373944.3500915058</v>
      </c>
      <c r="N84" s="149">
        <f>'Residential Rental'!P112+Office!P109+'Retail &amp; Restaurant'!P115+Hotel!P112+Industrial!P110+Parking!P106</f>
        <v>4505162.6805942506</v>
      </c>
      <c r="O84" s="149">
        <f>'Residential Rental'!Q112+Office!Q109+'Retail &amp; Restaurant'!Q115+Hotel!Q112+Industrial!Q110+Parking!Q106</f>
        <v>4640317.561012079</v>
      </c>
      <c r="P84" s="149">
        <f>'Residential Rental'!R112+Office!R109+'Retail &amp; Restaurant'!R115+Hotel!R112+Industrial!R110+Parking!R106</f>
        <v>4779527.0878424421</v>
      </c>
      <c r="Q84" s="149">
        <f>'Residential Rental'!S112+Office!S109+'Retail &amp; Restaurant'!S115+Hotel!S112+Industrial!S110+Parking!S106</f>
        <v>4922912.9004777148</v>
      </c>
      <c r="R84" s="149">
        <f>'Residential Rental'!T112+Office!T109+'Retail &amp; Restaurant'!T115+Hotel!T112+Industrial!T110+Parking!T106</f>
        <v>5070600.2874920461</v>
      </c>
      <c r="S84" s="149">
        <f>'Residential Rental'!U112+Office!U109+'Retail &amp; Restaurant'!U115+Hotel!U112+Industrial!U110+Parking!U106</f>
        <v>5222718.2961168075</v>
      </c>
      <c r="T84" s="149">
        <f>'Residential Rental'!V112+Office!V109+'Retail &amp; Restaurant'!V115+Hotel!V112+Industrial!V110+Parking!V106</f>
        <v>5379399.8450003127</v>
      </c>
      <c r="U84" s="149">
        <f>'Residential Rental'!W112+Office!W109+'Retail &amp; Restaurant'!W115+Hotel!W112+Industrial!W110+Parking!W106</f>
        <v>5540781.8403503224</v>
      </c>
      <c r="V84" s="149">
        <f>'Residential Rental'!X112+Office!X109+'Retail &amp; Restaurant'!X115+Hotel!X112+Industrial!X110+Parking!X106</f>
        <v>5707005.2955608312</v>
      </c>
      <c r="W84" s="149">
        <f>'Residential Rental'!Y112+Office!Y109+'Retail &amp; Restaurant'!Y115+Hotel!Y112+Industrial!Y110+Parking!Y106</f>
        <v>5878215.4544276576</v>
      </c>
      <c r="X84" s="149">
        <f>'Residential Rental'!Z112+Office!Z109+'Retail &amp; Restaurant'!Z115+Hotel!Z112+Industrial!Z110+Parking!Z106</f>
        <v>6054561.9180604871</v>
      </c>
      <c r="Y84" s="149">
        <f>'Residential Rental'!AA112+Office!AA109+'Retail &amp; Restaurant'!AA115+Hotel!AA112+Industrial!AA110+Parking!AA106</f>
        <v>6236198.7756023025</v>
      </c>
      <c r="Z84" s="149">
        <f>'Residential Rental'!AB112+Office!AB109+'Retail &amp; Restaurant'!AB115+Hotel!AB112+Industrial!AB110+Parking!AB106</f>
        <v>6423284.7388703721</v>
      </c>
      <c r="AA84" s="149">
        <f>'Residential Rental'!AC112+Office!AC109+'Retail &amp; Restaurant'!AC115+Hotel!AC112+Industrial!AC110+Parking!AC106</f>
        <v>6615983.2810364831</v>
      </c>
      <c r="AB84" s="149">
        <f>'Residential Rental'!AD112+Office!AD109+'Retail &amp; Restaurant'!AD115+Hotel!AD112+Industrial!AD110+Parking!AD106</f>
        <v>6814462.779467578</v>
      </c>
      <c r="AC84" s="149">
        <f>'Residential Rental'!AE112+Office!AE109+'Retail &amp; Restaurant'!AE115+Hotel!AE112+Industrial!AE110+Parking!AE106</f>
        <v>7018896.6628516056</v>
      </c>
      <c r="AD84" s="149">
        <f>'Residential Rental'!AF112+Office!AF109+'Retail &amp; Restaurant'!AF115+Hotel!AF112+Industrial!AF110+Parking!AF106</f>
        <v>7229463.5627371538</v>
      </c>
      <c r="AE84" s="149">
        <f>'Residential Rental'!AG112+Office!AG109+'Retail &amp; Restaurant'!AG115+Hotel!AG112+Industrial!AG110+Parking!AG106</f>
        <v>7446347.4696192686</v>
      </c>
      <c r="AF84" s="205">
        <f>'Residential Rental'!AH112+Office!AH109+'Retail &amp; Restaurant'!AH115+Hotel!AH112+Industrial!AH110+Parking!AH106</f>
        <v>7669737.8937078472</v>
      </c>
    </row>
    <row r="85" spans="1:32" x14ac:dyDescent="0.25">
      <c r="A85" s="420" t="s">
        <v>98</v>
      </c>
      <c r="B85" s="210"/>
      <c r="C85" s="149">
        <f>'Residential Rental'!E113+Office!E110+'Retail &amp; Restaurant'!E116+Hotel!E113+Industrial!E111+Parking!E107</f>
        <v>292263.75</v>
      </c>
      <c r="D85" s="149">
        <f>'Residential Rental'!F113+Office!F110+'Retail &amp; Restaurant'!F116+Hotel!F113+Industrial!F111+Parking!F107</f>
        <v>301031.66250000003</v>
      </c>
      <c r="E85" s="149">
        <f>'Residential Rental'!G113+Office!G110+'Retail &amp; Restaurant'!G116+Hotel!G113+Industrial!G111+Parking!G107</f>
        <v>310062.61237499997</v>
      </c>
      <c r="F85" s="149">
        <f>'Residential Rental'!H113+Office!H110+'Retail &amp; Restaurant'!H116+Hotel!H113+Industrial!H111+Parking!H107</f>
        <v>319364.49074624997</v>
      </c>
      <c r="G85" s="149">
        <f>'Residential Rental'!I113+Office!I110+'Retail &amp; Restaurant'!I116+Hotel!I113+Industrial!I111+Parking!I107</f>
        <v>328945.42546863755</v>
      </c>
      <c r="H85" s="149">
        <f>'Residential Rental'!J113+Office!J110+'Retail &amp; Restaurant'!J116+Hotel!J113+Industrial!J111+Parking!J107</f>
        <v>338813.78823269665</v>
      </c>
      <c r="I85" s="149">
        <f>'Residential Rental'!K113+Office!K110+'Retail &amp; Restaurant'!K116+Hotel!K113+Industrial!K111+Parking!K107</f>
        <v>348978.20187967754</v>
      </c>
      <c r="J85" s="149">
        <f>'Residential Rental'!L113+Office!L110+'Retail &amp; Restaurant'!L116+Hotel!L113+Industrial!L111+Parking!L107</f>
        <v>359447.54793606792</v>
      </c>
      <c r="K85" s="149">
        <f>'Residential Rental'!M113+Office!M110+'Retail &amp; Restaurant'!M116+Hotel!M113+Industrial!M111+Parking!M107</f>
        <v>370230.97437414993</v>
      </c>
      <c r="L85" s="149">
        <f>'Residential Rental'!N113+Office!N110+'Retail &amp; Restaurant'!N116+Hotel!N113+Industrial!N111+Parking!N107</f>
        <v>381337.90360537445</v>
      </c>
      <c r="M85" s="149">
        <f>'Residential Rental'!O113+Office!O110+'Retail &amp; Restaurant'!O116+Hotel!O113+Industrial!O111+Parking!O107</f>
        <v>392778.04071353568</v>
      </c>
      <c r="N85" s="149">
        <f>'Residential Rental'!P113+Office!P110+'Retail &amp; Restaurant'!P116+Hotel!P113+Industrial!P111+Parking!P107</f>
        <v>404561.3819349418</v>
      </c>
      <c r="O85" s="149">
        <f>'Residential Rental'!Q113+Office!Q110+'Retail &amp; Restaurant'!Q116+Hotel!Q113+Industrial!Q111+Parking!Q107</f>
        <v>416698.22339299007</v>
      </c>
      <c r="P85" s="149">
        <f>'Residential Rental'!R113+Office!R110+'Retail &amp; Restaurant'!R116+Hotel!R113+Industrial!R111+Parking!R107</f>
        <v>429199.17009477981</v>
      </c>
      <c r="Q85" s="149">
        <f>'Residential Rental'!S113+Office!S110+'Retail &amp; Restaurant'!S116+Hotel!S113+Industrial!S111+Parking!S107</f>
        <v>442075.14519762312</v>
      </c>
      <c r="R85" s="149">
        <f>'Residential Rental'!T113+Office!T110+'Retail &amp; Restaurant'!T116+Hotel!T113+Industrial!T111+Parking!T107</f>
        <v>455337.39955355186</v>
      </c>
      <c r="S85" s="149">
        <f>'Residential Rental'!U113+Office!U110+'Retail &amp; Restaurant'!U116+Hotel!U113+Industrial!U111+Parking!U107</f>
        <v>468997.52154015843</v>
      </c>
      <c r="T85" s="149">
        <f>'Residential Rental'!V113+Office!V110+'Retail &amp; Restaurant'!V116+Hotel!V113+Industrial!V111+Parking!V107</f>
        <v>483067.44718636322</v>
      </c>
      <c r="U85" s="149">
        <f>'Residential Rental'!W113+Office!W110+'Retail &amp; Restaurant'!W116+Hotel!W113+Industrial!W111+Parking!W107</f>
        <v>497559.47060195415</v>
      </c>
      <c r="V85" s="149">
        <f>'Residential Rental'!X113+Office!X110+'Retail &amp; Restaurant'!X116+Hotel!X113+Industrial!X111+Parking!X107</f>
        <v>512486.25472001277</v>
      </c>
      <c r="W85" s="149">
        <f>'Residential Rental'!Y113+Office!Y110+'Retail &amp; Restaurant'!Y116+Hotel!Y113+Industrial!Y111+Parking!Y107</f>
        <v>527860.84236161329</v>
      </c>
      <c r="X85" s="149">
        <f>'Residential Rental'!Z113+Office!Z110+'Retail &amp; Restaurant'!Z116+Hotel!Z113+Industrial!Z111+Parking!Z107</f>
        <v>543696.66763246164</v>
      </c>
      <c r="Y85" s="149">
        <f>'Residential Rental'!AA113+Office!AA110+'Retail &amp; Restaurant'!AA116+Hotel!AA113+Industrial!AA111+Parking!AA107</f>
        <v>560007.56766143546</v>
      </c>
      <c r="Z85" s="149">
        <f>'Residential Rental'!AB113+Office!AB110+'Retail &amp; Restaurant'!AB116+Hotel!AB113+Industrial!AB111+Parking!AB107</f>
        <v>576807.7946912786</v>
      </c>
      <c r="AA85" s="149">
        <f>'Residential Rental'!AC113+Office!AC110+'Retail &amp; Restaurant'!AC116+Hotel!AC113+Industrial!AC111+Parking!AC107</f>
        <v>594112.02853201702</v>
      </c>
      <c r="AB85" s="149">
        <f>'Residential Rental'!AD113+Office!AD110+'Retail &amp; Restaurant'!AD116+Hotel!AD113+Industrial!AD111+Parking!AD107</f>
        <v>611935.38938797754</v>
      </c>
      <c r="AC85" s="149">
        <f>'Residential Rental'!AE113+Office!AE110+'Retail &amp; Restaurant'!AE116+Hotel!AE113+Industrial!AE111+Parking!AE107</f>
        <v>630293.45106961683</v>
      </c>
      <c r="AD85" s="149">
        <f>'Residential Rental'!AF113+Office!AF110+'Retail &amp; Restaurant'!AF116+Hotel!AF113+Industrial!AF111+Parking!AF107</f>
        <v>649202.25460170535</v>
      </c>
      <c r="AE85" s="149">
        <f>'Residential Rental'!AG113+Office!AG110+'Retail &amp; Restaurant'!AG116+Hotel!AG113+Industrial!AG111+Parking!AG107</f>
        <v>668678.32223975647</v>
      </c>
      <c r="AF85" s="205">
        <f>'Residential Rental'!AH113+Office!AH110+'Retail &amp; Restaurant'!AH116+Hotel!AH113+Industrial!AH111+Parking!AH107</f>
        <v>688738.67190694925</v>
      </c>
    </row>
    <row r="86" spans="1:32" x14ac:dyDescent="0.25">
      <c r="A86" s="742" t="s">
        <v>99</v>
      </c>
      <c r="B86" s="740"/>
      <c r="C86" s="741">
        <f>'Residential Rental'!E114+Office!E111+'Retail &amp; Restaurant'!E117+Hotel!E114+Industrial!E112+Parking!E108</f>
        <v>10930698.375</v>
      </c>
      <c r="D86" s="741">
        <f>'Residential Rental'!F114+Office!F111+'Retail &amp; Restaurant'!F117+Hotel!F114+Industrial!F112+Parking!F108</f>
        <v>11258619.32625</v>
      </c>
      <c r="E86" s="741">
        <f>'Residential Rental'!G114+Office!G111+'Retail &amp; Restaurant'!G117+Hotel!G114+Industrial!G112+Parking!G108</f>
        <v>11596377.906037498</v>
      </c>
      <c r="F86" s="741">
        <f>'Residential Rental'!H114+Office!H111+'Retail &amp; Restaurant'!H117+Hotel!H114+Industrial!H112+Parking!H108</f>
        <v>11944269.243218625</v>
      </c>
      <c r="G86" s="741">
        <f>'Residential Rental'!I114+Office!I111+'Retail &amp; Restaurant'!I117+Hotel!I114+Industrial!I112+Parking!I108</f>
        <v>12302597.320515186</v>
      </c>
      <c r="H86" s="741">
        <f>'Residential Rental'!J114+Office!J111+'Retail &amp; Restaurant'!J117+Hotel!J114+Industrial!J112+Parking!J108</f>
        <v>12671675.240130641</v>
      </c>
      <c r="I86" s="741">
        <f>'Residential Rental'!K114+Office!K111+'Retail &amp; Restaurant'!K117+Hotel!K114+Industrial!K112+Parking!K108</f>
        <v>13051825.49733456</v>
      </c>
      <c r="J86" s="741">
        <f>'Residential Rental'!L114+Office!L111+'Retail &amp; Restaurant'!L117+Hotel!L114+Industrial!L112+Parking!L108</f>
        <v>13443380.262254596</v>
      </c>
      <c r="K86" s="741">
        <f>'Residential Rental'!M114+Office!M111+'Retail &amp; Restaurant'!M117+Hotel!M114+Industrial!M112+Parking!M108</f>
        <v>13846681.670122236</v>
      </c>
      <c r="L86" s="741">
        <f>'Residential Rental'!N114+Office!N111+'Retail &amp; Restaurant'!N117+Hotel!N114+Industrial!N112+Parking!N108</f>
        <v>14262082.120225903</v>
      </c>
      <c r="M86" s="741">
        <f>'Residential Rental'!O114+Office!O111+'Retail &amp; Restaurant'!O117+Hotel!O114+Industrial!O112+Parking!O108</f>
        <v>14689944.583832679</v>
      </c>
      <c r="N86" s="741">
        <f>'Residential Rental'!P114+Office!P111+'Retail &amp; Restaurant'!P117+Hotel!P114+Industrial!P112+Parking!P108</f>
        <v>15130642.921347661</v>
      </c>
      <c r="O86" s="741">
        <f>'Residential Rental'!Q114+Office!Q111+'Retail &amp; Restaurant'!Q117+Hotel!Q114+Industrial!Q112+Parking!Q108</f>
        <v>15584562.208988091</v>
      </c>
      <c r="P86" s="741">
        <f>'Residential Rental'!R114+Office!R111+'Retail &amp; Restaurant'!R117+Hotel!R114+Industrial!R112+Parking!R108</f>
        <v>16052099.075257735</v>
      </c>
      <c r="Q86" s="741">
        <f>'Residential Rental'!S114+Office!S111+'Retail &amp; Restaurant'!S117+Hotel!S114+Industrial!S112+Parking!S108</f>
        <v>16533662.047515469</v>
      </c>
      <c r="R86" s="741">
        <f>'Residential Rental'!T114+Office!T111+'Retail &amp; Restaurant'!T117+Hotel!T114+Industrial!T112+Parking!T108</f>
        <v>17029671.90894093</v>
      </c>
      <c r="S86" s="741">
        <f>'Residential Rental'!U114+Office!U111+'Retail &amp; Restaurant'!U117+Hotel!U114+Industrial!U112+Parking!U108</f>
        <v>17540562.066209156</v>
      </c>
      <c r="T86" s="741">
        <f>'Residential Rental'!V114+Office!V111+'Retail &amp; Restaurant'!V117+Hotel!V114+Industrial!V112+Parking!V108</f>
        <v>18066778.928195436</v>
      </c>
      <c r="U86" s="741">
        <f>'Residential Rental'!W114+Office!W111+'Retail &amp; Restaurant'!W117+Hotel!W114+Industrial!W112+Parking!W108</f>
        <v>18608782.296041299</v>
      </c>
      <c r="V86" s="741">
        <f>'Residential Rental'!X114+Office!X111+'Retail &amp; Restaurant'!X117+Hotel!X114+Industrial!X112+Parking!X108</f>
        <v>19167045.764922537</v>
      </c>
      <c r="W86" s="741">
        <f>'Residential Rental'!Y114+Office!Y111+'Retail &amp; Restaurant'!Y117+Hotel!Y114+Industrial!Y112+Parking!Y108</f>
        <v>19742057.137870215</v>
      </c>
      <c r="X86" s="741">
        <f>'Residential Rental'!Z114+Office!Z111+'Retail &amp; Restaurant'!Z117+Hotel!Z114+Industrial!Z112+Parking!Z108</f>
        <v>20334318.852006324</v>
      </c>
      <c r="Y86" s="741">
        <f>'Residential Rental'!AA114+Office!AA111+'Retail &amp; Restaurant'!AA117+Hotel!AA114+Industrial!AA112+Parking!AA108</f>
        <v>20944348.417566508</v>
      </c>
      <c r="Z86" s="741">
        <f>'Residential Rental'!AB114+Office!AB111+'Retail &amp; Restaurant'!AB117+Hotel!AB114+Industrial!AB112+Parking!AB108</f>
        <v>21572678.87009351</v>
      </c>
      <c r="AA86" s="741">
        <f>'Residential Rental'!AC114+Office!AC111+'Retail &amp; Restaurant'!AC117+Hotel!AC114+Industrial!AC112+Parking!AC108</f>
        <v>22219859.236196321</v>
      </c>
      <c r="AB86" s="741">
        <f>'Residential Rental'!AD114+Office!AD111+'Retail &amp; Restaurant'!AD117+Hotel!AD114+Industrial!AD112+Parking!AD108</f>
        <v>22886455.013282206</v>
      </c>
      <c r="AC86" s="741">
        <f>'Residential Rental'!AE114+Office!AE111+'Retail &amp; Restaurant'!AE117+Hotel!AE114+Industrial!AE112+Parking!AE108</f>
        <v>23573048.663680673</v>
      </c>
      <c r="AD86" s="741">
        <f>'Residential Rental'!AF114+Office!AF111+'Retail &amp; Restaurant'!AF117+Hotel!AF114+Industrial!AF112+Parking!AF108</f>
        <v>24280240.123591095</v>
      </c>
      <c r="AE86" s="741">
        <f>'Residential Rental'!AG114+Office!AG111+'Retail &amp; Restaurant'!AG117+Hotel!AG114+Industrial!AG112+Parking!AG108</f>
        <v>25008647.327298831</v>
      </c>
      <c r="AF86" s="741">
        <f>'Residential Rental'!AH114+Office!AH111+'Retail &amp; Restaurant'!AH117+Hotel!AH114+Industrial!AH112+Parking!AH108</f>
        <v>25758906.747117795</v>
      </c>
    </row>
    <row r="87" spans="1:32" x14ac:dyDescent="0.25">
      <c r="A87" s="384" t="s">
        <v>57</v>
      </c>
      <c r="B87" s="210"/>
      <c r="C87" s="149">
        <f>'Residential Rental'!E115+Office!E112+'Retail &amp; Restaurant'!E118+Hotel!E115+Industrial!E113+Parking!E109</f>
        <v>4666690</v>
      </c>
      <c r="D87" s="149">
        <f>'Residential Rental'!F115+Office!F112+'Retail &amp; Restaurant'!F118+Hotel!F115+Industrial!F113+Parking!F109</f>
        <v>4806690.6999999993</v>
      </c>
      <c r="E87" s="149">
        <f>'Residential Rental'!G115+Office!G112+'Retail &amp; Restaurant'!G118+Hotel!G115+Industrial!G113+Parking!G109</f>
        <v>4950891.4210000001</v>
      </c>
      <c r="F87" s="149">
        <f>'Residential Rental'!H115+Office!H112+'Retail &amp; Restaurant'!H118+Hotel!H115+Industrial!H113+Parking!H109</f>
        <v>5099418.1636300003</v>
      </c>
      <c r="G87" s="149">
        <f>'Residential Rental'!I115+Office!I112+'Retail &amp; Restaurant'!I118+Hotel!I115+Industrial!I113+Parking!I109</f>
        <v>5252400.7085388992</v>
      </c>
      <c r="H87" s="149">
        <f>'Residential Rental'!J115+Office!J112+'Retail &amp; Restaurant'!J118+Hotel!J115+Industrial!J113+Parking!J109</f>
        <v>5409972.7297950666</v>
      </c>
      <c r="I87" s="149">
        <f>'Residential Rental'!K115+Office!K112+'Retail &amp; Restaurant'!K118+Hotel!K115+Industrial!K113+Parking!K109</f>
        <v>5572271.9116889192</v>
      </c>
      <c r="J87" s="149">
        <f>'Residential Rental'!L115+Office!L112+'Retail &amp; Restaurant'!L118+Hotel!L115+Industrial!L113+Parking!L109</f>
        <v>5739440.0690395869</v>
      </c>
      <c r="K87" s="149">
        <f>'Residential Rental'!M115+Office!M112+'Retail &amp; Restaurant'!M118+Hotel!M115+Industrial!M113+Parking!M109</f>
        <v>5911623.2711107749</v>
      </c>
      <c r="L87" s="149">
        <f>'Residential Rental'!N115+Office!N112+'Retail &amp; Restaurant'!N118+Hotel!N115+Industrial!N113+Parking!N109</f>
        <v>6088971.9692440983</v>
      </c>
      <c r="M87" s="149">
        <f>'Residential Rental'!O115+Office!O112+'Retail &amp; Restaurant'!O118+Hotel!O115+Industrial!O113+Parking!O109</f>
        <v>6271641.1283214223</v>
      </c>
      <c r="N87" s="149">
        <f>'Residential Rental'!P115+Office!P112+'Retail &amp; Restaurant'!P118+Hotel!P115+Industrial!P113+Parking!P109</f>
        <v>6459790.3621710651</v>
      </c>
      <c r="O87" s="149">
        <f>'Residential Rental'!Q115+Office!Q112+'Retail &amp; Restaurant'!Q118+Hotel!Q115+Industrial!Q113+Parking!Q109</f>
        <v>6653584.0730361976</v>
      </c>
      <c r="P87" s="149">
        <f>'Residential Rental'!R115+Office!R112+'Retail &amp; Restaurant'!R118+Hotel!R115+Industrial!R113+Parking!R109</f>
        <v>6853191.5952272825</v>
      </c>
      <c r="Q87" s="149">
        <f>'Residential Rental'!S115+Office!S112+'Retail &amp; Restaurant'!S118+Hotel!S115+Industrial!S113+Parking!S109</f>
        <v>7058787.3430841016</v>
      </c>
      <c r="R87" s="149">
        <f>'Residential Rental'!T115+Office!T112+'Retail &amp; Restaurant'!T118+Hotel!T115+Industrial!T113+Parking!T109</f>
        <v>7270550.9633766264</v>
      </c>
      <c r="S87" s="149">
        <f>'Residential Rental'!U115+Office!U112+'Retail &amp; Restaurant'!U118+Hotel!U115+Industrial!U113+Parking!U109</f>
        <v>7488667.4922779258</v>
      </c>
      <c r="T87" s="149">
        <f>'Residential Rental'!V115+Office!V112+'Retail &amp; Restaurant'!V118+Hotel!V115+Industrial!V113+Parking!V109</f>
        <v>7713327.5170462634</v>
      </c>
      <c r="U87" s="149">
        <f>'Residential Rental'!W115+Office!W112+'Retail &amp; Restaurant'!W118+Hotel!W115+Industrial!W113+Parking!W109</f>
        <v>7944727.342557651</v>
      </c>
      <c r="V87" s="149">
        <f>'Residential Rental'!X115+Office!X112+'Retail &amp; Restaurant'!X118+Hotel!X115+Industrial!X113+Parking!X109</f>
        <v>8183069.1628343808</v>
      </c>
      <c r="W87" s="149">
        <f>'Residential Rental'!Y115+Office!Y112+'Retail &amp; Restaurant'!Y118+Hotel!Y115+Industrial!Y113+Parking!Y109</f>
        <v>8428561.2377194148</v>
      </c>
      <c r="X87" s="149">
        <f>'Residential Rental'!Z115+Office!Z112+'Retail &amp; Restaurant'!Z118+Hotel!Z115+Industrial!Z113+Parking!Z109</f>
        <v>8681418.0748509951</v>
      </c>
      <c r="Y87" s="149">
        <f>'Residential Rental'!AA115+Office!AA112+'Retail &amp; Restaurant'!AA118+Hotel!AA115+Industrial!AA113+Parking!AA109</f>
        <v>8941860.6170965265</v>
      </c>
      <c r="Z87" s="149">
        <f>'Residential Rental'!AB115+Office!AB112+'Retail &amp; Restaurant'!AB118+Hotel!AB115+Industrial!AB113+Parking!AB109</f>
        <v>9210116.4356094208</v>
      </c>
      <c r="AA87" s="149">
        <f>'Residential Rental'!AC115+Office!AC112+'Retail &amp; Restaurant'!AC118+Hotel!AC115+Industrial!AC113+Parking!AC109</f>
        <v>9486419.9286777042</v>
      </c>
      <c r="AB87" s="149">
        <f>'Residential Rental'!AD115+Office!AD112+'Retail &amp; Restaurant'!AD118+Hotel!AD115+Industrial!AD113+Parking!AD109</f>
        <v>9771012.5265380349</v>
      </c>
      <c r="AC87" s="149">
        <f>'Residential Rental'!AE115+Office!AE112+'Retail &amp; Restaurant'!AE118+Hotel!AE115+Industrial!AE113+Parking!AE109</f>
        <v>10064142.902334176</v>
      </c>
      <c r="AD87" s="149">
        <f>'Residential Rental'!AF115+Office!AF112+'Retail &amp; Restaurant'!AF118+Hotel!AF115+Industrial!AF113+Parking!AF109</f>
        <v>10366067.189404201</v>
      </c>
      <c r="AE87" s="149">
        <f>'Residential Rental'!AG115+Office!AG112+'Retail &amp; Restaurant'!AG118+Hotel!AG115+Industrial!AG113+Parking!AG109</f>
        <v>10677049.205086328</v>
      </c>
      <c r="AF87" s="205">
        <f>'Residential Rental'!AH115+Office!AH112+'Retail &amp; Restaurant'!AH118+Hotel!AH115+Industrial!AH113+Parking!AH109</f>
        <v>10997360.681238916</v>
      </c>
    </row>
    <row r="88" spans="1:32" x14ac:dyDescent="0.25">
      <c r="A88" s="384" t="s">
        <v>100</v>
      </c>
      <c r="B88" s="159"/>
      <c r="C88" s="149">
        <f>'Residential Rental'!E116+Office!E113+'Retail &amp; Restaurant'!E119+Hotel!E116+Industrial!E114+Parking!E110</f>
        <v>0</v>
      </c>
      <c r="D88" s="149">
        <f>'Residential Rental'!F116+Office!F113+'Retail &amp; Restaurant'!F119+Hotel!F116+Industrial!F114+Parking!F110</f>
        <v>0</v>
      </c>
      <c r="E88" s="149">
        <f>'Residential Rental'!G116+Office!G113+'Retail &amp; Restaurant'!G119+Hotel!G116+Industrial!G114+Parking!G110</f>
        <v>0</v>
      </c>
      <c r="F88" s="149">
        <f>'Residential Rental'!H116+Office!H113+'Retail &amp; Restaurant'!H119+Hotel!H116+Industrial!H114+Parking!H110</f>
        <v>0</v>
      </c>
      <c r="G88" s="149">
        <f>'Residential Rental'!I116+Office!I113+'Retail &amp; Restaurant'!I119+Hotel!I116+Industrial!I114+Parking!I110</f>
        <v>0</v>
      </c>
      <c r="H88" s="149">
        <f>'Residential Rental'!J116+Office!J113+'Retail &amp; Restaurant'!J119+Hotel!J116+Industrial!J114+Parking!J110</f>
        <v>0</v>
      </c>
      <c r="I88" s="149">
        <f>'Residential Rental'!K116+Office!K113+'Retail &amp; Restaurant'!K119+Hotel!K116+Industrial!K114+Parking!K110</f>
        <v>0</v>
      </c>
      <c r="J88" s="149">
        <f>'Residential Rental'!L116+Office!L113+'Retail &amp; Restaurant'!L119+Hotel!L116+Industrial!L114+Parking!L110</f>
        <v>0</v>
      </c>
      <c r="K88" s="149">
        <f>'Residential Rental'!M116+Office!M113+'Retail &amp; Restaurant'!M119+Hotel!M116+Industrial!M114+Parking!M110</f>
        <v>0</v>
      </c>
      <c r="L88" s="149">
        <f>'Residential Rental'!N116+Office!N113+'Retail &amp; Restaurant'!N119+Hotel!N116+Industrial!N114+Parking!N110</f>
        <v>0</v>
      </c>
      <c r="M88" s="149">
        <f>'Residential Rental'!O116+Office!O113+'Retail &amp; Restaurant'!O119+Hotel!O116+Industrial!O114+Parking!O110</f>
        <v>0</v>
      </c>
      <c r="N88" s="149">
        <f>'Residential Rental'!P116+Office!P113+'Retail &amp; Restaurant'!P119+Hotel!P116+Industrial!P114+Parking!P110</f>
        <v>0</v>
      </c>
      <c r="O88" s="149">
        <f>'Residential Rental'!Q116+Office!Q113+'Retail &amp; Restaurant'!Q119+Hotel!Q116+Industrial!Q114+Parking!Q110</f>
        <v>0</v>
      </c>
      <c r="P88" s="149">
        <f>'Residential Rental'!R116+Office!R113+'Retail &amp; Restaurant'!R119+Hotel!R116+Industrial!R114+Parking!R110</f>
        <v>0</v>
      </c>
      <c r="Q88" s="149">
        <f>'Residential Rental'!S116+Office!S113+'Retail &amp; Restaurant'!S119+Hotel!S116+Industrial!S114+Parking!S110</f>
        <v>0</v>
      </c>
      <c r="R88" s="149">
        <f>'Residential Rental'!T116+Office!T113+'Retail &amp; Restaurant'!T119+Hotel!T116+Industrial!T114+Parking!T110</f>
        <v>0</v>
      </c>
      <c r="S88" s="149">
        <f>'Residential Rental'!U116+Office!U113+'Retail &amp; Restaurant'!U119+Hotel!U116+Industrial!U114+Parking!U110</f>
        <v>0</v>
      </c>
      <c r="T88" s="149">
        <f>'Residential Rental'!V116+Office!V113+'Retail &amp; Restaurant'!V119+Hotel!V116+Industrial!V114+Parking!V110</f>
        <v>0</v>
      </c>
      <c r="U88" s="149">
        <f>'Residential Rental'!W116+Office!W113+'Retail &amp; Restaurant'!W119+Hotel!W116+Industrial!W114+Parking!W110</f>
        <v>0</v>
      </c>
      <c r="V88" s="149">
        <f>'Residential Rental'!X116+Office!X113+'Retail &amp; Restaurant'!X119+Hotel!X116+Industrial!X114+Parking!X110</f>
        <v>0</v>
      </c>
      <c r="W88" s="149">
        <f>'Residential Rental'!Y116+Office!Y113+'Retail &amp; Restaurant'!Y119+Hotel!Y116+Industrial!Y114+Parking!Y110</f>
        <v>0</v>
      </c>
      <c r="X88" s="149">
        <f>'Residential Rental'!Z116+Office!Z113+'Retail &amp; Restaurant'!Z119+Hotel!Z116+Industrial!Z114+Parking!Z110</f>
        <v>0</v>
      </c>
      <c r="Y88" s="149">
        <f>'Residential Rental'!AA116+Office!AA113+'Retail &amp; Restaurant'!AA119+Hotel!AA116+Industrial!AA114+Parking!AA110</f>
        <v>0</v>
      </c>
      <c r="Z88" s="149">
        <f>'Residential Rental'!AB116+Office!AB113+'Retail &amp; Restaurant'!AB119+Hotel!AB116+Industrial!AB114+Parking!AB110</f>
        <v>0</v>
      </c>
      <c r="AA88" s="149">
        <f>'Residential Rental'!AC116+Office!AC113+'Retail &amp; Restaurant'!AC119+Hotel!AC116+Industrial!AC114+Parking!AC110</f>
        <v>0</v>
      </c>
      <c r="AB88" s="149">
        <f>'Residential Rental'!AD116+Office!AD113+'Retail &amp; Restaurant'!AD119+Hotel!AD116+Industrial!AD114+Parking!AD110</f>
        <v>0</v>
      </c>
      <c r="AC88" s="149">
        <f>'Residential Rental'!AE116+Office!AE113+'Retail &amp; Restaurant'!AE119+Hotel!AE116+Industrial!AE114+Parking!AE110</f>
        <v>0</v>
      </c>
      <c r="AD88" s="149">
        <f>'Residential Rental'!AF116+Office!AF113+'Retail &amp; Restaurant'!AF119+Hotel!AF116+Industrial!AF114+Parking!AF110</f>
        <v>0</v>
      </c>
      <c r="AE88" s="149">
        <f>'Residential Rental'!AG116+Office!AG113+'Retail &amp; Restaurant'!AG119+Hotel!AG116+Industrial!AG114+Parking!AG110</f>
        <v>0</v>
      </c>
      <c r="AF88" s="205">
        <f>'Residential Rental'!AH116+Office!AH113+'Retail &amp; Restaurant'!AH119+Hotel!AH116+Industrial!AH114+Parking!AH110</f>
        <v>0</v>
      </c>
    </row>
    <row r="89" spans="1:32" x14ac:dyDescent="0.25">
      <c r="A89" s="384" t="s">
        <v>133</v>
      </c>
      <c r="B89" s="159"/>
      <c r="C89" s="149">
        <f>Office!E114+'Retail &amp; Restaurant'!E120+Hotel!E117+Industrial!E115+Parking!E111</f>
        <v>0</v>
      </c>
      <c r="D89" s="149">
        <f>Office!F114+'Retail &amp; Restaurant'!F120+Hotel!F117+Industrial!F115+Parking!F111</f>
        <v>0</v>
      </c>
      <c r="E89" s="149">
        <f>Office!G114+'Retail &amp; Restaurant'!G120+Hotel!G117+Industrial!G115+Parking!G111</f>
        <v>0</v>
      </c>
      <c r="F89" s="149">
        <f>Office!H114+'Retail &amp; Restaurant'!H120+Hotel!H117+Industrial!H115+Parking!H111</f>
        <v>0</v>
      </c>
      <c r="G89" s="149">
        <f>Office!I114+'Retail &amp; Restaurant'!I120+Hotel!I117+Industrial!I115+Parking!I111</f>
        <v>0</v>
      </c>
      <c r="H89" s="149">
        <f>Office!J114+'Retail &amp; Restaurant'!J120+Hotel!J117+Industrial!J115+Parking!J111</f>
        <v>0</v>
      </c>
      <c r="I89" s="149">
        <f>Office!K114+'Retail &amp; Restaurant'!K120+Hotel!K117+Industrial!K115+Parking!K111</f>
        <v>0</v>
      </c>
      <c r="J89" s="149">
        <f>Office!L114+'Retail &amp; Restaurant'!L120+Hotel!L117+Industrial!L115+Parking!L111</f>
        <v>0</v>
      </c>
      <c r="K89" s="149">
        <f>Office!M114+'Retail &amp; Restaurant'!M120+Hotel!M117+Industrial!M115+Parking!M111</f>
        <v>0</v>
      </c>
      <c r="L89" s="149">
        <f>Office!N114+'Retail &amp; Restaurant'!N120+Hotel!N117+Industrial!N115+Parking!N111</f>
        <v>0</v>
      </c>
      <c r="M89" s="149">
        <f>Office!O114+'Retail &amp; Restaurant'!O120+Hotel!O117+Industrial!O115+Parking!O111</f>
        <v>0</v>
      </c>
      <c r="N89" s="149">
        <f>Office!P114+'Retail &amp; Restaurant'!P120+Hotel!P117+Industrial!P115+Parking!P111</f>
        <v>0</v>
      </c>
      <c r="O89" s="149">
        <f>Office!Q114+'Retail &amp; Restaurant'!Q120+Hotel!Q117+Industrial!Q115+Parking!Q111</f>
        <v>0</v>
      </c>
      <c r="P89" s="149">
        <f>Office!R114+'Retail &amp; Restaurant'!R120+Hotel!R117+Industrial!R115+Parking!R111</f>
        <v>0</v>
      </c>
      <c r="Q89" s="149">
        <f>Office!S114+'Retail &amp; Restaurant'!S120+Hotel!S117+Industrial!S115+Parking!S111</f>
        <v>0</v>
      </c>
      <c r="R89" s="149">
        <f>Office!T114+'Retail &amp; Restaurant'!T120+Hotel!T117+Industrial!T115+Parking!T111</f>
        <v>0</v>
      </c>
      <c r="S89" s="149">
        <f>Office!U114+'Retail &amp; Restaurant'!U120+Hotel!U117+Industrial!U115+Parking!U111</f>
        <v>0</v>
      </c>
      <c r="T89" s="149">
        <f>Office!V114+'Retail &amp; Restaurant'!V120+Hotel!V117+Industrial!V115+Parking!V111</f>
        <v>0</v>
      </c>
      <c r="U89" s="149">
        <f>Office!W114+'Retail &amp; Restaurant'!W120+Hotel!W117+Industrial!W115+Parking!W111</f>
        <v>0</v>
      </c>
      <c r="V89" s="149">
        <f>Office!X114+'Retail &amp; Restaurant'!X120+Hotel!X117+Industrial!X115+Parking!X111</f>
        <v>0</v>
      </c>
      <c r="W89" s="149">
        <f>Office!Y114+'Retail &amp; Restaurant'!Y120+Hotel!Y117+Industrial!Y115+Parking!Y111</f>
        <v>0</v>
      </c>
      <c r="X89" s="149">
        <f>Office!Z114+'Retail &amp; Restaurant'!Z120+Hotel!Z117+Industrial!Z115+Parking!Z111</f>
        <v>0</v>
      </c>
      <c r="Y89" s="149">
        <f>Office!AA114+'Retail &amp; Restaurant'!AA120+Hotel!AA117+Industrial!AA115+Parking!AA111</f>
        <v>0</v>
      </c>
      <c r="Z89" s="149">
        <f>Office!AB114+'Retail &amp; Restaurant'!AB120+Hotel!AB117+Industrial!AB115+Parking!AB111</f>
        <v>0</v>
      </c>
      <c r="AA89" s="149">
        <f>Office!AC114+'Retail &amp; Restaurant'!AC120+Hotel!AC117+Industrial!AC115+Parking!AC111</f>
        <v>0</v>
      </c>
      <c r="AB89" s="149">
        <f>Office!AD114+'Retail &amp; Restaurant'!AD120+Hotel!AD117+Industrial!AD115+Parking!AD111</f>
        <v>0</v>
      </c>
      <c r="AC89" s="149">
        <f>Office!AE114+'Retail &amp; Restaurant'!AE120+Hotel!AE117+Industrial!AE115+Parking!AE111</f>
        <v>0</v>
      </c>
      <c r="AD89" s="149">
        <f>Office!AF114+'Retail &amp; Restaurant'!AF120+Hotel!AF117+Industrial!AF115+Parking!AF111</f>
        <v>0</v>
      </c>
      <c r="AE89" s="149">
        <f>Office!AG114+'Retail &amp; Restaurant'!AG120+Hotel!AG117+Industrial!AG115+Parking!AG111</f>
        <v>0</v>
      </c>
      <c r="AF89" s="205">
        <f>Office!AH114+'Retail &amp; Restaurant'!AH120+Hotel!AH117+Industrial!AH115+Parking!AH111</f>
        <v>0</v>
      </c>
    </row>
    <row r="90" spans="1:32" x14ac:dyDescent="0.25">
      <c r="A90" s="384" t="s">
        <v>465</v>
      </c>
      <c r="B90" s="159"/>
      <c r="C90" s="149">
        <f>Parking!E112</f>
        <v>56000</v>
      </c>
      <c r="D90" s="149">
        <f>Parking!F112</f>
        <v>56000</v>
      </c>
      <c r="E90" s="149">
        <f>Parking!G112</f>
        <v>56000</v>
      </c>
      <c r="F90" s="149">
        <f>Parking!H112</f>
        <v>56000</v>
      </c>
      <c r="G90" s="149">
        <f>Parking!I112</f>
        <v>56000</v>
      </c>
      <c r="H90" s="149">
        <f>Parking!J112</f>
        <v>56000</v>
      </c>
      <c r="I90" s="149">
        <f>Parking!K112</f>
        <v>56000</v>
      </c>
      <c r="J90" s="149">
        <f>Parking!L112</f>
        <v>56000</v>
      </c>
      <c r="K90" s="149">
        <f>Parking!M112</f>
        <v>56000</v>
      </c>
      <c r="L90" s="149">
        <f>Parking!N112</f>
        <v>56000</v>
      </c>
      <c r="M90" s="149">
        <f>Parking!O112</f>
        <v>56000</v>
      </c>
      <c r="N90" s="149">
        <f>Parking!P112</f>
        <v>56000</v>
      </c>
      <c r="O90" s="149">
        <f>Parking!Q112</f>
        <v>56000</v>
      </c>
      <c r="P90" s="149">
        <f>Parking!R112</f>
        <v>56000</v>
      </c>
      <c r="Q90" s="149">
        <f>Parking!S112</f>
        <v>56000</v>
      </c>
      <c r="R90" s="149">
        <f>Parking!T112</f>
        <v>56000</v>
      </c>
      <c r="S90" s="149">
        <f>Parking!U112</f>
        <v>56000</v>
      </c>
      <c r="T90" s="149">
        <f>Parking!V112</f>
        <v>56000</v>
      </c>
      <c r="U90" s="149">
        <f>Parking!W112</f>
        <v>56000</v>
      </c>
      <c r="V90" s="149">
        <f>Parking!X112</f>
        <v>56000</v>
      </c>
      <c r="W90" s="149">
        <f>Parking!Y112</f>
        <v>56000</v>
      </c>
      <c r="X90" s="149">
        <f>Parking!Z112</f>
        <v>56000</v>
      </c>
      <c r="Y90" s="149">
        <f>Parking!AA112</f>
        <v>56000</v>
      </c>
      <c r="Z90" s="149">
        <f>Parking!AB112</f>
        <v>56000</v>
      </c>
      <c r="AA90" s="149">
        <f>Parking!AC112</f>
        <v>56000</v>
      </c>
      <c r="AB90" s="149">
        <f>Parking!AD112</f>
        <v>56000</v>
      </c>
      <c r="AC90" s="149">
        <f>Parking!AE112</f>
        <v>56000</v>
      </c>
      <c r="AD90" s="149">
        <f>Parking!AF112</f>
        <v>56000</v>
      </c>
      <c r="AE90" s="149">
        <f>Parking!AG112</f>
        <v>56000</v>
      </c>
      <c r="AF90" s="205">
        <f>Parking!AH112</f>
        <v>56000</v>
      </c>
    </row>
    <row r="91" spans="1:32" x14ac:dyDescent="0.25">
      <c r="A91" s="384" t="s">
        <v>466</v>
      </c>
      <c r="B91" s="159"/>
      <c r="C91" s="149">
        <f>Parking!E113</f>
        <v>100000</v>
      </c>
      <c r="D91" s="149">
        <f>Parking!F113</f>
        <v>100000</v>
      </c>
      <c r="E91" s="149">
        <f>Parking!G113</f>
        <v>100000</v>
      </c>
      <c r="F91" s="149">
        <f>Parking!H113</f>
        <v>100000</v>
      </c>
      <c r="G91" s="149">
        <f>Parking!I113</f>
        <v>100000</v>
      </c>
      <c r="H91" s="149">
        <f>Parking!J113</f>
        <v>100000</v>
      </c>
      <c r="I91" s="149">
        <f>Parking!K113</f>
        <v>100000</v>
      </c>
      <c r="J91" s="149">
        <f>Parking!L113</f>
        <v>100000</v>
      </c>
      <c r="K91" s="149">
        <f>Parking!M113</f>
        <v>100000</v>
      </c>
      <c r="L91" s="149">
        <f>Parking!N113</f>
        <v>100000</v>
      </c>
      <c r="M91" s="149">
        <f>Parking!O113</f>
        <v>100000</v>
      </c>
      <c r="N91" s="149">
        <f>Parking!P113</f>
        <v>100000</v>
      </c>
      <c r="O91" s="149">
        <f>Parking!Q113</f>
        <v>100000</v>
      </c>
      <c r="P91" s="149">
        <f>Parking!R113</f>
        <v>100000</v>
      </c>
      <c r="Q91" s="149">
        <f>Parking!S113</f>
        <v>100000</v>
      </c>
      <c r="R91" s="149">
        <f>Parking!T113</f>
        <v>100000</v>
      </c>
      <c r="S91" s="149">
        <f>Parking!U113</f>
        <v>100000</v>
      </c>
      <c r="T91" s="149">
        <f>Parking!V113</f>
        <v>100000</v>
      </c>
      <c r="U91" s="149">
        <f>Parking!W113</f>
        <v>100000</v>
      </c>
      <c r="V91" s="149">
        <f>Parking!X113</f>
        <v>100000</v>
      </c>
      <c r="W91" s="149">
        <f>Parking!Y113</f>
        <v>100000</v>
      </c>
      <c r="X91" s="149">
        <f>Parking!Z113</f>
        <v>100000</v>
      </c>
      <c r="Y91" s="149">
        <f>Parking!AA113</f>
        <v>100000</v>
      </c>
      <c r="Z91" s="149">
        <f>Parking!AB113</f>
        <v>100000</v>
      </c>
      <c r="AA91" s="149">
        <f>Parking!AC113</f>
        <v>100000</v>
      </c>
      <c r="AB91" s="149">
        <f>Parking!AD113</f>
        <v>100000</v>
      </c>
      <c r="AC91" s="149">
        <f>Parking!AE113</f>
        <v>100000</v>
      </c>
      <c r="AD91" s="149">
        <f>Parking!AF113</f>
        <v>100000</v>
      </c>
      <c r="AE91" s="149">
        <f>Parking!AG113</f>
        <v>100000</v>
      </c>
      <c r="AF91" s="205">
        <f>Parking!AH113</f>
        <v>100000</v>
      </c>
    </row>
    <row r="92" spans="1:32" x14ac:dyDescent="0.25">
      <c r="A92" s="384" t="s">
        <v>467</v>
      </c>
      <c r="B92" s="159"/>
      <c r="C92" s="149">
        <f>Parking!E114</f>
        <v>50000</v>
      </c>
      <c r="D92" s="149">
        <f>Parking!F114</f>
        <v>50000</v>
      </c>
      <c r="E92" s="149">
        <f>Parking!G114</f>
        <v>50000</v>
      </c>
      <c r="F92" s="149">
        <f>Parking!H114</f>
        <v>50000</v>
      </c>
      <c r="G92" s="149">
        <f>Parking!I114</f>
        <v>50000</v>
      </c>
      <c r="H92" s="149">
        <f>Parking!J114</f>
        <v>50000</v>
      </c>
      <c r="I92" s="149">
        <f>Parking!K114</f>
        <v>50000</v>
      </c>
      <c r="J92" s="149">
        <f>Parking!L114</f>
        <v>50000</v>
      </c>
      <c r="K92" s="149">
        <f>Parking!M114</f>
        <v>50000</v>
      </c>
      <c r="L92" s="149">
        <f>Parking!N114</f>
        <v>50000</v>
      </c>
      <c r="M92" s="149">
        <f>Parking!O114</f>
        <v>50000</v>
      </c>
      <c r="N92" s="149">
        <f>Parking!P114</f>
        <v>50000</v>
      </c>
      <c r="O92" s="149">
        <f>Parking!Q114</f>
        <v>50000</v>
      </c>
      <c r="P92" s="149">
        <f>Parking!R114</f>
        <v>50000</v>
      </c>
      <c r="Q92" s="149">
        <f>Parking!S114</f>
        <v>50000</v>
      </c>
      <c r="R92" s="149">
        <f>Parking!T114</f>
        <v>50000</v>
      </c>
      <c r="S92" s="149">
        <f>Parking!U114</f>
        <v>50000</v>
      </c>
      <c r="T92" s="149">
        <f>Parking!V114</f>
        <v>50000</v>
      </c>
      <c r="U92" s="149">
        <f>Parking!W114</f>
        <v>50000</v>
      </c>
      <c r="V92" s="149">
        <f>Parking!X114</f>
        <v>50000</v>
      </c>
      <c r="W92" s="149">
        <f>Parking!Y114</f>
        <v>50000</v>
      </c>
      <c r="X92" s="149">
        <f>Parking!Z114</f>
        <v>50000</v>
      </c>
      <c r="Y92" s="149">
        <f>Parking!AA114</f>
        <v>50000</v>
      </c>
      <c r="Z92" s="149">
        <f>Parking!AB114</f>
        <v>50000</v>
      </c>
      <c r="AA92" s="149">
        <f>Parking!AC114</f>
        <v>50000</v>
      </c>
      <c r="AB92" s="149">
        <f>Parking!AD114</f>
        <v>50000</v>
      </c>
      <c r="AC92" s="149">
        <f>Parking!AE114</f>
        <v>50000</v>
      </c>
      <c r="AD92" s="149">
        <f>Parking!AF114</f>
        <v>50000</v>
      </c>
      <c r="AE92" s="149">
        <f>Parking!AG114</f>
        <v>50000</v>
      </c>
      <c r="AF92" s="205">
        <f>Parking!AH114</f>
        <v>50000</v>
      </c>
    </row>
    <row r="93" spans="1:32" x14ac:dyDescent="0.25">
      <c r="A93" s="384" t="s">
        <v>447</v>
      </c>
      <c r="B93" s="159"/>
      <c r="C93" s="149">
        <f>'Residential Rental'!E117+Office!E115+'Retail &amp; Restaurant'!E121+Hotel!E118+Industrial!E116+Parking!E115</f>
        <v>-95000</v>
      </c>
      <c r="D93" s="149">
        <f>'Residential Rental'!F117+Office!F115+'Retail &amp; Restaurant'!F121+Hotel!F118+Industrial!F116+Parking!F115</f>
        <v>-95000</v>
      </c>
      <c r="E93" s="149">
        <f>'Residential Rental'!G117+Office!G115+'Retail &amp; Restaurant'!G121+Hotel!G118+Industrial!G116+Parking!G115</f>
        <v>-95000</v>
      </c>
      <c r="F93" s="149">
        <f>'Residential Rental'!H117+Office!H115+'Retail &amp; Restaurant'!H121+Hotel!H118+Industrial!H116+Parking!H115</f>
        <v>-95000</v>
      </c>
      <c r="G93" s="149">
        <f>'Residential Rental'!I117+Office!I115+'Retail &amp; Restaurant'!I121+Hotel!I118+Industrial!I116+Parking!I115</f>
        <v>-95000</v>
      </c>
      <c r="H93" s="149">
        <f>'Residential Rental'!J117+Office!J115+'Retail &amp; Restaurant'!J121+Hotel!J118+Industrial!J116+Parking!J115</f>
        <v>-95000</v>
      </c>
      <c r="I93" s="149">
        <f>'Residential Rental'!K117+Office!K115+'Retail &amp; Restaurant'!K121+Hotel!K118+Industrial!K116+Parking!K115</f>
        <v>-95000</v>
      </c>
      <c r="J93" s="149">
        <f>'Residential Rental'!L117+Office!L115+'Retail &amp; Restaurant'!L121+Hotel!L118+Industrial!L116+Parking!L115</f>
        <v>-95000</v>
      </c>
      <c r="K93" s="149">
        <f>'Residential Rental'!M117+Office!M115+'Retail &amp; Restaurant'!M121+Hotel!M118+Industrial!M116+Parking!M115</f>
        <v>-95000</v>
      </c>
      <c r="L93" s="149">
        <f>'Residential Rental'!N117+Office!N115+'Retail &amp; Restaurant'!N121+Hotel!N118+Industrial!N116+Parking!N115</f>
        <v>-95000</v>
      </c>
      <c r="M93" s="149">
        <f>'Residential Rental'!O117+Office!O115+'Retail &amp; Restaurant'!O121+Hotel!O118+Industrial!O116+Parking!O115</f>
        <v>-95000</v>
      </c>
      <c r="N93" s="149">
        <f>'Residential Rental'!P117+Office!P115+'Retail &amp; Restaurant'!P121+Hotel!P118+Industrial!P116+Parking!P115</f>
        <v>-95000</v>
      </c>
      <c r="O93" s="149">
        <f>'Residential Rental'!Q117+Office!Q115+'Retail &amp; Restaurant'!Q121+Hotel!Q118+Industrial!Q116+Parking!Q115</f>
        <v>-95000</v>
      </c>
      <c r="P93" s="149">
        <f>'Residential Rental'!R117+Office!R115+'Retail &amp; Restaurant'!R121+Hotel!R118+Industrial!R116+Parking!R115</f>
        <v>-95000</v>
      </c>
      <c r="Q93" s="149">
        <f>'Residential Rental'!S117+Office!S115+'Retail &amp; Restaurant'!S121+Hotel!S118+Industrial!S116+Parking!S115</f>
        <v>-95000</v>
      </c>
      <c r="R93" s="149">
        <f>'Residential Rental'!T117+Office!T115+'Retail &amp; Restaurant'!T121+Hotel!T118+Industrial!T116+Parking!T115</f>
        <v>-95000</v>
      </c>
      <c r="S93" s="149">
        <f>'Residential Rental'!U117+Office!U115+'Retail &amp; Restaurant'!U121+Hotel!U118+Industrial!U116+Parking!U115</f>
        <v>-95000</v>
      </c>
      <c r="T93" s="149">
        <f>'Residential Rental'!V117+Office!V115+'Retail &amp; Restaurant'!V121+Hotel!V118+Industrial!V116+Parking!V115</f>
        <v>-95000</v>
      </c>
      <c r="U93" s="149">
        <f>'Residential Rental'!W117+Office!W115+'Retail &amp; Restaurant'!W121+Hotel!W118+Industrial!W116+Parking!W115</f>
        <v>-95000</v>
      </c>
      <c r="V93" s="149">
        <f>'Residential Rental'!X117+Office!X115+'Retail &amp; Restaurant'!X121+Hotel!X118+Industrial!X116+Parking!X115</f>
        <v>-95000</v>
      </c>
      <c r="W93" s="149">
        <f>'Residential Rental'!Y117+Office!Y115+'Retail &amp; Restaurant'!Y121+Hotel!Y118+Industrial!Y116+Parking!Y115</f>
        <v>-95000</v>
      </c>
      <c r="X93" s="149">
        <f>'Residential Rental'!Z117+Office!Z115+'Retail &amp; Restaurant'!Z121+Hotel!Z118+Industrial!Z116+Parking!Z115</f>
        <v>-95000</v>
      </c>
      <c r="Y93" s="149">
        <f>'Residential Rental'!AA117+Office!AA115+'Retail &amp; Restaurant'!AA121+Hotel!AA118+Industrial!AA116+Parking!AA115</f>
        <v>-95000</v>
      </c>
      <c r="Z93" s="149">
        <f>'Residential Rental'!AB117+Office!AB115+'Retail &amp; Restaurant'!AB121+Hotel!AB118+Industrial!AB116+Parking!AB115</f>
        <v>-95000</v>
      </c>
      <c r="AA93" s="149">
        <f>'Residential Rental'!AC117+Office!AC115+'Retail &amp; Restaurant'!AC121+Hotel!AC118+Industrial!AC116+Parking!AC115</f>
        <v>-95000</v>
      </c>
      <c r="AB93" s="149">
        <f>'Residential Rental'!AD117+Office!AD115+'Retail &amp; Restaurant'!AD121+Hotel!AD118+Industrial!AD116+Parking!AD115</f>
        <v>-95000</v>
      </c>
      <c r="AC93" s="149">
        <f>'Residential Rental'!AE117+Office!AE115+'Retail &amp; Restaurant'!AE121+Hotel!AE118+Industrial!AE116+Parking!AE115</f>
        <v>-95000</v>
      </c>
      <c r="AD93" s="149">
        <f>'Residential Rental'!AF117+Office!AF115+'Retail &amp; Restaurant'!AF121+Hotel!AF118+Industrial!AF116+Parking!AF115</f>
        <v>-95000</v>
      </c>
      <c r="AE93" s="149">
        <f>'Residential Rental'!AG117+Office!AG115+'Retail &amp; Restaurant'!AG121+Hotel!AG118+Industrial!AG116+Parking!AG115</f>
        <v>-95000</v>
      </c>
      <c r="AF93" s="205">
        <f>'Residential Rental'!AH117+Office!AH115+'Retail &amp; Restaurant'!AH121+Hotel!AH118+Industrial!AH116+Parking!AH115</f>
        <v>-95000</v>
      </c>
    </row>
    <row r="94" spans="1:32" x14ac:dyDescent="0.25">
      <c r="A94" s="384" t="s">
        <v>446</v>
      </c>
      <c r="B94" s="159"/>
      <c r="C94" s="149">
        <f>'Residential Rental'!E118+Office!E116+'Retail &amp; Restaurant'!E122+Hotel!E119+Industrial!E117+Parking!E116</f>
        <v>0</v>
      </c>
      <c r="D94" s="149">
        <f>'Residential Rental'!F118+Office!F116+'Retail &amp; Restaurant'!F122+Hotel!F119+Industrial!F117+Parking!F116</f>
        <v>0</v>
      </c>
      <c r="E94" s="149">
        <f>'Residential Rental'!G118+Office!G116+'Retail &amp; Restaurant'!G122+Hotel!G119+Industrial!G117+Parking!G116</f>
        <v>0</v>
      </c>
      <c r="F94" s="149">
        <f>'Residential Rental'!H118+Office!H116+'Retail &amp; Restaurant'!H122+Hotel!H119+Industrial!H117+Parking!H116</f>
        <v>0</v>
      </c>
      <c r="G94" s="149">
        <f>'Residential Rental'!I118+Office!I116+'Retail &amp; Restaurant'!I122+Hotel!I119+Industrial!I117+Parking!I116</f>
        <v>0</v>
      </c>
      <c r="H94" s="149">
        <f>'Residential Rental'!J118+Office!J116+'Retail &amp; Restaurant'!J122+Hotel!J119+Industrial!J117+Parking!J116</f>
        <v>0</v>
      </c>
      <c r="I94" s="149">
        <f>'Residential Rental'!K118+Office!K116+'Retail &amp; Restaurant'!K122+Hotel!K119+Industrial!K117+Parking!K116</f>
        <v>0</v>
      </c>
      <c r="J94" s="149">
        <f>'Residential Rental'!L118+Office!L116+'Retail &amp; Restaurant'!L122+Hotel!L119+Industrial!L117+Parking!L116</f>
        <v>0</v>
      </c>
      <c r="K94" s="149">
        <f>'Residential Rental'!M118+Office!M116+'Retail &amp; Restaurant'!M122+Hotel!M119+Industrial!M117+Parking!M116</f>
        <v>0</v>
      </c>
      <c r="L94" s="149">
        <f>'Residential Rental'!N118+Office!N116+'Retail &amp; Restaurant'!N122+Hotel!N119+Industrial!N117+Parking!N116</f>
        <v>0</v>
      </c>
      <c r="M94" s="149">
        <f>'Residential Rental'!O118+Office!O116+'Retail &amp; Restaurant'!O122+Hotel!O119+Industrial!O117+Parking!O116</f>
        <v>0</v>
      </c>
      <c r="N94" s="149">
        <f>'Residential Rental'!P118+Office!P116+'Retail &amp; Restaurant'!P122+Hotel!P119+Industrial!P117+Parking!P116</f>
        <v>0</v>
      </c>
      <c r="O94" s="149">
        <f>'Residential Rental'!Q118+Office!Q116+'Retail &amp; Restaurant'!Q122+Hotel!Q119+Industrial!Q117+Parking!Q116</f>
        <v>0</v>
      </c>
      <c r="P94" s="149">
        <f>'Residential Rental'!R118+Office!R116+'Retail &amp; Restaurant'!R122+Hotel!R119+Industrial!R117+Parking!R116</f>
        <v>0</v>
      </c>
      <c r="Q94" s="149">
        <f>'Residential Rental'!S118+Office!S116+'Retail &amp; Restaurant'!S122+Hotel!S119+Industrial!S117+Parking!S116</f>
        <v>0</v>
      </c>
      <c r="R94" s="149">
        <f>'Residential Rental'!T118+Office!T116+'Retail &amp; Restaurant'!T122+Hotel!T119+Industrial!T117+Parking!T116</f>
        <v>0</v>
      </c>
      <c r="S94" s="149">
        <f>'Residential Rental'!U118+Office!U116+'Retail &amp; Restaurant'!U122+Hotel!U119+Industrial!U117+Parking!U116</f>
        <v>0</v>
      </c>
      <c r="T94" s="149">
        <f>'Residential Rental'!V118+Office!V116+'Retail &amp; Restaurant'!V122+Hotel!V119+Industrial!V117+Parking!V116</f>
        <v>0</v>
      </c>
      <c r="U94" s="149">
        <f>'Residential Rental'!W118+Office!W116+'Retail &amp; Restaurant'!W122+Hotel!W119+Industrial!W117+Parking!W116</f>
        <v>0</v>
      </c>
      <c r="V94" s="149">
        <f>'Residential Rental'!X118+Office!X116+'Retail &amp; Restaurant'!X122+Hotel!X119+Industrial!X117+Parking!X116</f>
        <v>0</v>
      </c>
      <c r="W94" s="149">
        <f>'Residential Rental'!Y118+Office!Y116+'Retail &amp; Restaurant'!Y122+Hotel!Y119+Industrial!Y117+Parking!Y116</f>
        <v>0</v>
      </c>
      <c r="X94" s="149">
        <f>'Residential Rental'!Z118+Office!Z116+'Retail &amp; Restaurant'!Z122+Hotel!Z119+Industrial!Z117+Parking!Z116</f>
        <v>0</v>
      </c>
      <c r="Y94" s="149">
        <f>'Residential Rental'!AA118+Office!AA116+'Retail &amp; Restaurant'!AA122+Hotel!AA119+Industrial!AA117+Parking!AA116</f>
        <v>0</v>
      </c>
      <c r="Z94" s="149">
        <f>'Residential Rental'!AB118+Office!AB116+'Retail &amp; Restaurant'!AB122+Hotel!AB119+Industrial!AB117+Parking!AB116</f>
        <v>0</v>
      </c>
      <c r="AA94" s="149">
        <f>'Residential Rental'!AC118+Office!AC116+'Retail &amp; Restaurant'!AC122+Hotel!AC119+Industrial!AC117+Parking!AC116</f>
        <v>0</v>
      </c>
      <c r="AB94" s="149">
        <f>'Residential Rental'!AD118+Office!AD116+'Retail &amp; Restaurant'!AD122+Hotel!AD119+Industrial!AD117+Parking!AD116</f>
        <v>0</v>
      </c>
      <c r="AC94" s="149">
        <f>'Residential Rental'!AE118+Office!AE116+'Retail &amp; Restaurant'!AE122+Hotel!AE119+Industrial!AE117+Parking!AE116</f>
        <v>0</v>
      </c>
      <c r="AD94" s="149">
        <f>'Residential Rental'!AF118+Office!AF116+'Retail &amp; Restaurant'!AF122+Hotel!AF119+Industrial!AF117+Parking!AF116</f>
        <v>0</v>
      </c>
      <c r="AE94" s="149">
        <f>'Residential Rental'!AG118+Office!AG116+'Retail &amp; Restaurant'!AG122+Hotel!AG119+Industrial!AG117+Parking!AG116</f>
        <v>0</v>
      </c>
      <c r="AF94" s="205">
        <f>'Residential Rental'!AH118+Office!AH116+'Retail &amp; Restaurant'!AH122+Hotel!AH119+Industrial!AH117+Parking!AH116</f>
        <v>0</v>
      </c>
    </row>
    <row r="95" spans="1:32" x14ac:dyDescent="0.25">
      <c r="A95" s="384" t="s">
        <v>445</v>
      </c>
      <c r="B95" s="159"/>
      <c r="C95" s="149">
        <f>'Residential Rental'!E119+Office!E117+'Retail &amp; Restaurant'!E123+Hotel!E120+Industrial!E118+Parking!E117</f>
        <v>0</v>
      </c>
      <c r="D95" s="149">
        <f>'Residential Rental'!F119+Office!F117+'Retail &amp; Restaurant'!F123+Hotel!F120+Industrial!F118+Parking!F117</f>
        <v>0</v>
      </c>
      <c r="E95" s="149">
        <f>'Residential Rental'!G119+Office!G117+'Retail &amp; Restaurant'!G123+Hotel!G120+Industrial!G118+Parking!G117</f>
        <v>0</v>
      </c>
      <c r="F95" s="149">
        <f>'Residential Rental'!H119+Office!H117+'Retail &amp; Restaurant'!H123+Hotel!H120+Industrial!H118+Parking!H117</f>
        <v>0</v>
      </c>
      <c r="G95" s="149">
        <f>'Residential Rental'!I119+Office!I117+'Retail &amp; Restaurant'!I123+Hotel!I120+Industrial!I118+Parking!I117</f>
        <v>0</v>
      </c>
      <c r="H95" s="149">
        <f>'Residential Rental'!J119+Office!J117+'Retail &amp; Restaurant'!J123+Hotel!J120+Industrial!J118+Parking!J117</f>
        <v>0</v>
      </c>
      <c r="I95" s="149">
        <f>'Residential Rental'!K119+Office!K117+'Retail &amp; Restaurant'!K123+Hotel!K120+Industrial!K118+Parking!K117</f>
        <v>0</v>
      </c>
      <c r="J95" s="149">
        <f>'Residential Rental'!L119+Office!L117+'Retail &amp; Restaurant'!L123+Hotel!L120+Industrial!L118+Parking!L117</f>
        <v>0</v>
      </c>
      <c r="K95" s="149">
        <f>'Residential Rental'!M119+Office!M117+'Retail &amp; Restaurant'!M123+Hotel!M120+Industrial!M118+Parking!M117</f>
        <v>0</v>
      </c>
      <c r="L95" s="149">
        <f>'Residential Rental'!N119+Office!N117+'Retail &amp; Restaurant'!N123+Hotel!N120+Industrial!N118+Parking!N117</f>
        <v>0</v>
      </c>
      <c r="M95" s="149">
        <f>'Residential Rental'!O119+Office!O117+'Retail &amp; Restaurant'!O123+Hotel!O120+Industrial!O118+Parking!O117</f>
        <v>0</v>
      </c>
      <c r="N95" s="149">
        <f>'Residential Rental'!P119+Office!P117+'Retail &amp; Restaurant'!P123+Hotel!P120+Industrial!P118+Parking!P117</f>
        <v>0</v>
      </c>
      <c r="O95" s="149">
        <f>'Residential Rental'!Q119+Office!Q117+'Retail &amp; Restaurant'!Q123+Hotel!Q120+Industrial!Q118+Parking!Q117</f>
        <v>0</v>
      </c>
      <c r="P95" s="149">
        <f>'Residential Rental'!R119+Office!R117+'Retail &amp; Restaurant'!R123+Hotel!R120+Industrial!R118+Parking!R117</f>
        <v>0</v>
      </c>
      <c r="Q95" s="149">
        <f>'Residential Rental'!S119+Office!S117+'Retail &amp; Restaurant'!S123+Hotel!S120+Industrial!S118+Parking!S117</f>
        <v>0</v>
      </c>
      <c r="R95" s="149">
        <f>'Residential Rental'!T119+Office!T117+'Retail &amp; Restaurant'!T123+Hotel!T120+Industrial!T118+Parking!T117</f>
        <v>0</v>
      </c>
      <c r="S95" s="149">
        <f>'Residential Rental'!U119+Office!U117+'Retail &amp; Restaurant'!U123+Hotel!U120+Industrial!U118+Parking!U117</f>
        <v>0</v>
      </c>
      <c r="T95" s="149">
        <f>'Residential Rental'!V119+Office!V117+'Retail &amp; Restaurant'!V123+Hotel!V120+Industrial!V118+Parking!V117</f>
        <v>0</v>
      </c>
      <c r="U95" s="149">
        <f>'Residential Rental'!W119+Office!W117+'Retail &amp; Restaurant'!W123+Hotel!W120+Industrial!W118+Parking!W117</f>
        <v>0</v>
      </c>
      <c r="V95" s="149">
        <f>'Residential Rental'!X119+Office!X117+'Retail &amp; Restaurant'!X123+Hotel!X120+Industrial!X118+Parking!X117</f>
        <v>0</v>
      </c>
      <c r="W95" s="149">
        <f>'Residential Rental'!Y119+Office!Y117+'Retail &amp; Restaurant'!Y123+Hotel!Y120+Industrial!Y118+Parking!Y117</f>
        <v>0</v>
      </c>
      <c r="X95" s="149">
        <f>'Residential Rental'!Z119+Office!Z117+'Retail &amp; Restaurant'!Z123+Hotel!Z120+Industrial!Z118+Parking!Z117</f>
        <v>0</v>
      </c>
      <c r="Y95" s="149">
        <f>'Residential Rental'!AA119+Office!AA117+'Retail &amp; Restaurant'!AA123+Hotel!AA120+Industrial!AA118+Parking!AA117</f>
        <v>0</v>
      </c>
      <c r="Z95" s="149">
        <f>'Residential Rental'!AB119+Office!AB117+'Retail &amp; Restaurant'!AB123+Hotel!AB120+Industrial!AB118+Parking!AB117</f>
        <v>0</v>
      </c>
      <c r="AA95" s="149">
        <f>'Residential Rental'!AC119+Office!AC117+'Retail &amp; Restaurant'!AC123+Hotel!AC120+Industrial!AC118+Parking!AC117</f>
        <v>0</v>
      </c>
      <c r="AB95" s="149">
        <f>'Residential Rental'!AD119+Office!AD117+'Retail &amp; Restaurant'!AD123+Hotel!AD120+Industrial!AD118+Parking!AD117</f>
        <v>0</v>
      </c>
      <c r="AC95" s="149">
        <f>'Residential Rental'!AE119+Office!AE117+'Retail &amp; Restaurant'!AE123+Hotel!AE120+Industrial!AE118+Parking!AE117</f>
        <v>0</v>
      </c>
      <c r="AD95" s="149">
        <f>'Residential Rental'!AF119+Office!AF117+'Retail &amp; Restaurant'!AF123+Hotel!AF120+Industrial!AF118+Parking!AF117</f>
        <v>0</v>
      </c>
      <c r="AE95" s="149">
        <f>'Residential Rental'!AG119+Office!AG117+'Retail &amp; Restaurant'!AG123+Hotel!AG120+Industrial!AG118+Parking!AG117</f>
        <v>0</v>
      </c>
      <c r="AF95" s="205">
        <f>'Residential Rental'!AH119+Office!AH117+'Retail &amp; Restaurant'!AH123+Hotel!AH120+Industrial!AH118+Parking!AH117</f>
        <v>0</v>
      </c>
    </row>
    <row r="96" spans="1:32" ht="16.5" thickBot="1" x14ac:dyDescent="0.3">
      <c r="A96" s="743" t="s">
        <v>64</v>
      </c>
      <c r="B96" s="214"/>
      <c r="C96" s="744">
        <f>C86-C87+C88+C89+C90+C91+C92+C93+C94+C95</f>
        <v>6375008.375</v>
      </c>
      <c r="D96" s="744">
        <f>D86-D87+D88+D89+D90+D91+D92+D93+D94+D95</f>
        <v>6562928.6262500007</v>
      </c>
      <c r="E96" s="744">
        <f t="shared" ref="E96:K96" si="8">E86-E87+E88+E89+E90+E91+E92+E93+E94+E95</f>
        <v>6756486.4850374982</v>
      </c>
      <c r="F96" s="744">
        <f t="shared" si="8"/>
        <v>6955851.0795886246</v>
      </c>
      <c r="G96" s="744">
        <f t="shared" si="8"/>
        <v>7161196.6119762864</v>
      </c>
      <c r="H96" s="744">
        <f t="shared" si="8"/>
        <v>7372702.5103355739</v>
      </c>
      <c r="I96" s="744">
        <f t="shared" si="8"/>
        <v>7590553.5856456412</v>
      </c>
      <c r="J96" s="744">
        <f t="shared" si="8"/>
        <v>7814940.1932150088</v>
      </c>
      <c r="K96" s="744">
        <f t="shared" si="8"/>
        <v>8046058.3990114611</v>
      </c>
      <c r="L96" s="744">
        <f t="shared" ref="L96:AF96" si="9">L86-L87+L88+L89+L90+L91+L92+L93+L94+L95</f>
        <v>8284110.1509818044</v>
      </c>
      <c r="M96" s="744">
        <f t="shared" si="9"/>
        <v>8529303.4555112571</v>
      </c>
      <c r="N96" s="744">
        <f t="shared" si="9"/>
        <v>8781852.5591765959</v>
      </c>
      <c r="O96" s="744">
        <f t="shared" si="9"/>
        <v>9041978.1359518934</v>
      </c>
      <c r="P96" s="744">
        <f t="shared" si="9"/>
        <v>9309907.4800304528</v>
      </c>
      <c r="Q96" s="744">
        <f t="shared" si="9"/>
        <v>9585874.7044313662</v>
      </c>
      <c r="R96" s="744">
        <f t="shared" si="9"/>
        <v>9870120.9455643035</v>
      </c>
      <c r="S96" s="744">
        <f t="shared" si="9"/>
        <v>10162894.57393123</v>
      </c>
      <c r="T96" s="744">
        <f t="shared" si="9"/>
        <v>10464451.411149172</v>
      </c>
      <c r="U96" s="744">
        <f t="shared" si="9"/>
        <v>10775054.953483649</v>
      </c>
      <c r="V96" s="744">
        <f t="shared" si="9"/>
        <v>11094976.602088157</v>
      </c>
      <c r="W96" s="744">
        <f t="shared" si="9"/>
        <v>11424495.9001508</v>
      </c>
      <c r="X96" s="744">
        <f t="shared" si="9"/>
        <v>11763900.777155329</v>
      </c>
      <c r="Y96" s="744">
        <f t="shared" si="9"/>
        <v>12113487.800469982</v>
      </c>
      <c r="Z96" s="744">
        <f t="shared" si="9"/>
        <v>12473562.434484089</v>
      </c>
      <c r="AA96" s="744">
        <f t="shared" si="9"/>
        <v>12844439.307518616</v>
      </c>
      <c r="AB96" s="744">
        <f t="shared" si="9"/>
        <v>13226442.486744171</v>
      </c>
      <c r="AC96" s="744">
        <f t="shared" si="9"/>
        <v>13619905.761346497</v>
      </c>
      <c r="AD96" s="744">
        <f t="shared" si="9"/>
        <v>14025172.934186894</v>
      </c>
      <c r="AE96" s="744">
        <f t="shared" si="9"/>
        <v>14442598.122212503</v>
      </c>
      <c r="AF96" s="745">
        <f t="shared" si="9"/>
        <v>14872546.065878879</v>
      </c>
    </row>
    <row r="97" spans="1:32" x14ac:dyDescent="0.25">
      <c r="A97" s="420"/>
      <c r="B97" s="15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205"/>
    </row>
    <row r="98" spans="1:32" ht="18" x14ac:dyDescent="0.4">
      <c r="A98" s="420" t="s">
        <v>101</v>
      </c>
      <c r="B98" s="159"/>
      <c r="C98" s="746">
        <f t="shared" ref="C98:AF98" si="10">-$H$66</f>
        <v>2401559.9151207246</v>
      </c>
      <c r="D98" s="746">
        <f t="shared" si="10"/>
        <v>2401559.9151207246</v>
      </c>
      <c r="E98" s="746">
        <f t="shared" si="10"/>
        <v>2401559.9151207246</v>
      </c>
      <c r="F98" s="746">
        <f t="shared" si="10"/>
        <v>2401559.9151207246</v>
      </c>
      <c r="G98" s="746">
        <f t="shared" si="10"/>
        <v>2401559.9151207246</v>
      </c>
      <c r="H98" s="746">
        <f t="shared" si="10"/>
        <v>2401559.9151207246</v>
      </c>
      <c r="I98" s="746">
        <f t="shared" si="10"/>
        <v>2401559.9151207246</v>
      </c>
      <c r="J98" s="746">
        <f t="shared" si="10"/>
        <v>2401559.9151207246</v>
      </c>
      <c r="K98" s="746">
        <f t="shared" si="10"/>
        <v>2401559.9151207246</v>
      </c>
      <c r="L98" s="746">
        <f t="shared" si="10"/>
        <v>2401559.9151207246</v>
      </c>
      <c r="M98" s="746">
        <f t="shared" si="10"/>
        <v>2401559.9151207246</v>
      </c>
      <c r="N98" s="746">
        <f t="shared" si="10"/>
        <v>2401559.9151207246</v>
      </c>
      <c r="O98" s="746">
        <f t="shared" si="10"/>
        <v>2401559.9151207246</v>
      </c>
      <c r="P98" s="746">
        <f t="shared" si="10"/>
        <v>2401559.9151207246</v>
      </c>
      <c r="Q98" s="746">
        <f t="shared" si="10"/>
        <v>2401559.9151207246</v>
      </c>
      <c r="R98" s="746">
        <f t="shared" si="10"/>
        <v>2401559.9151207246</v>
      </c>
      <c r="S98" s="746">
        <f t="shared" si="10"/>
        <v>2401559.9151207246</v>
      </c>
      <c r="T98" s="746">
        <f t="shared" si="10"/>
        <v>2401559.9151207246</v>
      </c>
      <c r="U98" s="746">
        <f t="shared" si="10"/>
        <v>2401559.9151207246</v>
      </c>
      <c r="V98" s="746">
        <f t="shared" si="10"/>
        <v>2401559.9151207246</v>
      </c>
      <c r="W98" s="746">
        <f t="shared" si="10"/>
        <v>2401559.9151207246</v>
      </c>
      <c r="X98" s="746">
        <f t="shared" si="10"/>
        <v>2401559.9151207246</v>
      </c>
      <c r="Y98" s="746">
        <f t="shared" si="10"/>
        <v>2401559.9151207246</v>
      </c>
      <c r="Z98" s="746">
        <f t="shared" si="10"/>
        <v>2401559.9151207246</v>
      </c>
      <c r="AA98" s="746">
        <f t="shared" si="10"/>
        <v>2401559.9151207246</v>
      </c>
      <c r="AB98" s="746">
        <f t="shared" si="10"/>
        <v>2401559.9151207246</v>
      </c>
      <c r="AC98" s="746">
        <f t="shared" si="10"/>
        <v>2401559.9151207246</v>
      </c>
      <c r="AD98" s="746">
        <f t="shared" si="10"/>
        <v>2401559.9151207246</v>
      </c>
      <c r="AE98" s="746">
        <f t="shared" si="10"/>
        <v>2401559.9151207246</v>
      </c>
      <c r="AF98" s="747">
        <f t="shared" si="10"/>
        <v>2401559.9151207246</v>
      </c>
    </row>
    <row r="99" spans="1:32" ht="16.5" thickBot="1" x14ac:dyDescent="0.3">
      <c r="A99" s="743" t="s">
        <v>102</v>
      </c>
      <c r="B99" s="214"/>
      <c r="C99" s="744">
        <f>C96-C98</f>
        <v>3973448.4598792754</v>
      </c>
      <c r="D99" s="744">
        <f t="shared" ref="D99:K99" si="11">D96-D98</f>
        <v>4161368.7111292761</v>
      </c>
      <c r="E99" s="744">
        <f t="shared" si="11"/>
        <v>4354926.5699167736</v>
      </c>
      <c r="F99" s="744">
        <f t="shared" si="11"/>
        <v>4554291.1644679001</v>
      </c>
      <c r="G99" s="744">
        <f t="shared" si="11"/>
        <v>4759636.6968555618</v>
      </c>
      <c r="H99" s="744">
        <f t="shared" si="11"/>
        <v>4971142.5952148493</v>
      </c>
      <c r="I99" s="744">
        <f t="shared" si="11"/>
        <v>5188993.6705249166</v>
      </c>
      <c r="J99" s="744">
        <f t="shared" si="11"/>
        <v>5413380.2780942842</v>
      </c>
      <c r="K99" s="744">
        <f t="shared" si="11"/>
        <v>5644498.4838907365</v>
      </c>
      <c r="L99" s="744">
        <f t="shared" ref="L99:AF99" si="12">L96-L98</f>
        <v>5882550.2358610798</v>
      </c>
      <c r="M99" s="744">
        <f t="shared" si="12"/>
        <v>6127743.5403905325</v>
      </c>
      <c r="N99" s="744">
        <f t="shared" si="12"/>
        <v>6380292.6440558713</v>
      </c>
      <c r="O99" s="744">
        <f t="shared" si="12"/>
        <v>6640418.2208311688</v>
      </c>
      <c r="P99" s="744">
        <f t="shared" si="12"/>
        <v>6908347.5649097282</v>
      </c>
      <c r="Q99" s="744">
        <f t="shared" si="12"/>
        <v>7184314.7893106416</v>
      </c>
      <c r="R99" s="744">
        <f t="shared" si="12"/>
        <v>7468561.030443579</v>
      </c>
      <c r="S99" s="744">
        <f t="shared" si="12"/>
        <v>7761334.6588105056</v>
      </c>
      <c r="T99" s="744">
        <f t="shared" si="12"/>
        <v>8062891.4960284475</v>
      </c>
      <c r="U99" s="744">
        <f t="shared" si="12"/>
        <v>8373495.038362924</v>
      </c>
      <c r="V99" s="744">
        <f t="shared" si="12"/>
        <v>8693416.6869674325</v>
      </c>
      <c r="W99" s="744">
        <f t="shared" si="12"/>
        <v>9022935.9850300755</v>
      </c>
      <c r="X99" s="744">
        <f t="shared" si="12"/>
        <v>9362340.862034604</v>
      </c>
      <c r="Y99" s="744">
        <f t="shared" si="12"/>
        <v>9711927.8853492569</v>
      </c>
      <c r="Z99" s="744">
        <f t="shared" si="12"/>
        <v>10072002.519363364</v>
      </c>
      <c r="AA99" s="744">
        <f t="shared" si="12"/>
        <v>10442879.392397892</v>
      </c>
      <c r="AB99" s="744">
        <f t="shared" si="12"/>
        <v>10824882.571623446</v>
      </c>
      <c r="AC99" s="744">
        <f t="shared" si="12"/>
        <v>11218345.846225772</v>
      </c>
      <c r="AD99" s="744">
        <f t="shared" si="12"/>
        <v>11623613.01906617</v>
      </c>
      <c r="AE99" s="744">
        <f t="shared" si="12"/>
        <v>12041038.207091779</v>
      </c>
      <c r="AF99" s="745">
        <f t="shared" si="12"/>
        <v>12470986.150758155</v>
      </c>
    </row>
    <row r="100" spans="1:32" x14ac:dyDescent="0.25">
      <c r="A100" s="417"/>
      <c r="B100" s="159"/>
      <c r="C100" s="748"/>
      <c r="D100" s="748"/>
      <c r="E100" s="748"/>
      <c r="F100" s="748"/>
      <c r="G100" s="748"/>
      <c r="H100" s="748"/>
      <c r="I100" s="748"/>
      <c r="J100" s="748"/>
      <c r="K100" s="748"/>
      <c r="L100" s="748"/>
      <c r="M100" s="748"/>
      <c r="N100" s="748"/>
      <c r="O100" s="748"/>
      <c r="P100" s="748"/>
      <c r="Q100" s="748"/>
      <c r="R100" s="748"/>
      <c r="S100" s="748"/>
      <c r="T100" s="748"/>
      <c r="U100" s="748"/>
      <c r="V100" s="748"/>
      <c r="W100" s="748"/>
      <c r="X100" s="748"/>
      <c r="Y100" s="748"/>
      <c r="Z100" s="748"/>
      <c r="AA100" s="748"/>
      <c r="AB100" s="748"/>
      <c r="AC100" s="748"/>
      <c r="AD100" s="748"/>
      <c r="AE100" s="748"/>
      <c r="AF100" s="749"/>
    </row>
    <row r="101" spans="1:32" x14ac:dyDescent="0.25">
      <c r="A101" s="750" t="s">
        <v>6</v>
      </c>
      <c r="B101" s="751"/>
      <c r="C101" s="752">
        <f t="shared" ref="C101:AF101" si="13">C96/$H$68</f>
        <v>0.10098111338857323</v>
      </c>
      <c r="D101" s="752">
        <f t="shared" si="13"/>
        <v>0.10395779907794465</v>
      </c>
      <c r="E101" s="752">
        <f t="shared" si="13"/>
        <v>0.10702378533799717</v>
      </c>
      <c r="F101" s="752">
        <f t="shared" si="13"/>
        <v>0.11018175118585133</v>
      </c>
      <c r="G101" s="752">
        <f t="shared" si="13"/>
        <v>0.11343445600914114</v>
      </c>
      <c r="H101" s="752">
        <f t="shared" si="13"/>
        <v>0.11678474197712957</v>
      </c>
      <c r="I101" s="752">
        <f t="shared" si="13"/>
        <v>0.12023553652415768</v>
      </c>
      <c r="J101" s="752">
        <f t="shared" si="13"/>
        <v>0.1237898549075966</v>
      </c>
      <c r="K101" s="752">
        <f t="shared" si="13"/>
        <v>0.12745080284253876</v>
      </c>
      <c r="L101" s="752">
        <f t="shared" si="13"/>
        <v>0.13122157921552913</v>
      </c>
      <c r="M101" s="752">
        <f t="shared" si="13"/>
        <v>0.1351054788797092</v>
      </c>
      <c r="N101" s="752">
        <f t="shared" si="13"/>
        <v>0.13910589553381469</v>
      </c>
      <c r="O101" s="752">
        <f t="shared" si="13"/>
        <v>0.14322632468754334</v>
      </c>
      <c r="P101" s="752">
        <f t="shared" si="13"/>
        <v>0.14747036671588393</v>
      </c>
      <c r="Q101" s="752">
        <f t="shared" si="13"/>
        <v>0.15184173000507464</v>
      </c>
      <c r="R101" s="752">
        <f t="shared" si="13"/>
        <v>0.15634423419294105</v>
      </c>
      <c r="S101" s="752">
        <f t="shared" si="13"/>
        <v>0.16098181350644347</v>
      </c>
      <c r="T101" s="752">
        <f t="shared" si="13"/>
        <v>0.16575852019935106</v>
      </c>
      <c r="U101" s="752">
        <f t="shared" si="13"/>
        <v>0.17067852809304584</v>
      </c>
      <c r="V101" s="752">
        <f t="shared" si="13"/>
        <v>0.17574613622355142</v>
      </c>
      <c r="W101" s="752">
        <f t="shared" si="13"/>
        <v>0.18096577259797214</v>
      </c>
      <c r="X101" s="752">
        <f t="shared" si="13"/>
        <v>0.18634199806362559</v>
      </c>
      <c r="Y101" s="752">
        <f t="shared" si="13"/>
        <v>0.19187951029324848</v>
      </c>
      <c r="Z101" s="752">
        <f t="shared" si="13"/>
        <v>0.19758314788976028</v>
      </c>
      <c r="AA101" s="752">
        <f t="shared" si="13"/>
        <v>0.20345789461416738</v>
      </c>
      <c r="AB101" s="752">
        <f t="shared" si="13"/>
        <v>0.20950888374030655</v>
      </c>
      <c r="AC101" s="752">
        <f t="shared" si="13"/>
        <v>0.21574140254022997</v>
      </c>
      <c r="AD101" s="752">
        <f t="shared" si="13"/>
        <v>0.22216089690415114</v>
      </c>
      <c r="AE101" s="752">
        <f t="shared" si="13"/>
        <v>0.22877297609898992</v>
      </c>
      <c r="AF101" s="753">
        <f t="shared" si="13"/>
        <v>0.23558341766967386</v>
      </c>
    </row>
    <row r="102" spans="1:32" ht="16.5" thickBot="1" x14ac:dyDescent="0.3">
      <c r="A102" s="598" t="s">
        <v>103</v>
      </c>
      <c r="B102" s="754"/>
      <c r="C102" s="755">
        <f t="shared" ref="C102:AF102" si="14">C99/$H$71</f>
        <v>0.26571674300536158</v>
      </c>
      <c r="D102" s="755">
        <f t="shared" si="14"/>
        <v>0.27828354929744986</v>
      </c>
      <c r="E102" s="755">
        <f t="shared" si="14"/>
        <v>0.29122735977830061</v>
      </c>
      <c r="F102" s="755">
        <f t="shared" si="14"/>
        <v>0.30455948457357712</v>
      </c>
      <c r="G102" s="755">
        <f t="shared" si="14"/>
        <v>0.318291573112712</v>
      </c>
      <c r="H102" s="755">
        <f t="shared" si="14"/>
        <v>0.33243562430802071</v>
      </c>
      <c r="I102" s="755">
        <f t="shared" si="14"/>
        <v>0.34700399703918872</v>
      </c>
      <c r="J102" s="755">
        <f t="shared" si="14"/>
        <v>0.36200942095229172</v>
      </c>
      <c r="K102" s="755">
        <f t="shared" si="14"/>
        <v>0.37746500758278795</v>
      </c>
      <c r="L102" s="755">
        <f t="shared" si="14"/>
        <v>0.39338426181219899</v>
      </c>
      <c r="M102" s="755">
        <f t="shared" si="14"/>
        <v>0.40978109366849225</v>
      </c>
      <c r="N102" s="755">
        <f t="shared" si="14"/>
        <v>0.42666983048047447</v>
      </c>
      <c r="O102" s="755">
        <f t="shared" si="14"/>
        <v>0.44406522939681609</v>
      </c>
      <c r="P102" s="755">
        <f t="shared" si="14"/>
        <v>0.46198249028064814</v>
      </c>
      <c r="Q102" s="755">
        <f t="shared" si="14"/>
        <v>0.48043726899099498</v>
      </c>
      <c r="R102" s="755">
        <f t="shared" si="14"/>
        <v>0.49944569106265196</v>
      </c>
      <c r="S102" s="755">
        <f t="shared" si="14"/>
        <v>0.51902436579645883</v>
      </c>
      <c r="T102" s="755">
        <f t="shared" si="14"/>
        <v>0.53919040077228031</v>
      </c>
      <c r="U102" s="755">
        <f t="shared" si="14"/>
        <v>0.55996141679737621</v>
      </c>
      <c r="V102" s="755">
        <f t="shared" si="14"/>
        <v>0.5813555633032248</v>
      </c>
      <c r="W102" s="755">
        <f t="shared" si="14"/>
        <v>0.60339153420424885</v>
      </c>
      <c r="X102" s="755">
        <f t="shared" si="14"/>
        <v>0.62608858423230396</v>
      </c>
      <c r="Y102" s="755">
        <f t="shared" si="14"/>
        <v>0.6494665457612</v>
      </c>
      <c r="Z102" s="755">
        <f t="shared" si="14"/>
        <v>0.67354584613596391</v>
      </c>
      <c r="AA102" s="755">
        <f t="shared" si="14"/>
        <v>0.69834752552197055</v>
      </c>
      <c r="AB102" s="755">
        <f t="shared" si="14"/>
        <v>0.72389325528955684</v>
      </c>
      <c r="AC102" s="755">
        <f t="shared" si="14"/>
        <v>0.75020535695017099</v>
      </c>
      <c r="AD102" s="755">
        <f t="shared" si="14"/>
        <v>0.77730682166060372</v>
      </c>
      <c r="AE102" s="755">
        <f t="shared" si="14"/>
        <v>0.80522133031234933</v>
      </c>
      <c r="AF102" s="756">
        <f t="shared" si="14"/>
        <v>0.83397327422364731</v>
      </c>
    </row>
    <row r="103" spans="1:32" ht="16.5" thickBot="1" x14ac:dyDescent="0.3">
      <c r="A103" s="39"/>
      <c r="B103" s="39"/>
      <c r="C103" s="39"/>
      <c r="D103" s="39"/>
      <c r="E103" s="39"/>
      <c r="F103" s="39"/>
      <c r="G103" s="39"/>
      <c r="H103" s="39"/>
      <c r="I103" s="39"/>
      <c r="J103" s="39"/>
      <c r="K103" s="39"/>
      <c r="L103" s="39"/>
      <c r="M103" s="757"/>
    </row>
    <row r="104" spans="1:32" ht="16.5" thickBot="1" x14ac:dyDescent="0.3">
      <c r="A104" s="733" t="s">
        <v>17</v>
      </c>
      <c r="B104" s="735" t="s">
        <v>104</v>
      </c>
      <c r="C104" s="758" t="s">
        <v>85</v>
      </c>
      <c r="D104" s="758" t="s">
        <v>86</v>
      </c>
      <c r="E104" s="758" t="s">
        <v>87</v>
      </c>
      <c r="F104" s="758" t="s">
        <v>88</v>
      </c>
      <c r="G104" s="758" t="s">
        <v>89</v>
      </c>
      <c r="H104" s="758" t="s">
        <v>90</v>
      </c>
      <c r="I104" s="758" t="s">
        <v>91</v>
      </c>
      <c r="J104" s="758" t="s">
        <v>92</v>
      </c>
      <c r="K104" s="758" t="s">
        <v>93</v>
      </c>
      <c r="L104" s="736" t="s">
        <v>94</v>
      </c>
      <c r="M104" s="758" t="s">
        <v>239</v>
      </c>
      <c r="N104" s="758" t="s">
        <v>240</v>
      </c>
      <c r="O104" s="758" t="s">
        <v>241</v>
      </c>
      <c r="P104" s="758" t="s">
        <v>242</v>
      </c>
      <c r="Q104" s="758" t="s">
        <v>243</v>
      </c>
      <c r="R104" s="758" t="s">
        <v>244</v>
      </c>
      <c r="S104" s="758" t="s">
        <v>245</v>
      </c>
      <c r="T104" s="758" t="s">
        <v>246</v>
      </c>
      <c r="U104" s="758" t="s">
        <v>247</v>
      </c>
      <c r="V104" s="736" t="s">
        <v>248</v>
      </c>
      <c r="W104" s="758" t="s">
        <v>249</v>
      </c>
      <c r="X104" s="758" t="s">
        <v>250</v>
      </c>
      <c r="Y104" s="758" t="s">
        <v>251</v>
      </c>
      <c r="Z104" s="758" t="s">
        <v>252</v>
      </c>
      <c r="AA104" s="758" t="s">
        <v>253</v>
      </c>
      <c r="AB104" s="758" t="s">
        <v>254</v>
      </c>
      <c r="AC104" s="758" t="s">
        <v>255</v>
      </c>
      <c r="AD104" s="758" t="s">
        <v>256</v>
      </c>
      <c r="AE104" s="758" t="s">
        <v>257</v>
      </c>
      <c r="AF104" s="736" t="s">
        <v>258</v>
      </c>
    </row>
    <row r="105" spans="1:32" x14ac:dyDescent="0.25">
      <c r="A105" s="420" t="s">
        <v>105</v>
      </c>
      <c r="B105" s="159"/>
      <c r="C105" s="759"/>
      <c r="D105" s="142"/>
      <c r="E105" s="142"/>
      <c r="F105" s="142"/>
      <c r="G105" s="142"/>
      <c r="H105" s="439"/>
      <c r="I105" s="439"/>
      <c r="J105" s="439"/>
      <c r="K105" s="439"/>
      <c r="L105" s="161">
        <f>'Residential Rental'!N129+Office!N127+'Retail &amp; Restaurant'!N133+Hotel!N130+Industrial!N128+Parking!N127</f>
        <v>107115727.29874924</v>
      </c>
      <c r="M105" s="161"/>
      <c r="N105" s="161"/>
      <c r="O105" s="161"/>
      <c r="P105" s="161"/>
      <c r="Q105" s="161">
        <f>'Residential Rental'!S129+Office!S127+'Retail &amp; Restaurant'!S133+Hotel!S130+Industrial!S128+Parking!S127</f>
        <v>0</v>
      </c>
      <c r="R105" s="161"/>
      <c r="S105" s="161"/>
      <c r="T105" s="161"/>
      <c r="U105" s="161"/>
      <c r="V105" s="161">
        <f>'Residential Rental'!X129+Office!X127+'Retail &amp; Restaurant'!X133+Hotel!X130+Industrial!X128+Parking!X127</f>
        <v>0</v>
      </c>
      <c r="W105" s="161"/>
      <c r="X105" s="161"/>
      <c r="Y105" s="161"/>
      <c r="Z105" s="161"/>
      <c r="AA105" s="161">
        <f>'Residential Rental'!AC129+Office!AC127+'Retail &amp; Restaurant'!AC133+Hotel!AC130+Industrial!AC128+Parking!AC127</f>
        <v>0</v>
      </c>
      <c r="AB105" s="161"/>
      <c r="AC105" s="161"/>
      <c r="AD105" s="161"/>
      <c r="AE105" s="161"/>
      <c r="AF105" s="134">
        <f>'Residential Rental'!AH129+Office!AH127+'Retail &amp; Restaurant'!AH133+Hotel!AH130+Industrial!AH128+Parking!AH127</f>
        <v>0</v>
      </c>
    </row>
    <row r="106" spans="1:32" ht="18" x14ac:dyDescent="0.4">
      <c r="A106" s="760" t="s">
        <v>106</v>
      </c>
      <c r="B106" s="159"/>
      <c r="C106" s="761"/>
      <c r="D106" s="142"/>
      <c r="E106" s="142"/>
      <c r="F106" s="142"/>
      <c r="G106" s="142"/>
      <c r="H106" s="762"/>
      <c r="I106" s="762"/>
      <c r="J106" s="762"/>
      <c r="K106" s="763"/>
      <c r="L106" s="149">
        <f>'Residential Rental'!N130+Office!N128+'Retail &amp; Restaurant'!N134+Hotel!N131+Industrial!N129+Parking!N128</f>
        <v>103442741.16302009</v>
      </c>
      <c r="M106" s="149"/>
      <c r="N106" s="149"/>
      <c r="O106" s="149"/>
      <c r="P106" s="149"/>
      <c r="Q106" s="149">
        <f>'Residential Rental'!S130+Office!S128+'Retail &amp; Restaurant'!S134+Hotel!S131+Industrial!S129+Parking!S128</f>
        <v>0</v>
      </c>
      <c r="R106" s="149"/>
      <c r="S106" s="149"/>
      <c r="T106" s="149"/>
      <c r="U106" s="149"/>
      <c r="V106" s="149">
        <f>'Residential Rental'!X130+Office!X128+'Retail &amp; Restaurant'!X134+Hotel!X131+Industrial!X129+Parking!X128</f>
        <v>0</v>
      </c>
      <c r="W106" s="149"/>
      <c r="X106" s="149"/>
      <c r="Y106" s="149"/>
      <c r="Z106" s="149"/>
      <c r="AA106" s="149">
        <f>'Residential Rental'!AC130+Office!AC128+'Retail &amp; Restaurant'!AC134+Hotel!AC131+Industrial!AC129+Parking!AC128</f>
        <v>0</v>
      </c>
      <c r="AB106" s="149"/>
      <c r="AC106" s="149"/>
      <c r="AD106" s="149"/>
      <c r="AE106" s="149"/>
      <c r="AF106" s="205">
        <f>'Residential Rental'!AH130+Office!AH128+'Retail &amp; Restaurant'!AH134+Hotel!AH131+Industrial!AH129+Parking!AH128</f>
        <v>0</v>
      </c>
    </row>
    <row r="107" spans="1:32" x14ac:dyDescent="0.25">
      <c r="A107" s="420" t="s">
        <v>107</v>
      </c>
      <c r="B107" s="751"/>
      <c r="C107" s="751"/>
      <c r="D107" s="751"/>
      <c r="E107" s="751"/>
      <c r="F107" s="751"/>
      <c r="G107" s="751"/>
      <c r="H107" s="751"/>
      <c r="I107" s="751"/>
      <c r="J107" s="751"/>
      <c r="K107" s="142"/>
      <c r="L107" s="161">
        <f>IF(SUM(L105:L106)=0,0,-AA153)</f>
        <v>-34169014.846281655</v>
      </c>
      <c r="M107" s="161"/>
      <c r="N107" s="161"/>
      <c r="O107" s="161"/>
      <c r="P107" s="161"/>
      <c r="Q107" s="161">
        <f>IF(SUM(Q105:Q106)=0,0,-AA158)</f>
        <v>0</v>
      </c>
      <c r="R107" s="161"/>
      <c r="S107" s="161"/>
      <c r="T107" s="161"/>
      <c r="U107" s="161"/>
      <c r="V107" s="161">
        <f>IF(SUM(V106,V105)=0,W107,-AA163)</f>
        <v>0</v>
      </c>
      <c r="W107" s="161"/>
      <c r="X107" s="161"/>
      <c r="Y107" s="161"/>
      <c r="Z107" s="161"/>
      <c r="AA107" s="161">
        <f>IF(SUM(AA105:AA106)=0,0,-AA168)</f>
        <v>0</v>
      </c>
      <c r="AB107" s="161"/>
      <c r="AC107" s="161"/>
      <c r="AD107" s="161"/>
      <c r="AE107" s="161"/>
      <c r="AF107" s="134">
        <f>IF(SUM(AF105:AF106)=0,0,-AA173)</f>
        <v>0</v>
      </c>
    </row>
    <row r="108" spans="1:32" ht="16.5" thickBot="1" x14ac:dyDescent="0.3">
      <c r="A108" s="764" t="s">
        <v>108</v>
      </c>
      <c r="B108" s="214"/>
      <c r="C108" s="146"/>
      <c r="D108" s="146"/>
      <c r="E108" s="146"/>
      <c r="F108" s="146"/>
      <c r="G108" s="146"/>
      <c r="H108" s="146"/>
      <c r="I108" s="146"/>
      <c r="J108" s="146"/>
      <c r="K108" s="146"/>
      <c r="L108" s="441">
        <f>L106+L107</f>
        <v>69273726.316738427</v>
      </c>
      <c r="M108" s="441"/>
      <c r="N108" s="441"/>
      <c r="O108" s="441"/>
      <c r="P108" s="441"/>
      <c r="Q108" s="441">
        <f t="shared" ref="Q108:AF108" si="15">Q106+Q107</f>
        <v>0</v>
      </c>
      <c r="R108" s="441"/>
      <c r="S108" s="441"/>
      <c r="T108" s="441"/>
      <c r="U108" s="441"/>
      <c r="V108" s="441">
        <f t="shared" si="15"/>
        <v>0</v>
      </c>
      <c r="W108" s="441"/>
      <c r="X108" s="441"/>
      <c r="Y108" s="441"/>
      <c r="Z108" s="441"/>
      <c r="AA108" s="441">
        <f t="shared" si="15"/>
        <v>0</v>
      </c>
      <c r="AB108" s="441"/>
      <c r="AC108" s="441"/>
      <c r="AD108" s="441"/>
      <c r="AE108" s="441"/>
      <c r="AF108" s="444">
        <f t="shared" si="15"/>
        <v>0</v>
      </c>
    </row>
    <row r="109" spans="1:32" ht="16.5" thickBot="1" x14ac:dyDescent="0.3">
      <c r="A109" s="11"/>
      <c r="B109" s="11"/>
      <c r="C109" s="11"/>
      <c r="D109" s="11"/>
      <c r="E109" s="11"/>
      <c r="F109" s="11"/>
      <c r="G109" s="11"/>
      <c r="H109" s="11"/>
      <c r="I109" s="11"/>
      <c r="J109" s="11"/>
      <c r="K109" s="11"/>
      <c r="L109" s="11"/>
    </row>
    <row r="110" spans="1:32" ht="16.5" thickBot="1" x14ac:dyDescent="0.3">
      <c r="A110" s="733" t="s">
        <v>109</v>
      </c>
      <c r="B110" s="735" t="s">
        <v>104</v>
      </c>
      <c r="C110" s="735" t="s">
        <v>85</v>
      </c>
      <c r="D110" s="735" t="s">
        <v>86</v>
      </c>
      <c r="E110" s="735" t="s">
        <v>87</v>
      </c>
      <c r="F110" s="735" t="s">
        <v>88</v>
      </c>
      <c r="G110" s="735" t="s">
        <v>89</v>
      </c>
      <c r="H110" s="735" t="s">
        <v>90</v>
      </c>
      <c r="I110" s="735" t="s">
        <v>91</v>
      </c>
      <c r="J110" s="735" t="s">
        <v>92</v>
      </c>
      <c r="K110" s="765" t="s">
        <v>93</v>
      </c>
      <c r="L110" s="765" t="s">
        <v>94</v>
      </c>
      <c r="M110" s="765" t="s">
        <v>239</v>
      </c>
      <c r="N110" s="765" t="s">
        <v>240</v>
      </c>
      <c r="O110" s="765" t="s">
        <v>241</v>
      </c>
      <c r="P110" s="765" t="s">
        <v>242</v>
      </c>
      <c r="Q110" s="765" t="s">
        <v>243</v>
      </c>
      <c r="R110" s="765" t="s">
        <v>244</v>
      </c>
      <c r="S110" s="765" t="s">
        <v>245</v>
      </c>
      <c r="T110" s="765" t="s">
        <v>246</v>
      </c>
      <c r="U110" s="765" t="s">
        <v>247</v>
      </c>
      <c r="V110" s="765" t="s">
        <v>248</v>
      </c>
      <c r="W110" s="765" t="s">
        <v>249</v>
      </c>
      <c r="X110" s="765" t="s">
        <v>250</v>
      </c>
      <c r="Y110" s="765" t="s">
        <v>251</v>
      </c>
      <c r="Z110" s="765" t="s">
        <v>252</v>
      </c>
      <c r="AA110" s="765" t="s">
        <v>253</v>
      </c>
      <c r="AB110" s="765" t="s">
        <v>254</v>
      </c>
      <c r="AC110" s="765" t="s">
        <v>255</v>
      </c>
      <c r="AD110" s="765" t="s">
        <v>256</v>
      </c>
      <c r="AE110" s="765" t="s">
        <v>257</v>
      </c>
      <c r="AF110" s="736" t="s">
        <v>258</v>
      </c>
    </row>
    <row r="111" spans="1:32" x14ac:dyDescent="0.25">
      <c r="A111" s="420" t="s">
        <v>449</v>
      </c>
      <c r="B111" s="149">
        <f>-H23</f>
        <v>-59030700</v>
      </c>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205"/>
    </row>
    <row r="112" spans="1:32" x14ac:dyDescent="0.25">
      <c r="A112" s="420" t="s">
        <v>110</v>
      </c>
      <c r="B112" s="149"/>
      <c r="C112" s="149">
        <f t="shared" ref="C112:K112" si="16">C96</f>
        <v>6375008.375</v>
      </c>
      <c r="D112" s="149">
        <f t="shared" si="16"/>
        <v>6562928.6262500007</v>
      </c>
      <c r="E112" s="149">
        <f t="shared" si="16"/>
        <v>6756486.4850374982</v>
      </c>
      <c r="F112" s="149">
        <f t="shared" si="16"/>
        <v>6955851.0795886246</v>
      </c>
      <c r="G112" s="149">
        <f t="shared" si="16"/>
        <v>7161196.6119762864</v>
      </c>
      <c r="H112" s="149">
        <f t="shared" si="16"/>
        <v>7372702.5103355739</v>
      </c>
      <c r="I112" s="149">
        <f t="shared" si="16"/>
        <v>7590553.5856456412</v>
      </c>
      <c r="J112" s="149">
        <f t="shared" si="16"/>
        <v>7814940.1932150088</v>
      </c>
      <c r="K112" s="149">
        <f t="shared" si="16"/>
        <v>8046058.3990114611</v>
      </c>
      <c r="L112" s="149">
        <f t="shared" ref="L112:AF112" si="17">L96</f>
        <v>8284110.1509818044</v>
      </c>
      <c r="M112" s="149">
        <f t="shared" si="17"/>
        <v>8529303.4555112571</v>
      </c>
      <c r="N112" s="149">
        <f t="shared" si="17"/>
        <v>8781852.5591765959</v>
      </c>
      <c r="O112" s="149">
        <f t="shared" si="17"/>
        <v>9041978.1359518934</v>
      </c>
      <c r="P112" s="149">
        <f t="shared" si="17"/>
        <v>9309907.4800304528</v>
      </c>
      <c r="Q112" s="149">
        <f t="shared" si="17"/>
        <v>9585874.7044313662</v>
      </c>
      <c r="R112" s="149">
        <f t="shared" si="17"/>
        <v>9870120.9455643035</v>
      </c>
      <c r="S112" s="149">
        <f t="shared" si="17"/>
        <v>10162894.57393123</v>
      </c>
      <c r="T112" s="149">
        <f t="shared" si="17"/>
        <v>10464451.411149172</v>
      </c>
      <c r="U112" s="149">
        <f t="shared" si="17"/>
        <v>10775054.953483649</v>
      </c>
      <c r="V112" s="149">
        <f t="shared" si="17"/>
        <v>11094976.602088157</v>
      </c>
      <c r="W112" s="149">
        <f t="shared" si="17"/>
        <v>11424495.9001508</v>
      </c>
      <c r="X112" s="149">
        <f t="shared" si="17"/>
        <v>11763900.777155329</v>
      </c>
      <c r="Y112" s="149">
        <f t="shared" si="17"/>
        <v>12113487.800469982</v>
      </c>
      <c r="Z112" s="149">
        <f t="shared" si="17"/>
        <v>12473562.434484089</v>
      </c>
      <c r="AA112" s="149">
        <f t="shared" si="17"/>
        <v>12844439.307518616</v>
      </c>
      <c r="AB112" s="149">
        <f t="shared" si="17"/>
        <v>13226442.486744171</v>
      </c>
      <c r="AC112" s="149">
        <f t="shared" si="17"/>
        <v>13619905.761346497</v>
      </c>
      <c r="AD112" s="149">
        <f t="shared" si="17"/>
        <v>14025172.934186894</v>
      </c>
      <c r="AE112" s="149">
        <f t="shared" si="17"/>
        <v>14442598.122212503</v>
      </c>
      <c r="AF112" s="205">
        <f t="shared" si="17"/>
        <v>14872546.065878879</v>
      </c>
    </row>
    <row r="113" spans="1:32" x14ac:dyDescent="0.25">
      <c r="A113" s="420" t="s">
        <v>111</v>
      </c>
      <c r="B113" s="149"/>
      <c r="C113" s="149"/>
      <c r="D113" s="149"/>
      <c r="E113" s="149"/>
      <c r="F113" s="149"/>
      <c r="G113" s="149"/>
      <c r="H113" s="149"/>
      <c r="I113" s="149"/>
      <c r="J113" s="149"/>
      <c r="K113" s="161"/>
      <c r="L113" s="161">
        <f>L106</f>
        <v>103442741.16302009</v>
      </c>
      <c r="M113" s="161"/>
      <c r="N113" s="161"/>
      <c r="O113" s="161"/>
      <c r="P113" s="161"/>
      <c r="Q113" s="161">
        <f t="shared" ref="Q113:AF113" si="18">Q106</f>
        <v>0</v>
      </c>
      <c r="R113" s="161"/>
      <c r="S113" s="161"/>
      <c r="T113" s="161"/>
      <c r="U113" s="161"/>
      <c r="V113" s="161">
        <f t="shared" si="18"/>
        <v>0</v>
      </c>
      <c r="W113" s="161"/>
      <c r="X113" s="161"/>
      <c r="Y113" s="161"/>
      <c r="Z113" s="161"/>
      <c r="AA113" s="161">
        <f t="shared" si="18"/>
        <v>0</v>
      </c>
      <c r="AB113" s="161">
        <f t="shared" si="18"/>
        <v>0</v>
      </c>
      <c r="AC113" s="161">
        <f t="shared" si="18"/>
        <v>0</v>
      </c>
      <c r="AD113" s="161">
        <f t="shared" si="18"/>
        <v>0</v>
      </c>
      <c r="AE113" s="161">
        <f t="shared" si="18"/>
        <v>0</v>
      </c>
      <c r="AF113" s="134">
        <f t="shared" si="18"/>
        <v>0</v>
      </c>
    </row>
    <row r="114" spans="1:32" x14ac:dyDescent="0.25">
      <c r="A114" s="420" t="s">
        <v>3</v>
      </c>
      <c r="B114" s="149">
        <f>SUM(B111:B113)</f>
        <v>-59030700</v>
      </c>
      <c r="C114" s="149">
        <f t="shared" ref="C114:K114" si="19">SUM(C111:C113)</f>
        <v>6375008.375</v>
      </c>
      <c r="D114" s="149">
        <f t="shared" si="19"/>
        <v>6562928.6262500007</v>
      </c>
      <c r="E114" s="149">
        <f t="shared" si="19"/>
        <v>6756486.4850374982</v>
      </c>
      <c r="F114" s="149">
        <f t="shared" si="19"/>
        <v>6955851.0795886246</v>
      </c>
      <c r="G114" s="149">
        <f t="shared" si="19"/>
        <v>7161196.6119762864</v>
      </c>
      <c r="H114" s="149">
        <f t="shared" si="19"/>
        <v>7372702.5103355739</v>
      </c>
      <c r="I114" s="149">
        <f t="shared" si="19"/>
        <v>7590553.5856456412</v>
      </c>
      <c r="J114" s="149">
        <f t="shared" si="19"/>
        <v>7814940.1932150088</v>
      </c>
      <c r="K114" s="149">
        <f t="shared" si="19"/>
        <v>8046058.3990114611</v>
      </c>
      <c r="L114" s="149">
        <f>SUM(L111:L113)</f>
        <v>111726851.31400189</v>
      </c>
      <c r="M114" s="149">
        <f t="shared" ref="M114:AF114" si="20">SUM(M111:M113)</f>
        <v>8529303.4555112571</v>
      </c>
      <c r="N114" s="149">
        <f t="shared" si="20"/>
        <v>8781852.5591765959</v>
      </c>
      <c r="O114" s="149">
        <f t="shared" si="20"/>
        <v>9041978.1359518934</v>
      </c>
      <c r="P114" s="149">
        <f t="shared" si="20"/>
        <v>9309907.4800304528</v>
      </c>
      <c r="Q114" s="149">
        <f t="shared" si="20"/>
        <v>9585874.7044313662</v>
      </c>
      <c r="R114" s="149">
        <f t="shared" si="20"/>
        <v>9870120.9455643035</v>
      </c>
      <c r="S114" s="149">
        <f t="shared" si="20"/>
        <v>10162894.57393123</v>
      </c>
      <c r="T114" s="149">
        <f t="shared" si="20"/>
        <v>10464451.411149172</v>
      </c>
      <c r="U114" s="149">
        <f t="shared" si="20"/>
        <v>10775054.953483649</v>
      </c>
      <c r="V114" s="149">
        <f t="shared" si="20"/>
        <v>11094976.602088157</v>
      </c>
      <c r="W114" s="149">
        <f t="shared" si="20"/>
        <v>11424495.9001508</v>
      </c>
      <c r="X114" s="149">
        <f t="shared" si="20"/>
        <v>11763900.777155329</v>
      </c>
      <c r="Y114" s="149">
        <f t="shared" si="20"/>
        <v>12113487.800469982</v>
      </c>
      <c r="Z114" s="149">
        <f t="shared" si="20"/>
        <v>12473562.434484089</v>
      </c>
      <c r="AA114" s="149">
        <f t="shared" si="20"/>
        <v>12844439.307518616</v>
      </c>
      <c r="AB114" s="149">
        <f t="shared" si="20"/>
        <v>13226442.486744171</v>
      </c>
      <c r="AC114" s="149">
        <f t="shared" si="20"/>
        <v>13619905.761346497</v>
      </c>
      <c r="AD114" s="149">
        <f t="shared" si="20"/>
        <v>14025172.934186894</v>
      </c>
      <c r="AE114" s="149">
        <f t="shared" si="20"/>
        <v>14442598.122212503</v>
      </c>
      <c r="AF114" s="205">
        <f t="shared" si="20"/>
        <v>14872546.065878879</v>
      </c>
    </row>
    <row r="115" spans="1:32" ht="16.5" thickBot="1" x14ac:dyDescent="0.3">
      <c r="A115" s="743" t="s">
        <v>112</v>
      </c>
      <c r="B115" s="442"/>
      <c r="C115" s="442"/>
      <c r="D115" s="442"/>
      <c r="E115" s="442"/>
      <c r="F115" s="442"/>
      <c r="G115" s="442"/>
      <c r="H115" s="766"/>
      <c r="I115" s="766"/>
      <c r="J115" s="766"/>
      <c r="K115" s="767"/>
      <c r="L115" s="767">
        <f>IF(L108=0,0,IRR(B114:L114))</f>
        <v>0.15549222401257201</v>
      </c>
      <c r="M115" s="767"/>
      <c r="N115" s="767"/>
      <c r="O115" s="767"/>
      <c r="P115" s="767"/>
      <c r="Q115" s="767">
        <f>IF(Q108=0,0,IRR(B114:Q114))</f>
        <v>0</v>
      </c>
      <c r="R115" s="767"/>
      <c r="S115" s="767"/>
      <c r="T115" s="767"/>
      <c r="U115" s="767"/>
      <c r="V115" s="767">
        <f>IF(V108=0,0,IRR(B114:V114))</f>
        <v>0</v>
      </c>
      <c r="W115" s="767"/>
      <c r="X115" s="767"/>
      <c r="Y115" s="767"/>
      <c r="Z115" s="767"/>
      <c r="AA115" s="767">
        <f>IF(AA108=0,0,IRR(B114:AA114))</f>
        <v>0</v>
      </c>
      <c r="AB115" s="767"/>
      <c r="AC115" s="767"/>
      <c r="AD115" s="767"/>
      <c r="AE115" s="767"/>
      <c r="AF115" s="768">
        <f>IF(AF108=0,0,IRR(B114:AF114))</f>
        <v>0</v>
      </c>
    </row>
    <row r="116" spans="1:32" ht="16.5" thickBot="1" x14ac:dyDescent="0.3">
      <c r="A116" s="598" t="s">
        <v>113</v>
      </c>
      <c r="B116" s="195"/>
      <c r="C116" s="195"/>
      <c r="D116" s="195"/>
      <c r="E116" s="195"/>
      <c r="F116" s="195"/>
      <c r="G116" s="195"/>
      <c r="H116" s="446"/>
      <c r="I116" s="769"/>
      <c r="J116" s="769"/>
      <c r="K116" s="308"/>
      <c r="L116" s="308">
        <f>IF(L108=0,0,NPV(N7,C114:L114)+B114)</f>
        <v>14386046.317184761</v>
      </c>
      <c r="M116" s="308"/>
      <c r="N116" s="308"/>
      <c r="O116" s="308"/>
      <c r="P116" s="308"/>
      <c r="Q116" s="308">
        <f>IF(Q108=0,0,(NPV(N7,C114:Q114)+B114))</f>
        <v>0</v>
      </c>
      <c r="R116" s="308"/>
      <c r="S116" s="308"/>
      <c r="T116" s="308"/>
      <c r="U116" s="308"/>
      <c r="V116" s="308">
        <f>IF(V108=0,0,(NPV(N7,C114:V114)+B114))</f>
        <v>0</v>
      </c>
      <c r="W116" s="308"/>
      <c r="X116" s="308"/>
      <c r="Y116" s="308"/>
      <c r="Z116" s="308"/>
      <c r="AA116" s="308">
        <f>IF(AA108=0,0,(NPV(S7,C114:AA114)+B114))</f>
        <v>0</v>
      </c>
      <c r="AB116" s="308"/>
      <c r="AC116" s="308"/>
      <c r="AD116" s="308"/>
      <c r="AE116" s="308"/>
      <c r="AF116" s="770">
        <f>IF(AF108=0,0,(NPV(X7,C114:AF114)+B114))</f>
        <v>0</v>
      </c>
    </row>
    <row r="117" spans="1:32" ht="16.5" thickBot="1" x14ac:dyDescent="0.3">
      <c r="A117" s="771"/>
      <c r="B117" s="39"/>
      <c r="C117" s="39"/>
      <c r="D117" s="39"/>
      <c r="E117" s="39"/>
      <c r="F117" s="39"/>
      <c r="G117" s="39"/>
      <c r="H117" s="39"/>
      <c r="I117" s="39"/>
      <c r="J117" s="39"/>
      <c r="K117" s="39"/>
      <c r="L117" s="186"/>
      <c r="M117" s="695"/>
    </row>
    <row r="118" spans="1:32" ht="16.5" thickBot="1" x14ac:dyDescent="0.3">
      <c r="A118" s="733" t="s">
        <v>114</v>
      </c>
      <c r="B118" s="735" t="s">
        <v>104</v>
      </c>
      <c r="C118" s="758" t="s">
        <v>85</v>
      </c>
      <c r="D118" s="758" t="s">
        <v>86</v>
      </c>
      <c r="E118" s="758" t="s">
        <v>87</v>
      </c>
      <c r="F118" s="772" t="s">
        <v>88</v>
      </c>
      <c r="G118" s="758" t="s">
        <v>89</v>
      </c>
      <c r="H118" s="758" t="s">
        <v>90</v>
      </c>
      <c r="I118" s="758" t="s">
        <v>91</v>
      </c>
      <c r="J118" s="758" t="s">
        <v>92</v>
      </c>
      <c r="K118" s="758" t="s">
        <v>93</v>
      </c>
      <c r="L118" s="735" t="s">
        <v>94</v>
      </c>
      <c r="M118" s="735" t="s">
        <v>239</v>
      </c>
      <c r="N118" s="735" t="s">
        <v>240</v>
      </c>
      <c r="O118" s="735" t="s">
        <v>241</v>
      </c>
      <c r="P118" s="735" t="s">
        <v>242</v>
      </c>
      <c r="Q118" s="735" t="s">
        <v>243</v>
      </c>
      <c r="R118" s="735" t="s">
        <v>244</v>
      </c>
      <c r="S118" s="735" t="s">
        <v>245</v>
      </c>
      <c r="T118" s="735" t="s">
        <v>246</v>
      </c>
      <c r="U118" s="735" t="s">
        <v>247</v>
      </c>
      <c r="V118" s="735" t="s">
        <v>248</v>
      </c>
      <c r="W118" s="735" t="s">
        <v>249</v>
      </c>
      <c r="X118" s="735" t="s">
        <v>250</v>
      </c>
      <c r="Y118" s="735" t="s">
        <v>251</v>
      </c>
      <c r="Z118" s="735" t="s">
        <v>252</v>
      </c>
      <c r="AA118" s="735" t="s">
        <v>253</v>
      </c>
      <c r="AB118" s="735" t="s">
        <v>254</v>
      </c>
      <c r="AC118" s="735" t="s">
        <v>255</v>
      </c>
      <c r="AD118" s="735" t="s">
        <v>256</v>
      </c>
      <c r="AE118" s="735" t="s">
        <v>257</v>
      </c>
      <c r="AF118" s="773" t="s">
        <v>258</v>
      </c>
    </row>
    <row r="119" spans="1:32" x14ac:dyDescent="0.25">
      <c r="A119" s="420" t="s">
        <v>450</v>
      </c>
      <c r="B119" s="149">
        <f>-H71</f>
        <v>-14953700</v>
      </c>
      <c r="C119" s="161"/>
      <c r="D119" s="161"/>
      <c r="E119" s="161"/>
      <c r="F119" s="774"/>
      <c r="G119" s="161"/>
      <c r="H119" s="161"/>
      <c r="I119" s="161"/>
      <c r="J119" s="161"/>
      <c r="K119" s="161"/>
      <c r="L119" s="180"/>
      <c r="M119" s="180"/>
      <c r="N119" s="180"/>
      <c r="O119" s="180"/>
      <c r="P119" s="180"/>
      <c r="Q119" s="180"/>
      <c r="R119" s="180"/>
      <c r="S119" s="180"/>
      <c r="T119" s="180"/>
      <c r="U119" s="180"/>
      <c r="V119" s="180"/>
      <c r="W119" s="180"/>
      <c r="X119" s="180"/>
      <c r="Y119" s="180"/>
      <c r="Z119" s="180"/>
      <c r="AA119" s="180"/>
      <c r="AB119" s="180"/>
      <c r="AC119" s="180"/>
      <c r="AD119" s="180"/>
      <c r="AE119" s="180"/>
      <c r="AF119" s="212"/>
    </row>
    <row r="120" spans="1:32" x14ac:dyDescent="0.25">
      <c r="A120" s="420" t="s">
        <v>115</v>
      </c>
      <c r="B120" s="149"/>
      <c r="C120" s="161">
        <f t="shared" ref="C120:K120" si="21">C99</f>
        <v>3973448.4598792754</v>
      </c>
      <c r="D120" s="161">
        <f t="shared" si="21"/>
        <v>4161368.7111292761</v>
      </c>
      <c r="E120" s="161">
        <f t="shared" si="21"/>
        <v>4354926.5699167736</v>
      </c>
      <c r="F120" s="161">
        <f t="shared" si="21"/>
        <v>4554291.1644679001</v>
      </c>
      <c r="G120" s="161">
        <f t="shared" si="21"/>
        <v>4759636.6968555618</v>
      </c>
      <c r="H120" s="161">
        <f t="shared" si="21"/>
        <v>4971142.5952148493</v>
      </c>
      <c r="I120" s="161">
        <f t="shared" si="21"/>
        <v>5188993.6705249166</v>
      </c>
      <c r="J120" s="161">
        <f t="shared" si="21"/>
        <v>5413380.2780942842</v>
      </c>
      <c r="K120" s="161">
        <f t="shared" si="21"/>
        <v>5644498.4838907365</v>
      </c>
      <c r="L120" s="149">
        <f>L99</f>
        <v>5882550.2358610798</v>
      </c>
      <c r="M120" s="149">
        <f t="shared" ref="M120:AF120" si="22">M99</f>
        <v>6127743.5403905325</v>
      </c>
      <c r="N120" s="149">
        <f t="shared" si="22"/>
        <v>6380292.6440558713</v>
      </c>
      <c r="O120" s="149">
        <f t="shared" si="22"/>
        <v>6640418.2208311688</v>
      </c>
      <c r="P120" s="149">
        <f t="shared" si="22"/>
        <v>6908347.5649097282</v>
      </c>
      <c r="Q120" s="149">
        <f t="shared" si="22"/>
        <v>7184314.7893106416</v>
      </c>
      <c r="R120" s="149">
        <f t="shared" si="22"/>
        <v>7468561.030443579</v>
      </c>
      <c r="S120" s="149">
        <f t="shared" si="22"/>
        <v>7761334.6588105056</v>
      </c>
      <c r="T120" s="149">
        <f t="shared" si="22"/>
        <v>8062891.4960284475</v>
      </c>
      <c r="U120" s="149">
        <f t="shared" si="22"/>
        <v>8373495.038362924</v>
      </c>
      <c r="V120" s="149">
        <f t="shared" si="22"/>
        <v>8693416.6869674325</v>
      </c>
      <c r="W120" s="149">
        <f t="shared" si="22"/>
        <v>9022935.9850300755</v>
      </c>
      <c r="X120" s="149">
        <f t="shared" si="22"/>
        <v>9362340.862034604</v>
      </c>
      <c r="Y120" s="149">
        <f t="shared" si="22"/>
        <v>9711927.8853492569</v>
      </c>
      <c r="Z120" s="149">
        <f t="shared" si="22"/>
        <v>10072002.519363364</v>
      </c>
      <c r="AA120" s="149">
        <f t="shared" si="22"/>
        <v>10442879.392397892</v>
      </c>
      <c r="AB120" s="149">
        <f t="shared" si="22"/>
        <v>10824882.571623446</v>
      </c>
      <c r="AC120" s="149">
        <f t="shared" si="22"/>
        <v>11218345.846225772</v>
      </c>
      <c r="AD120" s="149">
        <f t="shared" si="22"/>
        <v>11623613.01906617</v>
      </c>
      <c r="AE120" s="149">
        <f t="shared" si="22"/>
        <v>12041038.207091779</v>
      </c>
      <c r="AF120" s="205">
        <f t="shared" si="22"/>
        <v>12470986.150758155</v>
      </c>
    </row>
    <row r="121" spans="1:32" x14ac:dyDescent="0.25">
      <c r="A121" s="420" t="s">
        <v>108</v>
      </c>
      <c r="B121" s="149"/>
      <c r="C121" s="461"/>
      <c r="D121" s="461"/>
      <c r="E121" s="461"/>
      <c r="F121" s="461"/>
      <c r="G121" s="461"/>
      <c r="H121" s="461"/>
      <c r="I121" s="461"/>
      <c r="J121" s="461"/>
      <c r="K121" s="461"/>
      <c r="L121" s="149">
        <f>L108</f>
        <v>69273726.316738427</v>
      </c>
      <c r="M121" s="149"/>
      <c r="N121" s="149"/>
      <c r="O121" s="149"/>
      <c r="P121" s="149"/>
      <c r="Q121" s="149">
        <f>Q108</f>
        <v>0</v>
      </c>
      <c r="R121" s="149"/>
      <c r="S121" s="149"/>
      <c r="T121" s="149"/>
      <c r="U121" s="149"/>
      <c r="V121" s="149">
        <f>V108</f>
        <v>0</v>
      </c>
      <c r="W121" s="149"/>
      <c r="X121" s="149"/>
      <c r="Y121" s="149"/>
      <c r="Z121" s="149"/>
      <c r="AA121" s="149">
        <f>AA108</f>
        <v>0</v>
      </c>
      <c r="AB121" s="149"/>
      <c r="AC121" s="149"/>
      <c r="AD121" s="149"/>
      <c r="AE121" s="149"/>
      <c r="AF121" s="205">
        <f>AF108</f>
        <v>0</v>
      </c>
    </row>
    <row r="122" spans="1:32" x14ac:dyDescent="0.25">
      <c r="A122" s="420" t="s">
        <v>3</v>
      </c>
      <c r="B122" s="149">
        <f>SUM(B119:B121)</f>
        <v>-14953700</v>
      </c>
      <c r="C122" s="149">
        <f t="shared" ref="C122:K122" si="23">SUM(C119:C121)</f>
        <v>3973448.4598792754</v>
      </c>
      <c r="D122" s="149">
        <f t="shared" si="23"/>
        <v>4161368.7111292761</v>
      </c>
      <c r="E122" s="149">
        <f t="shared" si="23"/>
        <v>4354926.5699167736</v>
      </c>
      <c r="F122" s="149">
        <f t="shared" si="23"/>
        <v>4554291.1644679001</v>
      </c>
      <c r="G122" s="149">
        <f t="shared" si="23"/>
        <v>4759636.6968555618</v>
      </c>
      <c r="H122" s="149">
        <f t="shared" si="23"/>
        <v>4971142.5952148493</v>
      </c>
      <c r="I122" s="149">
        <f t="shared" si="23"/>
        <v>5188993.6705249166</v>
      </c>
      <c r="J122" s="149">
        <f t="shared" si="23"/>
        <v>5413380.2780942842</v>
      </c>
      <c r="K122" s="149">
        <f t="shared" si="23"/>
        <v>5644498.4838907365</v>
      </c>
      <c r="L122" s="149">
        <f>SUM(L119:L121)</f>
        <v>75156276.552599505</v>
      </c>
      <c r="M122" s="149">
        <f t="shared" ref="M122:AF122" si="24">SUM(M119:M121)</f>
        <v>6127743.5403905325</v>
      </c>
      <c r="N122" s="149">
        <f t="shared" si="24"/>
        <v>6380292.6440558713</v>
      </c>
      <c r="O122" s="149">
        <f t="shared" si="24"/>
        <v>6640418.2208311688</v>
      </c>
      <c r="P122" s="149">
        <f t="shared" si="24"/>
        <v>6908347.5649097282</v>
      </c>
      <c r="Q122" s="149">
        <f t="shared" si="24"/>
        <v>7184314.7893106416</v>
      </c>
      <c r="R122" s="149">
        <f t="shared" si="24"/>
        <v>7468561.030443579</v>
      </c>
      <c r="S122" s="149">
        <f t="shared" si="24"/>
        <v>7761334.6588105056</v>
      </c>
      <c r="T122" s="149">
        <f t="shared" si="24"/>
        <v>8062891.4960284475</v>
      </c>
      <c r="U122" s="149">
        <f t="shared" si="24"/>
        <v>8373495.038362924</v>
      </c>
      <c r="V122" s="149">
        <f t="shared" si="24"/>
        <v>8693416.6869674325</v>
      </c>
      <c r="W122" s="149">
        <f t="shared" si="24"/>
        <v>9022935.9850300755</v>
      </c>
      <c r="X122" s="149">
        <f t="shared" si="24"/>
        <v>9362340.862034604</v>
      </c>
      <c r="Y122" s="149">
        <f t="shared" si="24"/>
        <v>9711927.8853492569</v>
      </c>
      <c r="Z122" s="149">
        <f t="shared" si="24"/>
        <v>10072002.519363364</v>
      </c>
      <c r="AA122" s="149">
        <f t="shared" si="24"/>
        <v>10442879.392397892</v>
      </c>
      <c r="AB122" s="149">
        <f t="shared" si="24"/>
        <v>10824882.571623446</v>
      </c>
      <c r="AC122" s="149">
        <f t="shared" si="24"/>
        <v>11218345.846225772</v>
      </c>
      <c r="AD122" s="149">
        <f t="shared" si="24"/>
        <v>11623613.01906617</v>
      </c>
      <c r="AE122" s="149">
        <f t="shared" si="24"/>
        <v>12041038.207091779</v>
      </c>
      <c r="AF122" s="205">
        <f t="shared" si="24"/>
        <v>12470986.150758155</v>
      </c>
    </row>
    <row r="123" spans="1:32" ht="16.5" thickBot="1" x14ac:dyDescent="0.3">
      <c r="A123" s="743" t="s">
        <v>116</v>
      </c>
      <c r="B123" s="775"/>
      <c r="C123" s="776"/>
      <c r="D123" s="776"/>
      <c r="E123" s="776"/>
      <c r="F123" s="776"/>
      <c r="G123" s="776"/>
      <c r="H123" s="776"/>
      <c r="I123" s="776"/>
      <c r="J123" s="776"/>
      <c r="K123" s="776"/>
      <c r="L123" s="766">
        <f>IF(L108=0,0,IRR(B122:L122))</f>
        <v>0.35965207050144188</v>
      </c>
      <c r="M123" s="766"/>
      <c r="N123" s="766"/>
      <c r="O123" s="766"/>
      <c r="P123" s="766"/>
      <c r="Q123" s="766">
        <f>IF(Q108=0,0,IRR(B122:Q122))</f>
        <v>0</v>
      </c>
      <c r="R123" s="766"/>
      <c r="S123" s="766"/>
      <c r="T123" s="766"/>
      <c r="U123" s="766"/>
      <c r="V123" s="766">
        <f>IF(V108=0,0,IRR(B122:V122))</f>
        <v>0</v>
      </c>
      <c r="W123" s="766"/>
      <c r="X123" s="766"/>
      <c r="Y123" s="766"/>
      <c r="Z123" s="766"/>
      <c r="AA123" s="766">
        <f>IF(AA108=0,0,IRR(B122:AA122))</f>
        <v>0</v>
      </c>
      <c r="AB123" s="766"/>
      <c r="AC123" s="766"/>
      <c r="AD123" s="766"/>
      <c r="AE123" s="766"/>
      <c r="AF123" s="777">
        <f>IF(AF108=0,0,IRR(B122:AF122))</f>
        <v>0</v>
      </c>
    </row>
    <row r="124" spans="1:32" ht="16.5" thickBot="1" x14ac:dyDescent="0.3">
      <c r="A124" s="598" t="s">
        <v>117</v>
      </c>
      <c r="B124" s="291"/>
      <c r="C124" s="778"/>
      <c r="D124" s="778"/>
      <c r="E124" s="778"/>
      <c r="F124" s="778"/>
      <c r="G124" s="778"/>
      <c r="H124" s="778"/>
      <c r="I124" s="778"/>
      <c r="J124" s="778"/>
      <c r="K124" s="778"/>
      <c r="L124" s="195">
        <f>IF(L108=0,0,NPV(N8,C122:L122)+B122)</f>
        <v>8670148.6219362989</v>
      </c>
      <c r="M124" s="195"/>
      <c r="N124" s="195"/>
      <c r="O124" s="195"/>
      <c r="P124" s="195"/>
      <c r="Q124" s="195">
        <f>IF(Q108=0,0,(NPV(N8,C122:Q122)+B122))</f>
        <v>0</v>
      </c>
      <c r="R124" s="195"/>
      <c r="S124" s="195"/>
      <c r="T124" s="195"/>
      <c r="U124" s="195"/>
      <c r="V124" s="195">
        <f>IF(V108=0,0,(NPV(N8,C122:V122)+B122))</f>
        <v>0</v>
      </c>
      <c r="W124" s="195"/>
      <c r="X124" s="195"/>
      <c r="Y124" s="195"/>
      <c r="Z124" s="195"/>
      <c r="AA124" s="195">
        <f>IF(AA108=0,0,(NPV(N8,C122:AA122)+B122))</f>
        <v>0</v>
      </c>
      <c r="AB124" s="195"/>
      <c r="AC124" s="195"/>
      <c r="AD124" s="195"/>
      <c r="AE124" s="195"/>
      <c r="AF124" s="779">
        <f>IF(AF107=0,0,(NPV(N8,C122:AF122)+B122))</f>
        <v>0</v>
      </c>
    </row>
    <row r="125" spans="1:32" ht="16.5" thickBot="1" x14ac:dyDescent="0.3">
      <c r="A125" s="771"/>
      <c r="B125" s="11"/>
      <c r="C125" s="11"/>
      <c r="D125" s="11"/>
      <c r="E125" s="11"/>
      <c r="F125" s="11"/>
      <c r="G125" s="11"/>
      <c r="H125" s="11"/>
      <c r="I125" s="11"/>
      <c r="J125" s="11"/>
      <c r="K125" s="11"/>
      <c r="L125" s="157"/>
    </row>
    <row r="126" spans="1:32" ht="16.5" thickBot="1" x14ac:dyDescent="0.3">
      <c r="A126" s="733" t="s">
        <v>118</v>
      </c>
      <c r="B126" s="735" t="s">
        <v>104</v>
      </c>
      <c r="C126" s="758" t="s">
        <v>85</v>
      </c>
      <c r="D126" s="758" t="s">
        <v>86</v>
      </c>
      <c r="E126" s="758" t="s">
        <v>87</v>
      </c>
      <c r="F126" s="772" t="s">
        <v>88</v>
      </c>
      <c r="G126" s="758" t="s">
        <v>89</v>
      </c>
      <c r="H126" s="758" t="s">
        <v>90</v>
      </c>
      <c r="I126" s="758" t="s">
        <v>91</v>
      </c>
      <c r="J126" s="758" t="s">
        <v>92</v>
      </c>
      <c r="K126" s="758" t="s">
        <v>93</v>
      </c>
      <c r="L126" s="735" t="s">
        <v>94</v>
      </c>
      <c r="M126" s="735" t="s">
        <v>239</v>
      </c>
      <c r="N126" s="735" t="s">
        <v>240</v>
      </c>
      <c r="O126" s="735" t="s">
        <v>241</v>
      </c>
      <c r="P126" s="735" t="s">
        <v>242</v>
      </c>
      <c r="Q126" s="735" t="s">
        <v>243</v>
      </c>
      <c r="R126" s="735" t="s">
        <v>244</v>
      </c>
      <c r="S126" s="735" t="s">
        <v>245</v>
      </c>
      <c r="T126" s="735" t="s">
        <v>246</v>
      </c>
      <c r="U126" s="735" t="s">
        <v>247</v>
      </c>
      <c r="V126" s="735" t="s">
        <v>248</v>
      </c>
      <c r="W126" s="735" t="s">
        <v>249</v>
      </c>
      <c r="X126" s="735" t="s">
        <v>250</v>
      </c>
      <c r="Y126" s="735" t="s">
        <v>251</v>
      </c>
      <c r="Z126" s="735" t="s">
        <v>252</v>
      </c>
      <c r="AA126" s="735" t="s">
        <v>253</v>
      </c>
      <c r="AB126" s="735" t="s">
        <v>254</v>
      </c>
      <c r="AC126" s="735" t="s">
        <v>255</v>
      </c>
      <c r="AD126" s="735" t="s">
        <v>256</v>
      </c>
      <c r="AE126" s="735" t="s">
        <v>257</v>
      </c>
      <c r="AF126" s="735" t="s">
        <v>258</v>
      </c>
    </row>
    <row r="127" spans="1:32" x14ac:dyDescent="0.25">
      <c r="A127" s="420" t="s">
        <v>452</v>
      </c>
      <c r="B127" s="149">
        <f>-H61</f>
        <v>-17400000</v>
      </c>
      <c r="C127" s="149"/>
      <c r="D127" s="161"/>
      <c r="E127" s="259"/>
      <c r="F127" s="161"/>
      <c r="G127" s="161"/>
      <c r="H127" s="774"/>
      <c r="I127" s="161"/>
      <c r="J127" s="161"/>
      <c r="K127" s="161"/>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row>
    <row r="128" spans="1:32" x14ac:dyDescent="0.25">
      <c r="A128" s="533" t="s">
        <v>490</v>
      </c>
      <c r="B128" s="149">
        <f>-H73</f>
        <v>-1475000</v>
      </c>
      <c r="C128" s="149"/>
      <c r="D128" s="161"/>
      <c r="E128" s="149"/>
      <c r="F128" s="161"/>
      <c r="G128" s="161"/>
      <c r="H128" s="161"/>
      <c r="I128" s="161"/>
      <c r="J128" s="161"/>
      <c r="K128" s="161"/>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row>
    <row r="129" spans="1:32" x14ac:dyDescent="0.25">
      <c r="A129" s="501" t="s">
        <v>453</v>
      </c>
      <c r="B129" s="149">
        <f>B127+B128</f>
        <v>-18875000</v>
      </c>
      <c r="C129" s="149"/>
      <c r="D129" s="161"/>
      <c r="E129" s="149"/>
      <c r="F129" s="161"/>
      <c r="G129" s="161"/>
      <c r="H129" s="161"/>
      <c r="I129" s="161"/>
      <c r="J129" s="161"/>
      <c r="K129" s="161"/>
      <c r="L129" s="149"/>
      <c r="M129" s="149"/>
      <c r="N129" s="149"/>
      <c r="O129" s="149"/>
      <c r="P129" s="149"/>
      <c r="Q129" s="149"/>
      <c r="R129" s="149"/>
      <c r="S129" s="149"/>
      <c r="T129" s="149"/>
      <c r="U129" s="149"/>
      <c r="V129" s="149"/>
      <c r="W129" s="149"/>
      <c r="X129" s="149"/>
      <c r="Y129" s="149"/>
      <c r="Z129" s="149"/>
      <c r="AA129" s="149"/>
      <c r="AB129" s="149"/>
      <c r="AC129" s="149"/>
      <c r="AD129" s="149"/>
      <c r="AE129" s="149"/>
      <c r="AF129" s="149"/>
    </row>
    <row r="130" spans="1:32" x14ac:dyDescent="0.25">
      <c r="A130" s="420" t="s">
        <v>119</v>
      </c>
      <c r="B130" s="149"/>
      <c r="C130" s="149">
        <f t="shared" ref="C130:AF130" si="25">-$H$64</f>
        <v>820471.89828481409</v>
      </c>
      <c r="D130" s="149">
        <f t="shared" si="25"/>
        <v>820471.89828481409</v>
      </c>
      <c r="E130" s="149">
        <f t="shared" si="25"/>
        <v>820471.89828481409</v>
      </c>
      <c r="F130" s="149">
        <f t="shared" si="25"/>
        <v>820471.89828481409</v>
      </c>
      <c r="G130" s="149">
        <f t="shared" si="25"/>
        <v>820471.89828481409</v>
      </c>
      <c r="H130" s="149">
        <f t="shared" si="25"/>
        <v>820471.89828481409</v>
      </c>
      <c r="I130" s="149">
        <f t="shared" si="25"/>
        <v>820471.89828481409</v>
      </c>
      <c r="J130" s="149">
        <f t="shared" si="25"/>
        <v>820471.89828481409</v>
      </c>
      <c r="K130" s="149">
        <f t="shared" si="25"/>
        <v>820471.89828481409</v>
      </c>
      <c r="L130" s="149">
        <f t="shared" si="25"/>
        <v>820471.89828481409</v>
      </c>
      <c r="M130" s="149">
        <f t="shared" si="25"/>
        <v>820471.89828481409</v>
      </c>
      <c r="N130" s="149">
        <f t="shared" si="25"/>
        <v>820471.89828481409</v>
      </c>
      <c r="O130" s="149">
        <f t="shared" si="25"/>
        <v>820471.89828481409</v>
      </c>
      <c r="P130" s="149">
        <f t="shared" si="25"/>
        <v>820471.89828481409</v>
      </c>
      <c r="Q130" s="149">
        <f t="shared" si="25"/>
        <v>820471.89828481409</v>
      </c>
      <c r="R130" s="149">
        <f t="shared" si="25"/>
        <v>820471.89828481409</v>
      </c>
      <c r="S130" s="149">
        <f t="shared" si="25"/>
        <v>820471.89828481409</v>
      </c>
      <c r="T130" s="149">
        <f t="shared" si="25"/>
        <v>820471.89828481409</v>
      </c>
      <c r="U130" s="149">
        <f t="shared" si="25"/>
        <v>820471.89828481409</v>
      </c>
      <c r="V130" s="149">
        <f t="shared" si="25"/>
        <v>820471.89828481409</v>
      </c>
      <c r="W130" s="149">
        <f t="shared" si="25"/>
        <v>820471.89828481409</v>
      </c>
      <c r="X130" s="149">
        <f t="shared" si="25"/>
        <v>820471.89828481409</v>
      </c>
      <c r="Y130" s="149">
        <f t="shared" si="25"/>
        <v>820471.89828481409</v>
      </c>
      <c r="Z130" s="149">
        <f t="shared" si="25"/>
        <v>820471.89828481409</v>
      </c>
      <c r="AA130" s="149">
        <f t="shared" si="25"/>
        <v>820471.89828481409</v>
      </c>
      <c r="AB130" s="149">
        <f t="shared" si="25"/>
        <v>820471.89828481409</v>
      </c>
      <c r="AC130" s="149">
        <f t="shared" si="25"/>
        <v>820471.89828481409</v>
      </c>
      <c r="AD130" s="149">
        <f t="shared" si="25"/>
        <v>820471.89828481409</v>
      </c>
      <c r="AE130" s="149">
        <f t="shared" si="25"/>
        <v>820471.89828481409</v>
      </c>
      <c r="AF130" s="149">
        <f t="shared" si="25"/>
        <v>820471.89828481409</v>
      </c>
    </row>
    <row r="131" spans="1:32" x14ac:dyDescent="0.25">
      <c r="A131" s="420" t="s">
        <v>120</v>
      </c>
      <c r="B131" s="149"/>
      <c r="C131" s="149">
        <f t="shared" ref="C131:AF131" si="26">$H$74</f>
        <v>95000</v>
      </c>
      <c r="D131" s="149">
        <f t="shared" si="26"/>
        <v>95000</v>
      </c>
      <c r="E131" s="149">
        <f t="shared" si="26"/>
        <v>95000</v>
      </c>
      <c r="F131" s="149">
        <f t="shared" si="26"/>
        <v>95000</v>
      </c>
      <c r="G131" s="149">
        <f t="shared" si="26"/>
        <v>95000</v>
      </c>
      <c r="H131" s="149">
        <f t="shared" si="26"/>
        <v>95000</v>
      </c>
      <c r="I131" s="149">
        <f t="shared" si="26"/>
        <v>95000</v>
      </c>
      <c r="J131" s="149">
        <f t="shared" si="26"/>
        <v>95000</v>
      </c>
      <c r="K131" s="149">
        <f t="shared" si="26"/>
        <v>95000</v>
      </c>
      <c r="L131" s="149">
        <f t="shared" si="26"/>
        <v>95000</v>
      </c>
      <c r="M131" s="149">
        <f t="shared" si="26"/>
        <v>95000</v>
      </c>
      <c r="N131" s="149">
        <f t="shared" si="26"/>
        <v>95000</v>
      </c>
      <c r="O131" s="149">
        <f t="shared" si="26"/>
        <v>95000</v>
      </c>
      <c r="P131" s="149">
        <f t="shared" si="26"/>
        <v>95000</v>
      </c>
      <c r="Q131" s="149">
        <f t="shared" si="26"/>
        <v>95000</v>
      </c>
      <c r="R131" s="149">
        <f t="shared" si="26"/>
        <v>95000</v>
      </c>
      <c r="S131" s="149">
        <f t="shared" si="26"/>
        <v>95000</v>
      </c>
      <c r="T131" s="149">
        <f t="shared" si="26"/>
        <v>95000</v>
      </c>
      <c r="U131" s="149">
        <f t="shared" si="26"/>
        <v>95000</v>
      </c>
      <c r="V131" s="149">
        <f t="shared" si="26"/>
        <v>95000</v>
      </c>
      <c r="W131" s="149">
        <f t="shared" si="26"/>
        <v>95000</v>
      </c>
      <c r="X131" s="149">
        <f t="shared" si="26"/>
        <v>95000</v>
      </c>
      <c r="Y131" s="149">
        <f t="shared" si="26"/>
        <v>95000</v>
      </c>
      <c r="Z131" s="149">
        <f t="shared" si="26"/>
        <v>95000</v>
      </c>
      <c r="AA131" s="149">
        <f t="shared" si="26"/>
        <v>95000</v>
      </c>
      <c r="AB131" s="149">
        <f t="shared" si="26"/>
        <v>95000</v>
      </c>
      <c r="AC131" s="149">
        <f t="shared" si="26"/>
        <v>95000</v>
      </c>
      <c r="AD131" s="149">
        <f t="shared" si="26"/>
        <v>95000</v>
      </c>
      <c r="AE131" s="149">
        <f t="shared" si="26"/>
        <v>95000</v>
      </c>
      <c r="AF131" s="149">
        <f t="shared" si="26"/>
        <v>95000</v>
      </c>
    </row>
    <row r="132" spans="1:32" x14ac:dyDescent="0.25">
      <c r="A132" s="502" t="s">
        <v>456</v>
      </c>
      <c r="B132" s="149"/>
      <c r="C132" s="149">
        <f t="shared" ref="C132:AF132" si="27">$H$75</f>
        <v>0</v>
      </c>
      <c r="D132" s="149">
        <f t="shared" si="27"/>
        <v>0</v>
      </c>
      <c r="E132" s="149">
        <f t="shared" si="27"/>
        <v>0</v>
      </c>
      <c r="F132" s="149">
        <f t="shared" si="27"/>
        <v>0</v>
      </c>
      <c r="G132" s="149">
        <f t="shared" si="27"/>
        <v>0</v>
      </c>
      <c r="H132" s="149">
        <f t="shared" si="27"/>
        <v>0</v>
      </c>
      <c r="I132" s="149">
        <f t="shared" si="27"/>
        <v>0</v>
      </c>
      <c r="J132" s="149">
        <f t="shared" si="27"/>
        <v>0</v>
      </c>
      <c r="K132" s="149">
        <f t="shared" si="27"/>
        <v>0</v>
      </c>
      <c r="L132" s="149">
        <f t="shared" si="27"/>
        <v>0</v>
      </c>
      <c r="M132" s="149">
        <f t="shared" si="27"/>
        <v>0</v>
      </c>
      <c r="N132" s="149">
        <f t="shared" si="27"/>
        <v>0</v>
      </c>
      <c r="O132" s="149">
        <f t="shared" si="27"/>
        <v>0</v>
      </c>
      <c r="P132" s="149">
        <f t="shared" si="27"/>
        <v>0</v>
      </c>
      <c r="Q132" s="149">
        <f t="shared" si="27"/>
        <v>0</v>
      </c>
      <c r="R132" s="149">
        <f t="shared" si="27"/>
        <v>0</v>
      </c>
      <c r="S132" s="149">
        <f t="shared" si="27"/>
        <v>0</v>
      </c>
      <c r="T132" s="149">
        <f t="shared" si="27"/>
        <v>0</v>
      </c>
      <c r="U132" s="149">
        <f t="shared" si="27"/>
        <v>0</v>
      </c>
      <c r="V132" s="149">
        <f t="shared" si="27"/>
        <v>0</v>
      </c>
      <c r="W132" s="149">
        <f t="shared" si="27"/>
        <v>0</v>
      </c>
      <c r="X132" s="149">
        <f t="shared" si="27"/>
        <v>0</v>
      </c>
      <c r="Y132" s="149">
        <f t="shared" si="27"/>
        <v>0</v>
      </c>
      <c r="Z132" s="149">
        <f t="shared" si="27"/>
        <v>0</v>
      </c>
      <c r="AA132" s="149">
        <f t="shared" si="27"/>
        <v>0</v>
      </c>
      <c r="AB132" s="149">
        <f t="shared" si="27"/>
        <v>0</v>
      </c>
      <c r="AC132" s="149">
        <f t="shared" si="27"/>
        <v>0</v>
      </c>
      <c r="AD132" s="149">
        <f t="shared" si="27"/>
        <v>0</v>
      </c>
      <c r="AE132" s="149">
        <f t="shared" si="27"/>
        <v>0</v>
      </c>
      <c r="AF132" s="149">
        <f t="shared" si="27"/>
        <v>0</v>
      </c>
    </row>
    <row r="133" spans="1:32" x14ac:dyDescent="0.25">
      <c r="A133" s="420" t="s">
        <v>121</v>
      </c>
      <c r="B133" s="149"/>
      <c r="C133" s="149"/>
      <c r="D133" s="149"/>
      <c r="E133" s="149"/>
      <c r="F133" s="149"/>
      <c r="G133" s="149"/>
      <c r="H133" s="149"/>
      <c r="I133" s="149"/>
      <c r="J133" s="149"/>
      <c r="K133" s="149"/>
      <c r="L133" s="149">
        <f>L121*$H$76</f>
        <v>4849160.8421716904</v>
      </c>
      <c r="M133" s="149"/>
      <c r="N133" s="149"/>
      <c r="O133" s="149"/>
      <c r="P133" s="149"/>
      <c r="Q133" s="149">
        <f>Q121*$H$76</f>
        <v>0</v>
      </c>
      <c r="R133" s="149"/>
      <c r="S133" s="149"/>
      <c r="T133" s="149"/>
      <c r="U133" s="149"/>
      <c r="V133" s="149">
        <f>V121*$H$76</f>
        <v>0</v>
      </c>
      <c r="W133" s="149"/>
      <c r="X133" s="149"/>
      <c r="Y133" s="149"/>
      <c r="Z133" s="149"/>
      <c r="AA133" s="149">
        <f>AA121*$H$76</f>
        <v>0</v>
      </c>
      <c r="AB133" s="149"/>
      <c r="AC133" s="149"/>
      <c r="AD133" s="149"/>
      <c r="AE133" s="149"/>
      <c r="AF133" s="149">
        <f>AF121*$H$76</f>
        <v>0</v>
      </c>
    </row>
    <row r="134" spans="1:32" x14ac:dyDescent="0.25">
      <c r="A134" s="420" t="s">
        <v>122</v>
      </c>
      <c r="B134" s="149"/>
      <c r="C134" s="149"/>
      <c r="D134" s="161"/>
      <c r="E134" s="161"/>
      <c r="F134" s="161"/>
      <c r="G134" s="161"/>
      <c r="H134" s="161"/>
      <c r="I134" s="161"/>
      <c r="J134" s="161"/>
      <c r="K134" s="161"/>
      <c r="L134" s="149">
        <f>IF(L108=0,0,V153)</f>
        <v>12952692.607353965</v>
      </c>
      <c r="M134" s="149"/>
      <c r="N134" s="149"/>
      <c r="O134" s="149"/>
      <c r="P134" s="149"/>
      <c r="Q134" s="149">
        <f>IF(Q108=0,0,V158)</f>
        <v>0</v>
      </c>
      <c r="R134" s="149"/>
      <c r="S134" s="149"/>
      <c r="T134" s="149"/>
      <c r="U134" s="149"/>
      <c r="V134" s="149">
        <f>IF(V108=0,0,V163)</f>
        <v>0</v>
      </c>
      <c r="W134" s="149"/>
      <c r="X134" s="149"/>
      <c r="Y134" s="149"/>
      <c r="Z134" s="149"/>
      <c r="AA134" s="149">
        <f>IF(AA108=0,0,V168)</f>
        <v>0</v>
      </c>
      <c r="AB134" s="149"/>
      <c r="AC134" s="149"/>
      <c r="AD134" s="149"/>
      <c r="AE134" s="149"/>
      <c r="AF134" s="149">
        <f>IF(AF108=0,0,V173)</f>
        <v>0</v>
      </c>
    </row>
    <row r="135" spans="1:32" x14ac:dyDescent="0.25">
      <c r="A135" s="420" t="s">
        <v>3</v>
      </c>
      <c r="B135" s="149">
        <f>B129</f>
        <v>-18875000</v>
      </c>
      <c r="C135" s="149">
        <f t="shared" ref="C135:K135" si="28">SUM(C127:C134)</f>
        <v>915471.89828481409</v>
      </c>
      <c r="D135" s="149">
        <f t="shared" si="28"/>
        <v>915471.89828481409</v>
      </c>
      <c r="E135" s="149">
        <f t="shared" si="28"/>
        <v>915471.89828481409</v>
      </c>
      <c r="F135" s="149">
        <f t="shared" si="28"/>
        <v>915471.89828481409</v>
      </c>
      <c r="G135" s="149">
        <f t="shared" si="28"/>
        <v>915471.89828481409</v>
      </c>
      <c r="H135" s="149">
        <f t="shared" si="28"/>
        <v>915471.89828481409</v>
      </c>
      <c r="I135" s="149">
        <f t="shared" si="28"/>
        <v>915471.89828481409</v>
      </c>
      <c r="J135" s="149">
        <f t="shared" si="28"/>
        <v>915471.89828481409</v>
      </c>
      <c r="K135" s="149">
        <f t="shared" si="28"/>
        <v>915471.89828481409</v>
      </c>
      <c r="L135" s="149">
        <f>SUM(L127:L134)</f>
        <v>18717325.34781047</v>
      </c>
      <c r="M135" s="149">
        <f t="shared" ref="M135:P135" si="29">SUM(M127:M134)</f>
        <v>915471.89828481409</v>
      </c>
      <c r="N135" s="149">
        <f t="shared" si="29"/>
        <v>915471.89828481409</v>
      </c>
      <c r="O135" s="149">
        <f t="shared" si="29"/>
        <v>915471.89828481409</v>
      </c>
      <c r="P135" s="149">
        <f t="shared" si="29"/>
        <v>915471.89828481409</v>
      </c>
      <c r="Q135" s="149">
        <f>SUM(Q127:Q134)</f>
        <v>915471.89828481409</v>
      </c>
      <c r="R135" s="149">
        <f t="shared" ref="R135:U135" si="30">SUM(R127:R134)</f>
        <v>915471.89828481409</v>
      </c>
      <c r="S135" s="149">
        <f t="shared" si="30"/>
        <v>915471.89828481409</v>
      </c>
      <c r="T135" s="149">
        <f t="shared" si="30"/>
        <v>915471.89828481409</v>
      </c>
      <c r="U135" s="149">
        <f t="shared" si="30"/>
        <v>915471.89828481409</v>
      </c>
      <c r="V135" s="149">
        <f>SUM(V127:V134)</f>
        <v>915471.89828481409</v>
      </c>
      <c r="W135" s="149">
        <f t="shared" ref="W135:Z135" si="31">SUM(W127:W134)</f>
        <v>915471.89828481409</v>
      </c>
      <c r="X135" s="149">
        <f t="shared" si="31"/>
        <v>915471.89828481409</v>
      </c>
      <c r="Y135" s="149">
        <f t="shared" si="31"/>
        <v>915471.89828481409</v>
      </c>
      <c r="Z135" s="149">
        <f t="shared" si="31"/>
        <v>915471.89828481409</v>
      </c>
      <c r="AA135" s="149">
        <f>SUM(AA127:AA134)</f>
        <v>915471.89828481409</v>
      </c>
      <c r="AB135" s="149">
        <f t="shared" ref="AB135:AF135" si="32">SUM(AB127:AB134)</f>
        <v>915471.89828481409</v>
      </c>
      <c r="AC135" s="149">
        <f t="shared" si="32"/>
        <v>915471.89828481409</v>
      </c>
      <c r="AD135" s="149">
        <f t="shared" si="32"/>
        <v>915471.89828481409</v>
      </c>
      <c r="AE135" s="149">
        <f t="shared" si="32"/>
        <v>915471.89828481409</v>
      </c>
      <c r="AF135" s="149">
        <f t="shared" si="32"/>
        <v>915471.89828481409</v>
      </c>
    </row>
    <row r="136" spans="1:32" ht="16.5" thickBot="1" x14ac:dyDescent="0.3">
      <c r="A136" s="743" t="s">
        <v>116</v>
      </c>
      <c r="B136" s="744"/>
      <c r="C136" s="744"/>
      <c r="D136" s="780"/>
      <c r="E136" s="780"/>
      <c r="F136" s="780"/>
      <c r="G136" s="780"/>
      <c r="H136" s="780"/>
      <c r="I136" s="780"/>
      <c r="J136" s="780"/>
      <c r="K136" s="780"/>
      <c r="L136" s="766">
        <f>IF(L108=0,0,IRR(B135:L135))</f>
        <v>4.3850184397848269E-2</v>
      </c>
      <c r="M136" s="766"/>
      <c r="N136" s="766"/>
      <c r="O136" s="766"/>
      <c r="P136" s="766"/>
      <c r="Q136" s="766">
        <f>IF(Q108=0,0,IRR(B135:Q135))</f>
        <v>0</v>
      </c>
      <c r="R136" s="766"/>
      <c r="S136" s="766"/>
      <c r="T136" s="766"/>
      <c r="U136" s="766"/>
      <c r="V136" s="766">
        <f>IF(V108=0,0,IRR(B135:V135))</f>
        <v>0</v>
      </c>
      <c r="W136" s="766"/>
      <c r="X136" s="766"/>
      <c r="Y136" s="766"/>
      <c r="Z136" s="766"/>
      <c r="AA136" s="766">
        <f>IF(AA108=0,0,IRR(B135:AA135))</f>
        <v>0</v>
      </c>
      <c r="AB136" s="766"/>
      <c r="AC136" s="766"/>
      <c r="AD136" s="766"/>
      <c r="AE136" s="766"/>
      <c r="AF136" s="766">
        <f>IF(AF108=0,0,IRR(B135:AF135))</f>
        <v>0</v>
      </c>
    </row>
    <row r="137" spans="1:32" ht="16.5" thickBot="1" x14ac:dyDescent="0.3">
      <c r="A137" s="598" t="s">
        <v>117</v>
      </c>
      <c r="B137" s="195"/>
      <c r="C137" s="195"/>
      <c r="D137" s="308"/>
      <c r="E137" s="308"/>
      <c r="F137" s="308"/>
      <c r="G137" s="308"/>
      <c r="H137" s="308"/>
      <c r="I137" s="308"/>
      <c r="J137" s="308"/>
      <c r="K137" s="308"/>
      <c r="L137" s="195">
        <f>IF(L108=0,0,NPV(N10,C135:L135)+B135)</f>
        <v>-877174.89607294649</v>
      </c>
      <c r="M137" s="195"/>
      <c r="N137" s="195"/>
      <c r="O137" s="195"/>
      <c r="P137" s="195"/>
      <c r="Q137" s="195">
        <f>IF(Q108=0,0,(NPV(N10,C135:Q135)+B135))</f>
        <v>0</v>
      </c>
      <c r="R137" s="195"/>
      <c r="S137" s="195"/>
      <c r="T137" s="195"/>
      <c r="U137" s="195"/>
      <c r="V137" s="195">
        <f>IF(V108=0,0,(NPV(N10,C135:V135)+B135))</f>
        <v>0</v>
      </c>
      <c r="W137" s="195"/>
      <c r="X137" s="195"/>
      <c r="Y137" s="195"/>
      <c r="Z137" s="195"/>
      <c r="AA137" s="195">
        <f>IF(AA108=0,0,(NPV(N10,C135:AA135)+B135))</f>
        <v>0</v>
      </c>
      <c r="AB137" s="195"/>
      <c r="AC137" s="195"/>
      <c r="AD137" s="195"/>
      <c r="AE137" s="195"/>
      <c r="AF137" s="195">
        <f>IF(AF108=0,0,(NPV(N10,C135:AF135)+B135))</f>
        <v>0</v>
      </c>
    </row>
    <row r="139" spans="1:32" ht="16.5" thickBot="1" x14ac:dyDescent="0.3"/>
    <row r="140" spans="1:32" ht="16.5" thickBot="1" x14ac:dyDescent="0.3">
      <c r="A140" s="43" t="s">
        <v>123</v>
      </c>
    </row>
    <row r="141" spans="1:32" ht="16.5" thickBot="1" x14ac:dyDescent="0.3">
      <c r="A141" s="50" t="s">
        <v>540</v>
      </c>
      <c r="B141" s="44"/>
      <c r="C141" s="44"/>
      <c r="D141" s="44"/>
      <c r="E141" s="45"/>
      <c r="F141" s="50" t="s">
        <v>541</v>
      </c>
      <c r="G141" s="85"/>
      <c r="H141" s="85"/>
      <c r="I141" s="85"/>
      <c r="J141" s="86"/>
      <c r="K141" s="218" t="s">
        <v>124</v>
      </c>
      <c r="L141" s="85"/>
      <c r="M141" s="85"/>
      <c r="N141" s="85"/>
      <c r="O141" s="85"/>
      <c r="P141" s="50" t="s">
        <v>235</v>
      </c>
      <c r="Q141" s="44"/>
      <c r="R141" s="44"/>
      <c r="S141" s="44"/>
      <c r="T141" s="45"/>
      <c r="U141" s="50" t="s">
        <v>236</v>
      </c>
      <c r="V141" s="44"/>
      <c r="W141" s="44"/>
      <c r="X141" s="44"/>
      <c r="Y141" s="45"/>
      <c r="Z141" s="50" t="s">
        <v>237</v>
      </c>
      <c r="AA141" s="44"/>
      <c r="AB141" s="44"/>
      <c r="AC141" s="44"/>
      <c r="AD141" s="45"/>
    </row>
    <row r="142" spans="1:32" x14ac:dyDescent="0.25">
      <c r="A142" s="167"/>
      <c r="B142" s="781"/>
      <c r="C142" s="168"/>
      <c r="D142" s="168"/>
      <c r="E142" s="169"/>
      <c r="F142" s="167"/>
      <c r="G142" s="168"/>
      <c r="H142" s="168"/>
      <c r="I142" s="168"/>
      <c r="J142" s="169"/>
      <c r="K142" s="167"/>
      <c r="L142" s="168"/>
      <c r="M142" s="168"/>
      <c r="N142" s="168"/>
      <c r="O142" s="168"/>
      <c r="P142" s="218"/>
      <c r="Q142" s="85"/>
      <c r="R142" s="85"/>
      <c r="S142" s="85"/>
      <c r="T142" s="85"/>
      <c r="U142" s="218"/>
      <c r="V142" s="85"/>
      <c r="W142" s="85"/>
      <c r="X142" s="85"/>
      <c r="Y142" s="86"/>
      <c r="Z142" s="85"/>
      <c r="AA142" s="85"/>
      <c r="AB142" s="85"/>
      <c r="AC142" s="85"/>
      <c r="AD142" s="86"/>
    </row>
    <row r="143" spans="1:32" x14ac:dyDescent="0.25">
      <c r="A143" s="219" t="s">
        <v>125</v>
      </c>
      <c r="B143" s="220" t="s">
        <v>126</v>
      </c>
      <c r="C143" s="221" t="s">
        <v>127</v>
      </c>
      <c r="D143" s="220" t="s">
        <v>128</v>
      </c>
      <c r="E143" s="222" t="s">
        <v>129</v>
      </c>
      <c r="F143" s="219" t="s">
        <v>125</v>
      </c>
      <c r="G143" s="220" t="s">
        <v>126</v>
      </c>
      <c r="H143" s="221" t="s">
        <v>127</v>
      </c>
      <c r="I143" s="220" t="s">
        <v>128</v>
      </c>
      <c r="J143" s="222" t="s">
        <v>129</v>
      </c>
      <c r="K143" s="219" t="s">
        <v>125</v>
      </c>
      <c r="L143" s="220" t="s">
        <v>126</v>
      </c>
      <c r="M143" s="221" t="s">
        <v>127</v>
      </c>
      <c r="N143" s="220" t="s">
        <v>128</v>
      </c>
      <c r="O143" s="221" t="s">
        <v>129</v>
      </c>
      <c r="P143" s="219" t="s">
        <v>130</v>
      </c>
      <c r="Q143" s="220" t="s">
        <v>126</v>
      </c>
      <c r="R143" s="220" t="s">
        <v>127</v>
      </c>
      <c r="S143" s="220" t="s">
        <v>128</v>
      </c>
      <c r="T143" s="221" t="s">
        <v>129</v>
      </c>
      <c r="U143" s="219" t="s">
        <v>130</v>
      </c>
      <c r="V143" s="220" t="s">
        <v>126</v>
      </c>
      <c r="W143" s="782" t="s">
        <v>127</v>
      </c>
      <c r="X143" s="782" t="s">
        <v>128</v>
      </c>
      <c r="Y143" s="783" t="s">
        <v>129</v>
      </c>
      <c r="Z143" s="221" t="s">
        <v>130</v>
      </c>
      <c r="AA143" s="220" t="s">
        <v>126</v>
      </c>
      <c r="AB143" s="220" t="s">
        <v>127</v>
      </c>
      <c r="AC143" s="220" t="s">
        <v>128</v>
      </c>
      <c r="AD143" s="222" t="s">
        <v>129</v>
      </c>
    </row>
    <row r="144" spans="1:32" x14ac:dyDescent="0.25">
      <c r="A144" s="72">
        <v>0</v>
      </c>
      <c r="B144" s="784">
        <f>H56</f>
        <v>26677000</v>
      </c>
      <c r="C144" s="604"/>
      <c r="D144" s="784"/>
      <c r="E144" s="785"/>
      <c r="F144" s="72">
        <v>0</v>
      </c>
      <c r="G144" s="784">
        <f>H61</f>
        <v>17400000</v>
      </c>
      <c r="H144" s="604"/>
      <c r="I144" s="784"/>
      <c r="J144" s="785"/>
      <c r="K144" s="72">
        <v>0</v>
      </c>
      <c r="L144" s="784">
        <f>B144+G144</f>
        <v>44077000</v>
      </c>
      <c r="M144" s="604"/>
      <c r="N144" s="784"/>
      <c r="O144" s="604"/>
      <c r="P144" s="72">
        <v>1</v>
      </c>
      <c r="Q144" s="786">
        <f>B156</f>
        <v>26229891.064358149</v>
      </c>
      <c r="R144" s="787">
        <f>SUM(C145:C156)</f>
        <v>1581088.01683591</v>
      </c>
      <c r="S144" s="787">
        <f>SUM(D145:D156)</f>
        <v>1133979.0811940539</v>
      </c>
      <c r="T144" s="788">
        <f>SUM(E145:E156)</f>
        <v>447108.93564185646</v>
      </c>
      <c r="U144" s="72">
        <v>1</v>
      </c>
      <c r="V144" s="786">
        <f>G156</f>
        <v>17002783.609849643</v>
      </c>
      <c r="W144" s="786">
        <f t="shared" ref="W144:W153" si="33">SUM(H145:H156)</f>
        <v>820471.89828481397</v>
      </c>
      <c r="X144" s="786">
        <f t="shared" ref="X144:X153" si="34">SUM(I145:I156)</f>
        <v>423255.50813445955</v>
      </c>
      <c r="Y144" s="789">
        <f t="shared" ref="Y144:Y153" si="35">SUM(J145:J156)</f>
        <v>397216.39015035442</v>
      </c>
      <c r="Z144" s="24">
        <v>1</v>
      </c>
      <c r="AA144" s="784">
        <f>Q144+V144</f>
        <v>43232674.674207792</v>
      </c>
      <c r="AB144" s="784">
        <f>R144+W144</f>
        <v>2401559.9151207241</v>
      </c>
      <c r="AC144" s="784">
        <f>S144+X144</f>
        <v>1557234.5893285135</v>
      </c>
      <c r="AD144" s="789">
        <f>T144+Y144</f>
        <v>844325.32579221088</v>
      </c>
    </row>
    <row r="145" spans="1:34" x14ac:dyDescent="0.25">
      <c r="A145" s="72">
        <v>1</v>
      </c>
      <c r="B145" s="784">
        <f t="shared" ref="B145:B208" si="36">B144-E145</f>
        <v>26640466.758706383</v>
      </c>
      <c r="C145" s="604">
        <f t="shared" ref="C145:C208" si="37">-$H$59/12</f>
        <v>131757.33473632587</v>
      </c>
      <c r="D145" s="784">
        <f t="shared" ref="D145:D208" si="38">$H$57/12*B144</f>
        <v>95224.093442709331</v>
      </c>
      <c r="E145" s="785">
        <f t="shared" ref="E145:E208" si="39">C145-D145</f>
        <v>36533.241293616535</v>
      </c>
      <c r="F145" s="72">
        <v>1</v>
      </c>
      <c r="G145" s="784">
        <f t="shared" ref="G145:G208" si="40">G144-J145</f>
        <v>17367269.911598407</v>
      </c>
      <c r="H145" s="604">
        <f t="shared" ref="H145:H208" si="41">-$H$64/12</f>
        <v>68372.658190401169</v>
      </c>
      <c r="I145" s="784">
        <f t="shared" ref="I145:I208" si="42">$H$62/12*G144</f>
        <v>35642.569788808061</v>
      </c>
      <c r="J145" s="785">
        <f t="shared" ref="J145:J208" si="43">H145-I145</f>
        <v>32730.088401593108</v>
      </c>
      <c r="K145" s="72">
        <v>1</v>
      </c>
      <c r="L145" s="784">
        <f t="shared" ref="L145:L208" si="44">G145+B145</f>
        <v>44007736.67030479</v>
      </c>
      <c r="M145" s="604">
        <f t="shared" ref="M145:M208" si="45">H145+C145</f>
        <v>200129.99292672705</v>
      </c>
      <c r="N145" s="784">
        <f t="shared" ref="N145:N208" si="46">I145+D145</f>
        <v>130866.66323151739</v>
      </c>
      <c r="O145" s="604">
        <f t="shared" ref="O145:O208" si="47">J145+E145</f>
        <v>69263.329695209643</v>
      </c>
      <c r="P145" s="72">
        <v>2</v>
      </c>
      <c r="Q145" s="786">
        <f>B168</f>
        <v>25763250.055135958</v>
      </c>
      <c r="R145" s="786">
        <f>SUM(C157:C168)</f>
        <v>1581088.01683591</v>
      </c>
      <c r="S145" s="786">
        <f>SUM(D157:D168)</f>
        <v>1114447.0076137148</v>
      </c>
      <c r="T145" s="789">
        <f>SUM(E157:E168)</f>
        <v>466641.00922219525</v>
      </c>
      <c r="U145" s="72">
        <v>2</v>
      </c>
      <c r="V145" s="786">
        <f>G168</f>
        <v>16595692.451663058</v>
      </c>
      <c r="W145" s="786">
        <f t="shared" si="33"/>
        <v>820471.89828481397</v>
      </c>
      <c r="X145" s="786">
        <f t="shared" si="34"/>
        <v>422441.8407260002</v>
      </c>
      <c r="Y145" s="789">
        <f t="shared" si="35"/>
        <v>398030.05755881371</v>
      </c>
      <c r="Z145" s="24">
        <v>2</v>
      </c>
      <c r="AA145" s="784">
        <f t="shared" ref="AA145:AA173" si="48">Q145+V145</f>
        <v>42358942.506799012</v>
      </c>
      <c r="AB145" s="784">
        <f t="shared" ref="AB145:AB173" si="49">R145+W145</f>
        <v>2401559.9151207241</v>
      </c>
      <c r="AC145" s="784">
        <f t="shared" ref="AC145:AC173" si="50">S145+X145</f>
        <v>1536888.848339715</v>
      </c>
      <c r="AD145" s="789">
        <f t="shared" ref="AD145:AD173" si="51">T145+Y145</f>
        <v>864671.06678100897</v>
      </c>
    </row>
    <row r="146" spans="1:34" x14ac:dyDescent="0.25">
      <c r="A146" s="72">
        <f t="shared" ref="A146:A209" si="52">A145+1</f>
        <v>2</v>
      </c>
      <c r="B146" s="784">
        <f t="shared" si="36"/>
        <v>26603803.111265797</v>
      </c>
      <c r="C146" s="604">
        <f t="shared" si="37"/>
        <v>131757.33473632587</v>
      </c>
      <c r="D146" s="784">
        <f t="shared" si="38"/>
        <v>95093.687295739714</v>
      </c>
      <c r="E146" s="785">
        <f t="shared" si="39"/>
        <v>36663.647440586152</v>
      </c>
      <c r="F146" s="72">
        <f t="shared" ref="F146:F209" si="53">F145+1</f>
        <v>2</v>
      </c>
      <c r="G146" s="784">
        <f t="shared" si="40"/>
        <v>17334472.778112903</v>
      </c>
      <c r="H146" s="604">
        <f t="shared" si="41"/>
        <v>68372.658190401169</v>
      </c>
      <c r="I146" s="784">
        <f t="shared" si="42"/>
        <v>35575.524704897281</v>
      </c>
      <c r="J146" s="785">
        <f t="shared" si="43"/>
        <v>32797.133485503888</v>
      </c>
      <c r="K146" s="72">
        <f t="shared" ref="K146:K209" si="54">K145+1</f>
        <v>2</v>
      </c>
      <c r="L146" s="784">
        <f t="shared" si="44"/>
        <v>43938275.889378697</v>
      </c>
      <c r="M146" s="604">
        <f t="shared" si="45"/>
        <v>200129.99292672705</v>
      </c>
      <c r="N146" s="784">
        <f t="shared" si="46"/>
        <v>130669.212000637</v>
      </c>
      <c r="O146" s="604">
        <f t="shared" si="47"/>
        <v>69460.780926090039</v>
      </c>
      <c r="P146" s="72">
        <v>3</v>
      </c>
      <c r="Q146" s="786">
        <f>B180</f>
        <v>25276223.708468769</v>
      </c>
      <c r="R146" s="786">
        <f>SUM(C169:C180)</f>
        <v>1581088.01683591</v>
      </c>
      <c r="S146" s="786">
        <f>SUM(D169:D180)</f>
        <v>1094061.6701687207</v>
      </c>
      <c r="T146" s="789">
        <f>SUM(E169:E180)</f>
        <v>487026.34666718991</v>
      </c>
      <c r="U146" s="72">
        <v>3</v>
      </c>
      <c r="V146" s="786">
        <f>G180</f>
        <v>16178481.039488021</v>
      </c>
      <c r="W146" s="786">
        <f t="shared" si="33"/>
        <v>820471.89828481397</v>
      </c>
      <c r="X146" s="786">
        <f t="shared" si="34"/>
        <v>421626.50658205868</v>
      </c>
      <c r="Y146" s="789">
        <f t="shared" si="35"/>
        <v>398845.39170275547</v>
      </c>
      <c r="Z146" s="24">
        <v>3</v>
      </c>
      <c r="AA146" s="784">
        <f t="shared" si="48"/>
        <v>41454704.74795679</v>
      </c>
      <c r="AB146" s="784">
        <f t="shared" si="49"/>
        <v>2401559.9151207241</v>
      </c>
      <c r="AC146" s="784">
        <f t="shared" si="50"/>
        <v>1515688.1767507794</v>
      </c>
      <c r="AD146" s="789">
        <f t="shared" si="51"/>
        <v>885871.73836994544</v>
      </c>
    </row>
    <row r="147" spans="1:34" x14ac:dyDescent="0.25">
      <c r="A147" s="72">
        <f t="shared" si="52"/>
        <v>3</v>
      </c>
      <c r="B147" s="784">
        <f t="shared" si="36"/>
        <v>26567008.592190851</v>
      </c>
      <c r="C147" s="604">
        <f t="shared" si="37"/>
        <v>131757.33473632587</v>
      </c>
      <c r="D147" s="784">
        <f t="shared" si="38"/>
        <v>94962.815661379296</v>
      </c>
      <c r="E147" s="785">
        <f t="shared" si="39"/>
        <v>36794.519074946569</v>
      </c>
      <c r="F147" s="72">
        <f t="shared" si="53"/>
        <v>3</v>
      </c>
      <c r="G147" s="784">
        <f>G146-J147</f>
        <v>17301608.462206759</v>
      </c>
      <c r="H147" s="604">
        <f t="shared" si="41"/>
        <v>68372.658190401169</v>
      </c>
      <c r="I147" s="784">
        <f t="shared" si="42"/>
        <v>35508.342284257633</v>
      </c>
      <c r="J147" s="785">
        <f t="shared" si="43"/>
        <v>32864.315906143536</v>
      </c>
      <c r="K147" s="72">
        <f t="shared" si="54"/>
        <v>3</v>
      </c>
      <c r="L147" s="784">
        <f t="shared" si="44"/>
        <v>43868617.054397613</v>
      </c>
      <c r="M147" s="604">
        <f t="shared" si="45"/>
        <v>200129.99292672705</v>
      </c>
      <c r="N147" s="784">
        <f t="shared" si="46"/>
        <v>130471.15794563692</v>
      </c>
      <c r="O147" s="604">
        <f t="shared" si="47"/>
        <v>69658.834981090098</v>
      </c>
      <c r="P147" s="72">
        <v>4</v>
      </c>
      <c r="Q147" s="786">
        <f>B192</f>
        <v>24767921.485431515</v>
      </c>
      <c r="R147" s="786">
        <f>SUM(C181:C192)</f>
        <v>1581088.01683591</v>
      </c>
      <c r="S147" s="786">
        <f>SUM(D181:D192)</f>
        <v>1072785.7937986562</v>
      </c>
      <c r="T147" s="789">
        <f>SUM(E181:E192)</f>
        <v>508302.2230372543</v>
      </c>
      <c r="U147" s="72">
        <v>4</v>
      </c>
      <c r="V147" s="786">
        <f>G192</f>
        <v>15750897.784610976</v>
      </c>
      <c r="W147" s="786">
        <f t="shared" si="33"/>
        <v>820471.89828481397</v>
      </c>
      <c r="X147" s="786">
        <f t="shared" si="34"/>
        <v>420809.50228845462</v>
      </c>
      <c r="Y147" s="789">
        <f t="shared" si="35"/>
        <v>399662.39599635941</v>
      </c>
      <c r="Z147" s="24">
        <v>4</v>
      </c>
      <c r="AA147" s="784">
        <f t="shared" si="48"/>
        <v>40518819.270042494</v>
      </c>
      <c r="AB147" s="784">
        <f t="shared" si="49"/>
        <v>2401559.9151207241</v>
      </c>
      <c r="AC147" s="784">
        <f t="shared" si="50"/>
        <v>1493595.2960871109</v>
      </c>
      <c r="AD147" s="789">
        <f t="shared" si="51"/>
        <v>907964.61903361371</v>
      </c>
    </row>
    <row r="148" spans="1:34" x14ac:dyDescent="0.25">
      <c r="A148" s="72">
        <f t="shared" si="52"/>
        <v>4</v>
      </c>
      <c r="B148" s="784">
        <f t="shared" si="36"/>
        <v>26530082.734332588</v>
      </c>
      <c r="C148" s="604">
        <f t="shared" si="37"/>
        <v>131757.33473632587</v>
      </c>
      <c r="D148" s="784">
        <f t="shared" si="38"/>
        <v>94831.476878061367</v>
      </c>
      <c r="E148" s="785">
        <f t="shared" si="39"/>
        <v>36925.857858264499</v>
      </c>
      <c r="F148" s="72">
        <f t="shared" si="53"/>
        <v>4</v>
      </c>
      <c r="G148" s="784">
        <f t="shared" si="40"/>
        <v>17268676.826261923</v>
      </c>
      <c r="H148" s="604">
        <f t="shared" si="41"/>
        <v>68372.658190401169</v>
      </c>
      <c r="I148" s="784">
        <f t="shared" si="42"/>
        <v>35441.02224556532</v>
      </c>
      <c r="J148" s="785">
        <f t="shared" si="43"/>
        <v>32931.635944835849</v>
      </c>
      <c r="K148" s="72">
        <f t="shared" si="54"/>
        <v>4</v>
      </c>
      <c r="L148" s="784">
        <f t="shared" si="44"/>
        <v>43798759.560594514</v>
      </c>
      <c r="M148" s="604">
        <f t="shared" si="45"/>
        <v>200129.99292672705</v>
      </c>
      <c r="N148" s="784">
        <f t="shared" si="46"/>
        <v>130272.49912362668</v>
      </c>
      <c r="O148" s="604">
        <f t="shared" si="47"/>
        <v>69857.49380310034</v>
      </c>
      <c r="P148" s="72">
        <v>5</v>
      </c>
      <c r="Q148" s="786">
        <f>B204</f>
        <v>24237413.943667717</v>
      </c>
      <c r="R148" s="786">
        <f>SUM(C193:C204)</f>
        <v>1581088.01683591</v>
      </c>
      <c r="S148" s="786">
        <f>SUM(D193:D204)</f>
        <v>1050580.4750721112</v>
      </c>
      <c r="T148" s="789">
        <f>SUM(E193:E204)</f>
        <v>530507.54176379915</v>
      </c>
      <c r="U148" s="72">
        <v>5</v>
      </c>
      <c r="V148" s="786">
        <f>G204</f>
        <v>15312684.843842849</v>
      </c>
      <c r="W148" s="786">
        <f t="shared" si="33"/>
        <v>820471.89828481397</v>
      </c>
      <c r="X148" s="786">
        <f t="shared" si="34"/>
        <v>419990.82442401425</v>
      </c>
      <c r="Y148" s="789">
        <f t="shared" si="35"/>
        <v>400481.07386079978</v>
      </c>
      <c r="Z148" s="24">
        <v>5</v>
      </c>
      <c r="AA148" s="784">
        <f t="shared" si="48"/>
        <v>39550098.787510566</v>
      </c>
      <c r="AB148" s="784">
        <f t="shared" si="49"/>
        <v>2401559.9151207241</v>
      </c>
      <c r="AC148" s="784">
        <f t="shared" si="50"/>
        <v>1470571.2994961254</v>
      </c>
      <c r="AD148" s="789">
        <f t="shared" si="51"/>
        <v>930988.61562459893</v>
      </c>
    </row>
    <row r="149" spans="1:34" x14ac:dyDescent="0.25">
      <c r="A149" s="72">
        <f t="shared" si="52"/>
        <v>5</v>
      </c>
      <c r="B149" s="784">
        <f t="shared" si="36"/>
        <v>26493025.068874549</v>
      </c>
      <c r="C149" s="604">
        <f t="shared" si="37"/>
        <v>131757.33473632587</v>
      </c>
      <c r="D149" s="784">
        <f t="shared" si="38"/>
        <v>94699.669278288246</v>
      </c>
      <c r="E149" s="785">
        <f t="shared" si="39"/>
        <v>37057.66545803762</v>
      </c>
      <c r="F149" s="72">
        <f t="shared" si="53"/>
        <v>5</v>
      </c>
      <c r="G149" s="784">
        <f t="shared" si="40"/>
        <v>17235677.732378442</v>
      </c>
      <c r="H149" s="604">
        <f t="shared" si="41"/>
        <v>68372.658190401169</v>
      </c>
      <c r="I149" s="784">
        <f t="shared" si="42"/>
        <v>35373.564306920292</v>
      </c>
      <c r="J149" s="785">
        <f t="shared" si="43"/>
        <v>32999.093883480877</v>
      </c>
      <c r="K149" s="72">
        <f t="shared" si="54"/>
        <v>5</v>
      </c>
      <c r="L149" s="784">
        <f t="shared" si="44"/>
        <v>43728702.801252991</v>
      </c>
      <c r="M149" s="604">
        <f t="shared" si="45"/>
        <v>200129.99292672705</v>
      </c>
      <c r="N149" s="784">
        <f t="shared" si="46"/>
        <v>130073.23358520854</v>
      </c>
      <c r="O149" s="604">
        <f t="shared" si="47"/>
        <v>70056.759341518497</v>
      </c>
      <c r="P149" s="72">
        <v>6</v>
      </c>
      <c r="Q149" s="786">
        <f>B216</f>
        <v>23683731.037882671</v>
      </c>
      <c r="R149" s="786">
        <f>SUM(C205:C216)</f>
        <v>1581088.01683591</v>
      </c>
      <c r="S149" s="786">
        <f>SUM(D205:D216)</f>
        <v>1027405.1110508577</v>
      </c>
      <c r="T149" s="789">
        <f>SUM(E205:E216)</f>
        <v>553682.90578505269</v>
      </c>
      <c r="U149" s="72">
        <v>6</v>
      </c>
      <c r="V149" s="786">
        <f>G216</f>
        <v>14863577.964033274</v>
      </c>
      <c r="W149" s="786">
        <f t="shared" si="33"/>
        <v>820471.89828481397</v>
      </c>
      <c r="X149" s="786">
        <f t="shared" si="34"/>
        <v>419170.46956055565</v>
      </c>
      <c r="Y149" s="789">
        <f t="shared" si="35"/>
        <v>401301.42872425844</v>
      </c>
      <c r="Z149" s="24">
        <v>6</v>
      </c>
      <c r="AA149" s="784">
        <f t="shared" si="48"/>
        <v>38547309.001915947</v>
      </c>
      <c r="AB149" s="784">
        <f t="shared" si="49"/>
        <v>2401559.9151207241</v>
      </c>
      <c r="AC149" s="784">
        <f t="shared" si="50"/>
        <v>1446575.5806114133</v>
      </c>
      <c r="AD149" s="789">
        <f t="shared" si="51"/>
        <v>954984.33450931113</v>
      </c>
    </row>
    <row r="150" spans="1:34" x14ac:dyDescent="0.25">
      <c r="A150" s="72">
        <f t="shared" si="52"/>
        <v>6</v>
      </c>
      <c r="B150" s="784">
        <f t="shared" si="36"/>
        <v>26455835.125326835</v>
      </c>
      <c r="C150" s="604">
        <f t="shared" si="37"/>
        <v>131757.33473632587</v>
      </c>
      <c r="D150" s="784">
        <f t="shared" si="38"/>
        <v>94567.391188610069</v>
      </c>
      <c r="E150" s="785">
        <f t="shared" si="39"/>
        <v>37189.943547715797</v>
      </c>
      <c r="F150" s="72">
        <f t="shared" si="53"/>
        <v>6</v>
      </c>
      <c r="G150" s="784">
        <f t="shared" si="40"/>
        <v>17202611.042373884</v>
      </c>
      <c r="H150" s="604">
        <f t="shared" si="41"/>
        <v>68372.658190401169</v>
      </c>
      <c r="I150" s="784">
        <f t="shared" si="42"/>
        <v>35305.968185845042</v>
      </c>
      <c r="J150" s="785">
        <f t="shared" si="43"/>
        <v>33066.690004556127</v>
      </c>
      <c r="K150" s="72">
        <f t="shared" si="54"/>
        <v>6</v>
      </c>
      <c r="L150" s="784">
        <f t="shared" si="44"/>
        <v>43658446.167700723</v>
      </c>
      <c r="M150" s="604">
        <f t="shared" si="45"/>
        <v>200129.99292672705</v>
      </c>
      <c r="N150" s="784">
        <f t="shared" si="46"/>
        <v>129873.35937445512</v>
      </c>
      <c r="O150" s="604">
        <f t="shared" si="47"/>
        <v>70256.633552271931</v>
      </c>
      <c r="P150" s="72">
        <v>7</v>
      </c>
      <c r="Q150" s="786">
        <f>B228</f>
        <v>23105860.346093196</v>
      </c>
      <c r="R150" s="786">
        <f>SUM(C217:C228)</f>
        <v>1581088.01683591</v>
      </c>
      <c r="S150" s="786">
        <f>SUM(D217:D228)</f>
        <v>1003217.3250464369</v>
      </c>
      <c r="T150" s="789">
        <f>SUM(E217:E228)</f>
        <v>577870.69178947352</v>
      </c>
      <c r="U150" s="72">
        <v>7</v>
      </c>
      <c r="V150" s="786">
        <f>G228</f>
        <v>14403306.322719477</v>
      </c>
      <c r="W150" s="786">
        <f t="shared" si="33"/>
        <v>820471.89828481397</v>
      </c>
      <c r="X150" s="786">
        <f t="shared" si="34"/>
        <v>418348.43426287448</v>
      </c>
      <c r="Y150" s="789">
        <f t="shared" si="35"/>
        <v>402123.46402193955</v>
      </c>
      <c r="Z150" s="24">
        <v>7</v>
      </c>
      <c r="AA150" s="784">
        <f t="shared" si="48"/>
        <v>37509166.668812677</v>
      </c>
      <c r="AB150" s="784">
        <f t="shared" si="49"/>
        <v>2401559.9151207241</v>
      </c>
      <c r="AC150" s="784">
        <f t="shared" si="50"/>
        <v>1421565.7593093114</v>
      </c>
      <c r="AD150" s="789">
        <f t="shared" si="51"/>
        <v>979994.15581141307</v>
      </c>
    </row>
    <row r="151" spans="1:34" x14ac:dyDescent="0.25">
      <c r="A151" s="72">
        <f t="shared" si="52"/>
        <v>7</v>
      </c>
      <c r="B151" s="784">
        <f t="shared" si="36"/>
        <v>26418512.431520112</v>
      </c>
      <c r="C151" s="604">
        <f t="shared" si="37"/>
        <v>131757.33473632587</v>
      </c>
      <c r="D151" s="784">
        <f t="shared" si="38"/>
        <v>94434.640929603556</v>
      </c>
      <c r="E151" s="785">
        <f t="shared" si="39"/>
        <v>37322.693806722309</v>
      </c>
      <c r="F151" s="72">
        <f t="shared" si="53"/>
        <v>7</v>
      </c>
      <c r="G151" s="784">
        <f t="shared" si="40"/>
        <v>17169476.617782768</v>
      </c>
      <c r="H151" s="604">
        <f t="shared" si="41"/>
        <v>68372.658190401169</v>
      </c>
      <c r="I151" s="784">
        <f t="shared" si="42"/>
        <v>35238.233599283412</v>
      </c>
      <c r="J151" s="785">
        <f t="shared" si="43"/>
        <v>33134.424591117757</v>
      </c>
      <c r="K151" s="72">
        <f t="shared" si="54"/>
        <v>7</v>
      </c>
      <c r="L151" s="784">
        <f t="shared" si="44"/>
        <v>43587989.049302876</v>
      </c>
      <c r="M151" s="604">
        <f t="shared" si="45"/>
        <v>200129.99292672705</v>
      </c>
      <c r="N151" s="784">
        <f t="shared" si="46"/>
        <v>129672.87452888697</v>
      </c>
      <c r="O151" s="604">
        <f t="shared" si="47"/>
        <v>70457.118397840066</v>
      </c>
      <c r="P151" s="72">
        <v>8</v>
      </c>
      <c r="Q151" s="786">
        <f>B240</f>
        <v>22502745.218390699</v>
      </c>
      <c r="R151" s="786">
        <f>SUM(C229:C240)</f>
        <v>1581088.01683591</v>
      </c>
      <c r="S151" s="786">
        <f>SUM(D229:D240)</f>
        <v>977972.88913340797</v>
      </c>
      <c r="T151" s="789">
        <f>SUM(E229:E240)</f>
        <v>603115.1277025023</v>
      </c>
      <c r="U151" s="72">
        <v>8</v>
      </c>
      <c r="V151" s="786">
        <f>G240</f>
        <v>13931592.36481368</v>
      </c>
      <c r="W151" s="786">
        <f t="shared" si="33"/>
        <v>820471.89828481397</v>
      </c>
      <c r="X151" s="786">
        <f t="shared" si="34"/>
        <v>417524.71508872969</v>
      </c>
      <c r="Y151" s="789">
        <f t="shared" si="35"/>
        <v>402947.18319608434</v>
      </c>
      <c r="Z151" s="24">
        <v>8</v>
      </c>
      <c r="AA151" s="784">
        <f t="shared" si="48"/>
        <v>36434337.583204381</v>
      </c>
      <c r="AB151" s="784">
        <f t="shared" si="49"/>
        <v>2401559.9151207241</v>
      </c>
      <c r="AC151" s="784">
        <f t="shared" si="50"/>
        <v>1395497.6042221377</v>
      </c>
      <c r="AD151" s="789">
        <f t="shared" si="51"/>
        <v>1006062.3108985866</v>
      </c>
    </row>
    <row r="152" spans="1:34" x14ac:dyDescent="0.25">
      <c r="A152" s="72">
        <f t="shared" si="52"/>
        <v>8</v>
      </c>
      <c r="B152" s="784">
        <f t="shared" si="36"/>
        <v>26381056.513599638</v>
      </c>
      <c r="C152" s="604">
        <f t="shared" si="37"/>
        <v>131757.33473632587</v>
      </c>
      <c r="D152" s="784">
        <f t="shared" si="38"/>
        <v>94301.416815850695</v>
      </c>
      <c r="E152" s="785">
        <f t="shared" si="39"/>
        <v>37455.917920475171</v>
      </c>
      <c r="F152" s="72">
        <f t="shared" si="53"/>
        <v>8</v>
      </c>
      <c r="G152" s="784">
        <f t="shared" si="40"/>
        <v>17136274.319855966</v>
      </c>
      <c r="H152" s="604">
        <f t="shared" si="41"/>
        <v>68372.658190401169</v>
      </c>
      <c r="I152" s="784">
        <f t="shared" si="42"/>
        <v>35170.360263599454</v>
      </c>
      <c r="J152" s="785">
        <f t="shared" si="43"/>
        <v>33202.297926801715</v>
      </c>
      <c r="K152" s="72">
        <f t="shared" si="54"/>
        <v>8</v>
      </c>
      <c r="L152" s="784">
        <f t="shared" si="44"/>
        <v>43517330.833455607</v>
      </c>
      <c r="M152" s="604">
        <f t="shared" si="45"/>
        <v>200129.99292672705</v>
      </c>
      <c r="N152" s="784">
        <f t="shared" si="46"/>
        <v>129471.77707945014</v>
      </c>
      <c r="O152" s="604">
        <f t="shared" si="47"/>
        <v>70658.215847276879</v>
      </c>
      <c r="P152" s="72">
        <v>9</v>
      </c>
      <c r="Q152" s="786">
        <f>B252</f>
        <v>21873282.844832353</v>
      </c>
      <c r="R152" s="786">
        <f>SUM(C241:C252)</f>
        <v>1581088.01683591</v>
      </c>
      <c r="S152" s="786">
        <f>SUM(D241:D252)</f>
        <v>951625.64327756362</v>
      </c>
      <c r="T152" s="789">
        <f>SUM(E241:E252)</f>
        <v>629462.37355834665</v>
      </c>
      <c r="U152" s="72">
        <v>9</v>
      </c>
      <c r="V152" s="786">
        <f>G252</f>
        <v>13448151.63523058</v>
      </c>
      <c r="W152" s="786">
        <f t="shared" si="33"/>
        <v>820471.89828481397</v>
      </c>
      <c r="X152" s="786">
        <f t="shared" si="34"/>
        <v>416699.30858882907</v>
      </c>
      <c r="Y152" s="789">
        <f t="shared" si="35"/>
        <v>403772.58969598502</v>
      </c>
      <c r="Z152" s="24">
        <v>9</v>
      </c>
      <c r="AA152" s="784">
        <f t="shared" si="48"/>
        <v>35321434.480062932</v>
      </c>
      <c r="AB152" s="784">
        <f t="shared" si="49"/>
        <v>2401559.9151207241</v>
      </c>
      <c r="AC152" s="784">
        <f t="shared" si="50"/>
        <v>1368324.9518663927</v>
      </c>
      <c r="AD152" s="789">
        <f t="shared" si="51"/>
        <v>1033234.9632543316</v>
      </c>
    </row>
    <row r="153" spans="1:34" x14ac:dyDescent="0.25">
      <c r="A153" s="72">
        <f t="shared" si="52"/>
        <v>9</v>
      </c>
      <c r="B153" s="784">
        <f t="shared" si="36"/>
        <v>26343466.896019228</v>
      </c>
      <c r="C153" s="604">
        <f t="shared" si="37"/>
        <v>131757.33473632587</v>
      </c>
      <c r="D153" s="784">
        <f t="shared" si="38"/>
        <v>94167.717155917358</v>
      </c>
      <c r="E153" s="785">
        <f t="shared" si="39"/>
        <v>37589.617580408507</v>
      </c>
      <c r="F153" s="72">
        <f t="shared" si="53"/>
        <v>9</v>
      </c>
      <c r="G153" s="784">
        <f t="shared" si="40"/>
        <v>17103004.009560142</v>
      </c>
      <c r="H153" s="604">
        <f t="shared" si="41"/>
        <v>68372.658190401169</v>
      </c>
      <c r="I153" s="784">
        <f t="shared" si="42"/>
        <v>35102.347894576189</v>
      </c>
      <c r="J153" s="785">
        <f t="shared" si="43"/>
        <v>33270.31029582498</v>
      </c>
      <c r="K153" s="72">
        <f t="shared" si="54"/>
        <v>9</v>
      </c>
      <c r="L153" s="784">
        <f t="shared" si="44"/>
        <v>43446470.905579373</v>
      </c>
      <c r="M153" s="604">
        <f t="shared" si="45"/>
        <v>200129.99292672705</v>
      </c>
      <c r="N153" s="784">
        <f t="shared" si="46"/>
        <v>129270.06505049355</v>
      </c>
      <c r="O153" s="604">
        <f t="shared" si="47"/>
        <v>70859.927876233487</v>
      </c>
      <c r="P153" s="258">
        <v>10</v>
      </c>
      <c r="Q153" s="786">
        <f>B264</f>
        <v>21216322.238927688</v>
      </c>
      <c r="R153" s="786">
        <f>SUM(C253:C264)</f>
        <v>1581088.01683591</v>
      </c>
      <c r="S153" s="786">
        <f>SUM(D253:D264)</f>
        <v>924127.41093124158</v>
      </c>
      <c r="T153" s="789">
        <f>SUM(E253:E264)</f>
        <v>656960.60590466869</v>
      </c>
      <c r="U153" s="72">
        <v>10</v>
      </c>
      <c r="V153" s="786">
        <f>G264</f>
        <v>12952692.607353965</v>
      </c>
      <c r="W153" s="786">
        <f t="shared" si="33"/>
        <v>820471.89828481397</v>
      </c>
      <c r="X153" s="786">
        <f t="shared" si="34"/>
        <v>415872.21130681492</v>
      </c>
      <c r="Y153" s="789">
        <f t="shared" si="35"/>
        <v>404599.68697799917</v>
      </c>
      <c r="Z153" s="24">
        <v>10</v>
      </c>
      <c r="AA153" s="784">
        <f t="shared" si="48"/>
        <v>34169014.846281655</v>
      </c>
      <c r="AB153" s="784">
        <f t="shared" si="49"/>
        <v>2401559.9151207241</v>
      </c>
      <c r="AC153" s="784">
        <f t="shared" si="50"/>
        <v>1339999.6222380565</v>
      </c>
      <c r="AD153" s="789">
        <f t="shared" si="51"/>
        <v>1061560.2928826679</v>
      </c>
      <c r="AG153" s="732"/>
    </row>
    <row r="154" spans="1:34" x14ac:dyDescent="0.25">
      <c r="A154" s="72">
        <f t="shared" si="52"/>
        <v>10</v>
      </c>
      <c r="B154" s="784">
        <f t="shared" si="36"/>
        <v>26305743.101535235</v>
      </c>
      <c r="C154" s="604">
        <f t="shared" si="37"/>
        <v>131757.33473632587</v>
      </c>
      <c r="D154" s="784">
        <f t="shared" si="38"/>
        <v>94033.540252331775</v>
      </c>
      <c r="E154" s="785">
        <f t="shared" si="39"/>
        <v>37723.79448399409</v>
      </c>
      <c r="F154" s="72">
        <f t="shared" si="53"/>
        <v>10</v>
      </c>
      <c r="G154" s="784">
        <f t="shared" si="40"/>
        <v>17069665.547577154</v>
      </c>
      <c r="H154" s="604">
        <f t="shared" si="41"/>
        <v>68372.658190401169</v>
      </c>
      <c r="I154" s="784">
        <f t="shared" si="42"/>
        <v>35034.196207414454</v>
      </c>
      <c r="J154" s="785">
        <f t="shared" si="43"/>
        <v>33338.461982986715</v>
      </c>
      <c r="K154" s="72">
        <f t="shared" si="54"/>
        <v>10</v>
      </c>
      <c r="L154" s="784">
        <f t="shared" si="44"/>
        <v>43375408.649112388</v>
      </c>
      <c r="M154" s="604">
        <f t="shared" si="45"/>
        <v>200129.99292672705</v>
      </c>
      <c r="N154" s="784">
        <f t="shared" si="46"/>
        <v>129067.73645974623</v>
      </c>
      <c r="O154" s="785">
        <f t="shared" si="47"/>
        <v>71062.256466980805</v>
      </c>
      <c r="P154" s="258">
        <v>11</v>
      </c>
      <c r="Q154" s="790">
        <f>B276</f>
        <v>20530662.133033171</v>
      </c>
      <c r="R154" s="790">
        <f>SUM(C265:C276)</f>
        <v>1581088.01683591</v>
      </c>
      <c r="S154" s="790">
        <f>SUM(D265:D276)</f>
        <v>895427.91094139405</v>
      </c>
      <c r="T154" s="791">
        <f>SUM(E265:E276)</f>
        <v>685660.10589451599</v>
      </c>
      <c r="U154" s="258">
        <v>11</v>
      </c>
      <c r="V154" s="790">
        <f>G276</f>
        <v>12444916.507238995</v>
      </c>
      <c r="W154" s="790">
        <f>SUM(H265:H276)</f>
        <v>820471.89828481397</v>
      </c>
      <c r="X154" s="790">
        <f>SUM(I265:I276)</f>
        <v>312695.79816984467</v>
      </c>
      <c r="Y154" s="791">
        <f>SUM(J265:J276)</f>
        <v>507776.1001149693</v>
      </c>
      <c r="Z154" s="258">
        <v>11</v>
      </c>
      <c r="AA154" s="784">
        <f t="shared" si="48"/>
        <v>32975578.640272167</v>
      </c>
      <c r="AB154" s="784">
        <f t="shared" si="49"/>
        <v>2401559.9151207241</v>
      </c>
      <c r="AC154" s="784">
        <f t="shared" si="50"/>
        <v>1208123.7091112388</v>
      </c>
      <c r="AD154" s="789">
        <f t="shared" si="51"/>
        <v>1193436.2060094853</v>
      </c>
    </row>
    <row r="155" spans="1:34" x14ac:dyDescent="0.25">
      <c r="A155" s="72">
        <f t="shared" si="52"/>
        <v>11</v>
      </c>
      <c r="B155" s="784">
        <f t="shared" si="36"/>
        <v>26267884.651200473</v>
      </c>
      <c r="C155" s="604">
        <f t="shared" si="37"/>
        <v>131757.33473632587</v>
      </c>
      <c r="D155" s="784">
        <f t="shared" si="38"/>
        <v>93898.884401563046</v>
      </c>
      <c r="E155" s="785">
        <f t="shared" si="39"/>
        <v>37858.45033476282</v>
      </c>
      <c r="F155" s="72">
        <f t="shared" si="53"/>
        <v>11</v>
      </c>
      <c r="G155" s="784">
        <f t="shared" si="40"/>
        <v>17036258.794303484</v>
      </c>
      <c r="H155" s="604">
        <f t="shared" si="41"/>
        <v>68372.658190401169</v>
      </c>
      <c r="I155" s="784">
        <f t="shared" si="42"/>
        <v>34965.904916731684</v>
      </c>
      <c r="J155" s="785">
        <f t="shared" si="43"/>
        <v>33406.753273669485</v>
      </c>
      <c r="K155" s="72">
        <f t="shared" si="54"/>
        <v>11</v>
      </c>
      <c r="L155" s="784">
        <f t="shared" si="44"/>
        <v>43304143.445503958</v>
      </c>
      <c r="M155" s="604">
        <f t="shared" si="45"/>
        <v>200129.99292672705</v>
      </c>
      <c r="N155" s="784">
        <f t="shared" si="46"/>
        <v>128864.78931829473</v>
      </c>
      <c r="O155" s="785">
        <f t="shared" si="47"/>
        <v>71265.203608432304</v>
      </c>
      <c r="P155" s="258">
        <v>12</v>
      </c>
      <c r="Q155" s="792">
        <f>B288</f>
        <v>19815048.781806599</v>
      </c>
      <c r="R155" s="786">
        <f>SUM(C277:C288)</f>
        <v>1581088.01683591</v>
      </c>
      <c r="S155" s="786">
        <f>SUM(D277:D288)</f>
        <v>865474.66560933867</v>
      </c>
      <c r="T155" s="789">
        <f>SUM(E277:E288)</f>
        <v>715613.35122657183</v>
      </c>
      <c r="U155" s="258">
        <v>12</v>
      </c>
      <c r="V155" s="792">
        <f>G288</f>
        <v>11924517.133444201</v>
      </c>
      <c r="W155" s="793">
        <f>SUM(H277:H288)</f>
        <v>820471.89828481397</v>
      </c>
      <c r="X155" s="793">
        <f>SUM(I277:I288)</f>
        <v>300072.52449002099</v>
      </c>
      <c r="Y155" s="794">
        <f>SUM(J277:J288)</f>
        <v>520399.37379479303</v>
      </c>
      <c r="Z155" s="258">
        <v>12</v>
      </c>
      <c r="AA155" s="784">
        <f t="shared" si="48"/>
        <v>31739565.915250801</v>
      </c>
      <c r="AB155" s="784">
        <f t="shared" si="49"/>
        <v>2401559.9151207241</v>
      </c>
      <c r="AC155" s="784">
        <f t="shared" si="50"/>
        <v>1165547.1900993597</v>
      </c>
      <c r="AD155" s="789">
        <f t="shared" si="51"/>
        <v>1236012.7250213649</v>
      </c>
      <c r="AG155" s="11"/>
      <c r="AH155" s="604"/>
    </row>
    <row r="156" spans="1:34" x14ac:dyDescent="0.25">
      <c r="A156" s="72">
        <f t="shared" si="52"/>
        <v>12</v>
      </c>
      <c r="B156" s="784">
        <f t="shared" si="36"/>
        <v>26229891.064358149</v>
      </c>
      <c r="C156" s="604">
        <f t="shared" si="37"/>
        <v>131757.33473632587</v>
      </c>
      <c r="D156" s="784">
        <f t="shared" si="38"/>
        <v>93763.747893999476</v>
      </c>
      <c r="E156" s="785">
        <f t="shared" si="39"/>
        <v>37993.586842326389</v>
      </c>
      <c r="F156" s="72">
        <f t="shared" si="53"/>
        <v>12</v>
      </c>
      <c r="G156" s="784">
        <f t="shared" si="40"/>
        <v>17002783.609849643</v>
      </c>
      <c r="H156" s="604">
        <f t="shared" si="41"/>
        <v>68372.658190401169</v>
      </c>
      <c r="I156" s="784">
        <f t="shared" si="42"/>
        <v>34897.473736560751</v>
      </c>
      <c r="J156" s="785">
        <f t="shared" si="43"/>
        <v>33475.184453840418</v>
      </c>
      <c r="K156" s="72">
        <f t="shared" si="54"/>
        <v>12</v>
      </c>
      <c r="L156" s="784">
        <f t="shared" si="44"/>
        <v>43232674.674207792</v>
      </c>
      <c r="M156" s="604">
        <f t="shared" si="45"/>
        <v>200129.99292672705</v>
      </c>
      <c r="N156" s="784">
        <f t="shared" si="46"/>
        <v>128661.22163056023</v>
      </c>
      <c r="O156" s="785">
        <f t="shared" si="47"/>
        <v>71468.771296166815</v>
      </c>
      <c r="P156" s="258">
        <v>13</v>
      </c>
      <c r="Q156" s="792">
        <f>B300</f>
        <v>19068173.669704761</v>
      </c>
      <c r="R156" s="790">
        <f>SUM(C289:C300)</f>
        <v>1581088.01683591</v>
      </c>
      <c r="S156" s="790">
        <f>SUM(D289:D300)</f>
        <v>834212.90473407239</v>
      </c>
      <c r="T156" s="791">
        <f>SUM(E289:E300)</f>
        <v>746875.11210183799</v>
      </c>
      <c r="U156" s="258">
        <v>13</v>
      </c>
      <c r="V156" s="792">
        <f>G300</f>
        <v>11391180.672384502</v>
      </c>
      <c r="W156" s="790">
        <f>SUM(H289:H300)</f>
        <v>820471.89828481397</v>
      </c>
      <c r="X156" s="790">
        <f>SUM(I289:I300)</f>
        <v>287135.43722511583</v>
      </c>
      <c r="Y156" s="791">
        <f>SUM(J289:J300)</f>
        <v>533336.46105969825</v>
      </c>
      <c r="Z156" s="258">
        <v>13</v>
      </c>
      <c r="AA156" s="784">
        <f t="shared" si="48"/>
        <v>30459354.342089266</v>
      </c>
      <c r="AB156" s="784">
        <f t="shared" si="49"/>
        <v>2401559.9151207241</v>
      </c>
      <c r="AC156" s="784">
        <f t="shared" si="50"/>
        <v>1121348.3419591882</v>
      </c>
      <c r="AD156" s="789">
        <f t="shared" si="51"/>
        <v>1280211.5731615364</v>
      </c>
      <c r="AH156" s="604"/>
    </row>
    <row r="157" spans="1:34" x14ac:dyDescent="0.25">
      <c r="A157" s="72">
        <f t="shared" si="52"/>
        <v>13</v>
      </c>
      <c r="B157" s="784">
        <f t="shared" si="36"/>
        <v>26191761.85863575</v>
      </c>
      <c r="C157" s="604">
        <f t="shared" si="37"/>
        <v>131757.33473632587</v>
      </c>
      <c r="D157" s="784">
        <f t="shared" si="38"/>
        <v>93628.129013926853</v>
      </c>
      <c r="E157" s="785">
        <f t="shared" si="39"/>
        <v>38129.205722399012</v>
      </c>
      <c r="F157" s="72">
        <f t="shared" si="53"/>
        <v>13</v>
      </c>
      <c r="G157" s="784">
        <f t="shared" si="40"/>
        <v>16969239.854039591</v>
      </c>
      <c r="H157" s="604">
        <f t="shared" si="41"/>
        <v>68372.658190401169</v>
      </c>
      <c r="I157" s="784">
        <f t="shared" si="42"/>
        <v>34828.902380348722</v>
      </c>
      <c r="J157" s="785">
        <f t="shared" si="43"/>
        <v>33543.755810052447</v>
      </c>
      <c r="K157" s="72">
        <f t="shared" si="54"/>
        <v>13</v>
      </c>
      <c r="L157" s="784">
        <f t="shared" si="44"/>
        <v>43161001.71267534</v>
      </c>
      <c r="M157" s="604">
        <f t="shared" si="45"/>
        <v>200129.99292672705</v>
      </c>
      <c r="N157" s="784">
        <f t="shared" si="46"/>
        <v>128457.03139427557</v>
      </c>
      <c r="O157" s="785">
        <f t="shared" si="47"/>
        <v>71672.96153245146</v>
      </c>
      <c r="P157" s="258">
        <v>14</v>
      </c>
      <c r="Q157" s="792">
        <f>B312</f>
        <v>18288671.11833255</v>
      </c>
      <c r="R157" s="790">
        <f>SUM(C301:C312)</f>
        <v>1581088.01683591</v>
      </c>
      <c r="S157" s="790">
        <f>SUM(D301:D312)</f>
        <v>801585.46546369663</v>
      </c>
      <c r="T157" s="791">
        <f>SUM(E301:E312)</f>
        <v>779502.55137221387</v>
      </c>
      <c r="U157" s="258">
        <v>14</v>
      </c>
      <c r="V157" s="792">
        <f>G312</f>
        <v>10844585.509093918</v>
      </c>
      <c r="W157" s="790">
        <f>SUM(H301:H312)</f>
        <v>820471.89828481397</v>
      </c>
      <c r="X157" s="790">
        <f>SUM(I301:I312)</f>
        <v>273876.73499422916</v>
      </c>
      <c r="Y157" s="791">
        <f>SUM(J301:J312)</f>
        <v>546595.16329058481</v>
      </c>
      <c r="Z157" s="258">
        <v>14</v>
      </c>
      <c r="AA157" s="784">
        <f t="shared" si="48"/>
        <v>29133256.627426468</v>
      </c>
      <c r="AB157" s="784">
        <f t="shared" si="49"/>
        <v>2401559.9151207241</v>
      </c>
      <c r="AC157" s="784">
        <f t="shared" si="50"/>
        <v>1075462.2004579259</v>
      </c>
      <c r="AD157" s="789">
        <f t="shared" si="51"/>
        <v>1326097.7146627987</v>
      </c>
      <c r="AH157" s="604"/>
    </row>
    <row r="158" spans="1:34" x14ac:dyDescent="0.25">
      <c r="A158" s="72">
        <f t="shared" si="52"/>
        <v>14</v>
      </c>
      <c r="B158" s="784">
        <f t="shared" si="36"/>
        <v>26153496.549938932</v>
      </c>
      <c r="C158" s="604">
        <f t="shared" si="37"/>
        <v>131757.33473632587</v>
      </c>
      <c r="D158" s="784">
        <f t="shared" si="38"/>
        <v>93492.026039506716</v>
      </c>
      <c r="E158" s="785">
        <f t="shared" si="39"/>
        <v>38265.308696819149</v>
      </c>
      <c r="F158" s="72">
        <f t="shared" si="53"/>
        <v>14</v>
      </c>
      <c r="G158" s="784">
        <f t="shared" si="40"/>
        <v>16935627.386410147</v>
      </c>
      <c r="H158" s="604">
        <f t="shared" si="41"/>
        <v>68372.658190401169</v>
      </c>
      <c r="I158" s="784">
        <f t="shared" si="42"/>
        <v>34760.190560955707</v>
      </c>
      <c r="J158" s="785">
        <f t="shared" si="43"/>
        <v>33612.467629445462</v>
      </c>
      <c r="K158" s="72">
        <f t="shared" si="54"/>
        <v>14</v>
      </c>
      <c r="L158" s="784">
        <f t="shared" si="44"/>
        <v>43089123.936349079</v>
      </c>
      <c r="M158" s="604">
        <f t="shared" si="45"/>
        <v>200129.99292672705</v>
      </c>
      <c r="N158" s="784">
        <f t="shared" si="46"/>
        <v>128252.21660046242</v>
      </c>
      <c r="O158" s="785">
        <f t="shared" si="47"/>
        <v>71877.776326264604</v>
      </c>
      <c r="P158" s="258">
        <v>15</v>
      </c>
      <c r="Q158" s="792">
        <f>B324</f>
        <v>17475115.789268456</v>
      </c>
      <c r="R158" s="790">
        <f>SUM(C313:C324)</f>
        <v>1581088.01683591</v>
      </c>
      <c r="S158" s="790">
        <f>SUM(D313:D324)</f>
        <v>767532.68777181895</v>
      </c>
      <c r="T158" s="791">
        <f>SUM(E313:E324)</f>
        <v>813555.32906409132</v>
      </c>
      <c r="U158" s="258">
        <v>15</v>
      </c>
      <c r="V158" s="792">
        <f>G324</f>
        <v>10284402.03328385</v>
      </c>
      <c r="W158" s="790">
        <f>SUM(H313:H324)</f>
        <v>820471.89828481397</v>
      </c>
      <c r="X158" s="790">
        <f>SUM(I313:I324)</f>
        <v>260288.42247474912</v>
      </c>
      <c r="Y158" s="791">
        <f>SUM(J313:J324)</f>
        <v>560183.47581006493</v>
      </c>
      <c r="Z158" s="258">
        <v>15</v>
      </c>
      <c r="AA158" s="784">
        <f t="shared" si="48"/>
        <v>27759517.822552308</v>
      </c>
      <c r="AB158" s="784">
        <f t="shared" si="49"/>
        <v>2401559.9151207241</v>
      </c>
      <c r="AC158" s="784">
        <f t="shared" si="50"/>
        <v>1027821.1102465681</v>
      </c>
      <c r="AD158" s="789">
        <f t="shared" si="51"/>
        <v>1373738.8048741561</v>
      </c>
      <c r="AH158" s="604"/>
    </row>
    <row r="159" spans="1:34" x14ac:dyDescent="0.25">
      <c r="A159" s="72">
        <f t="shared" si="52"/>
        <v>15</v>
      </c>
      <c r="B159" s="784">
        <f t="shared" si="36"/>
        <v>26115094.652445361</v>
      </c>
      <c r="C159" s="604">
        <f t="shared" si="37"/>
        <v>131757.33473632587</v>
      </c>
      <c r="D159" s="784">
        <f t="shared" si="38"/>
        <v>93355.437242754459</v>
      </c>
      <c r="E159" s="785">
        <f t="shared" si="39"/>
        <v>38401.897493571407</v>
      </c>
      <c r="F159" s="72">
        <f t="shared" si="53"/>
        <v>15</v>
      </c>
      <c r="G159" s="784">
        <f t="shared" si="40"/>
        <v>16901946.0662104</v>
      </c>
      <c r="H159" s="604">
        <f t="shared" si="41"/>
        <v>68372.658190401169</v>
      </c>
      <c r="I159" s="784">
        <f t="shared" si="42"/>
        <v>34691.337990653607</v>
      </c>
      <c r="J159" s="785">
        <f t="shared" si="43"/>
        <v>33681.320199747563</v>
      </c>
      <c r="K159" s="72">
        <f t="shared" si="54"/>
        <v>15</v>
      </c>
      <c r="L159" s="784">
        <f t="shared" si="44"/>
        <v>43017040.718655765</v>
      </c>
      <c r="M159" s="604">
        <f t="shared" si="45"/>
        <v>200129.99292672705</v>
      </c>
      <c r="N159" s="784">
        <f t="shared" si="46"/>
        <v>128046.77523340806</v>
      </c>
      <c r="O159" s="785">
        <f t="shared" si="47"/>
        <v>72083.217693318962</v>
      </c>
      <c r="P159" s="258">
        <v>16</v>
      </c>
      <c r="Q159" s="792">
        <f>B336</f>
        <v>16626020.077800369</v>
      </c>
      <c r="R159" s="790">
        <f>SUM(C325:C336)</f>
        <v>1581088.01683591</v>
      </c>
      <c r="S159" s="790">
        <f>SUM(D325:D336)</f>
        <v>731992.30536781927</v>
      </c>
      <c r="T159" s="791">
        <f>SUM(E325:E336)</f>
        <v>849095.711468091</v>
      </c>
      <c r="U159" s="258">
        <v>16</v>
      </c>
      <c r="V159" s="792">
        <f>G336</f>
        <v>9710292.4405800104</v>
      </c>
      <c r="W159" s="790">
        <f>SUM(H325:H336)</f>
        <v>820471.89828481397</v>
      </c>
      <c r="X159" s="790">
        <f>SUM(I325:I336)</f>
        <v>246362.30558097581</v>
      </c>
      <c r="Y159" s="791">
        <f>SUM(J325:J336)</f>
        <v>574109.59270383825</v>
      </c>
      <c r="Z159" s="258">
        <v>16</v>
      </c>
      <c r="AA159" s="784">
        <f t="shared" si="48"/>
        <v>26336312.518380381</v>
      </c>
      <c r="AB159" s="784">
        <f t="shared" si="49"/>
        <v>2401559.9151207241</v>
      </c>
      <c r="AC159" s="784">
        <f t="shared" si="50"/>
        <v>978354.6109487951</v>
      </c>
      <c r="AD159" s="789">
        <f t="shared" si="51"/>
        <v>1423205.3041719291</v>
      </c>
      <c r="AH159" s="604"/>
    </row>
    <row r="160" spans="1:34" x14ac:dyDescent="0.25">
      <c r="A160" s="72">
        <f t="shared" si="52"/>
        <v>16</v>
      </c>
      <c r="B160" s="784">
        <f t="shared" si="36"/>
        <v>26076555.678598553</v>
      </c>
      <c r="C160" s="604">
        <f t="shared" si="37"/>
        <v>131757.33473632587</v>
      </c>
      <c r="D160" s="784">
        <f t="shared" si="38"/>
        <v>93218.360889517397</v>
      </c>
      <c r="E160" s="785">
        <f t="shared" si="39"/>
        <v>38538.973846808469</v>
      </c>
      <c r="F160" s="72">
        <f t="shared" si="53"/>
        <v>16</v>
      </c>
      <c r="G160" s="784">
        <f t="shared" si="40"/>
        <v>16868195.752401125</v>
      </c>
      <c r="H160" s="604">
        <f t="shared" si="41"/>
        <v>68372.658190401169</v>
      </c>
      <c r="I160" s="784">
        <f t="shared" si="42"/>
        <v>34622.344381124953</v>
      </c>
      <c r="J160" s="785">
        <f t="shared" si="43"/>
        <v>33750.313809276216</v>
      </c>
      <c r="K160" s="72">
        <f t="shared" si="54"/>
        <v>16</v>
      </c>
      <c r="L160" s="784">
        <f t="shared" si="44"/>
        <v>42944751.430999681</v>
      </c>
      <c r="M160" s="604">
        <f t="shared" si="45"/>
        <v>200129.99292672705</v>
      </c>
      <c r="N160" s="784">
        <f t="shared" si="46"/>
        <v>127840.70527064236</v>
      </c>
      <c r="O160" s="785">
        <f t="shared" si="47"/>
        <v>72289.287656084693</v>
      </c>
      <c r="P160" s="258">
        <v>17</v>
      </c>
      <c r="Q160" s="792">
        <f>B348</f>
        <v>15739831.392805958</v>
      </c>
      <c r="R160" s="790">
        <f>SUM(C337:C348)</f>
        <v>1581088.01683591</v>
      </c>
      <c r="S160" s="790">
        <f>SUM(D337:D348)</f>
        <v>694899.33184149791</v>
      </c>
      <c r="T160" s="791">
        <f>SUM(E337:E348)</f>
        <v>886188.68499441247</v>
      </c>
      <c r="U160" s="258">
        <v>17</v>
      </c>
      <c r="V160" s="792">
        <f>G348</f>
        <v>9121910.5288180839</v>
      </c>
      <c r="W160" s="790">
        <f>SUM(H337:H348)</f>
        <v>820471.89828481397</v>
      </c>
      <c r="X160" s="790">
        <f>SUM(I337:I348)</f>
        <v>232089.98652288737</v>
      </c>
      <c r="Y160" s="791">
        <f>SUM(J337:J348)</f>
        <v>588381.91176192672</v>
      </c>
      <c r="Z160" s="258">
        <v>17</v>
      </c>
      <c r="AA160" s="784">
        <f t="shared" si="48"/>
        <v>24861741.921624042</v>
      </c>
      <c r="AB160" s="784">
        <f t="shared" si="49"/>
        <v>2401559.9151207241</v>
      </c>
      <c r="AC160" s="784">
        <f t="shared" si="50"/>
        <v>926989.31836438528</v>
      </c>
      <c r="AD160" s="789">
        <f t="shared" si="51"/>
        <v>1474570.5967563391</v>
      </c>
      <c r="AH160" s="604"/>
    </row>
    <row r="161" spans="1:34" x14ac:dyDescent="0.25">
      <c r="A161" s="72">
        <f t="shared" si="52"/>
        <v>17</v>
      </c>
      <c r="B161" s="784">
        <f t="shared" si="36"/>
        <v>26037879.13910168</v>
      </c>
      <c r="C161" s="604">
        <f t="shared" si="37"/>
        <v>131757.33473632587</v>
      </c>
      <c r="D161" s="784">
        <f t="shared" si="38"/>
        <v>93080.795239452753</v>
      </c>
      <c r="E161" s="785">
        <f t="shared" si="39"/>
        <v>38676.539496873113</v>
      </c>
      <c r="F161" s="72">
        <f t="shared" si="53"/>
        <v>17</v>
      </c>
      <c r="G161" s="784">
        <f t="shared" si="40"/>
        <v>16834376.303654186</v>
      </c>
      <c r="H161" s="604">
        <f t="shared" si="41"/>
        <v>68372.658190401169</v>
      </c>
      <c r="I161" s="784">
        <f t="shared" si="42"/>
        <v>34553.209443461659</v>
      </c>
      <c r="J161" s="785">
        <f t="shared" si="43"/>
        <v>33819.44874693951</v>
      </c>
      <c r="K161" s="72">
        <f t="shared" si="54"/>
        <v>17</v>
      </c>
      <c r="L161" s="784">
        <f t="shared" si="44"/>
        <v>42872255.442755863</v>
      </c>
      <c r="M161" s="604">
        <f t="shared" si="45"/>
        <v>200129.99292672705</v>
      </c>
      <c r="N161" s="784">
        <f t="shared" si="46"/>
        <v>127634.00468291441</v>
      </c>
      <c r="O161" s="785">
        <f t="shared" si="47"/>
        <v>72495.988243812622</v>
      </c>
      <c r="P161" s="258">
        <v>18</v>
      </c>
      <c r="Q161" s="792">
        <f>B360</f>
        <v>14814929.317803971</v>
      </c>
      <c r="R161" s="790">
        <f>SUM(C349:C360)</f>
        <v>1581088.01683591</v>
      </c>
      <c r="S161" s="790">
        <f>SUM(D349:D360)</f>
        <v>656185.94183392322</v>
      </c>
      <c r="T161" s="791">
        <f>SUM(E349:E360)</f>
        <v>924902.07500198716</v>
      </c>
      <c r="U161" s="258">
        <v>18</v>
      </c>
      <c r="V161" s="792">
        <f>G360</f>
        <v>8518901.4892753363</v>
      </c>
      <c r="W161" s="790">
        <f>SUM(H349:H360)</f>
        <v>820471.89828481397</v>
      </c>
      <c r="X161" s="790">
        <f>SUM(I349:I360)</f>
        <v>217462.85874206622</v>
      </c>
      <c r="Y161" s="791">
        <f>SUM(J349:J360)</f>
        <v>603009.03954274766</v>
      </c>
      <c r="Z161" s="258">
        <v>18</v>
      </c>
      <c r="AA161" s="784">
        <f t="shared" si="48"/>
        <v>23333830.807079308</v>
      </c>
      <c r="AB161" s="784">
        <f t="shared" si="49"/>
        <v>2401559.9151207241</v>
      </c>
      <c r="AC161" s="784">
        <f t="shared" si="50"/>
        <v>873648.80057598941</v>
      </c>
      <c r="AD161" s="789">
        <f t="shared" si="51"/>
        <v>1527911.1145447348</v>
      </c>
      <c r="AH161" s="604"/>
    </row>
    <row r="162" spans="1:34" x14ac:dyDescent="0.25">
      <c r="A162" s="72">
        <f t="shared" si="52"/>
        <v>18</v>
      </c>
      <c r="B162" s="784">
        <f t="shared" si="36"/>
        <v>25999064.542911362</v>
      </c>
      <c r="C162" s="604">
        <f t="shared" si="37"/>
        <v>131757.33473632587</v>
      </c>
      <c r="D162" s="784">
        <f t="shared" si="38"/>
        <v>92942.738546005552</v>
      </c>
      <c r="E162" s="785">
        <f t="shared" si="39"/>
        <v>38814.596190320313</v>
      </c>
      <c r="F162" s="72">
        <f t="shared" si="53"/>
        <v>18</v>
      </c>
      <c r="G162" s="784">
        <f t="shared" si="40"/>
        <v>16800487.578351948</v>
      </c>
      <c r="H162" s="604">
        <f t="shared" si="41"/>
        <v>68372.658190401169</v>
      </c>
      <c r="I162" s="784">
        <f t="shared" si="42"/>
        <v>34483.932888163858</v>
      </c>
      <c r="J162" s="785">
        <f t="shared" si="43"/>
        <v>33888.725302237312</v>
      </c>
      <c r="K162" s="72">
        <f t="shared" si="54"/>
        <v>18</v>
      </c>
      <c r="L162" s="784">
        <f t="shared" si="44"/>
        <v>42799552.12126331</v>
      </c>
      <c r="M162" s="604">
        <f t="shared" si="45"/>
        <v>200129.99292672705</v>
      </c>
      <c r="N162" s="784">
        <f t="shared" si="46"/>
        <v>127426.6714341694</v>
      </c>
      <c r="O162" s="785">
        <f t="shared" si="47"/>
        <v>72703.321492557618</v>
      </c>
      <c r="P162" s="258">
        <v>19</v>
      </c>
      <c r="Q162" s="792">
        <f>B372</f>
        <v>13849622.647985257</v>
      </c>
      <c r="R162" s="790">
        <f>SUM(C361:C372)</f>
        <v>1581088.01683591</v>
      </c>
      <c r="S162" s="790">
        <f>SUM(D361:D372)</f>
        <v>615781.34701719647</v>
      </c>
      <c r="T162" s="791">
        <f>SUM(E361:E372)</f>
        <v>965306.66981871391</v>
      </c>
      <c r="U162" s="258">
        <v>19</v>
      </c>
      <c r="V162" s="792">
        <f>G372</f>
        <v>7900901.6927122558</v>
      </c>
      <c r="W162" s="790">
        <f>SUM(H361:H372)</f>
        <v>820471.89828481397</v>
      </c>
      <c r="X162" s="790">
        <f>SUM(I361:I372)</f>
        <v>202472.10172173326</v>
      </c>
      <c r="Y162" s="791">
        <f>SUM(J361:J372)</f>
        <v>617999.79656308074</v>
      </c>
      <c r="Z162" s="258">
        <v>19</v>
      </c>
      <c r="AA162" s="784">
        <f t="shared" si="48"/>
        <v>21750524.340697512</v>
      </c>
      <c r="AB162" s="784">
        <f t="shared" si="49"/>
        <v>2401559.9151207241</v>
      </c>
      <c r="AC162" s="784">
        <f t="shared" si="50"/>
        <v>818253.4487389297</v>
      </c>
      <c r="AD162" s="789">
        <f t="shared" si="51"/>
        <v>1583306.4663817948</v>
      </c>
      <c r="AH162" s="604"/>
    </row>
    <row r="163" spans="1:34" x14ac:dyDescent="0.25">
      <c r="A163" s="72">
        <f t="shared" si="52"/>
        <v>19</v>
      </c>
      <c r="B163" s="784">
        <f t="shared" si="36"/>
        <v>25960111.397231422</v>
      </c>
      <c r="C163" s="604">
        <f t="shared" si="37"/>
        <v>131757.33473632587</v>
      </c>
      <c r="D163" s="784">
        <f t="shared" si="38"/>
        <v>92804.189056386487</v>
      </c>
      <c r="E163" s="785">
        <f t="shared" si="39"/>
        <v>38953.145679939378</v>
      </c>
      <c r="F163" s="72">
        <f t="shared" si="53"/>
        <v>19</v>
      </c>
      <c r="G163" s="784">
        <f t="shared" si="40"/>
        <v>16766529.434586685</v>
      </c>
      <c r="H163" s="604">
        <f t="shared" si="41"/>
        <v>68372.658190401169</v>
      </c>
      <c r="I163" s="784">
        <f t="shared" si="42"/>
        <v>34414.514425138637</v>
      </c>
      <c r="J163" s="785">
        <f t="shared" si="43"/>
        <v>33958.143765262532</v>
      </c>
      <c r="K163" s="72">
        <f t="shared" si="54"/>
        <v>19</v>
      </c>
      <c r="L163" s="784">
        <f t="shared" si="44"/>
        <v>42726640.831818104</v>
      </c>
      <c r="M163" s="604">
        <f t="shared" si="45"/>
        <v>200129.99292672705</v>
      </c>
      <c r="N163" s="784">
        <f t="shared" si="46"/>
        <v>127218.70348152512</v>
      </c>
      <c r="O163" s="785">
        <f t="shared" si="47"/>
        <v>72911.28944520191</v>
      </c>
      <c r="P163" s="258">
        <v>20</v>
      </c>
      <c r="Q163" s="792">
        <f>B384</f>
        <v>12842146.297805708</v>
      </c>
      <c r="R163" s="790">
        <f>SUM(C373:C384)</f>
        <v>1581088.01683591</v>
      </c>
      <c r="S163" s="790">
        <f>SUM(D373:D384)</f>
        <v>573611.66665635933</v>
      </c>
      <c r="T163" s="791">
        <f>SUM(E373:E384)</f>
        <v>1007476.3501795512</v>
      </c>
      <c r="U163" s="258">
        <v>20</v>
      </c>
      <c r="V163" s="792">
        <f>G384</f>
        <v>7267538.4700952014</v>
      </c>
      <c r="W163" s="790">
        <f>SUM(H373:H384)</f>
        <v>820471.89828481397</v>
      </c>
      <c r="X163" s="790">
        <f>SUM(I373:I384)</f>
        <v>187108.67566776014</v>
      </c>
      <c r="Y163" s="791">
        <f>SUM(J373:J384)</f>
        <v>633363.22261705401</v>
      </c>
      <c r="Z163" s="258">
        <v>20</v>
      </c>
      <c r="AA163" s="784">
        <f t="shared" si="48"/>
        <v>20109684.76790091</v>
      </c>
      <c r="AB163" s="784">
        <f t="shared" si="49"/>
        <v>2401559.9151207241</v>
      </c>
      <c r="AC163" s="784">
        <f t="shared" si="50"/>
        <v>760720.34232411953</v>
      </c>
      <c r="AD163" s="789">
        <f t="shared" si="51"/>
        <v>1640839.5727966051</v>
      </c>
      <c r="AH163" s="604"/>
    </row>
    <row r="164" spans="1:34" x14ac:dyDescent="0.25">
      <c r="A164" s="72">
        <f t="shared" si="52"/>
        <v>20</v>
      </c>
      <c r="B164" s="784">
        <f t="shared" si="36"/>
        <v>25921019.207506645</v>
      </c>
      <c r="C164" s="604">
        <f t="shared" si="37"/>
        <v>131757.33473632587</v>
      </c>
      <c r="D164" s="784">
        <f t="shared" si="38"/>
        <v>92665.145011549583</v>
      </c>
      <c r="E164" s="785">
        <f t="shared" si="39"/>
        <v>39092.189724776283</v>
      </c>
      <c r="F164" s="72">
        <f t="shared" si="53"/>
        <v>20</v>
      </c>
      <c r="G164" s="784">
        <f t="shared" si="40"/>
        <v>16732501.730159983</v>
      </c>
      <c r="H164" s="604">
        <f t="shared" si="41"/>
        <v>68372.658190401169</v>
      </c>
      <c r="I164" s="784">
        <f t="shared" si="42"/>
        <v>34344.953763698883</v>
      </c>
      <c r="J164" s="785">
        <f t="shared" si="43"/>
        <v>34027.704426702287</v>
      </c>
      <c r="K164" s="72">
        <f t="shared" si="54"/>
        <v>20</v>
      </c>
      <c r="L164" s="784">
        <f t="shared" si="44"/>
        <v>42653520.937666625</v>
      </c>
      <c r="M164" s="604">
        <f t="shared" si="45"/>
        <v>200129.99292672705</v>
      </c>
      <c r="N164" s="784">
        <f t="shared" si="46"/>
        <v>127010.09877524847</v>
      </c>
      <c r="O164" s="785">
        <f t="shared" si="47"/>
        <v>73119.894151478569</v>
      </c>
      <c r="P164" s="258">
        <v>21</v>
      </c>
      <c r="Q164" s="792">
        <f>B396</f>
        <v>11790658.073486559</v>
      </c>
      <c r="R164" s="790">
        <f>SUM(C385:C396)</f>
        <v>1581088.01683591</v>
      </c>
      <c r="S164" s="790">
        <f>SUM(D385:D396)</f>
        <v>529599.79251676239</v>
      </c>
      <c r="T164" s="791">
        <f>SUM(E385:E396)</f>
        <v>1051488.2243191479</v>
      </c>
      <c r="U164" s="258">
        <v>21</v>
      </c>
      <c r="V164" s="792">
        <f>G396</f>
        <v>6618429.8878678409</v>
      </c>
      <c r="W164" s="790">
        <f>SUM(H385:H396)</f>
        <v>820471.89828481397</v>
      </c>
      <c r="X164" s="790">
        <f>SUM(I385:I396)</f>
        <v>171363.31605745165</v>
      </c>
      <c r="Y164" s="791">
        <f>SUM(J385:J396)</f>
        <v>649108.58222736244</v>
      </c>
      <c r="Z164" s="258">
        <v>21</v>
      </c>
      <c r="AA164" s="784">
        <f t="shared" si="48"/>
        <v>18409087.961354401</v>
      </c>
      <c r="AB164" s="784">
        <f t="shared" si="49"/>
        <v>2401559.9151207241</v>
      </c>
      <c r="AC164" s="784">
        <f t="shared" si="50"/>
        <v>700963.10857421404</v>
      </c>
      <c r="AD164" s="789">
        <f t="shared" si="51"/>
        <v>1700596.8065465102</v>
      </c>
      <c r="AH164" s="604"/>
    </row>
    <row r="165" spans="1:34" x14ac:dyDescent="0.25">
      <c r="A165" s="72">
        <f t="shared" si="52"/>
        <v>21</v>
      </c>
      <c r="B165" s="784">
        <f t="shared" si="36"/>
        <v>25881787.477416489</v>
      </c>
      <c r="C165" s="604">
        <f t="shared" si="37"/>
        <v>131757.33473632587</v>
      </c>
      <c r="D165" s="784">
        <f t="shared" si="38"/>
        <v>92525.604646169959</v>
      </c>
      <c r="E165" s="785">
        <f t="shared" si="39"/>
        <v>39231.730090155907</v>
      </c>
      <c r="F165" s="72">
        <f t="shared" si="53"/>
        <v>21</v>
      </c>
      <c r="G165" s="784">
        <f t="shared" si="40"/>
        <v>16698404.322582144</v>
      </c>
      <c r="H165" s="604">
        <f t="shared" si="41"/>
        <v>68372.658190401169</v>
      </c>
      <c r="I165" s="784">
        <f t="shared" si="42"/>
        <v>34275.250612562006</v>
      </c>
      <c r="J165" s="785">
        <f t="shared" si="43"/>
        <v>34097.407577839163</v>
      </c>
      <c r="K165" s="72">
        <f t="shared" si="54"/>
        <v>21</v>
      </c>
      <c r="L165" s="784">
        <f t="shared" si="44"/>
        <v>42580191.799998634</v>
      </c>
      <c r="M165" s="604">
        <f t="shared" si="45"/>
        <v>200129.99292672705</v>
      </c>
      <c r="N165" s="784">
        <f t="shared" si="46"/>
        <v>126800.85525873196</v>
      </c>
      <c r="O165" s="785">
        <f t="shared" si="47"/>
        <v>73329.137667995063</v>
      </c>
      <c r="P165" s="258">
        <v>22</v>
      </c>
      <c r="Q165" s="792">
        <f>B408</f>
        <v>10693235.304520527</v>
      </c>
      <c r="R165" s="790">
        <f>SUM(C397:C408)</f>
        <v>1581088.01683591</v>
      </c>
      <c r="S165" s="790">
        <f>SUM(D397:D408)</f>
        <v>483665.24786987825</v>
      </c>
      <c r="T165" s="791">
        <f>SUM(E397:E408)</f>
        <v>1097422.7689660322</v>
      </c>
      <c r="U165" s="258">
        <v>22</v>
      </c>
      <c r="V165" s="792">
        <f>G408</f>
        <v>5953184.5176358391</v>
      </c>
      <c r="W165" s="790">
        <f>SUM(H397:H408)</f>
        <v>820471.89828481397</v>
      </c>
      <c r="X165" s="790">
        <f>SUM(I397:I408)</f>
        <v>155226.52805281122</v>
      </c>
      <c r="Y165" s="791">
        <f>SUM(J397:J408)</f>
        <v>665245.37023200293</v>
      </c>
      <c r="Z165" s="258">
        <v>22</v>
      </c>
      <c r="AA165" s="784">
        <f t="shared" si="48"/>
        <v>16646419.822156366</v>
      </c>
      <c r="AB165" s="784">
        <f t="shared" si="49"/>
        <v>2401559.9151207241</v>
      </c>
      <c r="AC165" s="784">
        <f t="shared" si="50"/>
        <v>638891.77592268947</v>
      </c>
      <c r="AD165" s="789">
        <f t="shared" si="51"/>
        <v>1762668.139198035</v>
      </c>
      <c r="AH165" s="604"/>
    </row>
    <row r="166" spans="1:34" x14ac:dyDescent="0.25">
      <c r="A166" s="72">
        <f t="shared" si="52"/>
        <v>22</v>
      </c>
      <c r="B166" s="784">
        <f t="shared" si="36"/>
        <v>25842415.708868783</v>
      </c>
      <c r="C166" s="604">
        <f t="shared" si="37"/>
        <v>131757.33473632587</v>
      </c>
      <c r="D166" s="784">
        <f t="shared" si="38"/>
        <v>92385.566188621349</v>
      </c>
      <c r="E166" s="785">
        <f t="shared" si="39"/>
        <v>39371.768547704516</v>
      </c>
      <c r="F166" s="72">
        <f t="shared" si="53"/>
        <v>22</v>
      </c>
      <c r="G166" s="784">
        <f t="shared" si="40"/>
        <v>16664237.069071593</v>
      </c>
      <c r="H166" s="604">
        <f t="shared" si="41"/>
        <v>68372.658190401169</v>
      </c>
      <c r="I166" s="784">
        <f t="shared" si="42"/>
        <v>34205.404679848754</v>
      </c>
      <c r="J166" s="785">
        <f t="shared" si="43"/>
        <v>34167.253510552415</v>
      </c>
      <c r="K166" s="72">
        <f t="shared" si="54"/>
        <v>22</v>
      </c>
      <c r="L166" s="784">
        <f t="shared" si="44"/>
        <v>42506652.777940378</v>
      </c>
      <c r="M166" s="604">
        <f t="shared" si="45"/>
        <v>200129.99292672705</v>
      </c>
      <c r="N166" s="784">
        <f t="shared" si="46"/>
        <v>126590.9708684701</v>
      </c>
      <c r="O166" s="785">
        <f t="shared" si="47"/>
        <v>73539.022058256931</v>
      </c>
      <c r="P166" s="258">
        <v>23</v>
      </c>
      <c r="Q166" s="792">
        <f>B420</f>
        <v>9547871.3280243594</v>
      </c>
      <c r="R166" s="790">
        <f>SUM(C409:C420)</f>
        <v>1581088.01683591</v>
      </c>
      <c r="S166" s="790">
        <f>SUM(D409:D420)</f>
        <v>435724.04033974314</v>
      </c>
      <c r="T166" s="791">
        <f>SUM(E409:E420)</f>
        <v>1145363.9764961672</v>
      </c>
      <c r="U166" s="258">
        <v>23</v>
      </c>
      <c r="V166" s="792">
        <f>G420</f>
        <v>5271401.2001259448</v>
      </c>
      <c r="W166" s="790">
        <f>SUM(H409:H420)</f>
        <v>820471.89828481397</v>
      </c>
      <c r="X166" s="790">
        <f>SUM(I409:I420)</f>
        <v>138688.58077492064</v>
      </c>
      <c r="Y166" s="791">
        <f>SUM(J409:J420)</f>
        <v>681783.31750989333</v>
      </c>
      <c r="Z166" s="258">
        <v>23</v>
      </c>
      <c r="AA166" s="784">
        <f t="shared" si="48"/>
        <v>14819272.528150305</v>
      </c>
      <c r="AB166" s="784">
        <f t="shared" si="49"/>
        <v>2401559.9151207241</v>
      </c>
      <c r="AC166" s="784">
        <f t="shared" si="50"/>
        <v>574412.62111466378</v>
      </c>
      <c r="AD166" s="789">
        <f t="shared" si="51"/>
        <v>1827147.2940060606</v>
      </c>
      <c r="AH166" s="604"/>
    </row>
    <row r="167" spans="1:34" x14ac:dyDescent="0.25">
      <c r="A167" s="72">
        <f t="shared" si="52"/>
        <v>23</v>
      </c>
      <c r="B167" s="784">
        <f t="shared" si="36"/>
        <v>25802903.401993413</v>
      </c>
      <c r="C167" s="604">
        <f t="shared" si="37"/>
        <v>131757.33473632587</v>
      </c>
      <c r="D167" s="784">
        <f t="shared" si="38"/>
        <v>92245.027860953647</v>
      </c>
      <c r="E167" s="785">
        <f t="shared" si="39"/>
        <v>39512.306875372218</v>
      </c>
      <c r="F167" s="72">
        <f t="shared" si="53"/>
        <v>23</v>
      </c>
      <c r="G167" s="784">
        <f t="shared" si="40"/>
        <v>16629999.826554274</v>
      </c>
      <c r="H167" s="604">
        <f t="shared" si="41"/>
        <v>68372.658190401169</v>
      </c>
      <c r="I167" s="784">
        <f t="shared" si="42"/>
        <v>34135.415673081989</v>
      </c>
      <c r="J167" s="785">
        <f t="shared" si="43"/>
        <v>34237.24251731918</v>
      </c>
      <c r="K167" s="72">
        <f t="shared" si="54"/>
        <v>23</v>
      </c>
      <c r="L167" s="784">
        <f t="shared" si="44"/>
        <v>42432903.228547685</v>
      </c>
      <c r="M167" s="604">
        <f t="shared" si="45"/>
        <v>200129.99292672705</v>
      </c>
      <c r="N167" s="784">
        <f t="shared" si="46"/>
        <v>126380.44353403564</v>
      </c>
      <c r="O167" s="785">
        <f t="shared" si="47"/>
        <v>73749.549392691406</v>
      </c>
      <c r="P167" s="258">
        <v>24</v>
      </c>
      <c r="Q167" s="792">
        <f>B432</f>
        <v>8352471.8195094084</v>
      </c>
      <c r="R167" s="790">
        <f>SUM(C421:C432)</f>
        <v>1581088.01683591</v>
      </c>
      <c r="S167" s="790">
        <f>SUM(D421:D432)</f>
        <v>385688.50832095824</v>
      </c>
      <c r="T167" s="791">
        <f>SUM(E421:E432)</f>
        <v>1195399.5085149519</v>
      </c>
      <c r="U167" s="258">
        <v>24</v>
      </c>
      <c r="V167" s="792">
        <f>G432</f>
        <v>4572668.8032771125</v>
      </c>
      <c r="W167" s="790">
        <f>SUM(H421:H432)</f>
        <v>820471.89828481397</v>
      </c>
      <c r="X167" s="790">
        <f>SUM(I421:I432)</f>
        <v>121739.50143598183</v>
      </c>
      <c r="Y167" s="791">
        <f>SUM(J421:J432)</f>
        <v>698732.39684883226</v>
      </c>
      <c r="Z167" s="258">
        <v>24</v>
      </c>
      <c r="AA167" s="784">
        <f t="shared" si="48"/>
        <v>12925140.622786522</v>
      </c>
      <c r="AB167" s="784">
        <f t="shared" si="49"/>
        <v>2401559.9151207241</v>
      </c>
      <c r="AC167" s="784">
        <f t="shared" si="50"/>
        <v>507428.00975694007</v>
      </c>
      <c r="AD167" s="789">
        <f t="shared" si="51"/>
        <v>1894131.9053637842</v>
      </c>
      <c r="AH167" s="604"/>
    </row>
    <row r="168" spans="1:34" x14ac:dyDescent="0.25">
      <c r="A168" s="72">
        <f t="shared" si="52"/>
        <v>24</v>
      </c>
      <c r="B168" s="784">
        <f t="shared" si="36"/>
        <v>25763250.055135958</v>
      </c>
      <c r="C168" s="604">
        <f t="shared" si="37"/>
        <v>131757.33473632587</v>
      </c>
      <c r="D168" s="784">
        <f t="shared" si="38"/>
        <v>92103.987878870306</v>
      </c>
      <c r="E168" s="785">
        <f t="shared" si="39"/>
        <v>39653.346857455559</v>
      </c>
      <c r="F168" s="72">
        <f t="shared" si="53"/>
        <v>24</v>
      </c>
      <c r="G168" s="784">
        <f t="shared" si="40"/>
        <v>16595692.451663058</v>
      </c>
      <c r="H168" s="604">
        <f t="shared" si="41"/>
        <v>68372.658190401169</v>
      </c>
      <c r="I168" s="784">
        <f t="shared" si="42"/>
        <v>34065.283299185445</v>
      </c>
      <c r="J168" s="785">
        <f t="shared" si="43"/>
        <v>34307.374891215724</v>
      </c>
      <c r="K168" s="72">
        <f t="shared" si="54"/>
        <v>24</v>
      </c>
      <c r="L168" s="784">
        <f t="shared" si="44"/>
        <v>42358942.506799012</v>
      </c>
      <c r="M168" s="604">
        <f t="shared" si="45"/>
        <v>200129.99292672705</v>
      </c>
      <c r="N168" s="784">
        <f t="shared" si="46"/>
        <v>126169.27117805576</v>
      </c>
      <c r="O168" s="785">
        <f t="shared" si="47"/>
        <v>73960.721748671291</v>
      </c>
      <c r="P168" s="258">
        <v>25</v>
      </c>
      <c r="Q168" s="792">
        <f>B444</f>
        <v>7104850.963360915</v>
      </c>
      <c r="R168" s="790">
        <f>SUM(C433:C444)</f>
        <v>1581088.01683591</v>
      </c>
      <c r="S168" s="790">
        <f>SUM(D433:D444)</f>
        <v>333467.16068741865</v>
      </c>
      <c r="T168" s="791">
        <f>SUM(E433:E444)</f>
        <v>1247620.8561484918</v>
      </c>
      <c r="U168" s="258">
        <v>25</v>
      </c>
      <c r="V168" s="792">
        <f>G444</f>
        <v>3856565.9743177798</v>
      </c>
      <c r="W168" s="790">
        <f>SUM(H433:H444)</f>
        <v>820471.89828481397</v>
      </c>
      <c r="X168" s="790">
        <f>SUM(I433:I444)</f>
        <v>104369.06932548084</v>
      </c>
      <c r="Y168" s="791">
        <f>SUM(J433:J444)</f>
        <v>716102.82895933313</v>
      </c>
      <c r="Z168" s="258">
        <v>25</v>
      </c>
      <c r="AA168" s="784">
        <f t="shared" si="48"/>
        <v>10961416.937678695</v>
      </c>
      <c r="AB168" s="784">
        <f t="shared" si="49"/>
        <v>2401559.9151207241</v>
      </c>
      <c r="AC168" s="784">
        <f t="shared" si="50"/>
        <v>437836.2300128995</v>
      </c>
      <c r="AD168" s="789">
        <f t="shared" si="51"/>
        <v>1963723.6851078249</v>
      </c>
      <c r="AH168" s="604"/>
    </row>
    <row r="169" spans="1:34" x14ac:dyDescent="0.25">
      <c r="A169" s="72">
        <f t="shared" si="52"/>
        <v>25</v>
      </c>
      <c r="B169" s="784">
        <f t="shared" si="36"/>
        <v>25723455.164851338</v>
      </c>
      <c r="C169" s="604">
        <f t="shared" si="37"/>
        <v>131757.33473632587</v>
      </c>
      <c r="D169" s="784">
        <f t="shared" si="38"/>
        <v>91962.444451705684</v>
      </c>
      <c r="E169" s="785">
        <f t="shared" si="39"/>
        <v>39794.890284620182</v>
      </c>
      <c r="F169" s="72">
        <f t="shared" si="53"/>
        <v>25</v>
      </c>
      <c r="G169" s="784">
        <f t="shared" si="40"/>
        <v>16561314.800737139</v>
      </c>
      <c r="H169" s="604">
        <f t="shared" si="41"/>
        <v>68372.658190401169</v>
      </c>
      <c r="I169" s="784">
        <f t="shared" si="42"/>
        <v>33995.007264482512</v>
      </c>
      <c r="J169" s="785">
        <f t="shared" si="43"/>
        <v>34377.650925918657</v>
      </c>
      <c r="K169" s="72">
        <f t="shared" si="54"/>
        <v>25</v>
      </c>
      <c r="L169" s="784">
        <f t="shared" si="44"/>
        <v>42284769.96558848</v>
      </c>
      <c r="M169" s="604">
        <f t="shared" si="45"/>
        <v>200129.99292672705</v>
      </c>
      <c r="N169" s="784">
        <f t="shared" si="46"/>
        <v>125957.4517161882</v>
      </c>
      <c r="O169" s="785">
        <f t="shared" si="47"/>
        <v>74172.541210538839</v>
      </c>
      <c r="P169" s="258">
        <v>26</v>
      </c>
      <c r="Q169" s="792">
        <f>B456</f>
        <v>5802727.45602368</v>
      </c>
      <c r="R169" s="790">
        <f>SUM(C445:C456)</f>
        <v>1581088.01683591</v>
      </c>
      <c r="S169" s="790">
        <f>SUM(D445:D456)</f>
        <v>278964.50949867605</v>
      </c>
      <c r="T169" s="791">
        <f>SUM(E445:E456)</f>
        <v>1302123.5073372344</v>
      </c>
      <c r="U169" s="258">
        <v>26</v>
      </c>
      <c r="V169" s="792">
        <f>G456</f>
        <v>3122660.885679815</v>
      </c>
      <c r="W169" s="790">
        <f>SUM(H445:H456)</f>
        <v>820471.89828481397</v>
      </c>
      <c r="X169" s="790">
        <f>SUM(I445:I456)</f>
        <v>86566.809646848953</v>
      </c>
      <c r="Y169" s="791">
        <f>SUM(J445:J456)</f>
        <v>733905.08863796503</v>
      </c>
      <c r="Z169" s="258">
        <v>26</v>
      </c>
      <c r="AA169" s="784">
        <f t="shared" si="48"/>
        <v>8925388.341703495</v>
      </c>
      <c r="AB169" s="784">
        <f t="shared" si="49"/>
        <v>2401559.9151207241</v>
      </c>
      <c r="AC169" s="784">
        <f t="shared" si="50"/>
        <v>365531.31914552499</v>
      </c>
      <c r="AD169" s="789">
        <f t="shared" si="51"/>
        <v>2036028.5959751995</v>
      </c>
      <c r="AH169" s="604"/>
    </row>
    <row r="170" spans="1:34" x14ac:dyDescent="0.25">
      <c r="A170" s="72">
        <f t="shared" si="52"/>
        <v>26</v>
      </c>
      <c r="B170" s="784">
        <f t="shared" si="36"/>
        <v>25683518.225897413</v>
      </c>
      <c r="C170" s="604">
        <f t="shared" si="37"/>
        <v>131757.33473632587</v>
      </c>
      <c r="D170" s="784">
        <f t="shared" si="38"/>
        <v>91820.395782402353</v>
      </c>
      <c r="E170" s="785">
        <f t="shared" si="39"/>
        <v>39936.938953923513</v>
      </c>
      <c r="F170" s="72">
        <f t="shared" si="53"/>
        <v>26</v>
      </c>
      <c r="G170" s="784">
        <f t="shared" si="40"/>
        <v>16526866.729821432</v>
      </c>
      <c r="H170" s="604">
        <f t="shared" si="41"/>
        <v>68372.658190401169</v>
      </c>
      <c r="I170" s="784">
        <f t="shared" si="42"/>
        <v>33924.587274695026</v>
      </c>
      <c r="J170" s="785">
        <f t="shared" si="43"/>
        <v>34448.070915706143</v>
      </c>
      <c r="K170" s="72">
        <f t="shared" si="54"/>
        <v>26</v>
      </c>
      <c r="L170" s="784">
        <f t="shared" si="44"/>
        <v>42210384.955718845</v>
      </c>
      <c r="M170" s="604">
        <f t="shared" si="45"/>
        <v>200129.99292672705</v>
      </c>
      <c r="N170" s="784">
        <f t="shared" si="46"/>
        <v>125744.98305709739</v>
      </c>
      <c r="O170" s="785">
        <f t="shared" si="47"/>
        <v>74385.009869629663</v>
      </c>
      <c r="P170" s="258">
        <v>27</v>
      </c>
      <c r="Q170" s="792">
        <f>B468</f>
        <v>4443720.3345858036</v>
      </c>
      <c r="R170" s="790">
        <f>SUM(C457:C468)</f>
        <v>1581088.01683591</v>
      </c>
      <c r="S170" s="790">
        <f>SUM(D457:D468)</f>
        <v>222080.8953980341</v>
      </c>
      <c r="T170" s="791">
        <f>SUM(E457:E468)</f>
        <v>1359007.121437876</v>
      </c>
      <c r="U170" s="258">
        <v>27</v>
      </c>
      <c r="V170" s="792">
        <f>G468</f>
        <v>2370510.9745959044</v>
      </c>
      <c r="W170" s="790">
        <f>SUM(H457:H468)</f>
        <v>820471.89828481397</v>
      </c>
      <c r="X170" s="790">
        <f>SUM(I457:I468)</f>
        <v>68321.987200903313</v>
      </c>
      <c r="Y170" s="791">
        <f>SUM(J457:J468)</f>
        <v>752149.91108391073</v>
      </c>
      <c r="Z170" s="258">
        <v>27</v>
      </c>
      <c r="AA170" s="784">
        <f t="shared" si="48"/>
        <v>6814231.3091817079</v>
      </c>
      <c r="AB170" s="784">
        <f t="shared" si="49"/>
        <v>2401559.9151207241</v>
      </c>
      <c r="AC170" s="784">
        <f t="shared" si="50"/>
        <v>290402.88259893743</v>
      </c>
      <c r="AD170" s="789">
        <f t="shared" si="51"/>
        <v>2111157.0325217866</v>
      </c>
      <c r="AH170" s="604"/>
    </row>
    <row r="171" spans="1:34" x14ac:dyDescent="0.25">
      <c r="A171" s="72">
        <f t="shared" si="52"/>
        <v>27</v>
      </c>
      <c r="B171" s="784">
        <f t="shared" si="36"/>
        <v>25643438.731228575</v>
      </c>
      <c r="C171" s="604">
        <f t="shared" si="37"/>
        <v>131757.33473632587</v>
      </c>
      <c r="D171" s="784">
        <f t="shared" si="38"/>
        <v>91677.840067488214</v>
      </c>
      <c r="E171" s="785">
        <f t="shared" si="39"/>
        <v>40079.494668837651</v>
      </c>
      <c r="F171" s="72">
        <f t="shared" si="53"/>
        <v>27</v>
      </c>
      <c r="G171" s="784">
        <f t="shared" si="40"/>
        <v>16492348.094665973</v>
      </c>
      <c r="H171" s="604">
        <f t="shared" si="41"/>
        <v>68372.658190401169</v>
      </c>
      <c r="I171" s="784">
        <f t="shared" si="42"/>
        <v>33854.023034941987</v>
      </c>
      <c r="J171" s="785">
        <f t="shared" si="43"/>
        <v>34518.635155459182</v>
      </c>
      <c r="K171" s="72">
        <f t="shared" si="54"/>
        <v>27</v>
      </c>
      <c r="L171" s="784">
        <f t="shared" si="44"/>
        <v>42135786.825894549</v>
      </c>
      <c r="M171" s="604">
        <f t="shared" si="45"/>
        <v>200129.99292672705</v>
      </c>
      <c r="N171" s="784">
        <f t="shared" si="46"/>
        <v>125531.8631024302</v>
      </c>
      <c r="O171" s="785">
        <f t="shared" si="47"/>
        <v>74598.129824296833</v>
      </c>
      <c r="P171" s="258">
        <v>28</v>
      </c>
      <c r="Q171" s="792">
        <f>B480</f>
        <v>3025344.6231330042</v>
      </c>
      <c r="R171" s="790">
        <f>SUM(C469:C480)</f>
        <v>1581088.01683591</v>
      </c>
      <c r="S171" s="790">
        <f>SUM(D469:D480)</f>
        <v>162712.30538311214</v>
      </c>
      <c r="T171" s="791">
        <f>SUM(E469:E480)</f>
        <v>1418375.7114527985</v>
      </c>
      <c r="U171" s="258">
        <v>28</v>
      </c>
      <c r="V171" s="792">
        <f>G480</f>
        <v>1599662.6762233488</v>
      </c>
      <c r="W171" s="790">
        <f>SUM(H469:H480)</f>
        <v>820471.89828481397</v>
      </c>
      <c r="X171" s="790">
        <f>SUM(I469:I480)</f>
        <v>49623.599912258651</v>
      </c>
      <c r="Y171" s="791">
        <f>SUM(J469:J480)</f>
        <v>770848.29837255529</v>
      </c>
      <c r="Z171" s="258">
        <v>28</v>
      </c>
      <c r="AA171" s="784">
        <f t="shared" si="48"/>
        <v>4625007.2993563525</v>
      </c>
      <c r="AB171" s="784">
        <f t="shared" si="49"/>
        <v>2401559.9151207241</v>
      </c>
      <c r="AC171" s="784">
        <f t="shared" si="50"/>
        <v>212335.90529537079</v>
      </c>
      <c r="AD171" s="789">
        <f t="shared" si="51"/>
        <v>2189224.0098253535</v>
      </c>
      <c r="AH171" s="604"/>
    </row>
    <row r="172" spans="1:34" x14ac:dyDescent="0.25">
      <c r="A172" s="72">
        <f t="shared" si="52"/>
        <v>28</v>
      </c>
      <c r="B172" s="784">
        <f t="shared" si="36"/>
        <v>25603216.171989303</v>
      </c>
      <c r="C172" s="604">
        <f t="shared" si="37"/>
        <v>131757.33473632587</v>
      </c>
      <c r="D172" s="784">
        <f t="shared" si="38"/>
        <v>91534.775497053692</v>
      </c>
      <c r="E172" s="785">
        <f t="shared" si="39"/>
        <v>40222.559239272174</v>
      </c>
      <c r="F172" s="72">
        <f t="shared" si="53"/>
        <v>28</v>
      </c>
      <c r="G172" s="784">
        <f t="shared" si="40"/>
        <v>16457758.75072531</v>
      </c>
      <c r="H172" s="604">
        <f t="shared" si="41"/>
        <v>68372.658190401169</v>
      </c>
      <c r="I172" s="784">
        <f t="shared" si="42"/>
        <v>33783.314249738367</v>
      </c>
      <c r="J172" s="785">
        <f t="shared" si="43"/>
        <v>34589.343940662802</v>
      </c>
      <c r="K172" s="72">
        <f t="shared" si="54"/>
        <v>28</v>
      </c>
      <c r="L172" s="784">
        <f t="shared" si="44"/>
        <v>42060974.922714613</v>
      </c>
      <c r="M172" s="604">
        <f t="shared" si="45"/>
        <v>200129.99292672705</v>
      </c>
      <c r="N172" s="784">
        <f t="shared" si="46"/>
        <v>125318.08974679206</v>
      </c>
      <c r="O172" s="785">
        <f t="shared" si="47"/>
        <v>74811.903179934976</v>
      </c>
      <c r="P172" s="258">
        <v>29</v>
      </c>
      <c r="Q172" s="792">
        <f>B492</f>
        <v>1545006.788912762</v>
      </c>
      <c r="R172" s="790">
        <f>SUM(C481:C492)</f>
        <v>1581088.01683591</v>
      </c>
      <c r="S172" s="790">
        <f>SUM(D481:D492)</f>
        <v>100750.18261566821</v>
      </c>
      <c r="T172" s="791">
        <f>SUM(E481:E492)</f>
        <v>1480337.8342202422</v>
      </c>
      <c r="U172" s="258">
        <v>29</v>
      </c>
      <c r="V172" s="792">
        <f>G492</f>
        <v>809651.15013334074</v>
      </c>
      <c r="W172" s="790">
        <f>SUM(H481:H492)</f>
        <v>820471.89828481397</v>
      </c>
      <c r="X172" s="790">
        <f>SUM(I481:I492)</f>
        <v>30460.372194805979</v>
      </c>
      <c r="Y172" s="791">
        <f>SUM(J481:J492)</f>
        <v>790011.52609000809</v>
      </c>
      <c r="Z172" s="258">
        <v>29</v>
      </c>
      <c r="AA172" s="784">
        <f t="shared" si="48"/>
        <v>2354657.9390461026</v>
      </c>
      <c r="AB172" s="784">
        <f t="shared" si="49"/>
        <v>2401559.9151207241</v>
      </c>
      <c r="AC172" s="784">
        <f t="shared" si="50"/>
        <v>131210.55481047419</v>
      </c>
      <c r="AD172" s="789">
        <f t="shared" si="51"/>
        <v>2270349.3603102504</v>
      </c>
      <c r="AH172" s="604"/>
    </row>
    <row r="173" spans="1:34" ht="16.5" thickBot="1" x14ac:dyDescent="0.3">
      <c r="A173" s="72">
        <f t="shared" si="52"/>
        <v>29</v>
      </c>
      <c r="B173" s="784">
        <f t="shared" si="36"/>
        <v>25562850.037507705</v>
      </c>
      <c r="C173" s="604">
        <f t="shared" si="37"/>
        <v>131757.33473632587</v>
      </c>
      <c r="D173" s="784">
        <f t="shared" si="38"/>
        <v>91391.200254728639</v>
      </c>
      <c r="E173" s="785">
        <f t="shared" si="39"/>
        <v>40366.134481597226</v>
      </c>
      <c r="F173" s="72">
        <f t="shared" si="53"/>
        <v>29</v>
      </c>
      <c r="G173" s="784">
        <f t="shared" si="40"/>
        <v>16423098.553157903</v>
      </c>
      <c r="H173" s="604">
        <f t="shared" si="41"/>
        <v>68372.658190401169</v>
      </c>
      <c r="I173" s="784">
        <f t="shared" si="42"/>
        <v>33712.46062299388</v>
      </c>
      <c r="J173" s="785">
        <f t="shared" si="43"/>
        <v>34660.197567407289</v>
      </c>
      <c r="K173" s="72">
        <f t="shared" si="54"/>
        <v>29</v>
      </c>
      <c r="L173" s="784">
        <f t="shared" si="44"/>
        <v>41985948.590665609</v>
      </c>
      <c r="M173" s="604">
        <f t="shared" si="45"/>
        <v>200129.99292672705</v>
      </c>
      <c r="N173" s="784">
        <f t="shared" si="46"/>
        <v>125103.66087772252</v>
      </c>
      <c r="O173" s="785">
        <f t="shared" si="47"/>
        <v>75026.332049004515</v>
      </c>
      <c r="P173" s="307">
        <v>30</v>
      </c>
      <c r="Q173" s="795">
        <f>B504</f>
        <v>-2.36177584156394E-7</v>
      </c>
      <c r="R173" s="796">
        <f>SUM(C493:C504)</f>
        <v>1581088.01683591</v>
      </c>
      <c r="S173" s="796">
        <f>SUM(D493:D504)</f>
        <v>36081.227922912061</v>
      </c>
      <c r="T173" s="797">
        <f>SUM(E493:E504)</f>
        <v>1545006.788912998</v>
      </c>
      <c r="U173" s="307">
        <v>30</v>
      </c>
      <c r="V173" s="795">
        <f>G504</f>
        <v>7.8430457506328821E-7</v>
      </c>
      <c r="W173" s="796">
        <f>SUM(H493:H504)</f>
        <v>820471.89828481397</v>
      </c>
      <c r="X173" s="796">
        <f>SUM(I493:I504)</f>
        <v>10820.748152257631</v>
      </c>
      <c r="Y173" s="797">
        <f>SUM(J493:J504)</f>
        <v>809651.15013255645</v>
      </c>
      <c r="Z173" s="307">
        <v>30</v>
      </c>
      <c r="AA173" s="798">
        <f t="shared" si="48"/>
        <v>5.4812699090689421E-7</v>
      </c>
      <c r="AB173" s="798">
        <f t="shared" si="49"/>
        <v>2401559.9151207241</v>
      </c>
      <c r="AC173" s="798">
        <f t="shared" si="50"/>
        <v>46901.976075169689</v>
      </c>
      <c r="AD173" s="799">
        <f t="shared" si="51"/>
        <v>2354657.9390455545</v>
      </c>
      <c r="AH173" s="604"/>
    </row>
    <row r="174" spans="1:34" x14ac:dyDescent="0.25">
      <c r="A174" s="72">
        <f t="shared" si="52"/>
        <v>30</v>
      </c>
      <c r="B174" s="784">
        <f t="shared" si="36"/>
        <v>25522339.815289039</v>
      </c>
      <c r="C174" s="604">
        <f t="shared" si="37"/>
        <v>131757.33473632587</v>
      </c>
      <c r="D174" s="784">
        <f t="shared" si="38"/>
        <v>91247.112517659378</v>
      </c>
      <c r="E174" s="785">
        <f t="shared" si="39"/>
        <v>40510.222218666488</v>
      </c>
      <c r="F174" s="72">
        <f t="shared" si="53"/>
        <v>30</v>
      </c>
      <c r="G174" s="784">
        <f t="shared" si="40"/>
        <v>16388367.356825514</v>
      </c>
      <c r="H174" s="604">
        <f t="shared" si="41"/>
        <v>68372.658190401169</v>
      </c>
      <c r="I174" s="784">
        <f t="shared" si="42"/>
        <v>33641.461858011688</v>
      </c>
      <c r="J174" s="785">
        <f t="shared" si="43"/>
        <v>34731.196332389482</v>
      </c>
      <c r="K174" s="72">
        <f t="shared" si="54"/>
        <v>30</v>
      </c>
      <c r="L174" s="784">
        <f t="shared" si="44"/>
        <v>41910707.172114551</v>
      </c>
      <c r="M174" s="604">
        <f t="shared" si="45"/>
        <v>200129.99292672705</v>
      </c>
      <c r="N174" s="784">
        <f t="shared" si="46"/>
        <v>124888.57437567107</v>
      </c>
      <c r="O174" s="785">
        <f t="shared" si="47"/>
        <v>75241.418551055976</v>
      </c>
      <c r="P174" s="11"/>
      <c r="Q174" s="11"/>
      <c r="R174" s="11"/>
      <c r="AA174" s="39"/>
      <c r="AH174" s="604"/>
    </row>
    <row r="175" spans="1:34" x14ac:dyDescent="0.25">
      <c r="A175" s="72">
        <f t="shared" si="52"/>
        <v>31</v>
      </c>
      <c r="B175" s="784">
        <f t="shared" si="36"/>
        <v>25481684.991009198</v>
      </c>
      <c r="C175" s="604">
        <f t="shared" si="37"/>
        <v>131757.33473632587</v>
      </c>
      <c r="D175" s="784">
        <f t="shared" si="38"/>
        <v>91102.510456485514</v>
      </c>
      <c r="E175" s="785">
        <f t="shared" si="39"/>
        <v>40654.824279840352</v>
      </c>
      <c r="F175" s="72">
        <f t="shared" si="53"/>
        <v>31</v>
      </c>
      <c r="G175" s="784">
        <f t="shared" si="40"/>
        <v>16353565.0162926</v>
      </c>
      <c r="H175" s="604">
        <f t="shared" si="41"/>
        <v>68372.658190401169</v>
      </c>
      <c r="I175" s="784">
        <f t="shared" si="42"/>
        <v>33570.317657487205</v>
      </c>
      <c r="J175" s="785">
        <f t="shared" si="43"/>
        <v>34802.340532913964</v>
      </c>
      <c r="K175" s="72">
        <f t="shared" si="54"/>
        <v>31</v>
      </c>
      <c r="L175" s="784">
        <f t="shared" si="44"/>
        <v>41835250.0073018</v>
      </c>
      <c r="M175" s="604">
        <f t="shared" si="45"/>
        <v>200129.99292672705</v>
      </c>
      <c r="N175" s="784">
        <f t="shared" si="46"/>
        <v>124672.82811397272</v>
      </c>
      <c r="O175" s="785">
        <f t="shared" si="47"/>
        <v>75457.164812754316</v>
      </c>
      <c r="P175" s="11"/>
      <c r="Q175" s="11"/>
      <c r="R175" s="11"/>
      <c r="AA175" s="39"/>
      <c r="AH175" s="604"/>
    </row>
    <row r="176" spans="1:34" x14ac:dyDescent="0.25">
      <c r="A176" s="72">
        <f t="shared" si="52"/>
        <v>32</v>
      </c>
      <c r="B176" s="784">
        <f t="shared" si="36"/>
        <v>25440885.04850819</v>
      </c>
      <c r="C176" s="604">
        <f t="shared" si="37"/>
        <v>131757.33473632587</v>
      </c>
      <c r="D176" s="784">
        <f t="shared" si="38"/>
        <v>90957.3922353167</v>
      </c>
      <c r="E176" s="785">
        <f t="shared" si="39"/>
        <v>40799.942501009165</v>
      </c>
      <c r="F176" s="72">
        <f t="shared" si="53"/>
        <v>32</v>
      </c>
      <c r="G176" s="784">
        <f t="shared" si="40"/>
        <v>16318691.385825705</v>
      </c>
      <c r="H176" s="604">
        <f t="shared" si="41"/>
        <v>68372.658190401169</v>
      </c>
      <c r="I176" s="784">
        <f t="shared" si="42"/>
        <v>33499.027723506842</v>
      </c>
      <c r="J176" s="785">
        <f t="shared" si="43"/>
        <v>34873.630466894327</v>
      </c>
      <c r="K176" s="72">
        <f t="shared" si="54"/>
        <v>32</v>
      </c>
      <c r="L176" s="784">
        <f t="shared" si="44"/>
        <v>41759576.434333891</v>
      </c>
      <c r="M176" s="604">
        <f t="shared" si="45"/>
        <v>200129.99292672705</v>
      </c>
      <c r="N176" s="784">
        <f t="shared" si="46"/>
        <v>124456.41995882354</v>
      </c>
      <c r="O176" s="785">
        <f t="shared" si="47"/>
        <v>75673.572967903485</v>
      </c>
      <c r="P176" s="11"/>
      <c r="Q176" s="11"/>
      <c r="R176" s="11"/>
      <c r="S176" s="11"/>
      <c r="T176" s="11"/>
    </row>
    <row r="177" spans="1:20" x14ac:dyDescent="0.25">
      <c r="A177" s="72">
        <f t="shared" si="52"/>
        <v>33</v>
      </c>
      <c r="B177" s="784">
        <f t="shared" si="36"/>
        <v>25399939.469783574</v>
      </c>
      <c r="C177" s="604">
        <f t="shared" si="37"/>
        <v>131757.33473632587</v>
      </c>
      <c r="D177" s="784">
        <f t="shared" si="38"/>
        <v>90811.756011709353</v>
      </c>
      <c r="E177" s="785">
        <f t="shared" si="39"/>
        <v>40945.578724616513</v>
      </c>
      <c r="F177" s="72">
        <f t="shared" si="53"/>
        <v>33</v>
      </c>
      <c r="G177" s="784">
        <f t="shared" si="40"/>
        <v>16283746.319392851</v>
      </c>
      <c r="H177" s="604">
        <f t="shared" si="41"/>
        <v>68372.658190401169</v>
      </c>
      <c r="I177" s="784">
        <f t="shared" si="42"/>
        <v>33427.591757546761</v>
      </c>
      <c r="J177" s="785">
        <f t="shared" si="43"/>
        <v>34945.066432854408</v>
      </c>
      <c r="K177" s="72">
        <f t="shared" si="54"/>
        <v>33</v>
      </c>
      <c r="L177" s="784">
        <f t="shared" si="44"/>
        <v>41683685.789176427</v>
      </c>
      <c r="M177" s="604">
        <f t="shared" si="45"/>
        <v>200129.99292672705</v>
      </c>
      <c r="N177" s="784">
        <f t="shared" si="46"/>
        <v>124239.34776925611</v>
      </c>
      <c r="O177" s="785">
        <f t="shared" si="47"/>
        <v>75890.645157470921</v>
      </c>
      <c r="P177" s="11"/>
      <c r="Q177" s="11"/>
      <c r="R177" s="11"/>
      <c r="S177" s="11"/>
      <c r="T177" s="11"/>
    </row>
    <row r="178" spans="1:20" x14ac:dyDescent="0.25">
      <c r="A178" s="72">
        <f t="shared" si="52"/>
        <v>34</v>
      </c>
      <c r="B178" s="784">
        <f t="shared" si="36"/>
        <v>25358847.734983891</v>
      </c>
      <c r="C178" s="604">
        <f t="shared" si="37"/>
        <v>131757.33473632587</v>
      </c>
      <c r="D178" s="784">
        <f t="shared" si="38"/>
        <v>90665.599936643252</v>
      </c>
      <c r="E178" s="785">
        <f t="shared" si="39"/>
        <v>41091.734799682614</v>
      </c>
      <c r="F178" s="72">
        <f t="shared" si="53"/>
        <v>34</v>
      </c>
      <c r="G178" s="784">
        <f t="shared" si="40"/>
        <v>16248729.670662921</v>
      </c>
      <c r="H178" s="604">
        <f t="shared" si="41"/>
        <v>68372.658190401169</v>
      </c>
      <c r="I178" s="784">
        <f t="shared" si="42"/>
        <v>33356.009460471614</v>
      </c>
      <c r="J178" s="785">
        <f t="shared" si="43"/>
        <v>35016.648729929555</v>
      </c>
      <c r="K178" s="72">
        <f t="shared" si="54"/>
        <v>34</v>
      </c>
      <c r="L178" s="784">
        <f t="shared" si="44"/>
        <v>41607577.405646816</v>
      </c>
      <c r="M178" s="604">
        <f t="shared" si="45"/>
        <v>200129.99292672705</v>
      </c>
      <c r="N178" s="784">
        <f t="shared" si="46"/>
        <v>124021.60939711487</v>
      </c>
      <c r="O178" s="785">
        <f t="shared" si="47"/>
        <v>76108.383529612169</v>
      </c>
      <c r="P178" s="11"/>
      <c r="Q178" s="11"/>
      <c r="R178" s="11"/>
      <c r="S178" s="11"/>
      <c r="T178" s="11"/>
    </row>
    <row r="179" spans="1:20" x14ac:dyDescent="0.25">
      <c r="A179" s="72">
        <f t="shared" si="52"/>
        <v>35</v>
      </c>
      <c r="B179" s="784">
        <f t="shared" si="36"/>
        <v>25317609.322402064</v>
      </c>
      <c r="C179" s="604">
        <f t="shared" si="37"/>
        <v>131757.33473632587</v>
      </c>
      <c r="D179" s="784">
        <f t="shared" si="38"/>
        <v>90518.922154498025</v>
      </c>
      <c r="E179" s="785">
        <f t="shared" si="39"/>
        <v>41238.412581827841</v>
      </c>
      <c r="F179" s="72">
        <f t="shared" si="53"/>
        <v>35</v>
      </c>
      <c r="G179" s="784">
        <f t="shared" si="40"/>
        <v>16213641.293005053</v>
      </c>
      <c r="H179" s="604">
        <f t="shared" si="41"/>
        <v>68372.658190401169</v>
      </c>
      <c r="I179" s="784">
        <f t="shared" si="42"/>
        <v>33284.280532533303</v>
      </c>
      <c r="J179" s="785">
        <f t="shared" si="43"/>
        <v>35088.377657867866</v>
      </c>
      <c r="K179" s="72">
        <f t="shared" si="54"/>
        <v>35</v>
      </c>
      <c r="L179" s="784">
        <f t="shared" si="44"/>
        <v>41531250.615407117</v>
      </c>
      <c r="M179" s="604">
        <f t="shared" si="45"/>
        <v>200129.99292672705</v>
      </c>
      <c r="N179" s="784">
        <f t="shared" si="46"/>
        <v>123803.20268703133</v>
      </c>
      <c r="O179" s="785">
        <f t="shared" si="47"/>
        <v>76326.790239695707</v>
      </c>
      <c r="P179" s="11"/>
      <c r="Q179" s="11"/>
      <c r="R179" s="11"/>
      <c r="S179" s="11"/>
      <c r="T179" s="11"/>
    </row>
    <row r="180" spans="1:20" x14ac:dyDescent="0.25">
      <c r="A180" s="72">
        <f t="shared" si="52"/>
        <v>36</v>
      </c>
      <c r="B180" s="784">
        <f t="shared" si="36"/>
        <v>25276223.708468769</v>
      </c>
      <c r="C180" s="604">
        <f t="shared" si="37"/>
        <v>131757.33473632587</v>
      </c>
      <c r="D180" s="784">
        <f t="shared" si="38"/>
        <v>90371.72080302969</v>
      </c>
      <c r="E180" s="785">
        <f t="shared" si="39"/>
        <v>41385.613933296176</v>
      </c>
      <c r="F180" s="72">
        <f t="shared" si="53"/>
        <v>36</v>
      </c>
      <c r="G180" s="784">
        <f t="shared" si="40"/>
        <v>16178481.039488021</v>
      </c>
      <c r="H180" s="604">
        <f t="shared" si="41"/>
        <v>68372.658190401169</v>
      </c>
      <c r="I180" s="784">
        <f t="shared" si="42"/>
        <v>33212.404673369703</v>
      </c>
      <c r="J180" s="785">
        <f t="shared" si="43"/>
        <v>35160.253517031466</v>
      </c>
      <c r="K180" s="72">
        <f t="shared" si="54"/>
        <v>36</v>
      </c>
      <c r="L180" s="784">
        <f t="shared" si="44"/>
        <v>41454704.74795679</v>
      </c>
      <c r="M180" s="604">
        <f t="shared" si="45"/>
        <v>200129.99292672705</v>
      </c>
      <c r="N180" s="784">
        <f t="shared" si="46"/>
        <v>123584.12547639939</v>
      </c>
      <c r="O180" s="785">
        <f t="shared" si="47"/>
        <v>76545.867450327642</v>
      </c>
      <c r="P180" s="11"/>
      <c r="Q180" s="11"/>
      <c r="R180" s="11"/>
      <c r="S180" s="11"/>
      <c r="T180" s="11"/>
    </row>
    <row r="181" spans="1:20" x14ac:dyDescent="0.25">
      <c r="A181" s="72">
        <f t="shared" si="52"/>
        <v>37</v>
      </c>
      <c r="B181" s="784">
        <f t="shared" si="36"/>
        <v>25234690.367745791</v>
      </c>
      <c r="C181" s="604">
        <f t="shared" si="37"/>
        <v>131757.33473632587</v>
      </c>
      <c r="D181" s="784">
        <f t="shared" si="38"/>
        <v>90223.994013346892</v>
      </c>
      <c r="E181" s="785">
        <f t="shared" si="39"/>
        <v>41533.340722978974</v>
      </c>
      <c r="F181" s="72">
        <f t="shared" si="53"/>
        <v>37</v>
      </c>
      <c r="G181" s="784">
        <f t="shared" si="40"/>
        <v>16143248.762879623</v>
      </c>
      <c r="H181" s="604">
        <f t="shared" si="41"/>
        <v>68372.658190401169</v>
      </c>
      <c r="I181" s="784">
        <f t="shared" si="42"/>
        <v>33140.381582003436</v>
      </c>
      <c r="J181" s="785">
        <f t="shared" si="43"/>
        <v>35232.276608397733</v>
      </c>
      <c r="K181" s="72">
        <f t="shared" si="54"/>
        <v>37</v>
      </c>
      <c r="L181" s="784">
        <f t="shared" si="44"/>
        <v>41377939.130625412</v>
      </c>
      <c r="M181" s="604">
        <f t="shared" si="45"/>
        <v>200129.99292672705</v>
      </c>
      <c r="N181" s="784">
        <f t="shared" si="46"/>
        <v>123364.37559535033</v>
      </c>
      <c r="O181" s="785">
        <f t="shared" si="47"/>
        <v>76765.617331376707</v>
      </c>
      <c r="P181" s="11"/>
      <c r="Q181" s="11"/>
      <c r="R181" s="11"/>
      <c r="S181" s="11"/>
      <c r="T181" s="11"/>
    </row>
    <row r="182" spans="1:20" x14ac:dyDescent="0.25">
      <c r="A182" s="72">
        <f t="shared" si="52"/>
        <v>38</v>
      </c>
      <c r="B182" s="784">
        <f t="shared" si="36"/>
        <v>25193008.772919353</v>
      </c>
      <c r="C182" s="604">
        <f t="shared" si="37"/>
        <v>131757.33473632587</v>
      </c>
      <c r="D182" s="784">
        <f t="shared" si="38"/>
        <v>90075.739909887241</v>
      </c>
      <c r="E182" s="785">
        <f t="shared" si="39"/>
        <v>41681.594826438624</v>
      </c>
      <c r="F182" s="72">
        <f t="shared" si="53"/>
        <v>38</v>
      </c>
      <c r="G182" s="784">
        <f t="shared" si="40"/>
        <v>16107944.315646062</v>
      </c>
      <c r="H182" s="604">
        <f t="shared" si="41"/>
        <v>68372.658190401169</v>
      </c>
      <c r="I182" s="784">
        <f t="shared" si="42"/>
        <v>33068.210956840601</v>
      </c>
      <c r="J182" s="785">
        <f t="shared" si="43"/>
        <v>35304.447233560568</v>
      </c>
      <c r="K182" s="72">
        <f t="shared" si="54"/>
        <v>38</v>
      </c>
      <c r="L182" s="784">
        <f t="shared" si="44"/>
        <v>41300953.088565417</v>
      </c>
      <c r="M182" s="604">
        <f t="shared" si="45"/>
        <v>200129.99292672705</v>
      </c>
      <c r="N182" s="784">
        <f t="shared" si="46"/>
        <v>123143.95086672784</v>
      </c>
      <c r="O182" s="785">
        <f t="shared" si="47"/>
        <v>76986.042059999192</v>
      </c>
      <c r="P182" s="11"/>
      <c r="Q182" s="11"/>
      <c r="R182" s="11"/>
      <c r="S182" s="11"/>
      <c r="T182" s="11"/>
    </row>
    <row r="183" spans="1:20" x14ac:dyDescent="0.25">
      <c r="A183" s="72">
        <f t="shared" si="52"/>
        <v>39</v>
      </c>
      <c r="B183" s="784">
        <f t="shared" si="36"/>
        <v>25151178.394793421</v>
      </c>
      <c r="C183" s="604">
        <f t="shared" si="37"/>
        <v>131757.33473632587</v>
      </c>
      <c r="D183" s="784">
        <f t="shared" si="38"/>
        <v>89926.956610393536</v>
      </c>
      <c r="E183" s="785">
        <f t="shared" si="39"/>
        <v>41830.37812593233</v>
      </c>
      <c r="F183" s="72">
        <f t="shared" si="53"/>
        <v>39</v>
      </c>
      <c r="G183" s="784">
        <f t="shared" si="40"/>
        <v>16072567.54995133</v>
      </c>
      <c r="H183" s="604">
        <f t="shared" si="41"/>
        <v>68372.658190401169</v>
      </c>
      <c r="I183" s="784">
        <f t="shared" si="42"/>
        <v>32995.892495669475</v>
      </c>
      <c r="J183" s="785">
        <f t="shared" si="43"/>
        <v>35376.765694731694</v>
      </c>
      <c r="K183" s="72">
        <f t="shared" si="54"/>
        <v>39</v>
      </c>
      <c r="L183" s="784">
        <f t="shared" si="44"/>
        <v>41223745.944744751</v>
      </c>
      <c r="M183" s="604">
        <f t="shared" si="45"/>
        <v>200129.99292672705</v>
      </c>
      <c r="N183" s="784">
        <f t="shared" si="46"/>
        <v>122922.84910606302</v>
      </c>
      <c r="O183" s="785">
        <f t="shared" si="47"/>
        <v>77207.14382066403</v>
      </c>
      <c r="P183" s="11"/>
      <c r="Q183" s="11"/>
      <c r="R183" s="11"/>
      <c r="S183" s="11"/>
      <c r="T183" s="11"/>
    </row>
    <row r="184" spans="1:20" x14ac:dyDescent="0.25">
      <c r="A184" s="72">
        <f t="shared" si="52"/>
        <v>40</v>
      </c>
      <c r="B184" s="784">
        <f t="shared" si="36"/>
        <v>25109198.702282984</v>
      </c>
      <c r="C184" s="604">
        <f t="shared" si="37"/>
        <v>131757.33473632587</v>
      </c>
      <c r="D184" s="784">
        <f t="shared" si="38"/>
        <v>89777.642225889736</v>
      </c>
      <c r="E184" s="785">
        <f t="shared" si="39"/>
        <v>41979.692510436129</v>
      </c>
      <c r="F184" s="72">
        <f t="shared" si="53"/>
        <v>40</v>
      </c>
      <c r="G184" s="784">
        <f t="shared" si="40"/>
        <v>16037118.317656588</v>
      </c>
      <c r="H184" s="604">
        <f t="shared" si="41"/>
        <v>68372.658190401169</v>
      </c>
      <c r="I184" s="784">
        <f t="shared" si="42"/>
        <v>32923.425895659318</v>
      </c>
      <c r="J184" s="785">
        <f t="shared" si="43"/>
        <v>35449.232294741851</v>
      </c>
      <c r="K184" s="72">
        <f t="shared" si="54"/>
        <v>40</v>
      </c>
      <c r="L184" s="784">
        <f t="shared" si="44"/>
        <v>41146317.019939572</v>
      </c>
      <c r="M184" s="604">
        <f t="shared" si="45"/>
        <v>200129.99292672705</v>
      </c>
      <c r="N184" s="784">
        <f t="shared" si="46"/>
        <v>122701.06812154906</v>
      </c>
      <c r="O184" s="785">
        <f t="shared" si="47"/>
        <v>77428.924805177987</v>
      </c>
      <c r="P184" s="11"/>
      <c r="Q184" s="11"/>
      <c r="R184" s="11"/>
      <c r="S184" s="11"/>
      <c r="T184" s="11"/>
    </row>
    <row r="185" spans="1:20" x14ac:dyDescent="0.25">
      <c r="A185" s="72">
        <f t="shared" si="52"/>
        <v>41</v>
      </c>
      <c r="B185" s="784">
        <f t="shared" si="36"/>
        <v>25067069.162407316</v>
      </c>
      <c r="C185" s="604">
        <f t="shared" si="37"/>
        <v>131757.33473632587</v>
      </c>
      <c r="D185" s="784">
        <f t="shared" si="38"/>
        <v>89627.794860657144</v>
      </c>
      <c r="E185" s="785">
        <f t="shared" si="39"/>
        <v>42129.539875668721</v>
      </c>
      <c r="F185" s="72">
        <f t="shared" si="53"/>
        <v>41</v>
      </c>
      <c r="G185" s="784">
        <f t="shared" si="40"/>
        <v>16001596.470319545</v>
      </c>
      <c r="H185" s="604">
        <f t="shared" si="41"/>
        <v>68372.658190401169</v>
      </c>
      <c r="I185" s="784">
        <f t="shared" si="42"/>
        <v>32850.810853359028</v>
      </c>
      <c r="J185" s="785">
        <f t="shared" si="43"/>
        <v>35521.847337042142</v>
      </c>
      <c r="K185" s="72">
        <f t="shared" si="54"/>
        <v>41</v>
      </c>
      <c r="L185" s="784">
        <f t="shared" si="44"/>
        <v>41068665.632726863</v>
      </c>
      <c r="M185" s="604">
        <f t="shared" si="45"/>
        <v>200129.99292672705</v>
      </c>
      <c r="N185" s="784">
        <f t="shared" si="46"/>
        <v>122478.60571401617</v>
      </c>
      <c r="O185" s="785">
        <f t="shared" si="47"/>
        <v>77651.387212710863</v>
      </c>
      <c r="P185" s="11"/>
      <c r="Q185" s="11"/>
      <c r="R185" s="11"/>
      <c r="S185" s="11"/>
      <c r="T185" s="11"/>
    </row>
    <row r="186" spans="1:20" x14ac:dyDescent="0.25">
      <c r="A186" s="72">
        <f t="shared" si="52"/>
        <v>42</v>
      </c>
      <c r="B186" s="784">
        <f t="shared" si="36"/>
        <v>25024789.240283202</v>
      </c>
      <c r="C186" s="604">
        <f t="shared" si="37"/>
        <v>131757.33473632587</v>
      </c>
      <c r="D186" s="784">
        <f t="shared" si="38"/>
        <v>89477.412612210202</v>
      </c>
      <c r="E186" s="785">
        <f t="shared" si="39"/>
        <v>42279.922124115663</v>
      </c>
      <c r="F186" s="72">
        <f t="shared" si="53"/>
        <v>42</v>
      </c>
      <c r="G186" s="784">
        <f t="shared" si="40"/>
        <v>15966001.859193839</v>
      </c>
      <c r="H186" s="604">
        <f t="shared" si="41"/>
        <v>68372.658190401169</v>
      </c>
      <c r="I186" s="784">
        <f t="shared" si="42"/>
        <v>32778.047064695929</v>
      </c>
      <c r="J186" s="785">
        <f t="shared" si="43"/>
        <v>35594.61112570524</v>
      </c>
      <c r="K186" s="72">
        <f t="shared" si="54"/>
        <v>42</v>
      </c>
      <c r="L186" s="784">
        <f t="shared" si="44"/>
        <v>40990791.099477038</v>
      </c>
      <c r="M186" s="604">
        <f t="shared" si="45"/>
        <v>200129.99292672705</v>
      </c>
      <c r="N186" s="784">
        <f t="shared" si="46"/>
        <v>122255.45967690613</v>
      </c>
      <c r="O186" s="785">
        <f t="shared" si="47"/>
        <v>77874.533249820903</v>
      </c>
      <c r="P186" s="11"/>
      <c r="Q186" s="11"/>
      <c r="R186" s="11"/>
      <c r="S186" s="11"/>
      <c r="T186" s="11"/>
    </row>
    <row r="187" spans="1:20" x14ac:dyDescent="0.25">
      <c r="A187" s="72">
        <f t="shared" si="52"/>
        <v>43</v>
      </c>
      <c r="B187" s="784">
        <f t="shared" si="36"/>
        <v>24982358.399118148</v>
      </c>
      <c r="C187" s="604">
        <f t="shared" si="37"/>
        <v>131757.33473632587</v>
      </c>
      <c r="D187" s="784">
        <f t="shared" si="38"/>
        <v>89326.493571272425</v>
      </c>
      <c r="E187" s="785">
        <f t="shared" si="39"/>
        <v>42430.84116505344</v>
      </c>
      <c r="F187" s="72">
        <f t="shared" si="53"/>
        <v>43</v>
      </c>
      <c r="G187" s="784">
        <f t="shared" si="40"/>
        <v>15930334.335228413</v>
      </c>
      <c r="H187" s="604">
        <f t="shared" si="41"/>
        <v>68372.658190401169</v>
      </c>
      <c r="I187" s="784">
        <f t="shared" si="42"/>
        <v>32705.134224974467</v>
      </c>
      <c r="J187" s="785">
        <f t="shared" si="43"/>
        <v>35667.523965426706</v>
      </c>
      <c r="K187" s="72">
        <f t="shared" si="54"/>
        <v>43</v>
      </c>
      <c r="L187" s="784">
        <f t="shared" si="44"/>
        <v>40912692.734346561</v>
      </c>
      <c r="M187" s="604">
        <f t="shared" si="45"/>
        <v>200129.99292672705</v>
      </c>
      <c r="N187" s="784">
        <f t="shared" si="46"/>
        <v>122031.62779624689</v>
      </c>
      <c r="O187" s="785">
        <f t="shared" si="47"/>
        <v>78098.365130480146</v>
      </c>
      <c r="P187" s="11"/>
      <c r="Q187" s="11"/>
      <c r="R187" s="11"/>
      <c r="S187" s="11"/>
      <c r="T187" s="11"/>
    </row>
    <row r="188" spans="1:20" x14ac:dyDescent="0.25">
      <c r="A188" s="72">
        <f t="shared" si="52"/>
        <v>44</v>
      </c>
      <c r="B188" s="784">
        <f t="shared" si="36"/>
        <v>24939776.100203574</v>
      </c>
      <c r="C188" s="604">
        <f t="shared" si="37"/>
        <v>131757.33473632587</v>
      </c>
      <c r="D188" s="784">
        <f t="shared" si="38"/>
        <v>89175.035821752099</v>
      </c>
      <c r="E188" s="785">
        <f t="shared" si="39"/>
        <v>42582.298914573767</v>
      </c>
      <c r="F188" s="72">
        <f t="shared" si="53"/>
        <v>44</v>
      </c>
      <c r="G188" s="784">
        <f t="shared" si="40"/>
        <v>15894593.749066887</v>
      </c>
      <c r="H188" s="604">
        <f t="shared" si="41"/>
        <v>68372.658190401169</v>
      </c>
      <c r="I188" s="784">
        <f t="shared" si="42"/>
        <v>32632.072028874947</v>
      </c>
      <c r="J188" s="785">
        <f t="shared" si="43"/>
        <v>35740.586161526226</v>
      </c>
      <c r="K188" s="72">
        <f t="shared" si="54"/>
        <v>44</v>
      </c>
      <c r="L188" s="784">
        <f t="shared" si="44"/>
        <v>40834369.849270463</v>
      </c>
      <c r="M188" s="604">
        <f t="shared" si="45"/>
        <v>200129.99292672705</v>
      </c>
      <c r="N188" s="784">
        <f t="shared" si="46"/>
        <v>121807.10785062704</v>
      </c>
      <c r="O188" s="785">
        <f t="shared" si="47"/>
        <v>78322.885076099992</v>
      </c>
      <c r="P188" s="11"/>
      <c r="Q188" s="11"/>
      <c r="R188" s="11"/>
      <c r="S188" s="11"/>
      <c r="T188" s="11"/>
    </row>
    <row r="189" spans="1:20" x14ac:dyDescent="0.25">
      <c r="A189" s="72">
        <f t="shared" si="52"/>
        <v>45</v>
      </c>
      <c r="B189" s="784">
        <f t="shared" si="36"/>
        <v>24897041.802907966</v>
      </c>
      <c r="C189" s="604">
        <f t="shared" si="37"/>
        <v>131757.33473632587</v>
      </c>
      <c r="D189" s="784">
        <f t="shared" si="38"/>
        <v>89023.037440717992</v>
      </c>
      <c r="E189" s="785">
        <f t="shared" si="39"/>
        <v>42734.297295607874</v>
      </c>
      <c r="F189" s="72">
        <f t="shared" si="53"/>
        <v>45</v>
      </c>
      <c r="G189" s="784">
        <f t="shared" si="40"/>
        <v>15858779.951046938</v>
      </c>
      <c r="H189" s="604">
        <f t="shared" si="41"/>
        <v>68372.658190401169</v>
      </c>
      <c r="I189" s="784">
        <f t="shared" si="42"/>
        <v>32558.860170452237</v>
      </c>
      <c r="J189" s="785">
        <f t="shared" si="43"/>
        <v>35813.798019948932</v>
      </c>
      <c r="K189" s="72">
        <f t="shared" si="54"/>
        <v>45</v>
      </c>
      <c r="L189" s="784">
        <f t="shared" si="44"/>
        <v>40755821.753954902</v>
      </c>
      <c r="M189" s="604">
        <f t="shared" si="45"/>
        <v>200129.99292672705</v>
      </c>
      <c r="N189" s="784">
        <f t="shared" si="46"/>
        <v>121581.89761117022</v>
      </c>
      <c r="O189" s="785">
        <f t="shared" si="47"/>
        <v>78548.095315556799</v>
      </c>
      <c r="P189" s="11"/>
      <c r="Q189" s="11"/>
      <c r="R189" s="11"/>
      <c r="S189" s="11"/>
      <c r="T189" s="11"/>
    </row>
    <row r="190" spans="1:20" x14ac:dyDescent="0.25">
      <c r="A190" s="72">
        <f t="shared" si="52"/>
        <v>46</v>
      </c>
      <c r="B190" s="784">
        <f t="shared" si="36"/>
        <v>24854154.964670014</v>
      </c>
      <c r="C190" s="604">
        <f t="shared" si="37"/>
        <v>131757.33473632587</v>
      </c>
      <c r="D190" s="784">
        <f t="shared" si="38"/>
        <v>88870.496498374938</v>
      </c>
      <c r="E190" s="785">
        <f t="shared" si="39"/>
        <v>42886.838237950928</v>
      </c>
      <c r="F190" s="72">
        <f t="shared" si="53"/>
        <v>46</v>
      </c>
      <c r="G190" s="784">
        <f t="shared" si="40"/>
        <v>15822892.791199671</v>
      </c>
      <c r="H190" s="604">
        <f t="shared" si="41"/>
        <v>68372.658190401169</v>
      </c>
      <c r="I190" s="784">
        <f t="shared" si="42"/>
        <v>32485.498343134521</v>
      </c>
      <c r="J190" s="785">
        <f t="shared" si="43"/>
        <v>35887.159847266652</v>
      </c>
      <c r="K190" s="72">
        <f t="shared" si="54"/>
        <v>46</v>
      </c>
      <c r="L190" s="784">
        <f t="shared" si="44"/>
        <v>40677047.755869687</v>
      </c>
      <c r="M190" s="604">
        <f t="shared" si="45"/>
        <v>200129.99292672705</v>
      </c>
      <c r="N190" s="784">
        <f t="shared" si="46"/>
        <v>121355.99484150946</v>
      </c>
      <c r="O190" s="785">
        <f t="shared" si="47"/>
        <v>78773.99808521758</v>
      </c>
      <c r="P190" s="11"/>
      <c r="Q190" s="11"/>
      <c r="R190" s="11"/>
      <c r="S190" s="11"/>
      <c r="T190" s="11"/>
    </row>
    <row r="191" spans="1:20" x14ac:dyDescent="0.25">
      <c r="A191" s="72">
        <f t="shared" si="52"/>
        <v>47</v>
      </c>
      <c r="B191" s="784">
        <f t="shared" si="36"/>
        <v>24811115.040991727</v>
      </c>
      <c r="C191" s="604">
        <f t="shared" si="37"/>
        <v>131757.33473632587</v>
      </c>
      <c r="D191" s="784">
        <f t="shared" si="38"/>
        <v>88717.411058039332</v>
      </c>
      <c r="E191" s="785">
        <f t="shared" si="39"/>
        <v>43039.923678286534</v>
      </c>
      <c r="F191" s="72">
        <f t="shared" si="53"/>
        <v>47</v>
      </c>
      <c r="G191" s="784">
        <f t="shared" si="40"/>
        <v>15786932.119248992</v>
      </c>
      <c r="H191" s="604">
        <f t="shared" si="41"/>
        <v>68372.658190401169</v>
      </c>
      <c r="I191" s="784">
        <f t="shared" si="42"/>
        <v>32411.986239721973</v>
      </c>
      <c r="J191" s="785">
        <f t="shared" si="43"/>
        <v>35960.6719506792</v>
      </c>
      <c r="K191" s="72">
        <f t="shared" si="54"/>
        <v>47</v>
      </c>
      <c r="L191" s="784">
        <f t="shared" si="44"/>
        <v>40598047.160240717</v>
      </c>
      <c r="M191" s="604">
        <f t="shared" si="45"/>
        <v>200129.99292672705</v>
      </c>
      <c r="N191" s="784">
        <f t="shared" si="46"/>
        <v>121129.3972977613</v>
      </c>
      <c r="O191" s="785">
        <f t="shared" si="47"/>
        <v>79000.595628965733</v>
      </c>
      <c r="P191" s="11"/>
      <c r="Q191" s="11"/>
      <c r="R191" s="11"/>
      <c r="S191" s="11"/>
      <c r="T191" s="11"/>
    </row>
    <row r="192" spans="1:20" x14ac:dyDescent="0.25">
      <c r="A192" s="72">
        <f t="shared" si="52"/>
        <v>48</v>
      </c>
      <c r="B192" s="784">
        <f t="shared" si="36"/>
        <v>24767921.485431515</v>
      </c>
      <c r="C192" s="604">
        <f t="shared" si="37"/>
        <v>131757.33473632587</v>
      </c>
      <c r="D192" s="784">
        <f t="shared" si="38"/>
        <v>88563.77917611452</v>
      </c>
      <c r="E192" s="785">
        <f t="shared" si="39"/>
        <v>43193.555560211345</v>
      </c>
      <c r="F192" s="72">
        <f t="shared" si="53"/>
        <v>48</v>
      </c>
      <c r="G192" s="784">
        <f t="shared" si="40"/>
        <v>15750897.784610976</v>
      </c>
      <c r="H192" s="604">
        <f t="shared" si="41"/>
        <v>68372.658190401169</v>
      </c>
      <c r="I192" s="784">
        <f t="shared" si="42"/>
        <v>32338.323552385504</v>
      </c>
      <c r="J192" s="785">
        <f t="shared" si="43"/>
        <v>36034.334638015665</v>
      </c>
      <c r="K192" s="72">
        <f t="shared" si="54"/>
        <v>48</v>
      </c>
      <c r="L192" s="784">
        <f t="shared" si="44"/>
        <v>40518819.270042494</v>
      </c>
      <c r="M192" s="604">
        <f t="shared" si="45"/>
        <v>200129.99292672705</v>
      </c>
      <c r="N192" s="784">
        <f t="shared" si="46"/>
        <v>120902.10272850003</v>
      </c>
      <c r="O192" s="785">
        <f t="shared" si="47"/>
        <v>79227.890198227018</v>
      </c>
      <c r="P192" s="11"/>
      <c r="Q192" s="11"/>
      <c r="R192" s="11"/>
      <c r="S192" s="11"/>
      <c r="T192" s="11"/>
    </row>
    <row r="193" spans="1:20" x14ac:dyDescent="0.25">
      <c r="A193" s="72">
        <f t="shared" si="52"/>
        <v>49</v>
      </c>
      <c r="B193" s="784">
        <f t="shared" si="36"/>
        <v>24724573.749597255</v>
      </c>
      <c r="C193" s="604">
        <f t="shared" si="37"/>
        <v>131757.33473632587</v>
      </c>
      <c r="D193" s="784">
        <f t="shared" si="38"/>
        <v>88409.598902066136</v>
      </c>
      <c r="E193" s="785">
        <f t="shared" si="39"/>
        <v>43347.735834259729</v>
      </c>
      <c r="F193" s="72">
        <f t="shared" si="53"/>
        <v>49</v>
      </c>
      <c r="G193" s="784">
        <f t="shared" si="40"/>
        <v>15714789.63639324</v>
      </c>
      <c r="H193" s="604">
        <f t="shared" si="41"/>
        <v>68372.658190401169</v>
      </c>
      <c r="I193" s="784">
        <f t="shared" si="42"/>
        <v>32264.509972665463</v>
      </c>
      <c r="J193" s="785">
        <f t="shared" si="43"/>
        <v>36108.14821773571</v>
      </c>
      <c r="K193" s="72">
        <f t="shared" si="54"/>
        <v>49</v>
      </c>
      <c r="L193" s="784">
        <f t="shared" si="44"/>
        <v>40439363.385990493</v>
      </c>
      <c r="M193" s="604">
        <f t="shared" si="45"/>
        <v>200129.99292672705</v>
      </c>
      <c r="N193" s="784">
        <f t="shared" si="46"/>
        <v>120674.1088747316</v>
      </c>
      <c r="O193" s="785">
        <f t="shared" si="47"/>
        <v>79455.884051995439</v>
      </c>
      <c r="P193" s="11"/>
      <c r="Q193" s="11"/>
      <c r="R193" s="11"/>
      <c r="S193" s="11"/>
      <c r="T193" s="11"/>
    </row>
    <row r="194" spans="1:20" x14ac:dyDescent="0.25">
      <c r="A194" s="72">
        <f t="shared" si="52"/>
        <v>50</v>
      </c>
      <c r="B194" s="784">
        <f t="shared" si="36"/>
        <v>24681071.283139326</v>
      </c>
      <c r="C194" s="604">
        <f t="shared" si="37"/>
        <v>131757.33473632587</v>
      </c>
      <c r="D194" s="784">
        <f t="shared" si="38"/>
        <v>88254.868278397393</v>
      </c>
      <c r="E194" s="785">
        <f t="shared" si="39"/>
        <v>43502.466457928473</v>
      </c>
      <c r="F194" s="72">
        <f t="shared" si="53"/>
        <v>50</v>
      </c>
      <c r="G194" s="784">
        <f t="shared" si="40"/>
        <v>15678607.523394309</v>
      </c>
      <c r="H194" s="604">
        <f t="shared" si="41"/>
        <v>68372.658190401169</v>
      </c>
      <c r="I194" s="784">
        <f t="shared" si="42"/>
        <v>32190.54519147033</v>
      </c>
      <c r="J194" s="785">
        <f t="shared" si="43"/>
        <v>36182.112998930839</v>
      </c>
      <c r="K194" s="72">
        <f t="shared" si="54"/>
        <v>50</v>
      </c>
      <c r="L194" s="784">
        <f t="shared" si="44"/>
        <v>40359678.806533635</v>
      </c>
      <c r="M194" s="604">
        <f t="shared" si="45"/>
        <v>200129.99292672705</v>
      </c>
      <c r="N194" s="784">
        <f t="shared" si="46"/>
        <v>120445.41346986772</v>
      </c>
      <c r="O194" s="785">
        <f t="shared" si="47"/>
        <v>79684.579456859312</v>
      </c>
      <c r="P194" s="11"/>
      <c r="Q194" s="11"/>
      <c r="R194" s="11"/>
      <c r="S194" s="11"/>
      <c r="T194" s="11"/>
    </row>
    <row r="195" spans="1:20" x14ac:dyDescent="0.25">
      <c r="A195" s="72">
        <f t="shared" si="52"/>
        <v>51</v>
      </c>
      <c r="B195" s="784">
        <f t="shared" si="36"/>
        <v>24637413.533743624</v>
      </c>
      <c r="C195" s="604">
        <f t="shared" si="37"/>
        <v>131757.33473632587</v>
      </c>
      <c r="D195" s="784">
        <f t="shared" si="38"/>
        <v>88099.585340624093</v>
      </c>
      <c r="E195" s="785">
        <f t="shared" si="39"/>
        <v>43657.749395701772</v>
      </c>
      <c r="F195" s="72">
        <f t="shared" si="53"/>
        <v>51</v>
      </c>
      <c r="G195" s="784">
        <f t="shared" si="40"/>
        <v>15642351.294102984</v>
      </c>
      <c r="H195" s="604">
        <f t="shared" si="41"/>
        <v>68372.658190401169</v>
      </c>
      <c r="I195" s="784">
        <f t="shared" si="42"/>
        <v>32116.42889907545</v>
      </c>
      <c r="J195" s="785">
        <f t="shared" si="43"/>
        <v>36256.229291325719</v>
      </c>
      <c r="K195" s="72">
        <f t="shared" si="54"/>
        <v>51</v>
      </c>
      <c r="L195" s="784">
        <f t="shared" si="44"/>
        <v>40279764.827846609</v>
      </c>
      <c r="M195" s="604">
        <f t="shared" si="45"/>
        <v>200129.99292672705</v>
      </c>
      <c r="N195" s="784">
        <f t="shared" si="46"/>
        <v>120216.01423969955</v>
      </c>
      <c r="O195" s="785">
        <f t="shared" si="47"/>
        <v>79913.978687027498</v>
      </c>
      <c r="P195" s="11"/>
      <c r="Q195" s="11"/>
      <c r="R195" s="11"/>
      <c r="S195" s="11"/>
      <c r="T195" s="11"/>
    </row>
    <row r="196" spans="1:20" x14ac:dyDescent="0.25">
      <c r="A196" s="72">
        <f t="shared" si="52"/>
        <v>52</v>
      </c>
      <c r="B196" s="784">
        <f t="shared" si="36"/>
        <v>24593599.947124548</v>
      </c>
      <c r="C196" s="604">
        <f t="shared" si="37"/>
        <v>131757.33473632587</v>
      </c>
      <c r="D196" s="784">
        <f t="shared" si="38"/>
        <v>87943.748117249852</v>
      </c>
      <c r="E196" s="785">
        <f t="shared" si="39"/>
        <v>43813.586619076013</v>
      </c>
      <c r="F196" s="72">
        <f t="shared" si="53"/>
        <v>52</v>
      </c>
      <c r="G196" s="784">
        <f t="shared" si="40"/>
        <v>15606020.796697704</v>
      </c>
      <c r="H196" s="604">
        <f t="shared" si="41"/>
        <v>68372.658190401169</v>
      </c>
      <c r="I196" s="784">
        <f t="shared" si="42"/>
        <v>32042.160785121709</v>
      </c>
      <c r="J196" s="785">
        <f t="shared" si="43"/>
        <v>36330.497405279457</v>
      </c>
      <c r="K196" s="72">
        <f t="shared" si="54"/>
        <v>52</v>
      </c>
      <c r="L196" s="784">
        <f t="shared" si="44"/>
        <v>40199620.743822254</v>
      </c>
      <c r="M196" s="604">
        <f t="shared" si="45"/>
        <v>200129.99292672705</v>
      </c>
      <c r="N196" s="784">
        <f t="shared" si="46"/>
        <v>119985.90890237156</v>
      </c>
      <c r="O196" s="785">
        <f t="shared" si="47"/>
        <v>80144.08402435547</v>
      </c>
      <c r="P196" s="11"/>
      <c r="Q196" s="11"/>
      <c r="R196" s="11"/>
      <c r="S196" s="11"/>
      <c r="T196" s="11"/>
    </row>
    <row r="197" spans="1:20" x14ac:dyDescent="0.25">
      <c r="A197" s="72">
        <f t="shared" si="52"/>
        <v>53</v>
      </c>
      <c r="B197" s="784">
        <f t="shared" si="36"/>
        <v>24549629.967017964</v>
      </c>
      <c r="C197" s="604">
        <f t="shared" si="37"/>
        <v>131757.33473632587</v>
      </c>
      <c r="D197" s="784">
        <f t="shared" si="38"/>
        <v>87787.354629740948</v>
      </c>
      <c r="E197" s="785">
        <f t="shared" si="39"/>
        <v>43969.980106584917</v>
      </c>
      <c r="F197" s="72">
        <f t="shared" si="53"/>
        <v>53</v>
      </c>
      <c r="G197" s="784">
        <f t="shared" si="40"/>
        <v>15569615.879045917</v>
      </c>
      <c r="H197" s="604">
        <f t="shared" si="41"/>
        <v>68372.658190401169</v>
      </c>
      <c r="I197" s="784">
        <f t="shared" si="42"/>
        <v>31967.740538614249</v>
      </c>
      <c r="J197" s="785">
        <f t="shared" si="43"/>
        <v>36404.91765178692</v>
      </c>
      <c r="K197" s="72">
        <f t="shared" si="54"/>
        <v>53</v>
      </c>
      <c r="L197" s="784">
        <f t="shared" si="44"/>
        <v>40119245.846063882</v>
      </c>
      <c r="M197" s="604">
        <f t="shared" si="45"/>
        <v>200129.99292672705</v>
      </c>
      <c r="N197" s="784">
        <f t="shared" si="46"/>
        <v>119755.0951683552</v>
      </c>
      <c r="O197" s="785">
        <f t="shared" si="47"/>
        <v>80374.897758371837</v>
      </c>
      <c r="P197" s="11"/>
      <c r="Q197" s="11"/>
      <c r="R197" s="11"/>
      <c r="S197" s="11"/>
      <c r="T197" s="11"/>
    </row>
    <row r="198" spans="1:20" x14ac:dyDescent="0.25">
      <c r="A198" s="72">
        <f t="shared" si="52"/>
        <v>54</v>
      </c>
      <c r="B198" s="784">
        <f t="shared" si="36"/>
        <v>24505503.035174139</v>
      </c>
      <c r="C198" s="604">
        <f t="shared" si="37"/>
        <v>131757.33473632587</v>
      </c>
      <c r="D198" s="784">
        <f t="shared" si="38"/>
        <v>87630.402892501239</v>
      </c>
      <c r="E198" s="785">
        <f t="shared" si="39"/>
        <v>44126.931843824626</v>
      </c>
      <c r="F198" s="72">
        <f t="shared" si="53"/>
        <v>54</v>
      </c>
      <c r="G198" s="784">
        <f t="shared" si="40"/>
        <v>15533136.388703438</v>
      </c>
      <c r="H198" s="604">
        <f t="shared" si="41"/>
        <v>68372.658190401169</v>
      </c>
      <c r="I198" s="784">
        <f t="shared" si="42"/>
        <v>31893.167847921166</v>
      </c>
      <c r="J198" s="785">
        <f t="shared" si="43"/>
        <v>36479.49034248</v>
      </c>
      <c r="K198" s="72">
        <f t="shared" si="54"/>
        <v>54</v>
      </c>
      <c r="L198" s="784">
        <f t="shared" si="44"/>
        <v>40038639.423877575</v>
      </c>
      <c r="M198" s="604">
        <f t="shared" si="45"/>
        <v>200129.99292672705</v>
      </c>
      <c r="N198" s="784">
        <f t="shared" si="46"/>
        <v>119523.57074042241</v>
      </c>
      <c r="O198" s="785">
        <f t="shared" si="47"/>
        <v>80606.422186304626</v>
      </c>
      <c r="P198" s="11"/>
      <c r="Q198" s="11"/>
      <c r="R198" s="11"/>
      <c r="S198" s="11"/>
      <c r="T198" s="11"/>
    </row>
    <row r="199" spans="1:20" x14ac:dyDescent="0.25">
      <c r="A199" s="72">
        <f t="shared" si="52"/>
        <v>55</v>
      </c>
      <c r="B199" s="784">
        <f t="shared" si="36"/>
        <v>24461218.59135066</v>
      </c>
      <c r="C199" s="604">
        <f t="shared" si="37"/>
        <v>131757.33473632587</v>
      </c>
      <c r="D199" s="784">
        <f t="shared" si="38"/>
        <v>87472.890912846997</v>
      </c>
      <c r="E199" s="785">
        <f t="shared" si="39"/>
        <v>44284.443823478869</v>
      </c>
      <c r="F199" s="72">
        <f t="shared" si="53"/>
        <v>55</v>
      </c>
      <c r="G199" s="784">
        <f t="shared" si="40"/>
        <v>15496582.172913808</v>
      </c>
      <c r="H199" s="604">
        <f t="shared" si="41"/>
        <v>68372.658190401169</v>
      </c>
      <c r="I199" s="784">
        <f t="shared" si="42"/>
        <v>31818.442400772205</v>
      </c>
      <c r="J199" s="785">
        <f t="shared" si="43"/>
        <v>36554.215789628965</v>
      </c>
      <c r="K199" s="72">
        <f t="shared" si="54"/>
        <v>55</v>
      </c>
      <c r="L199" s="784">
        <f t="shared" si="44"/>
        <v>39957800.764264464</v>
      </c>
      <c r="M199" s="604">
        <f t="shared" si="45"/>
        <v>200129.99292672705</v>
      </c>
      <c r="N199" s="784">
        <f t="shared" si="46"/>
        <v>119291.33331361919</v>
      </c>
      <c r="O199" s="785">
        <f t="shared" si="47"/>
        <v>80838.659613107826</v>
      </c>
      <c r="P199" s="11"/>
      <c r="Q199" s="11"/>
      <c r="R199" s="11"/>
      <c r="S199" s="11"/>
      <c r="T199" s="11"/>
    </row>
    <row r="200" spans="1:20" x14ac:dyDescent="0.25">
      <c r="A200" s="72">
        <f t="shared" si="52"/>
        <v>56</v>
      </c>
      <c r="B200" s="784">
        <f t="shared" si="36"/>
        <v>24416776.073305316</v>
      </c>
      <c r="C200" s="604">
        <f t="shared" si="37"/>
        <v>131757.33473632587</v>
      </c>
      <c r="D200" s="784">
        <f t="shared" si="38"/>
        <v>87314.816690981519</v>
      </c>
      <c r="E200" s="785">
        <f t="shared" si="39"/>
        <v>44442.518045344346</v>
      </c>
      <c r="F200" s="72">
        <f t="shared" si="53"/>
        <v>56</v>
      </c>
      <c r="G200" s="784">
        <f t="shared" si="40"/>
        <v>15459953.078607665</v>
      </c>
      <c r="H200" s="604">
        <f t="shared" si="41"/>
        <v>68372.658190401169</v>
      </c>
      <c r="I200" s="784">
        <f t="shared" si="42"/>
        <v>31743.563884257434</v>
      </c>
      <c r="J200" s="785">
        <f t="shared" si="43"/>
        <v>36629.094306143736</v>
      </c>
      <c r="K200" s="72">
        <f t="shared" si="54"/>
        <v>56</v>
      </c>
      <c r="L200" s="784">
        <f t="shared" si="44"/>
        <v>39876729.15191298</v>
      </c>
      <c r="M200" s="604">
        <f t="shared" si="45"/>
        <v>200129.99292672705</v>
      </c>
      <c r="N200" s="784">
        <f t="shared" si="46"/>
        <v>119058.38057523896</v>
      </c>
      <c r="O200" s="785">
        <f t="shared" si="47"/>
        <v>81071.612351488089</v>
      </c>
      <c r="P200" s="11"/>
      <c r="Q200" s="11"/>
      <c r="R200" s="11"/>
      <c r="S200" s="11"/>
      <c r="T200" s="11"/>
    </row>
    <row r="201" spans="1:20" x14ac:dyDescent="0.25">
      <c r="A201" s="72">
        <f t="shared" si="52"/>
        <v>57</v>
      </c>
      <c r="B201" s="784">
        <f t="shared" si="36"/>
        <v>24372174.916788962</v>
      </c>
      <c r="C201" s="604">
        <f t="shared" si="37"/>
        <v>131757.33473632587</v>
      </c>
      <c r="D201" s="784">
        <f t="shared" si="38"/>
        <v>87156.178219969806</v>
      </c>
      <c r="E201" s="785">
        <f t="shared" si="39"/>
        <v>44601.156516356059</v>
      </c>
      <c r="F201" s="72">
        <f t="shared" si="53"/>
        <v>57</v>
      </c>
      <c r="G201" s="784">
        <f t="shared" si="40"/>
        <v>15423248.952402091</v>
      </c>
      <c r="H201" s="604">
        <f t="shared" si="41"/>
        <v>68372.658190401169</v>
      </c>
      <c r="I201" s="784">
        <f t="shared" si="42"/>
        <v>31668.531984825964</v>
      </c>
      <c r="J201" s="785">
        <f t="shared" si="43"/>
        <v>36704.126205575201</v>
      </c>
      <c r="K201" s="72">
        <f t="shared" si="54"/>
        <v>57</v>
      </c>
      <c r="L201" s="784">
        <f t="shared" si="44"/>
        <v>39795423.869191051</v>
      </c>
      <c r="M201" s="604">
        <f t="shared" si="45"/>
        <v>200129.99292672705</v>
      </c>
      <c r="N201" s="784">
        <f t="shared" si="46"/>
        <v>118824.71020479577</v>
      </c>
      <c r="O201" s="785">
        <f t="shared" si="47"/>
        <v>81305.28272193126</v>
      </c>
      <c r="P201" s="11"/>
      <c r="Q201" s="11"/>
      <c r="R201" s="11"/>
      <c r="S201" s="11"/>
      <c r="T201" s="11"/>
    </row>
    <row r="202" spans="1:20" x14ac:dyDescent="0.25">
      <c r="A202" s="72">
        <f t="shared" si="52"/>
        <v>58</v>
      </c>
      <c r="B202" s="784">
        <f t="shared" si="36"/>
        <v>24327414.555538349</v>
      </c>
      <c r="C202" s="604">
        <f t="shared" si="37"/>
        <v>131757.33473632587</v>
      </c>
      <c r="D202" s="784">
        <f t="shared" si="38"/>
        <v>86996.973485713097</v>
      </c>
      <c r="E202" s="785">
        <f t="shared" si="39"/>
        <v>44760.361250612768</v>
      </c>
      <c r="F202" s="72">
        <f t="shared" si="53"/>
        <v>58</v>
      </c>
      <c r="G202" s="784">
        <f t="shared" si="40"/>
        <v>15386469.640599973</v>
      </c>
      <c r="H202" s="604">
        <f t="shared" si="41"/>
        <v>68372.658190401169</v>
      </c>
      <c r="I202" s="784">
        <f t="shared" si="42"/>
        <v>31593.346388284619</v>
      </c>
      <c r="J202" s="785">
        <f t="shared" si="43"/>
        <v>36779.31180211655</v>
      </c>
      <c r="K202" s="72">
        <f t="shared" si="54"/>
        <v>58</v>
      </c>
      <c r="L202" s="784">
        <f t="shared" si="44"/>
        <v>39713884.196138322</v>
      </c>
      <c r="M202" s="604">
        <f t="shared" si="45"/>
        <v>200129.99292672705</v>
      </c>
      <c r="N202" s="784">
        <f t="shared" si="46"/>
        <v>118590.31987399771</v>
      </c>
      <c r="O202" s="785">
        <f t="shared" si="47"/>
        <v>81539.673052729311</v>
      </c>
      <c r="P202" s="11"/>
      <c r="Q202" s="11"/>
      <c r="R202" s="11"/>
      <c r="S202" s="11"/>
      <c r="T202" s="11"/>
    </row>
    <row r="203" spans="1:20" x14ac:dyDescent="0.25">
      <c r="A203" s="72">
        <f t="shared" si="52"/>
        <v>59</v>
      </c>
      <c r="B203" s="784">
        <f t="shared" si="36"/>
        <v>24282494.421268947</v>
      </c>
      <c r="C203" s="604">
        <f t="shared" si="37"/>
        <v>131757.33473632587</v>
      </c>
      <c r="D203" s="784">
        <f t="shared" si="38"/>
        <v>86837.200466923212</v>
      </c>
      <c r="E203" s="785">
        <f t="shared" si="39"/>
        <v>44920.134269402653</v>
      </c>
      <c r="F203" s="72">
        <f t="shared" si="53"/>
        <v>59</v>
      </c>
      <c r="G203" s="784">
        <f t="shared" si="40"/>
        <v>15349614.98918937</v>
      </c>
      <c r="H203" s="604">
        <f t="shared" si="41"/>
        <v>68372.658190401169</v>
      </c>
      <c r="I203" s="784">
        <f t="shared" si="42"/>
        <v>31518.006779796615</v>
      </c>
      <c r="J203" s="785">
        <f t="shared" si="43"/>
        <v>36854.651410604551</v>
      </c>
      <c r="K203" s="72">
        <f t="shared" si="54"/>
        <v>59</v>
      </c>
      <c r="L203" s="784">
        <f t="shared" si="44"/>
        <v>39632109.410458319</v>
      </c>
      <c r="M203" s="604">
        <f t="shared" si="45"/>
        <v>200129.99292672705</v>
      </c>
      <c r="N203" s="784">
        <f t="shared" si="46"/>
        <v>118355.20724671983</v>
      </c>
      <c r="O203" s="785">
        <f t="shared" si="47"/>
        <v>81774.785680007204</v>
      </c>
      <c r="P203" s="11"/>
      <c r="Q203" s="11"/>
      <c r="R203" s="11"/>
      <c r="S203" s="11"/>
      <c r="T203" s="11"/>
    </row>
    <row r="204" spans="1:20" x14ac:dyDescent="0.25">
      <c r="A204" s="72">
        <f t="shared" si="52"/>
        <v>60</v>
      </c>
      <c r="B204" s="784">
        <f t="shared" si="36"/>
        <v>24237413.943667717</v>
      </c>
      <c r="C204" s="604">
        <f t="shared" si="37"/>
        <v>131757.33473632587</v>
      </c>
      <c r="D204" s="784">
        <f t="shared" si="38"/>
        <v>86676.857135096987</v>
      </c>
      <c r="E204" s="785">
        <f t="shared" si="39"/>
        <v>45080.477601228878</v>
      </c>
      <c r="F204" s="72">
        <f t="shared" si="53"/>
        <v>60</v>
      </c>
      <c r="G204" s="784">
        <f t="shared" si="40"/>
        <v>15312684.843842849</v>
      </c>
      <c r="H204" s="604">
        <f t="shared" si="41"/>
        <v>68372.658190401169</v>
      </c>
      <c r="I204" s="784">
        <f t="shared" si="42"/>
        <v>31442.512843880257</v>
      </c>
      <c r="J204" s="785">
        <f t="shared" si="43"/>
        <v>36930.145346520912</v>
      </c>
      <c r="K204" s="72">
        <f t="shared" si="54"/>
        <v>60</v>
      </c>
      <c r="L204" s="784">
        <f t="shared" si="44"/>
        <v>39550098.787510566</v>
      </c>
      <c r="M204" s="604">
        <f t="shared" si="45"/>
        <v>200129.99292672705</v>
      </c>
      <c r="N204" s="784">
        <f t="shared" si="46"/>
        <v>118119.36997897725</v>
      </c>
      <c r="O204" s="785">
        <f t="shared" si="47"/>
        <v>82010.622947749798</v>
      </c>
      <c r="P204" s="11"/>
      <c r="Q204" s="11"/>
      <c r="R204" s="11"/>
      <c r="S204" s="11"/>
      <c r="T204" s="11"/>
    </row>
    <row r="205" spans="1:20" x14ac:dyDescent="0.25">
      <c r="A205" s="72">
        <f t="shared" si="52"/>
        <v>61</v>
      </c>
      <c r="B205" s="784">
        <f t="shared" si="36"/>
        <v>24192172.550385881</v>
      </c>
      <c r="C205" s="604">
        <f t="shared" si="37"/>
        <v>131757.33473632587</v>
      </c>
      <c r="D205" s="784">
        <f t="shared" si="38"/>
        <v>86515.941454490414</v>
      </c>
      <c r="E205" s="785">
        <f t="shared" si="39"/>
        <v>45241.393281835451</v>
      </c>
      <c r="F205" s="72">
        <f t="shared" si="53"/>
        <v>61</v>
      </c>
      <c r="G205" s="784">
        <f t="shared" si="40"/>
        <v>15275679.049916856</v>
      </c>
      <c r="H205" s="604">
        <f t="shared" si="41"/>
        <v>68372.658190401169</v>
      </c>
      <c r="I205" s="784">
        <f t="shared" si="42"/>
        <v>31366.864264407603</v>
      </c>
      <c r="J205" s="785">
        <f t="shared" si="43"/>
        <v>37005.793925993567</v>
      </c>
      <c r="K205" s="72">
        <f t="shared" si="54"/>
        <v>61</v>
      </c>
      <c r="L205" s="784">
        <f t="shared" si="44"/>
        <v>39467851.600302741</v>
      </c>
      <c r="M205" s="604">
        <f t="shared" si="45"/>
        <v>200129.99292672705</v>
      </c>
      <c r="N205" s="784">
        <f t="shared" si="46"/>
        <v>117882.80571889802</v>
      </c>
      <c r="O205" s="785">
        <f t="shared" si="47"/>
        <v>82247.187207829018</v>
      </c>
      <c r="P205" s="11"/>
      <c r="Q205" s="11"/>
      <c r="R205" s="11"/>
      <c r="S205" s="11"/>
      <c r="T205" s="11"/>
    </row>
    <row r="206" spans="1:20" x14ac:dyDescent="0.25">
      <c r="A206" s="72">
        <f t="shared" si="52"/>
        <v>62</v>
      </c>
      <c r="B206" s="784">
        <f t="shared" si="36"/>
        <v>24146769.66703165</v>
      </c>
      <c r="C206" s="604">
        <f t="shared" si="37"/>
        <v>131757.33473632587</v>
      </c>
      <c r="D206" s="784">
        <f t="shared" si="38"/>
        <v>86354.451382092913</v>
      </c>
      <c r="E206" s="785">
        <f t="shared" si="39"/>
        <v>45402.883354232952</v>
      </c>
      <c r="F206" s="72">
        <f t="shared" si="53"/>
        <v>62</v>
      </c>
      <c r="G206" s="784">
        <f t="shared" si="40"/>
        <v>15238597.452451058</v>
      </c>
      <c r="H206" s="604">
        <f t="shared" si="41"/>
        <v>68372.658190401169</v>
      </c>
      <c r="I206" s="784">
        <f t="shared" si="42"/>
        <v>31291.06072460315</v>
      </c>
      <c r="J206" s="785">
        <f t="shared" si="43"/>
        <v>37081.597465798019</v>
      </c>
      <c r="K206" s="72">
        <f t="shared" si="54"/>
        <v>62</v>
      </c>
      <c r="L206" s="784">
        <f t="shared" si="44"/>
        <v>39385367.119482711</v>
      </c>
      <c r="M206" s="604">
        <f t="shared" si="45"/>
        <v>200129.99292672705</v>
      </c>
      <c r="N206" s="784">
        <f t="shared" si="46"/>
        <v>117645.51210669606</v>
      </c>
      <c r="O206" s="785">
        <f t="shared" si="47"/>
        <v>82484.480820030964</v>
      </c>
      <c r="P206" s="11"/>
      <c r="Q206" s="11"/>
      <c r="R206" s="11"/>
      <c r="S206" s="11"/>
      <c r="T206" s="11"/>
    </row>
    <row r="207" spans="1:20" x14ac:dyDescent="0.25">
      <c r="A207" s="72">
        <f t="shared" si="52"/>
        <v>63</v>
      </c>
      <c r="B207" s="784">
        <f t="shared" si="36"/>
        <v>24101204.717162926</v>
      </c>
      <c r="C207" s="604">
        <f t="shared" si="37"/>
        <v>131757.33473632587</v>
      </c>
      <c r="D207" s="784">
        <f t="shared" si="38"/>
        <v>86192.384867601344</v>
      </c>
      <c r="E207" s="785">
        <f t="shared" si="39"/>
        <v>45564.949868724521</v>
      </c>
      <c r="F207" s="72">
        <f t="shared" si="53"/>
        <v>63</v>
      </c>
      <c r="G207" s="784">
        <f t="shared" si="40"/>
        <v>15201439.896167699</v>
      </c>
      <c r="H207" s="604">
        <f t="shared" si="41"/>
        <v>68372.658190401169</v>
      </c>
      <c r="I207" s="784">
        <f t="shared" si="42"/>
        <v>31215.101907042506</v>
      </c>
      <c r="J207" s="785">
        <f t="shared" si="43"/>
        <v>37157.556283358659</v>
      </c>
      <c r="K207" s="72">
        <f t="shared" si="54"/>
        <v>63</v>
      </c>
      <c r="L207" s="784">
        <f t="shared" si="44"/>
        <v>39302644.613330625</v>
      </c>
      <c r="M207" s="604">
        <f t="shared" si="45"/>
        <v>200129.99292672705</v>
      </c>
      <c r="N207" s="784">
        <f t="shared" si="46"/>
        <v>117407.48677464385</v>
      </c>
      <c r="O207" s="785">
        <f t="shared" si="47"/>
        <v>82722.50615208318</v>
      </c>
      <c r="P207" s="11"/>
      <c r="Q207" s="11"/>
      <c r="R207" s="11"/>
      <c r="S207" s="11"/>
      <c r="T207" s="11"/>
    </row>
    <row r="208" spans="1:20" x14ac:dyDescent="0.25">
      <c r="A208" s="72">
        <f t="shared" si="52"/>
        <v>64</v>
      </c>
      <c r="B208" s="784">
        <f t="shared" si="36"/>
        <v>24055477.122279994</v>
      </c>
      <c r="C208" s="604">
        <f t="shared" si="37"/>
        <v>131757.33473632587</v>
      </c>
      <c r="D208" s="784">
        <f t="shared" si="38"/>
        <v>86029.739853393912</v>
      </c>
      <c r="E208" s="785">
        <f t="shared" si="39"/>
        <v>45727.594882931953</v>
      </c>
      <c r="F208" s="72">
        <f t="shared" si="53"/>
        <v>64</v>
      </c>
      <c r="G208" s="784">
        <f t="shared" si="40"/>
        <v>15164206.225470949</v>
      </c>
      <c r="H208" s="604">
        <f t="shared" si="41"/>
        <v>68372.658190401169</v>
      </c>
      <c r="I208" s="784">
        <f t="shared" si="42"/>
        <v>31138.987493651061</v>
      </c>
      <c r="J208" s="785">
        <f t="shared" si="43"/>
        <v>37233.670696750109</v>
      </c>
      <c r="K208" s="72">
        <f t="shared" si="54"/>
        <v>64</v>
      </c>
      <c r="L208" s="784">
        <f t="shared" si="44"/>
        <v>39219683.347750947</v>
      </c>
      <c r="M208" s="604">
        <f t="shared" si="45"/>
        <v>200129.99292672705</v>
      </c>
      <c r="N208" s="784">
        <f t="shared" si="46"/>
        <v>117168.72734704497</v>
      </c>
      <c r="O208" s="785">
        <f t="shared" si="47"/>
        <v>82961.265579682062</v>
      </c>
      <c r="P208" s="11"/>
      <c r="Q208" s="11"/>
      <c r="R208" s="11"/>
      <c r="S208" s="11"/>
      <c r="T208" s="11"/>
    </row>
    <row r="209" spans="1:20" x14ac:dyDescent="0.25">
      <c r="A209" s="72">
        <f t="shared" si="52"/>
        <v>65</v>
      </c>
      <c r="B209" s="784">
        <f t="shared" ref="B209:B272" si="55">B208-E209</f>
        <v>24009586.301818173</v>
      </c>
      <c r="C209" s="604">
        <f t="shared" ref="C209:C272" si="56">-$H$59/12</f>
        <v>131757.33473632587</v>
      </c>
      <c r="D209" s="784">
        <f t="shared" ref="D209:D272" si="57">$H$57/12*B208</f>
        <v>85866.514274504123</v>
      </c>
      <c r="E209" s="785">
        <f t="shared" ref="E209:E272" si="58">C209-D209</f>
        <v>45890.820461821742</v>
      </c>
      <c r="F209" s="72">
        <f t="shared" si="53"/>
        <v>65</v>
      </c>
      <c r="G209" s="784">
        <f t="shared" ref="G209:G272" si="59">G208-J209</f>
        <v>15126896.284446251</v>
      </c>
      <c r="H209" s="604">
        <f t="shared" ref="H209:H272" si="60">-$H$64/12</f>
        <v>68372.658190401169</v>
      </c>
      <c r="I209" s="784">
        <f t="shared" ref="I209:I272" si="61">$H$62/12*G208</f>
        <v>31062.717165702645</v>
      </c>
      <c r="J209" s="785">
        <f t="shared" ref="J209:J272" si="62">H209-I209</f>
        <v>37309.941024698521</v>
      </c>
      <c r="K209" s="72">
        <f t="shared" si="54"/>
        <v>65</v>
      </c>
      <c r="L209" s="784">
        <f t="shared" ref="L209:L272" si="63">G209+B209</f>
        <v>39136482.586264424</v>
      </c>
      <c r="M209" s="604">
        <f t="shared" ref="M209:M272" si="64">H209+C209</f>
        <v>200129.99292672705</v>
      </c>
      <c r="N209" s="784">
        <f t="shared" ref="N209:N272" si="65">I209+D209</f>
        <v>116929.23144020677</v>
      </c>
      <c r="O209" s="785">
        <f t="shared" ref="O209:O272" si="66">J209+E209</f>
        <v>83200.761486520263</v>
      </c>
      <c r="P209" s="11"/>
      <c r="Q209" s="11"/>
      <c r="R209" s="11"/>
      <c r="S209" s="11"/>
      <c r="T209" s="11"/>
    </row>
    <row r="210" spans="1:20" x14ac:dyDescent="0.25">
      <c r="A210" s="72">
        <f t="shared" ref="A210:A273" si="67">A209+1</f>
        <v>66</v>
      </c>
      <c r="B210" s="784">
        <f t="shared" si="55"/>
        <v>23963531.673140444</v>
      </c>
      <c r="C210" s="604">
        <f t="shared" si="56"/>
        <v>131757.33473632587</v>
      </c>
      <c r="D210" s="784">
        <f t="shared" si="57"/>
        <v>85702.706058594573</v>
      </c>
      <c r="E210" s="785">
        <f t="shared" si="58"/>
        <v>46054.628677731293</v>
      </c>
      <c r="F210" s="72">
        <f t="shared" ref="F210:F273" si="68">F209+1</f>
        <v>66</v>
      </c>
      <c r="G210" s="784">
        <f t="shared" si="59"/>
        <v>15089509.916859668</v>
      </c>
      <c r="H210" s="604">
        <f t="shared" si="60"/>
        <v>68372.658190401169</v>
      </c>
      <c r="I210" s="784">
        <f t="shared" si="61"/>
        <v>30986.290603818212</v>
      </c>
      <c r="J210" s="785">
        <f t="shared" si="62"/>
        <v>37386.367586582957</v>
      </c>
      <c r="K210" s="72">
        <f t="shared" ref="K210:K273" si="69">K209+1</f>
        <v>66</v>
      </c>
      <c r="L210" s="784">
        <f t="shared" si="63"/>
        <v>39053041.590000108</v>
      </c>
      <c r="M210" s="604">
        <f t="shared" si="64"/>
        <v>200129.99292672705</v>
      </c>
      <c r="N210" s="784">
        <f t="shared" si="65"/>
        <v>116688.99666241278</v>
      </c>
      <c r="O210" s="785">
        <f t="shared" si="66"/>
        <v>83440.99626431425</v>
      </c>
      <c r="P210" s="11"/>
      <c r="Q210" s="11"/>
      <c r="R210" s="11"/>
      <c r="S210" s="11"/>
      <c r="T210" s="11"/>
    </row>
    <row r="211" spans="1:20" x14ac:dyDescent="0.25">
      <c r="A211" s="72">
        <f t="shared" si="67"/>
        <v>67</v>
      </c>
      <c r="B211" s="784">
        <f t="shared" si="55"/>
        <v>23917312.65153005</v>
      </c>
      <c r="C211" s="604">
        <f t="shared" si="56"/>
        <v>131757.33473632587</v>
      </c>
      <c r="D211" s="784">
        <f t="shared" si="57"/>
        <v>85538.313125930581</v>
      </c>
      <c r="E211" s="785">
        <f t="shared" si="58"/>
        <v>46219.021610395284</v>
      </c>
      <c r="F211" s="72">
        <f t="shared" si="68"/>
        <v>67</v>
      </c>
      <c r="G211" s="784">
        <f t="shared" si="59"/>
        <v>15052046.966157231</v>
      </c>
      <c r="H211" s="604">
        <f t="shared" si="60"/>
        <v>68372.658190401169</v>
      </c>
      <c r="I211" s="784">
        <f t="shared" si="61"/>
        <v>30909.707487964486</v>
      </c>
      <c r="J211" s="785">
        <f t="shared" si="62"/>
        <v>37462.950702436683</v>
      </c>
      <c r="K211" s="72">
        <f t="shared" si="69"/>
        <v>67</v>
      </c>
      <c r="L211" s="784">
        <f t="shared" si="63"/>
        <v>38969359.617687285</v>
      </c>
      <c r="M211" s="604">
        <f t="shared" si="64"/>
        <v>200129.99292672705</v>
      </c>
      <c r="N211" s="784">
        <f t="shared" si="65"/>
        <v>116448.02061389506</v>
      </c>
      <c r="O211" s="785">
        <f t="shared" si="66"/>
        <v>83681.97231283196</v>
      </c>
      <c r="P211" s="11"/>
      <c r="Q211" s="11"/>
      <c r="R211" s="11"/>
      <c r="S211" s="11"/>
      <c r="T211" s="11"/>
    </row>
    <row r="212" spans="1:20" x14ac:dyDescent="0.25">
      <c r="A212" s="72">
        <f t="shared" si="67"/>
        <v>68</v>
      </c>
      <c r="B212" s="784">
        <f t="shared" si="55"/>
        <v>23870928.650183078</v>
      </c>
      <c r="C212" s="604">
        <f t="shared" si="56"/>
        <v>131757.33473632587</v>
      </c>
      <c r="D212" s="784">
        <f t="shared" si="57"/>
        <v>85373.333389353807</v>
      </c>
      <c r="E212" s="785">
        <f t="shared" si="58"/>
        <v>46384.001346972058</v>
      </c>
      <c r="F212" s="72">
        <f t="shared" si="68"/>
        <v>68</v>
      </c>
      <c r="G212" s="784">
        <f t="shared" si="59"/>
        <v>15014507.275464283</v>
      </c>
      <c r="H212" s="604">
        <f t="shared" si="60"/>
        <v>68372.658190401169</v>
      </c>
      <c r="I212" s="784">
        <f t="shared" si="61"/>
        <v>30832.967497452635</v>
      </c>
      <c r="J212" s="785">
        <f t="shared" si="62"/>
        <v>37539.690692948534</v>
      </c>
      <c r="K212" s="72">
        <f t="shared" si="69"/>
        <v>68</v>
      </c>
      <c r="L212" s="784">
        <f t="shared" si="63"/>
        <v>38885435.925647363</v>
      </c>
      <c r="M212" s="604">
        <f t="shared" si="64"/>
        <v>200129.99292672705</v>
      </c>
      <c r="N212" s="784">
        <f t="shared" si="65"/>
        <v>116206.30088680645</v>
      </c>
      <c r="O212" s="785">
        <f t="shared" si="66"/>
        <v>83923.692039920599</v>
      </c>
      <c r="P212" s="11"/>
      <c r="Q212" s="11"/>
      <c r="R212" s="11"/>
      <c r="S212" s="11"/>
      <c r="T212" s="11"/>
    </row>
    <row r="213" spans="1:20" x14ac:dyDescent="0.25">
      <c r="A213" s="72">
        <f t="shared" si="67"/>
        <v>69</v>
      </c>
      <c r="B213" s="784">
        <f t="shared" si="55"/>
        <v>23824379.080201007</v>
      </c>
      <c r="C213" s="604">
        <f t="shared" si="56"/>
        <v>131757.33473632587</v>
      </c>
      <c r="D213" s="784">
        <f t="shared" si="57"/>
        <v>85207.764754255753</v>
      </c>
      <c r="E213" s="785">
        <f t="shared" si="58"/>
        <v>46549.569982070112</v>
      </c>
      <c r="F213" s="72">
        <f t="shared" si="68"/>
        <v>69</v>
      </c>
      <c r="G213" s="784">
        <f t="shared" si="59"/>
        <v>14976890.687584819</v>
      </c>
      <c r="H213" s="604">
        <f t="shared" si="60"/>
        <v>68372.658190401169</v>
      </c>
      <c r="I213" s="784">
        <f t="shared" si="61"/>
        <v>30756.070310936906</v>
      </c>
      <c r="J213" s="785">
        <f t="shared" si="62"/>
        <v>37616.587879464263</v>
      </c>
      <c r="K213" s="72">
        <f t="shared" si="69"/>
        <v>69</v>
      </c>
      <c r="L213" s="784">
        <f t="shared" si="63"/>
        <v>38801269.767785825</v>
      </c>
      <c r="M213" s="604">
        <f t="shared" si="64"/>
        <v>200129.99292672705</v>
      </c>
      <c r="N213" s="784">
        <f t="shared" si="65"/>
        <v>115963.83506519266</v>
      </c>
      <c r="O213" s="785">
        <f t="shared" si="66"/>
        <v>84166.157861534375</v>
      </c>
      <c r="P213" s="11"/>
      <c r="Q213" s="11"/>
      <c r="R213" s="11"/>
      <c r="S213" s="11"/>
      <c r="T213" s="11"/>
    </row>
    <row r="214" spans="1:20" x14ac:dyDescent="0.25">
      <c r="A214" s="72">
        <f t="shared" si="67"/>
        <v>70</v>
      </c>
      <c r="B214" s="784">
        <f t="shared" si="55"/>
        <v>23777663.350583233</v>
      </c>
      <c r="C214" s="604">
        <f t="shared" si="56"/>
        <v>131757.33473632587</v>
      </c>
      <c r="D214" s="784">
        <f t="shared" si="57"/>
        <v>85041.60511855119</v>
      </c>
      <c r="E214" s="785">
        <f t="shared" si="58"/>
        <v>46715.729617774676</v>
      </c>
      <c r="F214" s="72">
        <f t="shared" si="68"/>
        <v>70</v>
      </c>
      <c r="G214" s="784">
        <f t="shared" si="59"/>
        <v>14939197.045000831</v>
      </c>
      <c r="H214" s="604">
        <f t="shared" si="60"/>
        <v>68372.658190401169</v>
      </c>
      <c r="I214" s="784">
        <f t="shared" si="61"/>
        <v>30679.015606413304</v>
      </c>
      <c r="J214" s="785">
        <f t="shared" si="62"/>
        <v>37693.642583987865</v>
      </c>
      <c r="K214" s="72">
        <f t="shared" si="69"/>
        <v>70</v>
      </c>
      <c r="L214" s="784">
        <f t="shared" si="63"/>
        <v>38716860.395584062</v>
      </c>
      <c r="M214" s="604">
        <f t="shared" si="64"/>
        <v>200129.99292672705</v>
      </c>
      <c r="N214" s="784">
        <f t="shared" si="65"/>
        <v>115720.62072496449</v>
      </c>
      <c r="O214" s="785">
        <f t="shared" si="66"/>
        <v>84409.37220176254</v>
      </c>
      <c r="P214" s="11"/>
      <c r="Q214" s="11"/>
      <c r="R214" s="11"/>
      <c r="S214" s="11"/>
      <c r="T214" s="11"/>
    </row>
    <row r="215" spans="1:20" x14ac:dyDescent="0.25">
      <c r="A215" s="72">
        <f t="shared" si="67"/>
        <v>71</v>
      </c>
      <c r="B215" s="784">
        <f t="shared" si="55"/>
        <v>23730780.868219558</v>
      </c>
      <c r="C215" s="604">
        <f t="shared" si="56"/>
        <v>131757.33473632587</v>
      </c>
      <c r="D215" s="784">
        <f t="shared" si="57"/>
        <v>84874.852372651454</v>
      </c>
      <c r="E215" s="785">
        <f t="shared" si="58"/>
        <v>46882.482363674411</v>
      </c>
      <c r="F215" s="72">
        <f t="shared" si="68"/>
        <v>71</v>
      </c>
      <c r="G215" s="784">
        <f t="shared" si="59"/>
        <v>14901426.189871648</v>
      </c>
      <c r="H215" s="604">
        <f t="shared" si="60"/>
        <v>68372.658190401169</v>
      </c>
      <c r="I215" s="784">
        <f t="shared" si="61"/>
        <v>30601.803061218237</v>
      </c>
      <c r="J215" s="785">
        <f t="shared" si="62"/>
        <v>37770.855129182935</v>
      </c>
      <c r="K215" s="72">
        <f t="shared" si="69"/>
        <v>71</v>
      </c>
      <c r="L215" s="784">
        <f t="shared" si="63"/>
        <v>38632207.058091208</v>
      </c>
      <c r="M215" s="604">
        <f t="shared" si="64"/>
        <v>200129.99292672705</v>
      </c>
      <c r="N215" s="784">
        <f t="shared" si="65"/>
        <v>115476.65543386969</v>
      </c>
      <c r="O215" s="785">
        <f t="shared" si="66"/>
        <v>84653.337492857347</v>
      </c>
      <c r="P215" s="11"/>
      <c r="Q215" s="11"/>
      <c r="R215" s="11"/>
      <c r="S215" s="11"/>
      <c r="T215" s="11"/>
    </row>
    <row r="216" spans="1:20" x14ac:dyDescent="0.25">
      <c r="A216" s="72">
        <f t="shared" si="67"/>
        <v>72</v>
      </c>
      <c r="B216" s="784">
        <f t="shared" si="55"/>
        <v>23683731.037882671</v>
      </c>
      <c r="C216" s="604">
        <f t="shared" si="56"/>
        <v>131757.33473632587</v>
      </c>
      <c r="D216" s="784">
        <f t="shared" si="57"/>
        <v>84707.504399437646</v>
      </c>
      <c r="E216" s="785">
        <f t="shared" si="58"/>
        <v>47049.830336888219</v>
      </c>
      <c r="F216" s="72">
        <f t="shared" si="68"/>
        <v>72</v>
      </c>
      <c r="G216" s="784">
        <f t="shared" si="59"/>
        <v>14863577.964033274</v>
      </c>
      <c r="H216" s="604">
        <f t="shared" si="60"/>
        <v>68372.658190401169</v>
      </c>
      <c r="I216" s="784">
        <f t="shared" si="61"/>
        <v>30524.432352027154</v>
      </c>
      <c r="J216" s="785">
        <f t="shared" si="62"/>
        <v>37848.225838374012</v>
      </c>
      <c r="K216" s="72">
        <f t="shared" si="69"/>
        <v>72</v>
      </c>
      <c r="L216" s="784">
        <f t="shared" si="63"/>
        <v>38547309.001915947</v>
      </c>
      <c r="M216" s="604">
        <f t="shared" si="64"/>
        <v>200129.99292672705</v>
      </c>
      <c r="N216" s="784">
        <f t="shared" si="65"/>
        <v>115231.9367514648</v>
      </c>
      <c r="O216" s="785">
        <f t="shared" si="66"/>
        <v>84898.056175262231</v>
      </c>
      <c r="P216" s="11"/>
      <c r="Q216" s="11"/>
      <c r="R216" s="11"/>
      <c r="S216" s="11"/>
      <c r="T216" s="11"/>
    </row>
    <row r="217" spans="1:20" x14ac:dyDescent="0.25">
      <c r="A217" s="72">
        <f t="shared" si="67"/>
        <v>73</v>
      </c>
      <c r="B217" s="784">
        <f t="shared" si="55"/>
        <v>23636513.26222058</v>
      </c>
      <c r="C217" s="604">
        <f t="shared" si="56"/>
        <v>131757.33473632587</v>
      </c>
      <c r="D217" s="784">
        <f t="shared" si="57"/>
        <v>84539.559074233781</v>
      </c>
      <c r="E217" s="785">
        <f t="shared" si="58"/>
        <v>47217.775662092085</v>
      </c>
      <c r="F217" s="72">
        <f t="shared" si="68"/>
        <v>73</v>
      </c>
      <c r="G217" s="784">
        <f t="shared" si="59"/>
        <v>14825652.208997726</v>
      </c>
      <c r="H217" s="604">
        <f t="shared" si="60"/>
        <v>68372.658190401169</v>
      </c>
      <c r="I217" s="784">
        <f t="shared" si="61"/>
        <v>30446.9031548532</v>
      </c>
      <c r="J217" s="785">
        <f t="shared" si="62"/>
        <v>37925.755035547969</v>
      </c>
      <c r="K217" s="72">
        <f t="shared" si="69"/>
        <v>73</v>
      </c>
      <c r="L217" s="784">
        <f t="shared" si="63"/>
        <v>38462165.471218303</v>
      </c>
      <c r="M217" s="604">
        <f t="shared" si="64"/>
        <v>200129.99292672705</v>
      </c>
      <c r="N217" s="784">
        <f t="shared" si="65"/>
        <v>114986.46222908699</v>
      </c>
      <c r="O217" s="785">
        <f t="shared" si="66"/>
        <v>85143.530697640061</v>
      </c>
      <c r="P217" s="11"/>
      <c r="Q217" s="11"/>
      <c r="R217" s="11"/>
      <c r="S217" s="11"/>
      <c r="T217" s="11"/>
    </row>
    <row r="218" spans="1:20" x14ac:dyDescent="0.25">
      <c r="A218" s="72">
        <f t="shared" si="67"/>
        <v>74</v>
      </c>
      <c r="B218" s="784">
        <f t="shared" si="55"/>
        <v>23589126.941749033</v>
      </c>
      <c r="C218" s="604">
        <f t="shared" si="56"/>
        <v>131757.33473632587</v>
      </c>
      <c r="D218" s="784">
        <f t="shared" si="57"/>
        <v>84371.014264779806</v>
      </c>
      <c r="E218" s="785">
        <f t="shared" si="58"/>
        <v>47386.32047154606</v>
      </c>
      <c r="F218" s="72">
        <f t="shared" si="68"/>
        <v>74</v>
      </c>
      <c r="G218" s="784">
        <f t="shared" si="59"/>
        <v>14787648.765952371</v>
      </c>
      <c r="H218" s="604">
        <f t="shared" si="60"/>
        <v>68372.658190401169</v>
      </c>
      <c r="I218" s="784">
        <f t="shared" si="61"/>
        <v>30369.215145045859</v>
      </c>
      <c r="J218" s="785">
        <f t="shared" si="62"/>
        <v>38003.443045355307</v>
      </c>
      <c r="K218" s="72">
        <f t="shared" si="69"/>
        <v>74</v>
      </c>
      <c r="L218" s="784">
        <f t="shared" si="63"/>
        <v>38376775.7077014</v>
      </c>
      <c r="M218" s="604">
        <f t="shared" si="64"/>
        <v>200129.99292672705</v>
      </c>
      <c r="N218" s="784">
        <f t="shared" si="65"/>
        <v>114740.22940982567</v>
      </c>
      <c r="O218" s="785">
        <f t="shared" si="66"/>
        <v>85389.763516901367</v>
      </c>
      <c r="P218" s="11"/>
      <c r="Q218" s="11"/>
      <c r="R218" s="11"/>
      <c r="S218" s="11"/>
      <c r="T218" s="11"/>
    </row>
    <row r="219" spans="1:20" x14ac:dyDescent="0.25">
      <c r="A219" s="72">
        <f t="shared" si="67"/>
        <v>75</v>
      </c>
      <c r="B219" s="784">
        <f t="shared" si="55"/>
        <v>23541571.474843912</v>
      </c>
      <c r="C219" s="604">
        <f t="shared" si="56"/>
        <v>131757.33473632587</v>
      </c>
      <c r="D219" s="784">
        <f t="shared" si="57"/>
        <v>84201.867831204479</v>
      </c>
      <c r="E219" s="785">
        <f t="shared" si="58"/>
        <v>47555.466905121386</v>
      </c>
      <c r="F219" s="72">
        <f t="shared" si="68"/>
        <v>75</v>
      </c>
      <c r="G219" s="784">
        <f t="shared" si="59"/>
        <v>14749567.47575926</v>
      </c>
      <c r="H219" s="604">
        <f t="shared" si="60"/>
        <v>68372.658190401169</v>
      </c>
      <c r="I219" s="784">
        <f t="shared" si="61"/>
        <v>30291.367997289588</v>
      </c>
      <c r="J219" s="785">
        <f t="shared" si="62"/>
        <v>38081.290193111578</v>
      </c>
      <c r="K219" s="72">
        <f t="shared" si="69"/>
        <v>75</v>
      </c>
      <c r="L219" s="784">
        <f t="shared" si="63"/>
        <v>38291138.950603172</v>
      </c>
      <c r="M219" s="604">
        <f t="shared" si="64"/>
        <v>200129.99292672705</v>
      </c>
      <c r="N219" s="784">
        <f t="shared" si="65"/>
        <v>114493.23582849407</v>
      </c>
      <c r="O219" s="785">
        <f t="shared" si="66"/>
        <v>85636.757098232963</v>
      </c>
      <c r="P219" s="11"/>
      <c r="Q219" s="11"/>
      <c r="R219" s="11"/>
      <c r="S219" s="11"/>
      <c r="T219" s="11"/>
    </row>
    <row r="220" spans="1:20" x14ac:dyDescent="0.25">
      <c r="A220" s="72">
        <f t="shared" si="67"/>
        <v>76</v>
      </c>
      <c r="B220" s="784">
        <f t="shared" si="55"/>
        <v>23493846.257733583</v>
      </c>
      <c r="C220" s="604">
        <f t="shared" si="56"/>
        <v>131757.33473632587</v>
      </c>
      <c r="D220" s="784">
        <f t="shared" si="57"/>
        <v>84032.117625998319</v>
      </c>
      <c r="E220" s="785">
        <f t="shared" si="58"/>
        <v>47725.217110327547</v>
      </c>
      <c r="F220" s="72">
        <f t="shared" si="68"/>
        <v>76</v>
      </c>
      <c r="G220" s="784">
        <f t="shared" si="59"/>
        <v>14711408.178954462</v>
      </c>
      <c r="H220" s="604">
        <f t="shared" si="60"/>
        <v>68372.658190401169</v>
      </c>
      <c r="I220" s="784">
        <f t="shared" si="61"/>
        <v>30213.361385602475</v>
      </c>
      <c r="J220" s="785">
        <f t="shared" si="62"/>
        <v>38159.296804798694</v>
      </c>
      <c r="K220" s="72">
        <f t="shared" si="69"/>
        <v>76</v>
      </c>
      <c r="L220" s="784">
        <f t="shared" si="63"/>
        <v>38205254.436688043</v>
      </c>
      <c r="M220" s="604">
        <f t="shared" si="64"/>
        <v>200129.99292672705</v>
      </c>
      <c r="N220" s="784">
        <f t="shared" si="65"/>
        <v>114245.47901160079</v>
      </c>
      <c r="O220" s="785">
        <f t="shared" si="66"/>
        <v>85884.513915126241</v>
      </c>
      <c r="P220" s="11"/>
      <c r="Q220" s="11"/>
      <c r="R220" s="11"/>
      <c r="S220" s="11"/>
      <c r="T220" s="11"/>
    </row>
    <row r="221" spans="1:20" x14ac:dyDescent="0.25">
      <c r="A221" s="72">
        <f t="shared" si="67"/>
        <v>77</v>
      </c>
      <c r="B221" s="784">
        <f t="shared" si="55"/>
        <v>23445950.684491243</v>
      </c>
      <c r="C221" s="604">
        <f t="shared" si="56"/>
        <v>131757.33473632587</v>
      </c>
      <c r="D221" s="784">
        <f t="shared" si="57"/>
        <v>83861.761493986181</v>
      </c>
      <c r="E221" s="785">
        <f t="shared" si="58"/>
        <v>47895.573242339684</v>
      </c>
      <c r="F221" s="72">
        <f t="shared" si="68"/>
        <v>77</v>
      </c>
      <c r="G221" s="784">
        <f t="shared" si="59"/>
        <v>14673170.715747396</v>
      </c>
      <c r="H221" s="604">
        <f t="shared" si="60"/>
        <v>68372.658190401169</v>
      </c>
      <c r="I221" s="784">
        <f t="shared" si="61"/>
        <v>30135.194983334837</v>
      </c>
      <c r="J221" s="785">
        <f t="shared" si="62"/>
        <v>38237.463207066336</v>
      </c>
      <c r="K221" s="72">
        <f t="shared" si="69"/>
        <v>77</v>
      </c>
      <c r="L221" s="784">
        <f t="shared" si="63"/>
        <v>38119121.400238641</v>
      </c>
      <c r="M221" s="604">
        <f t="shared" si="64"/>
        <v>200129.99292672705</v>
      </c>
      <c r="N221" s="784">
        <f t="shared" si="65"/>
        <v>113996.95647732101</v>
      </c>
      <c r="O221" s="785">
        <f t="shared" si="66"/>
        <v>86133.03644940602</v>
      </c>
      <c r="P221" s="11"/>
      <c r="Q221" s="11"/>
      <c r="R221" s="11"/>
      <c r="S221" s="11"/>
      <c r="T221" s="11"/>
    </row>
    <row r="222" spans="1:20" x14ac:dyDescent="0.25">
      <c r="A222" s="72">
        <f t="shared" si="67"/>
        <v>78</v>
      </c>
      <c r="B222" s="784">
        <f t="shared" si="55"/>
        <v>23397884.147027217</v>
      </c>
      <c r="C222" s="604">
        <f t="shared" si="56"/>
        <v>131757.33473632587</v>
      </c>
      <c r="D222" s="784">
        <f t="shared" si="57"/>
        <v>83690.797272300071</v>
      </c>
      <c r="E222" s="785">
        <f t="shared" si="58"/>
        <v>48066.537464025794</v>
      </c>
      <c r="F222" s="72">
        <f t="shared" si="68"/>
        <v>78</v>
      </c>
      <c r="G222" s="784">
        <f t="shared" si="59"/>
        <v>14634854.926020162</v>
      </c>
      <c r="H222" s="604">
        <f t="shared" si="60"/>
        <v>68372.658190401169</v>
      </c>
      <c r="I222" s="784">
        <f t="shared" si="61"/>
        <v>30056.868463167892</v>
      </c>
      <c r="J222" s="785">
        <f t="shared" si="62"/>
        <v>38315.789727233278</v>
      </c>
      <c r="K222" s="72">
        <f t="shared" si="69"/>
        <v>78</v>
      </c>
      <c r="L222" s="784">
        <f t="shared" si="63"/>
        <v>38032739.073047377</v>
      </c>
      <c r="M222" s="604">
        <f t="shared" si="64"/>
        <v>200129.99292672705</v>
      </c>
      <c r="N222" s="784">
        <f t="shared" si="65"/>
        <v>113747.66573546796</v>
      </c>
      <c r="O222" s="785">
        <f t="shared" si="66"/>
        <v>86382.327191259072</v>
      </c>
      <c r="P222" s="11"/>
      <c r="Q222" s="11"/>
      <c r="R222" s="11"/>
      <c r="S222" s="11"/>
      <c r="T222" s="11"/>
    </row>
    <row r="223" spans="1:20" x14ac:dyDescent="0.25">
      <c r="A223" s="72">
        <f t="shared" si="67"/>
        <v>79</v>
      </c>
      <c r="B223" s="784">
        <f t="shared" si="55"/>
        <v>23349646.035081241</v>
      </c>
      <c r="C223" s="604">
        <f t="shared" si="56"/>
        <v>131757.33473632587</v>
      </c>
      <c r="D223" s="784">
        <f t="shared" si="57"/>
        <v>83519.222790351501</v>
      </c>
      <c r="E223" s="785">
        <f t="shared" si="58"/>
        <v>48238.111945974364</v>
      </c>
      <c r="F223" s="72">
        <f t="shared" si="68"/>
        <v>79</v>
      </c>
      <c r="G223" s="784">
        <f t="shared" si="59"/>
        <v>14596460.649326874</v>
      </c>
      <c r="H223" s="604">
        <f t="shared" si="60"/>
        <v>68372.658190401169</v>
      </c>
      <c r="I223" s="784">
        <f t="shared" si="61"/>
        <v>29978.381497112365</v>
      </c>
      <c r="J223" s="785">
        <f t="shared" si="62"/>
        <v>38394.276693288804</v>
      </c>
      <c r="K223" s="72">
        <f t="shared" si="69"/>
        <v>79</v>
      </c>
      <c r="L223" s="784">
        <f t="shared" si="63"/>
        <v>37946106.684408113</v>
      </c>
      <c r="M223" s="604">
        <f t="shared" si="64"/>
        <v>200129.99292672705</v>
      </c>
      <c r="N223" s="784">
        <f t="shared" si="65"/>
        <v>113497.60428746387</v>
      </c>
      <c r="O223" s="785">
        <f t="shared" si="66"/>
        <v>86632.388639263168</v>
      </c>
      <c r="P223" s="11"/>
      <c r="Q223" s="11"/>
      <c r="R223" s="11"/>
      <c r="S223" s="11"/>
      <c r="T223" s="11"/>
    </row>
    <row r="224" spans="1:20" x14ac:dyDescent="0.25">
      <c r="A224" s="72">
        <f t="shared" si="67"/>
        <v>80</v>
      </c>
      <c r="B224" s="784">
        <f t="shared" si="55"/>
        <v>23301235.73621472</v>
      </c>
      <c r="C224" s="604">
        <f t="shared" si="56"/>
        <v>131757.33473632587</v>
      </c>
      <c r="D224" s="784">
        <f t="shared" si="57"/>
        <v>83347.03586980408</v>
      </c>
      <c r="E224" s="785">
        <f t="shared" si="58"/>
        <v>48410.298866521785</v>
      </c>
      <c r="F224" s="72">
        <f t="shared" si="68"/>
        <v>80</v>
      </c>
      <c r="G224" s="784">
        <f t="shared" si="59"/>
        <v>14557987.724892979</v>
      </c>
      <c r="H224" s="604">
        <f t="shared" si="60"/>
        <v>68372.658190401169</v>
      </c>
      <c r="I224" s="784">
        <f t="shared" si="61"/>
        <v>29899.733756507114</v>
      </c>
      <c r="J224" s="785">
        <f t="shared" si="62"/>
        <v>38472.924433894055</v>
      </c>
      <c r="K224" s="72">
        <f t="shared" si="69"/>
        <v>80</v>
      </c>
      <c r="L224" s="784">
        <f t="shared" si="63"/>
        <v>37859223.461107701</v>
      </c>
      <c r="M224" s="604">
        <f t="shared" si="64"/>
        <v>200129.99292672705</v>
      </c>
      <c r="N224" s="784">
        <f t="shared" si="65"/>
        <v>113246.7696263112</v>
      </c>
      <c r="O224" s="785">
        <f t="shared" si="66"/>
        <v>86883.223300415848</v>
      </c>
      <c r="P224" s="11"/>
      <c r="Q224" s="11"/>
      <c r="R224" s="11"/>
      <c r="S224" s="11"/>
      <c r="T224" s="11"/>
    </row>
    <row r="225" spans="1:20" x14ac:dyDescent="0.25">
      <c r="A225" s="72">
        <f t="shared" si="67"/>
        <v>81</v>
      </c>
      <c r="B225" s="784">
        <f t="shared" si="55"/>
        <v>23252652.63580294</v>
      </c>
      <c r="C225" s="604">
        <f t="shared" si="56"/>
        <v>131757.33473632587</v>
      </c>
      <c r="D225" s="784">
        <f t="shared" si="57"/>
        <v>83174.234324545803</v>
      </c>
      <c r="E225" s="785">
        <f t="shared" si="58"/>
        <v>48583.100411780062</v>
      </c>
      <c r="F225" s="72">
        <f t="shared" si="68"/>
        <v>81</v>
      </c>
      <c r="G225" s="784">
        <f t="shared" si="59"/>
        <v>14519435.991614597</v>
      </c>
      <c r="H225" s="604">
        <f t="shared" si="60"/>
        <v>68372.658190401169</v>
      </c>
      <c r="I225" s="784">
        <f t="shared" si="61"/>
        <v>29820.924912017766</v>
      </c>
      <c r="J225" s="785">
        <f t="shared" si="62"/>
        <v>38551.733278383399</v>
      </c>
      <c r="K225" s="72">
        <f t="shared" si="69"/>
        <v>81</v>
      </c>
      <c r="L225" s="784">
        <f t="shared" si="63"/>
        <v>37772088.627417535</v>
      </c>
      <c r="M225" s="604">
        <f t="shared" si="64"/>
        <v>200129.99292672705</v>
      </c>
      <c r="N225" s="784">
        <f t="shared" si="65"/>
        <v>112995.15923656357</v>
      </c>
      <c r="O225" s="785">
        <f t="shared" si="66"/>
        <v>87134.833690163461</v>
      </c>
      <c r="P225" s="11"/>
      <c r="Q225" s="11"/>
      <c r="R225" s="11"/>
      <c r="S225" s="11"/>
      <c r="T225" s="11"/>
    </row>
    <row r="226" spans="1:20" x14ac:dyDescent="0.25">
      <c r="A226" s="72">
        <f t="shared" si="67"/>
        <v>82</v>
      </c>
      <c r="B226" s="784">
        <f t="shared" si="55"/>
        <v>23203896.117027275</v>
      </c>
      <c r="C226" s="604">
        <f t="shared" si="56"/>
        <v>131757.33473632587</v>
      </c>
      <c r="D226" s="784">
        <f t="shared" si="57"/>
        <v>83000.815960661261</v>
      </c>
      <c r="E226" s="785">
        <f t="shared" si="58"/>
        <v>48756.518775664605</v>
      </c>
      <c r="F226" s="72">
        <f t="shared" si="68"/>
        <v>82</v>
      </c>
      <c r="G226" s="784">
        <f t="shared" si="59"/>
        <v>14480805.28805783</v>
      </c>
      <c r="H226" s="604">
        <f t="shared" si="60"/>
        <v>68372.658190401169</v>
      </c>
      <c r="I226" s="784">
        <f t="shared" si="61"/>
        <v>29741.954633635338</v>
      </c>
      <c r="J226" s="785">
        <f t="shared" si="62"/>
        <v>38630.703556765831</v>
      </c>
      <c r="K226" s="72">
        <f t="shared" si="69"/>
        <v>82</v>
      </c>
      <c r="L226" s="784">
        <f t="shared" si="63"/>
        <v>37684701.405085102</v>
      </c>
      <c r="M226" s="604">
        <f t="shared" si="64"/>
        <v>200129.99292672705</v>
      </c>
      <c r="N226" s="784">
        <f t="shared" si="65"/>
        <v>112742.7705942966</v>
      </c>
      <c r="O226" s="785">
        <f t="shared" si="66"/>
        <v>87387.222332430436</v>
      </c>
      <c r="P226" s="11"/>
      <c r="Q226" s="11"/>
      <c r="R226" s="11"/>
      <c r="S226" s="11"/>
      <c r="T226" s="11"/>
    </row>
    <row r="227" spans="1:20" x14ac:dyDescent="0.25">
      <c r="A227" s="72">
        <f t="shared" si="67"/>
        <v>83</v>
      </c>
      <c r="B227" s="784">
        <f t="shared" si="55"/>
        <v>23154965.560867354</v>
      </c>
      <c r="C227" s="604">
        <f t="shared" si="56"/>
        <v>131757.33473632587</v>
      </c>
      <c r="D227" s="784">
        <f t="shared" si="57"/>
        <v>82826.778576403842</v>
      </c>
      <c r="E227" s="785">
        <f t="shared" si="58"/>
        <v>48930.556159922024</v>
      </c>
      <c r="F227" s="72">
        <f t="shared" si="68"/>
        <v>83</v>
      </c>
      <c r="G227" s="784">
        <f t="shared" si="59"/>
        <v>14442095.452458104</v>
      </c>
      <c r="H227" s="604">
        <f t="shared" si="60"/>
        <v>68372.658190401169</v>
      </c>
      <c r="I227" s="784">
        <f t="shared" si="61"/>
        <v>29662.822590674834</v>
      </c>
      <c r="J227" s="785">
        <f t="shared" si="62"/>
        <v>38709.835599726335</v>
      </c>
      <c r="K227" s="72">
        <f t="shared" si="69"/>
        <v>83</v>
      </c>
      <c r="L227" s="784">
        <f t="shared" si="63"/>
        <v>37597061.01332546</v>
      </c>
      <c r="M227" s="604">
        <f t="shared" si="64"/>
        <v>200129.99292672705</v>
      </c>
      <c r="N227" s="784">
        <f t="shared" si="65"/>
        <v>112489.60116707868</v>
      </c>
      <c r="O227" s="785">
        <f t="shared" si="66"/>
        <v>87640.391759648366</v>
      </c>
      <c r="P227" s="11"/>
      <c r="Q227" s="11"/>
      <c r="R227" s="11"/>
      <c r="S227" s="11"/>
      <c r="T227" s="11"/>
    </row>
    <row r="228" spans="1:20" x14ac:dyDescent="0.25">
      <c r="A228" s="72">
        <f t="shared" si="67"/>
        <v>84</v>
      </c>
      <c r="B228" s="784">
        <f t="shared" si="55"/>
        <v>23105860.346093196</v>
      </c>
      <c r="C228" s="604">
        <f t="shared" si="56"/>
        <v>131757.33473632587</v>
      </c>
      <c r="D228" s="784">
        <f t="shared" si="57"/>
        <v>82652.119962167752</v>
      </c>
      <c r="E228" s="785">
        <f t="shared" si="58"/>
        <v>49105.214774158114</v>
      </c>
      <c r="F228" s="72">
        <f t="shared" si="68"/>
        <v>84</v>
      </c>
      <c r="G228" s="784">
        <f t="shared" si="59"/>
        <v>14403306.322719477</v>
      </c>
      <c r="H228" s="604">
        <f t="shared" si="60"/>
        <v>68372.658190401169</v>
      </c>
      <c r="I228" s="784">
        <f t="shared" si="61"/>
        <v>29583.528451773884</v>
      </c>
      <c r="J228" s="785">
        <f t="shared" si="62"/>
        <v>38789.129738627285</v>
      </c>
      <c r="K228" s="72">
        <f t="shared" si="69"/>
        <v>84</v>
      </c>
      <c r="L228" s="784">
        <f t="shared" si="63"/>
        <v>37509166.668812677</v>
      </c>
      <c r="M228" s="604">
        <f t="shared" si="64"/>
        <v>200129.99292672705</v>
      </c>
      <c r="N228" s="784">
        <f t="shared" si="65"/>
        <v>112235.64841394164</v>
      </c>
      <c r="O228" s="785">
        <f t="shared" si="66"/>
        <v>87894.344512785407</v>
      </c>
      <c r="P228" s="11"/>
      <c r="Q228" s="11"/>
      <c r="R228" s="11"/>
      <c r="S228" s="11"/>
      <c r="T228" s="11"/>
    </row>
    <row r="229" spans="1:20" x14ac:dyDescent="0.25">
      <c r="A229" s="72">
        <f t="shared" si="67"/>
        <v>85</v>
      </c>
      <c r="B229" s="784">
        <f t="shared" si="55"/>
        <v>23056579.849257331</v>
      </c>
      <c r="C229" s="604">
        <f t="shared" si="56"/>
        <v>131757.33473632587</v>
      </c>
      <c r="D229" s="784">
        <f t="shared" si="57"/>
        <v>82476.83790045997</v>
      </c>
      <c r="E229" s="785">
        <f t="shared" si="58"/>
        <v>49280.496835865895</v>
      </c>
      <c r="F229" s="72">
        <f t="shared" si="68"/>
        <v>85</v>
      </c>
      <c r="G229" s="784">
        <f t="shared" si="59"/>
        <v>14364437.736413967</v>
      </c>
      <c r="H229" s="604">
        <f t="shared" si="60"/>
        <v>68372.658190401169</v>
      </c>
      <c r="I229" s="784">
        <f t="shared" si="61"/>
        <v>29504.071884891346</v>
      </c>
      <c r="J229" s="785">
        <f t="shared" si="62"/>
        <v>38868.586305509823</v>
      </c>
      <c r="K229" s="72">
        <f t="shared" si="69"/>
        <v>85</v>
      </c>
      <c r="L229" s="784">
        <f t="shared" si="63"/>
        <v>37421017.585671298</v>
      </c>
      <c r="M229" s="604">
        <f t="shared" si="64"/>
        <v>200129.99292672705</v>
      </c>
      <c r="N229" s="784">
        <f t="shared" si="65"/>
        <v>111980.90978535131</v>
      </c>
      <c r="O229" s="785">
        <f t="shared" si="66"/>
        <v>88149.083141375711</v>
      </c>
      <c r="P229" s="11"/>
      <c r="Q229" s="11"/>
      <c r="R229" s="11"/>
      <c r="S229" s="11"/>
      <c r="T229" s="11"/>
    </row>
    <row r="230" spans="1:20" x14ac:dyDescent="0.25">
      <c r="A230" s="72">
        <f t="shared" si="67"/>
        <v>86</v>
      </c>
      <c r="B230" s="784">
        <f t="shared" si="55"/>
        <v>23007123.444686878</v>
      </c>
      <c r="C230" s="604">
        <f t="shared" si="56"/>
        <v>131757.33473632587</v>
      </c>
      <c r="D230" s="784">
        <f t="shared" si="57"/>
        <v>82300.930165872065</v>
      </c>
      <c r="E230" s="785">
        <f t="shared" si="58"/>
        <v>49456.4045704538</v>
      </c>
      <c r="F230" s="72">
        <f t="shared" si="68"/>
        <v>86</v>
      </c>
      <c r="G230" s="784">
        <f t="shared" si="59"/>
        <v>14325489.530780872</v>
      </c>
      <c r="H230" s="604">
        <f t="shared" si="60"/>
        <v>68372.658190401169</v>
      </c>
      <c r="I230" s="784">
        <f t="shared" si="61"/>
        <v>29424.452557305918</v>
      </c>
      <c r="J230" s="785">
        <f t="shared" si="62"/>
        <v>38948.205633095247</v>
      </c>
      <c r="K230" s="72">
        <f t="shared" si="69"/>
        <v>86</v>
      </c>
      <c r="L230" s="784">
        <f t="shared" si="63"/>
        <v>37332612.975467749</v>
      </c>
      <c r="M230" s="604">
        <f t="shared" si="64"/>
        <v>200129.99292672705</v>
      </c>
      <c r="N230" s="784">
        <f t="shared" si="65"/>
        <v>111725.38272317799</v>
      </c>
      <c r="O230" s="785">
        <f t="shared" si="66"/>
        <v>88404.610203549048</v>
      </c>
      <c r="P230" s="11"/>
      <c r="Q230" s="11"/>
      <c r="R230" s="11"/>
      <c r="S230" s="11"/>
      <c r="T230" s="11"/>
    </row>
    <row r="231" spans="1:20" x14ac:dyDescent="0.25">
      <c r="A231" s="72">
        <f t="shared" si="67"/>
        <v>87</v>
      </c>
      <c r="B231" s="784">
        <f t="shared" si="55"/>
        <v>22957490.504475605</v>
      </c>
      <c r="C231" s="604">
        <f t="shared" si="56"/>
        <v>131757.33473632587</v>
      </c>
      <c r="D231" s="784">
        <f t="shared" si="57"/>
        <v>82124.39452505199</v>
      </c>
      <c r="E231" s="785">
        <f t="shared" si="58"/>
        <v>49632.940211273875</v>
      </c>
      <c r="F231" s="72">
        <f t="shared" si="68"/>
        <v>87</v>
      </c>
      <c r="G231" s="784">
        <f t="shared" si="59"/>
        <v>14286461.542726086</v>
      </c>
      <c r="H231" s="604">
        <f t="shared" si="60"/>
        <v>68372.658190401169</v>
      </c>
      <c r="I231" s="784">
        <f t="shared" si="61"/>
        <v>29344.670135614742</v>
      </c>
      <c r="J231" s="785">
        <f t="shared" si="62"/>
        <v>39027.98805478643</v>
      </c>
      <c r="K231" s="72">
        <f t="shared" si="69"/>
        <v>87</v>
      </c>
      <c r="L231" s="784">
        <f t="shared" si="63"/>
        <v>37243952.047201693</v>
      </c>
      <c r="M231" s="604">
        <f t="shared" si="64"/>
        <v>200129.99292672705</v>
      </c>
      <c r="N231" s="784">
        <f t="shared" si="65"/>
        <v>111469.06466066673</v>
      </c>
      <c r="O231" s="785">
        <f t="shared" si="66"/>
        <v>88660.928266060306</v>
      </c>
      <c r="P231" s="11"/>
      <c r="Q231" s="11"/>
      <c r="R231" s="11"/>
      <c r="S231" s="11"/>
      <c r="T231" s="11"/>
    </row>
    <row r="232" spans="1:20" x14ac:dyDescent="0.25">
      <c r="A232" s="72">
        <f t="shared" si="67"/>
        <v>88</v>
      </c>
      <c r="B232" s="784">
        <f t="shared" si="55"/>
        <v>22907680.398475956</v>
      </c>
      <c r="C232" s="604">
        <f t="shared" si="56"/>
        <v>131757.33473632587</v>
      </c>
      <c r="D232" s="784">
        <f t="shared" si="57"/>
        <v>81947.228736675679</v>
      </c>
      <c r="E232" s="785">
        <f t="shared" si="58"/>
        <v>49810.105999650186</v>
      </c>
      <c r="F232" s="72">
        <f t="shared" si="68"/>
        <v>88</v>
      </c>
      <c r="G232" s="784">
        <f t="shared" si="59"/>
        <v>14247353.608821418</v>
      </c>
      <c r="H232" s="604">
        <f t="shared" si="60"/>
        <v>68372.658190401169</v>
      </c>
      <c r="I232" s="784">
        <f t="shared" si="61"/>
        <v>29264.724285732016</v>
      </c>
      <c r="J232" s="785">
        <f t="shared" si="62"/>
        <v>39107.933904669153</v>
      </c>
      <c r="K232" s="72">
        <f t="shared" si="69"/>
        <v>88</v>
      </c>
      <c r="L232" s="784">
        <f t="shared" si="63"/>
        <v>37155034.007297374</v>
      </c>
      <c r="M232" s="604">
        <f t="shared" si="64"/>
        <v>200129.99292672705</v>
      </c>
      <c r="N232" s="784">
        <f t="shared" si="65"/>
        <v>111211.95302240769</v>
      </c>
      <c r="O232" s="785">
        <f t="shared" si="66"/>
        <v>88918.039904319332</v>
      </c>
      <c r="P232" s="11"/>
      <c r="Q232" s="11"/>
      <c r="R232" s="11"/>
      <c r="S232" s="11"/>
      <c r="T232" s="11"/>
    </row>
    <row r="233" spans="1:20" x14ac:dyDescent="0.25">
      <c r="A233" s="72">
        <f t="shared" si="67"/>
        <v>89</v>
      </c>
      <c r="B233" s="784">
        <f t="shared" si="55"/>
        <v>22857692.494291048</v>
      </c>
      <c r="C233" s="604">
        <f t="shared" si="56"/>
        <v>131757.33473632587</v>
      </c>
      <c r="D233" s="784">
        <f t="shared" si="57"/>
        <v>81769.430551418642</v>
      </c>
      <c r="E233" s="785">
        <f t="shared" si="58"/>
        <v>49987.904184907224</v>
      </c>
      <c r="F233" s="72">
        <f t="shared" si="68"/>
        <v>89</v>
      </c>
      <c r="G233" s="784">
        <f t="shared" si="59"/>
        <v>14208165.565303905</v>
      </c>
      <c r="H233" s="604">
        <f t="shared" si="60"/>
        <v>68372.658190401169</v>
      </c>
      <c r="I233" s="784">
        <f t="shared" si="61"/>
        <v>29184.614672887576</v>
      </c>
      <c r="J233" s="785">
        <f t="shared" si="62"/>
        <v>39188.043517513594</v>
      </c>
      <c r="K233" s="72">
        <f t="shared" si="69"/>
        <v>89</v>
      </c>
      <c r="L233" s="784">
        <f t="shared" si="63"/>
        <v>37065858.059594952</v>
      </c>
      <c r="M233" s="604">
        <f t="shared" si="64"/>
        <v>200129.99292672705</v>
      </c>
      <c r="N233" s="784">
        <f t="shared" si="65"/>
        <v>110954.04522430622</v>
      </c>
      <c r="O233" s="785">
        <f t="shared" si="66"/>
        <v>89175.947702420817</v>
      </c>
      <c r="P233" s="11"/>
      <c r="Q233" s="11"/>
      <c r="R233" s="11"/>
      <c r="S233" s="11"/>
      <c r="T233" s="11"/>
    </row>
    <row r="234" spans="1:20" x14ac:dyDescent="0.25">
      <c r="A234" s="72">
        <f t="shared" si="67"/>
        <v>90</v>
      </c>
      <c r="B234" s="784">
        <f t="shared" si="55"/>
        <v>22807526.15726665</v>
      </c>
      <c r="C234" s="604">
        <f t="shared" si="56"/>
        <v>131757.33473632587</v>
      </c>
      <c r="D234" s="784">
        <f t="shared" si="57"/>
        <v>81590.997711927368</v>
      </c>
      <c r="E234" s="785">
        <f t="shared" si="58"/>
        <v>50166.337024398497</v>
      </c>
      <c r="F234" s="72">
        <f t="shared" si="68"/>
        <v>90</v>
      </c>
      <c r="G234" s="784">
        <f t="shared" si="59"/>
        <v>14168897.248075129</v>
      </c>
      <c r="H234" s="604">
        <f t="shared" si="60"/>
        <v>68372.658190401169</v>
      </c>
      <c r="I234" s="784">
        <f t="shared" si="61"/>
        <v>29104.340961625519</v>
      </c>
      <c r="J234" s="785">
        <f t="shared" si="62"/>
        <v>39268.317228775646</v>
      </c>
      <c r="K234" s="72">
        <f t="shared" si="69"/>
        <v>90</v>
      </c>
      <c r="L234" s="784">
        <f t="shared" si="63"/>
        <v>36976423.405341782</v>
      </c>
      <c r="M234" s="604">
        <f t="shared" si="64"/>
        <v>200129.99292672705</v>
      </c>
      <c r="N234" s="784">
        <f t="shared" si="65"/>
        <v>110695.33867355289</v>
      </c>
      <c r="O234" s="785">
        <f t="shared" si="66"/>
        <v>89434.654253174143</v>
      </c>
      <c r="P234" s="11"/>
      <c r="Q234" s="11"/>
      <c r="R234" s="11"/>
      <c r="S234" s="11"/>
      <c r="T234" s="11"/>
    </row>
    <row r="235" spans="1:20" x14ac:dyDescent="0.25">
      <c r="A235" s="72">
        <f t="shared" si="67"/>
        <v>91</v>
      </c>
      <c r="B235" s="784">
        <f t="shared" si="55"/>
        <v>22757180.750483114</v>
      </c>
      <c r="C235" s="604">
        <f t="shared" si="56"/>
        <v>131757.33473632587</v>
      </c>
      <c r="D235" s="784">
        <f t="shared" si="57"/>
        <v>81411.927952790662</v>
      </c>
      <c r="E235" s="785">
        <f t="shared" si="58"/>
        <v>50345.406783535203</v>
      </c>
      <c r="F235" s="72">
        <f t="shared" si="68"/>
        <v>91</v>
      </c>
      <c r="G235" s="784">
        <f t="shared" si="59"/>
        <v>14129548.49270053</v>
      </c>
      <c r="H235" s="604">
        <f t="shared" si="60"/>
        <v>68372.658190401169</v>
      </c>
      <c r="I235" s="784">
        <f t="shared" si="61"/>
        <v>29023.90281580278</v>
      </c>
      <c r="J235" s="785">
        <f t="shared" si="62"/>
        <v>39348.75537459839</v>
      </c>
      <c r="K235" s="72">
        <f t="shared" si="69"/>
        <v>91</v>
      </c>
      <c r="L235" s="784">
        <f t="shared" si="63"/>
        <v>36886729.243183643</v>
      </c>
      <c r="M235" s="604">
        <f t="shared" si="64"/>
        <v>200129.99292672705</v>
      </c>
      <c r="N235" s="784">
        <f t="shared" si="65"/>
        <v>110435.83076859344</v>
      </c>
      <c r="O235" s="785">
        <f t="shared" si="66"/>
        <v>89694.162158133593</v>
      </c>
      <c r="P235" s="11"/>
      <c r="Q235" s="11"/>
      <c r="R235" s="11"/>
      <c r="S235" s="11"/>
      <c r="T235" s="11"/>
    </row>
    <row r="236" spans="1:20" x14ac:dyDescent="0.25">
      <c r="A236" s="72">
        <f t="shared" si="67"/>
        <v>92</v>
      </c>
      <c r="B236" s="784">
        <f t="shared" si="55"/>
        <v>22706655.6347473</v>
      </c>
      <c r="C236" s="604">
        <f t="shared" si="56"/>
        <v>131757.33473632587</v>
      </c>
      <c r="D236" s="784">
        <f t="shared" si="57"/>
        <v>81232.21900051093</v>
      </c>
      <c r="E236" s="785">
        <f t="shared" si="58"/>
        <v>50525.115735814936</v>
      </c>
      <c r="F236" s="72">
        <f t="shared" si="68"/>
        <v>92</v>
      </c>
      <c r="G236" s="784">
        <f t="shared" si="59"/>
        <v>14090119.134408716</v>
      </c>
      <c r="H236" s="604">
        <f t="shared" si="60"/>
        <v>68372.658190401169</v>
      </c>
      <c r="I236" s="784">
        <f t="shared" si="61"/>
        <v>28943.299898587728</v>
      </c>
      <c r="J236" s="785">
        <f t="shared" si="62"/>
        <v>39429.358291813442</v>
      </c>
      <c r="K236" s="72">
        <f t="shared" si="69"/>
        <v>92</v>
      </c>
      <c r="L236" s="784">
        <f t="shared" si="63"/>
        <v>36796774.769156016</v>
      </c>
      <c r="M236" s="604">
        <f t="shared" si="64"/>
        <v>200129.99292672705</v>
      </c>
      <c r="N236" s="784">
        <f t="shared" si="65"/>
        <v>110175.51889909865</v>
      </c>
      <c r="O236" s="785">
        <f t="shared" si="66"/>
        <v>89954.47402762837</v>
      </c>
      <c r="P236" s="11"/>
      <c r="Q236" s="11"/>
      <c r="R236" s="11"/>
      <c r="S236" s="11"/>
      <c r="T236" s="11"/>
    </row>
    <row r="237" spans="1:20" x14ac:dyDescent="0.25">
      <c r="A237" s="72">
        <f t="shared" si="67"/>
        <v>93</v>
      </c>
      <c r="B237" s="784">
        <f t="shared" si="55"/>
        <v>22655950.168584451</v>
      </c>
      <c r="C237" s="604">
        <f t="shared" si="56"/>
        <v>131757.33473632587</v>
      </c>
      <c r="D237" s="784">
        <f t="shared" si="57"/>
        <v>81051.868573475251</v>
      </c>
      <c r="E237" s="785">
        <f t="shared" si="58"/>
        <v>50705.466162850615</v>
      </c>
      <c r="F237" s="72">
        <f t="shared" si="68"/>
        <v>93</v>
      </c>
      <c r="G237" s="784">
        <f t="shared" si="59"/>
        <v>14050609.008090774</v>
      </c>
      <c r="H237" s="604">
        <f t="shared" si="60"/>
        <v>68372.658190401169</v>
      </c>
      <c r="I237" s="784">
        <f t="shared" si="61"/>
        <v>28862.531872458767</v>
      </c>
      <c r="J237" s="785">
        <f t="shared" si="62"/>
        <v>39510.126317942399</v>
      </c>
      <c r="K237" s="72">
        <f t="shared" si="69"/>
        <v>93</v>
      </c>
      <c r="L237" s="784">
        <f t="shared" si="63"/>
        <v>36706559.176675223</v>
      </c>
      <c r="M237" s="604">
        <f t="shared" si="64"/>
        <v>200129.99292672705</v>
      </c>
      <c r="N237" s="784">
        <f t="shared" si="65"/>
        <v>109914.40044593402</v>
      </c>
      <c r="O237" s="785">
        <f t="shared" si="66"/>
        <v>90215.592480793013</v>
      </c>
      <c r="P237" s="11"/>
      <c r="Q237" s="11"/>
      <c r="R237" s="11"/>
      <c r="S237" s="11"/>
      <c r="T237" s="11"/>
    </row>
    <row r="238" spans="1:20" x14ac:dyDescent="0.25">
      <c r="A238" s="72">
        <f t="shared" si="67"/>
        <v>94</v>
      </c>
      <c r="B238" s="784">
        <f t="shared" si="55"/>
        <v>22605063.708230052</v>
      </c>
      <c r="C238" s="604">
        <f t="shared" si="56"/>
        <v>131757.33473632587</v>
      </c>
      <c r="D238" s="784">
        <f t="shared" si="57"/>
        <v>80870.874381926449</v>
      </c>
      <c r="E238" s="785">
        <f t="shared" si="58"/>
        <v>50886.460354399416</v>
      </c>
      <c r="F238" s="72">
        <f t="shared" si="68"/>
        <v>94</v>
      </c>
      <c r="G238" s="784">
        <f t="shared" si="59"/>
        <v>14011017.948299576</v>
      </c>
      <c r="H238" s="604">
        <f t="shared" si="60"/>
        <v>68372.658190401169</v>
      </c>
      <c r="I238" s="784">
        <f t="shared" si="61"/>
        <v>28781.598399202911</v>
      </c>
      <c r="J238" s="785">
        <f t="shared" si="62"/>
        <v>39591.059791198262</v>
      </c>
      <c r="K238" s="72">
        <f t="shared" si="69"/>
        <v>94</v>
      </c>
      <c r="L238" s="784">
        <f t="shared" si="63"/>
        <v>36616081.656529628</v>
      </c>
      <c r="M238" s="604">
        <f t="shared" si="64"/>
        <v>200129.99292672705</v>
      </c>
      <c r="N238" s="784">
        <f t="shared" si="65"/>
        <v>109652.47278112936</v>
      </c>
      <c r="O238" s="785">
        <f t="shared" si="66"/>
        <v>90477.520145597678</v>
      </c>
      <c r="P238" s="11"/>
      <c r="Q238" s="11"/>
      <c r="R238" s="11"/>
      <c r="S238" s="11"/>
      <c r="T238" s="11"/>
    </row>
    <row r="239" spans="1:20" x14ac:dyDescent="0.25">
      <c r="A239" s="72">
        <f t="shared" si="67"/>
        <v>95</v>
      </c>
      <c r="B239" s="784">
        <f t="shared" si="55"/>
        <v>22553995.607621659</v>
      </c>
      <c r="C239" s="604">
        <f t="shared" si="56"/>
        <v>131757.33473632587</v>
      </c>
      <c r="D239" s="784">
        <f t="shared" si="57"/>
        <v>80689.234127934018</v>
      </c>
      <c r="E239" s="785">
        <f t="shared" si="58"/>
        <v>51068.100608391847</v>
      </c>
      <c r="F239" s="72">
        <f t="shared" si="68"/>
        <v>95</v>
      </c>
      <c r="G239" s="784">
        <f t="shared" si="59"/>
        <v>13971345.789249089</v>
      </c>
      <c r="H239" s="604">
        <f t="shared" si="60"/>
        <v>68372.658190401169</v>
      </c>
      <c r="I239" s="784">
        <f t="shared" si="61"/>
        <v>28700.499139914369</v>
      </c>
      <c r="J239" s="785">
        <f t="shared" si="62"/>
        <v>39672.1590504868</v>
      </c>
      <c r="K239" s="72">
        <f t="shared" si="69"/>
        <v>95</v>
      </c>
      <c r="L239" s="784">
        <f t="shared" si="63"/>
        <v>36525341.396870747</v>
      </c>
      <c r="M239" s="604">
        <f t="shared" si="64"/>
        <v>200129.99292672705</v>
      </c>
      <c r="N239" s="784">
        <f t="shared" si="65"/>
        <v>109389.73326784838</v>
      </c>
      <c r="O239" s="785">
        <f t="shared" si="66"/>
        <v>90740.25965887864</v>
      </c>
      <c r="P239" s="11"/>
      <c r="Q239" s="11"/>
      <c r="R239" s="11"/>
      <c r="S239" s="11"/>
      <c r="T239" s="11"/>
    </row>
    <row r="240" spans="1:20" x14ac:dyDescent="0.25">
      <c r="A240" s="72">
        <f t="shared" si="67"/>
        <v>96</v>
      </c>
      <c r="B240" s="784">
        <f t="shared" si="55"/>
        <v>22502745.218390699</v>
      </c>
      <c r="C240" s="604">
        <f t="shared" si="56"/>
        <v>131757.33473632587</v>
      </c>
      <c r="D240" s="784">
        <f t="shared" si="57"/>
        <v>80506.945505364944</v>
      </c>
      <c r="E240" s="785">
        <f t="shared" si="58"/>
        <v>51250.389230960922</v>
      </c>
      <c r="F240" s="72">
        <f t="shared" si="68"/>
        <v>96</v>
      </c>
      <c r="G240" s="784">
        <f t="shared" si="59"/>
        <v>13931592.36481368</v>
      </c>
      <c r="H240" s="604">
        <f t="shared" si="60"/>
        <v>68372.658190401169</v>
      </c>
      <c r="I240" s="784">
        <f t="shared" si="61"/>
        <v>28619.233754993122</v>
      </c>
      <c r="J240" s="785">
        <f t="shared" si="62"/>
        <v>39753.424435408044</v>
      </c>
      <c r="K240" s="72">
        <f t="shared" si="69"/>
        <v>96</v>
      </c>
      <c r="L240" s="784">
        <f t="shared" si="63"/>
        <v>36434337.583204381</v>
      </c>
      <c r="M240" s="604">
        <f t="shared" si="64"/>
        <v>200129.99292672705</v>
      </c>
      <c r="N240" s="784">
        <f t="shared" si="65"/>
        <v>109126.17926035807</v>
      </c>
      <c r="O240" s="785">
        <f t="shared" si="66"/>
        <v>91003.813666368966</v>
      </c>
      <c r="P240" s="11"/>
      <c r="Q240" s="11"/>
      <c r="R240" s="11"/>
      <c r="S240" s="11"/>
      <c r="T240" s="11"/>
    </row>
    <row r="241" spans="1:20" x14ac:dyDescent="0.25">
      <c r="A241" s="72">
        <f t="shared" si="67"/>
        <v>97</v>
      </c>
      <c r="B241" s="784">
        <f t="shared" si="55"/>
        <v>22451311.889854226</v>
      </c>
      <c r="C241" s="604">
        <f t="shared" si="56"/>
        <v>131757.33473632587</v>
      </c>
      <c r="D241" s="784">
        <f t="shared" si="57"/>
        <v>80324.006199854426</v>
      </c>
      <c r="E241" s="785">
        <f t="shared" si="58"/>
        <v>51433.328536471439</v>
      </c>
      <c r="F241" s="72">
        <f t="shared" si="68"/>
        <v>97</v>
      </c>
      <c r="G241" s="784">
        <f t="shared" si="59"/>
        <v>13891757.508527422</v>
      </c>
      <c r="H241" s="604">
        <f t="shared" si="60"/>
        <v>68372.658190401169</v>
      </c>
      <c r="I241" s="784">
        <f t="shared" si="61"/>
        <v>28537.801904143515</v>
      </c>
      <c r="J241" s="785">
        <f t="shared" si="62"/>
        <v>39834.856286257651</v>
      </c>
      <c r="K241" s="72">
        <f t="shared" si="69"/>
        <v>97</v>
      </c>
      <c r="L241" s="784">
        <f t="shared" si="63"/>
        <v>36343069.39838165</v>
      </c>
      <c r="M241" s="604">
        <f t="shared" si="64"/>
        <v>200129.99292672705</v>
      </c>
      <c r="N241" s="784">
        <f t="shared" si="65"/>
        <v>108861.80810399794</v>
      </c>
      <c r="O241" s="785">
        <f t="shared" si="66"/>
        <v>91268.18482272909</v>
      </c>
      <c r="P241" s="11"/>
      <c r="Q241" s="11"/>
      <c r="R241" s="11"/>
      <c r="S241" s="11"/>
      <c r="T241" s="11"/>
    </row>
    <row r="242" spans="1:20" x14ac:dyDescent="0.25">
      <c r="A242" s="72">
        <f t="shared" si="67"/>
        <v>98</v>
      </c>
      <c r="B242" s="784">
        <f t="shared" si="55"/>
        <v>22399694.969006676</v>
      </c>
      <c r="C242" s="604">
        <f t="shared" si="56"/>
        <v>131757.33473632587</v>
      </c>
      <c r="D242" s="784">
        <f t="shared" si="57"/>
        <v>80140.413888776471</v>
      </c>
      <c r="E242" s="785">
        <f t="shared" si="58"/>
        <v>51616.920847549394</v>
      </c>
      <c r="F242" s="72">
        <f t="shared" si="68"/>
        <v>98</v>
      </c>
      <c r="G242" s="784">
        <f t="shared" si="59"/>
        <v>13851841.053583395</v>
      </c>
      <c r="H242" s="604">
        <f t="shared" si="60"/>
        <v>68372.658190401169</v>
      </c>
      <c r="I242" s="784">
        <f t="shared" si="61"/>
        <v>28456.203246372821</v>
      </c>
      <c r="J242" s="785">
        <f t="shared" si="62"/>
        <v>39916.454944028344</v>
      </c>
      <c r="K242" s="72">
        <f t="shared" si="69"/>
        <v>98</v>
      </c>
      <c r="L242" s="784">
        <f t="shared" si="63"/>
        <v>36251536.022590071</v>
      </c>
      <c r="M242" s="604">
        <f t="shared" si="64"/>
        <v>200129.99292672705</v>
      </c>
      <c r="N242" s="784">
        <f t="shared" si="65"/>
        <v>108596.6171351493</v>
      </c>
      <c r="O242" s="785">
        <f t="shared" si="66"/>
        <v>91533.375791577739</v>
      </c>
      <c r="P242" s="11"/>
      <c r="Q242" s="11"/>
      <c r="R242" s="11"/>
      <c r="S242" s="11"/>
      <c r="T242" s="11"/>
    </row>
    <row r="243" spans="1:20" x14ac:dyDescent="0.25">
      <c r="A243" s="72">
        <f t="shared" si="67"/>
        <v>99</v>
      </c>
      <c r="B243" s="784">
        <f t="shared" si="55"/>
        <v>22347893.800511565</v>
      </c>
      <c r="C243" s="604">
        <f t="shared" si="56"/>
        <v>131757.33473632587</v>
      </c>
      <c r="D243" s="784">
        <f t="shared" si="57"/>
        <v>79956.166241214436</v>
      </c>
      <c r="E243" s="785">
        <f t="shared" si="58"/>
        <v>51801.168495111429</v>
      </c>
      <c r="F243" s="72">
        <f t="shared" si="68"/>
        <v>99</v>
      </c>
      <c r="G243" s="784">
        <f t="shared" si="59"/>
        <v>13811842.832832983</v>
      </c>
      <c r="H243" s="604">
        <f t="shared" si="60"/>
        <v>68372.658190401169</v>
      </c>
      <c r="I243" s="784">
        <f t="shared" si="61"/>
        <v>28374.437439989815</v>
      </c>
      <c r="J243" s="785">
        <f t="shared" si="62"/>
        <v>39998.220750411354</v>
      </c>
      <c r="K243" s="72">
        <f t="shared" si="69"/>
        <v>99</v>
      </c>
      <c r="L243" s="784">
        <f t="shared" si="63"/>
        <v>36159736.633344546</v>
      </c>
      <c r="M243" s="604">
        <f t="shared" si="64"/>
        <v>200129.99292672705</v>
      </c>
      <c r="N243" s="784">
        <f t="shared" si="65"/>
        <v>108330.60368120426</v>
      </c>
      <c r="O243" s="785">
        <f t="shared" si="66"/>
        <v>91799.389245522791</v>
      </c>
      <c r="P243" s="11"/>
      <c r="Q243" s="11"/>
      <c r="R243" s="11"/>
      <c r="S243" s="11"/>
      <c r="T243" s="11"/>
    </row>
    <row r="244" spans="1:20" x14ac:dyDescent="0.25">
      <c r="A244" s="72">
        <f t="shared" si="67"/>
        <v>100</v>
      </c>
      <c r="B244" s="784">
        <f t="shared" si="55"/>
        <v>22295907.726693172</v>
      </c>
      <c r="C244" s="604">
        <f t="shared" si="56"/>
        <v>131757.33473632587</v>
      </c>
      <c r="D244" s="784">
        <f t="shared" si="57"/>
        <v>79771.26091793146</v>
      </c>
      <c r="E244" s="785">
        <f t="shared" si="58"/>
        <v>51986.073818394405</v>
      </c>
      <c r="F244" s="72">
        <f t="shared" si="68"/>
        <v>100</v>
      </c>
      <c r="G244" s="784">
        <f t="shared" si="59"/>
        <v>13771762.678785184</v>
      </c>
      <c r="H244" s="604">
        <f t="shared" si="60"/>
        <v>68372.658190401169</v>
      </c>
      <c r="I244" s="784">
        <f t="shared" si="61"/>
        <v>28292.504142603339</v>
      </c>
      <c r="J244" s="785">
        <f t="shared" si="62"/>
        <v>40080.154047797827</v>
      </c>
      <c r="K244" s="72">
        <f t="shared" si="69"/>
        <v>100</v>
      </c>
      <c r="L244" s="784">
        <f t="shared" si="63"/>
        <v>36067670.405478358</v>
      </c>
      <c r="M244" s="604">
        <f t="shared" si="64"/>
        <v>200129.99292672705</v>
      </c>
      <c r="N244" s="784">
        <f t="shared" si="65"/>
        <v>108063.7650605348</v>
      </c>
      <c r="O244" s="785">
        <f t="shared" si="66"/>
        <v>92066.227866192232</v>
      </c>
      <c r="P244" s="11"/>
      <c r="Q244" s="11"/>
      <c r="R244" s="11"/>
      <c r="S244" s="11"/>
      <c r="T244" s="11"/>
    </row>
    <row r="245" spans="1:20" x14ac:dyDescent="0.25">
      <c r="A245" s="72">
        <f t="shared" si="67"/>
        <v>101</v>
      </c>
      <c r="B245" s="784">
        <f t="shared" si="55"/>
        <v>22243736.087528188</v>
      </c>
      <c r="C245" s="604">
        <f t="shared" si="56"/>
        <v>131757.33473632587</v>
      </c>
      <c r="D245" s="784">
        <f t="shared" si="57"/>
        <v>79585.695571340679</v>
      </c>
      <c r="E245" s="785">
        <f t="shared" si="58"/>
        <v>52171.639164985187</v>
      </c>
      <c r="F245" s="72">
        <f t="shared" si="68"/>
        <v>101</v>
      </c>
      <c r="G245" s="784">
        <f t="shared" si="59"/>
        <v>13731600.423605904</v>
      </c>
      <c r="H245" s="604">
        <f t="shared" si="60"/>
        <v>68372.658190401169</v>
      </c>
      <c r="I245" s="784">
        <f t="shared" si="61"/>
        <v>28210.403011120874</v>
      </c>
      <c r="J245" s="785">
        <f t="shared" si="62"/>
        <v>40162.255179280299</v>
      </c>
      <c r="K245" s="72">
        <f t="shared" si="69"/>
        <v>101</v>
      </c>
      <c r="L245" s="784">
        <f t="shared" si="63"/>
        <v>35975336.511134088</v>
      </c>
      <c r="M245" s="604">
        <f t="shared" si="64"/>
        <v>200129.99292672705</v>
      </c>
      <c r="N245" s="784">
        <f t="shared" si="65"/>
        <v>107796.09858246155</v>
      </c>
      <c r="O245" s="785">
        <f t="shared" si="66"/>
        <v>92333.894344265485</v>
      </c>
      <c r="P245" s="11"/>
      <c r="Q245" s="11"/>
      <c r="R245" s="11"/>
      <c r="S245" s="11"/>
      <c r="T245" s="11"/>
    </row>
    <row r="246" spans="1:20" x14ac:dyDescent="0.25">
      <c r="A246" s="72">
        <f t="shared" si="67"/>
        <v>102</v>
      </c>
      <c r="B246" s="784">
        <f t="shared" si="55"/>
        <v>22191378.220637336</v>
      </c>
      <c r="C246" s="604">
        <f t="shared" si="56"/>
        <v>131757.33473632587</v>
      </c>
      <c r="D246" s="784">
        <f t="shared" si="57"/>
        <v>79399.46784547549</v>
      </c>
      <c r="E246" s="785">
        <f t="shared" si="58"/>
        <v>52357.866890850375</v>
      </c>
      <c r="F246" s="72">
        <f t="shared" si="68"/>
        <v>102</v>
      </c>
      <c r="G246" s="784">
        <f t="shared" si="59"/>
        <v>13691355.89911725</v>
      </c>
      <c r="H246" s="604">
        <f t="shared" si="60"/>
        <v>68372.658190401169</v>
      </c>
      <c r="I246" s="784">
        <f t="shared" si="61"/>
        <v>28128.133701747116</v>
      </c>
      <c r="J246" s="785">
        <f t="shared" si="62"/>
        <v>40244.524488654053</v>
      </c>
      <c r="K246" s="72">
        <f t="shared" si="69"/>
        <v>102</v>
      </c>
      <c r="L246" s="784">
        <f t="shared" si="63"/>
        <v>35882734.119754583</v>
      </c>
      <c r="M246" s="604">
        <f t="shared" si="64"/>
        <v>200129.99292672705</v>
      </c>
      <c r="N246" s="784">
        <f t="shared" si="65"/>
        <v>107527.60154722261</v>
      </c>
      <c r="O246" s="785">
        <f t="shared" si="66"/>
        <v>92602.391379504435</v>
      </c>
      <c r="P246" s="11"/>
      <c r="Q246" s="11"/>
      <c r="R246" s="11"/>
      <c r="S246" s="11"/>
      <c r="T246" s="11"/>
    </row>
    <row r="247" spans="1:20" x14ac:dyDescent="0.25">
      <c r="A247" s="72">
        <f t="shared" si="67"/>
        <v>103</v>
      </c>
      <c r="B247" s="784">
        <f t="shared" si="55"/>
        <v>22138833.461276971</v>
      </c>
      <c r="C247" s="604">
        <f t="shared" si="56"/>
        <v>131757.33473632587</v>
      </c>
      <c r="D247" s="784">
        <f t="shared" si="57"/>
        <v>79212.575375959597</v>
      </c>
      <c r="E247" s="785">
        <f t="shared" si="58"/>
        <v>52544.759360366268</v>
      </c>
      <c r="F247" s="72">
        <f t="shared" si="68"/>
        <v>103</v>
      </c>
      <c r="G247" s="784">
        <f t="shared" si="59"/>
        <v>13651028.936796831</v>
      </c>
      <c r="H247" s="604">
        <f t="shared" si="60"/>
        <v>68372.658190401169</v>
      </c>
      <c r="I247" s="784">
        <f t="shared" si="61"/>
        <v>28045.695869982505</v>
      </c>
      <c r="J247" s="785">
        <f t="shared" si="62"/>
        <v>40326.962320418665</v>
      </c>
      <c r="K247" s="72">
        <f t="shared" si="69"/>
        <v>103</v>
      </c>
      <c r="L247" s="784">
        <f t="shared" si="63"/>
        <v>35789862.3980738</v>
      </c>
      <c r="M247" s="604">
        <f t="shared" si="64"/>
        <v>200129.99292672705</v>
      </c>
      <c r="N247" s="784">
        <f t="shared" si="65"/>
        <v>107258.2712459421</v>
      </c>
      <c r="O247" s="785">
        <f t="shared" si="66"/>
        <v>92871.721680784933</v>
      </c>
      <c r="P247" s="11"/>
      <c r="Q247" s="11"/>
      <c r="R247" s="11"/>
      <c r="S247" s="11"/>
      <c r="T247" s="11"/>
    </row>
    <row r="248" spans="1:20" x14ac:dyDescent="0.25">
      <c r="A248" s="72">
        <f t="shared" si="67"/>
        <v>104</v>
      </c>
      <c r="B248" s="784">
        <f t="shared" si="55"/>
        <v>22086101.14233062</v>
      </c>
      <c r="C248" s="604">
        <f t="shared" si="56"/>
        <v>131757.33473632587</v>
      </c>
      <c r="D248" s="784">
        <f t="shared" si="57"/>
        <v>79025.015789977071</v>
      </c>
      <c r="E248" s="785">
        <f t="shared" si="58"/>
        <v>52732.318946348794</v>
      </c>
      <c r="F248" s="72">
        <f t="shared" si="68"/>
        <v>104</v>
      </c>
      <c r="G248" s="784">
        <f t="shared" si="59"/>
        <v>13610619.367777051</v>
      </c>
      <c r="H248" s="604">
        <f t="shared" si="60"/>
        <v>68372.658190401169</v>
      </c>
      <c r="I248" s="784">
        <f t="shared" si="61"/>
        <v>27963.089170621806</v>
      </c>
      <c r="J248" s="785">
        <f t="shared" si="62"/>
        <v>40409.569019779359</v>
      </c>
      <c r="K248" s="72">
        <f t="shared" si="69"/>
        <v>104</v>
      </c>
      <c r="L248" s="784">
        <f t="shared" si="63"/>
        <v>35696720.510107674</v>
      </c>
      <c r="M248" s="604">
        <f t="shared" si="64"/>
        <v>200129.99292672705</v>
      </c>
      <c r="N248" s="784">
        <f t="shared" si="65"/>
        <v>106988.10496059888</v>
      </c>
      <c r="O248" s="785">
        <f t="shared" si="66"/>
        <v>93141.887966128153</v>
      </c>
      <c r="P248" s="11"/>
      <c r="Q248" s="11"/>
      <c r="R248" s="11"/>
      <c r="S248" s="11"/>
      <c r="T248" s="11"/>
    </row>
    <row r="249" spans="1:20" x14ac:dyDescent="0.25">
      <c r="A249" s="72">
        <f t="shared" si="67"/>
        <v>105</v>
      </c>
      <c r="B249" s="784">
        <f t="shared" si="55"/>
        <v>22033180.594300538</v>
      </c>
      <c r="C249" s="604">
        <f t="shared" si="56"/>
        <v>131757.33473632587</v>
      </c>
      <c r="D249" s="784">
        <f t="shared" si="57"/>
        <v>78836.786706242085</v>
      </c>
      <c r="E249" s="785">
        <f t="shared" si="58"/>
        <v>52920.548030083781</v>
      </c>
      <c r="F249" s="72">
        <f t="shared" si="68"/>
        <v>105</v>
      </c>
      <c r="G249" s="784">
        <f t="shared" si="59"/>
        <v>13570127.022844402</v>
      </c>
      <c r="H249" s="604">
        <f t="shared" si="60"/>
        <v>68372.658190401169</v>
      </c>
      <c r="I249" s="784">
        <f t="shared" si="61"/>
        <v>27880.313257752659</v>
      </c>
      <c r="J249" s="785">
        <f t="shared" si="62"/>
        <v>40492.344932648513</v>
      </c>
      <c r="K249" s="72">
        <f t="shared" si="69"/>
        <v>105</v>
      </c>
      <c r="L249" s="784">
        <f t="shared" si="63"/>
        <v>35603307.617144942</v>
      </c>
      <c r="M249" s="604">
        <f t="shared" si="64"/>
        <v>200129.99292672705</v>
      </c>
      <c r="N249" s="784">
        <f t="shared" si="65"/>
        <v>106717.09996399474</v>
      </c>
      <c r="O249" s="785">
        <f t="shared" si="66"/>
        <v>93412.892962732294</v>
      </c>
      <c r="P249" s="11"/>
      <c r="Q249" s="11"/>
      <c r="R249" s="11"/>
      <c r="S249" s="11"/>
      <c r="T249" s="11"/>
    </row>
    <row r="250" spans="1:20" x14ac:dyDescent="0.25">
      <c r="A250" s="72">
        <f t="shared" si="67"/>
        <v>106</v>
      </c>
      <c r="B250" s="784">
        <f t="shared" si="55"/>
        <v>21980071.145299181</v>
      </c>
      <c r="C250" s="604">
        <f t="shared" si="56"/>
        <v>131757.33473632587</v>
      </c>
      <c r="D250" s="784">
        <f t="shared" si="57"/>
        <v>78647.885734968862</v>
      </c>
      <c r="E250" s="785">
        <f t="shared" si="58"/>
        <v>53109.449001357003</v>
      </c>
      <c r="F250" s="72">
        <f t="shared" si="68"/>
        <v>106</v>
      </c>
      <c r="G250" s="784">
        <f t="shared" si="59"/>
        <v>13529551.732438754</v>
      </c>
      <c r="H250" s="604">
        <f t="shared" si="60"/>
        <v>68372.658190401169</v>
      </c>
      <c r="I250" s="784">
        <f t="shared" si="61"/>
        <v>27797.367784754126</v>
      </c>
      <c r="J250" s="785">
        <f t="shared" si="62"/>
        <v>40575.290405647043</v>
      </c>
      <c r="K250" s="72">
        <f t="shared" si="69"/>
        <v>106</v>
      </c>
      <c r="L250" s="784">
        <f t="shared" si="63"/>
        <v>35509622.877737939</v>
      </c>
      <c r="M250" s="604">
        <f t="shared" si="64"/>
        <v>200129.99292672705</v>
      </c>
      <c r="N250" s="784">
        <f t="shared" si="65"/>
        <v>106445.25351972299</v>
      </c>
      <c r="O250" s="785">
        <f t="shared" si="66"/>
        <v>93684.739407004046</v>
      </c>
      <c r="P250" s="11"/>
      <c r="Q250" s="11"/>
      <c r="R250" s="11"/>
      <c r="S250" s="11"/>
      <c r="T250" s="11"/>
    </row>
    <row r="251" spans="1:20" x14ac:dyDescent="0.25">
      <c r="A251" s="72">
        <f t="shared" si="67"/>
        <v>107</v>
      </c>
      <c r="B251" s="784">
        <f t="shared" si="55"/>
        <v>21926772.121040698</v>
      </c>
      <c r="C251" s="604">
        <f t="shared" si="56"/>
        <v>131757.33473632587</v>
      </c>
      <c r="D251" s="784">
        <f t="shared" si="57"/>
        <v>78458.310477841151</v>
      </c>
      <c r="E251" s="785">
        <f t="shared" si="58"/>
        <v>53299.024258484715</v>
      </c>
      <c r="F251" s="72">
        <f t="shared" si="68"/>
        <v>107</v>
      </c>
      <c r="G251" s="784">
        <f t="shared" si="59"/>
        <v>13488893.326652648</v>
      </c>
      <c r="H251" s="604">
        <f t="shared" si="60"/>
        <v>68372.658190401169</v>
      </c>
      <c r="I251" s="784">
        <f t="shared" si="61"/>
        <v>27714.25240429525</v>
      </c>
      <c r="J251" s="785">
        <f t="shared" si="62"/>
        <v>40658.405786105919</v>
      </c>
      <c r="K251" s="72">
        <f t="shared" si="69"/>
        <v>107</v>
      </c>
      <c r="L251" s="784">
        <f t="shared" si="63"/>
        <v>35415665.447693348</v>
      </c>
      <c r="M251" s="604">
        <f t="shared" si="64"/>
        <v>200129.99292672705</v>
      </c>
      <c r="N251" s="784">
        <f t="shared" si="65"/>
        <v>106172.56288213641</v>
      </c>
      <c r="O251" s="785">
        <f t="shared" si="66"/>
        <v>93957.430044590641</v>
      </c>
      <c r="P251" s="11"/>
      <c r="Q251" s="11"/>
      <c r="R251" s="11"/>
      <c r="S251" s="11"/>
      <c r="T251" s="11"/>
    </row>
    <row r="252" spans="1:20" x14ac:dyDescent="0.25">
      <c r="A252" s="72">
        <f t="shared" si="67"/>
        <v>108</v>
      </c>
      <c r="B252" s="784">
        <f t="shared" si="55"/>
        <v>21873282.844832353</v>
      </c>
      <c r="C252" s="604">
        <f t="shared" si="56"/>
        <v>131757.33473632587</v>
      </c>
      <c r="D252" s="784">
        <f t="shared" si="57"/>
        <v>78268.058527981906</v>
      </c>
      <c r="E252" s="785">
        <f t="shared" si="58"/>
        <v>53489.276208343959</v>
      </c>
      <c r="F252" s="72">
        <f t="shared" si="68"/>
        <v>108</v>
      </c>
      <c r="G252" s="784">
        <f t="shared" si="59"/>
        <v>13448151.63523058</v>
      </c>
      <c r="H252" s="604">
        <f t="shared" si="60"/>
        <v>68372.658190401169</v>
      </c>
      <c r="I252" s="784">
        <f t="shared" si="61"/>
        <v>27630.966768333587</v>
      </c>
      <c r="J252" s="785">
        <f t="shared" si="62"/>
        <v>40741.691422067583</v>
      </c>
      <c r="K252" s="72">
        <f t="shared" si="69"/>
        <v>108</v>
      </c>
      <c r="L252" s="784">
        <f t="shared" si="63"/>
        <v>35321434.480062932</v>
      </c>
      <c r="M252" s="604">
        <f t="shared" si="64"/>
        <v>200129.99292672705</v>
      </c>
      <c r="N252" s="784">
        <f t="shared" si="65"/>
        <v>105899.02529631549</v>
      </c>
      <c r="O252" s="785">
        <f t="shared" si="66"/>
        <v>94230.967630411542</v>
      </c>
      <c r="P252" s="11"/>
      <c r="Q252" s="11"/>
      <c r="R252" s="11"/>
      <c r="S252" s="11"/>
      <c r="T252" s="11"/>
    </row>
    <row r="253" spans="1:20" x14ac:dyDescent="0.25">
      <c r="A253" s="72">
        <f t="shared" si="67"/>
        <v>109</v>
      </c>
      <c r="B253" s="784">
        <f t="shared" si="55"/>
        <v>21819602.637565952</v>
      </c>
      <c r="C253" s="604">
        <f t="shared" si="56"/>
        <v>131757.33473632587</v>
      </c>
      <c r="D253" s="784">
        <f t="shared" si="57"/>
        <v>78077.127469922663</v>
      </c>
      <c r="E253" s="785">
        <f t="shared" si="58"/>
        <v>53680.207266403202</v>
      </c>
      <c r="F253" s="72">
        <f t="shared" si="68"/>
        <v>109</v>
      </c>
      <c r="G253" s="784">
        <f t="shared" si="59"/>
        <v>13407326.487568293</v>
      </c>
      <c r="H253" s="604">
        <f t="shared" si="60"/>
        <v>68372.658190401169</v>
      </c>
      <c r="I253" s="784">
        <f t="shared" si="61"/>
        <v>27547.510528113751</v>
      </c>
      <c r="J253" s="785">
        <f t="shared" si="62"/>
        <v>40825.147662287418</v>
      </c>
      <c r="K253" s="72">
        <f t="shared" si="69"/>
        <v>109</v>
      </c>
      <c r="L253" s="784">
        <f t="shared" si="63"/>
        <v>35226929.125134245</v>
      </c>
      <c r="M253" s="604">
        <f t="shared" si="64"/>
        <v>200129.99292672705</v>
      </c>
      <c r="N253" s="784">
        <f t="shared" si="65"/>
        <v>105624.63799803641</v>
      </c>
      <c r="O253" s="785">
        <f t="shared" si="66"/>
        <v>94505.35492869062</v>
      </c>
      <c r="P253" s="11"/>
      <c r="Q253" s="11"/>
      <c r="R253" s="11"/>
      <c r="S253" s="11"/>
      <c r="T253" s="11"/>
    </row>
    <row r="254" spans="1:20" x14ac:dyDescent="0.25">
      <c r="A254" s="72">
        <f t="shared" si="67"/>
        <v>110</v>
      </c>
      <c r="B254" s="784">
        <f t="shared" si="55"/>
        <v>21765730.8177092</v>
      </c>
      <c r="C254" s="604">
        <f t="shared" si="56"/>
        <v>131757.33473632587</v>
      </c>
      <c r="D254" s="784">
        <f t="shared" si="57"/>
        <v>77885.514879572933</v>
      </c>
      <c r="E254" s="785">
        <f t="shared" si="58"/>
        <v>53871.819856752933</v>
      </c>
      <c r="F254" s="72">
        <f t="shared" si="68"/>
        <v>110</v>
      </c>
      <c r="G254" s="784">
        <f t="shared" si="59"/>
        <v>13366417.712712057</v>
      </c>
      <c r="H254" s="604">
        <f t="shared" si="60"/>
        <v>68372.658190401169</v>
      </c>
      <c r="I254" s="784">
        <f t="shared" si="61"/>
        <v>27463.883334165963</v>
      </c>
      <c r="J254" s="785">
        <f t="shared" si="62"/>
        <v>40908.774856235206</v>
      </c>
      <c r="K254" s="72">
        <f t="shared" si="69"/>
        <v>110</v>
      </c>
      <c r="L254" s="784">
        <f t="shared" si="63"/>
        <v>35132148.530421257</v>
      </c>
      <c r="M254" s="604">
        <f t="shared" si="64"/>
        <v>200129.99292672705</v>
      </c>
      <c r="N254" s="784">
        <f t="shared" si="65"/>
        <v>105349.3982137389</v>
      </c>
      <c r="O254" s="785">
        <f t="shared" si="66"/>
        <v>94780.594712988139</v>
      </c>
      <c r="P254" s="11"/>
      <c r="Q254" s="11"/>
      <c r="R254" s="11"/>
      <c r="S254" s="11"/>
      <c r="T254" s="11"/>
    </row>
    <row r="255" spans="1:20" x14ac:dyDescent="0.25">
      <c r="A255" s="72">
        <f t="shared" si="67"/>
        <v>111</v>
      </c>
      <c r="B255" s="784">
        <f t="shared" si="55"/>
        <v>21711666.701297063</v>
      </c>
      <c r="C255" s="604">
        <f t="shared" si="56"/>
        <v>131757.33473632587</v>
      </c>
      <c r="D255" s="784">
        <f t="shared" si="57"/>
        <v>77693.218324189336</v>
      </c>
      <c r="E255" s="785">
        <f t="shared" si="58"/>
        <v>54064.116412136529</v>
      </c>
      <c r="F255" s="72">
        <f t="shared" si="68"/>
        <v>111</v>
      </c>
      <c r="G255" s="784">
        <f t="shared" si="59"/>
        <v>13325425.13935796</v>
      </c>
      <c r="H255" s="604">
        <f t="shared" si="60"/>
        <v>68372.658190401169</v>
      </c>
      <c r="I255" s="784">
        <f t="shared" si="61"/>
        <v>27380.084836304584</v>
      </c>
      <c r="J255" s="785">
        <f t="shared" si="62"/>
        <v>40992.573354096588</v>
      </c>
      <c r="K255" s="72">
        <f t="shared" si="69"/>
        <v>111</v>
      </c>
      <c r="L255" s="784">
        <f t="shared" si="63"/>
        <v>35037091.840655021</v>
      </c>
      <c r="M255" s="604">
        <f t="shared" si="64"/>
        <v>200129.99292672705</v>
      </c>
      <c r="N255" s="784">
        <f t="shared" si="65"/>
        <v>105073.30316049392</v>
      </c>
      <c r="O255" s="785">
        <f t="shared" si="66"/>
        <v>95056.689766233118</v>
      </c>
      <c r="P255" s="11"/>
      <c r="Q255" s="11"/>
      <c r="R255" s="11"/>
      <c r="S255" s="11"/>
      <c r="T255" s="11"/>
    </row>
    <row r="256" spans="1:20" x14ac:dyDescent="0.25">
      <c r="A256" s="72">
        <f t="shared" si="67"/>
        <v>112</v>
      </c>
      <c r="B256" s="784">
        <f t="shared" si="55"/>
        <v>21657409.601923082</v>
      </c>
      <c r="C256" s="604">
        <f t="shared" si="56"/>
        <v>131757.33473632587</v>
      </c>
      <c r="D256" s="784">
        <f t="shared" si="57"/>
        <v>77500.2353623448</v>
      </c>
      <c r="E256" s="785">
        <f t="shared" si="58"/>
        <v>54257.099373981066</v>
      </c>
      <c r="F256" s="72">
        <f t="shared" si="68"/>
        <v>112</v>
      </c>
      <c r="G256" s="784">
        <f t="shared" si="59"/>
        <v>13284348.595851185</v>
      </c>
      <c r="H256" s="604">
        <f t="shared" si="60"/>
        <v>68372.658190401169</v>
      </c>
      <c r="I256" s="784">
        <f t="shared" si="61"/>
        <v>27296.114683626638</v>
      </c>
      <c r="J256" s="785">
        <f t="shared" si="62"/>
        <v>41076.543506774527</v>
      </c>
      <c r="K256" s="72">
        <f t="shared" si="69"/>
        <v>112</v>
      </c>
      <c r="L256" s="784">
        <f t="shared" si="63"/>
        <v>34941758.197774269</v>
      </c>
      <c r="M256" s="604">
        <f t="shared" si="64"/>
        <v>200129.99292672705</v>
      </c>
      <c r="N256" s="784">
        <f t="shared" si="65"/>
        <v>104796.35004597144</v>
      </c>
      <c r="O256" s="785">
        <f t="shared" si="66"/>
        <v>95333.642880755593</v>
      </c>
      <c r="P256" s="11"/>
      <c r="Q256" s="11"/>
      <c r="R256" s="11"/>
      <c r="S256" s="11"/>
      <c r="T256" s="11"/>
    </row>
    <row r="257" spans="1:20" x14ac:dyDescent="0.25">
      <c r="A257" s="72">
        <f t="shared" si="67"/>
        <v>113</v>
      </c>
      <c r="B257" s="784">
        <f t="shared" si="55"/>
        <v>21602958.830730654</v>
      </c>
      <c r="C257" s="604">
        <f t="shared" si="56"/>
        <v>131757.33473632587</v>
      </c>
      <c r="D257" s="784">
        <f t="shared" si="57"/>
        <v>77306.5635438975</v>
      </c>
      <c r="E257" s="785">
        <f t="shared" si="58"/>
        <v>54450.771192428365</v>
      </c>
      <c r="F257" s="72">
        <f t="shared" si="68"/>
        <v>113</v>
      </c>
      <c r="G257" s="784">
        <f t="shared" si="59"/>
        <v>13243187.910185294</v>
      </c>
      <c r="H257" s="604">
        <f t="shared" si="60"/>
        <v>68372.658190401169</v>
      </c>
      <c r="I257" s="784">
        <f t="shared" si="61"/>
        <v>27211.972524510362</v>
      </c>
      <c r="J257" s="785">
        <f t="shared" si="62"/>
        <v>41160.685665890807</v>
      </c>
      <c r="K257" s="72">
        <f t="shared" si="69"/>
        <v>113</v>
      </c>
      <c r="L257" s="784">
        <f t="shared" si="63"/>
        <v>34846146.740915947</v>
      </c>
      <c r="M257" s="604">
        <f t="shared" si="64"/>
        <v>200129.99292672705</v>
      </c>
      <c r="N257" s="784">
        <f t="shared" si="65"/>
        <v>104518.53606840786</v>
      </c>
      <c r="O257" s="785">
        <f t="shared" si="66"/>
        <v>95611.456858319172</v>
      </c>
      <c r="P257" s="11"/>
      <c r="Q257" s="11"/>
      <c r="R257" s="11"/>
      <c r="S257" s="11"/>
      <c r="T257" s="11"/>
    </row>
    <row r="258" spans="1:20" x14ac:dyDescent="0.25">
      <c r="A258" s="72">
        <f t="shared" si="67"/>
        <v>114</v>
      </c>
      <c r="B258" s="784">
        <f t="shared" si="55"/>
        <v>21548313.696404289</v>
      </c>
      <c r="C258" s="604">
        <f t="shared" si="56"/>
        <v>131757.33473632587</v>
      </c>
      <c r="D258" s="784">
        <f t="shared" si="57"/>
        <v>77112.200409959827</v>
      </c>
      <c r="E258" s="785">
        <f t="shared" si="58"/>
        <v>54645.134326366038</v>
      </c>
      <c r="F258" s="72">
        <f t="shared" si="68"/>
        <v>114</v>
      </c>
      <c r="G258" s="784">
        <f t="shared" si="59"/>
        <v>13201942.910001507</v>
      </c>
      <c r="H258" s="604">
        <f t="shared" si="60"/>
        <v>68372.658190401169</v>
      </c>
      <c r="I258" s="784">
        <f t="shared" si="61"/>
        <v>27127.65800661371</v>
      </c>
      <c r="J258" s="785">
        <f t="shared" si="62"/>
        <v>41245.000183787459</v>
      </c>
      <c r="K258" s="72">
        <f t="shared" si="69"/>
        <v>114</v>
      </c>
      <c r="L258" s="784">
        <f t="shared" si="63"/>
        <v>34750256.606405795</v>
      </c>
      <c r="M258" s="604">
        <f t="shared" si="64"/>
        <v>200129.99292672705</v>
      </c>
      <c r="N258" s="784">
        <f t="shared" si="65"/>
        <v>104239.85841657354</v>
      </c>
      <c r="O258" s="785">
        <f t="shared" si="66"/>
        <v>95890.134510153497</v>
      </c>
      <c r="P258" s="11"/>
      <c r="Q258" s="11"/>
      <c r="R258" s="11"/>
      <c r="S258" s="11"/>
      <c r="T258" s="11"/>
    </row>
    <row r="259" spans="1:20" x14ac:dyDescent="0.25">
      <c r="A259" s="72">
        <f t="shared" si="67"/>
        <v>115</v>
      </c>
      <c r="B259" s="784">
        <f t="shared" si="55"/>
        <v>21493473.505160831</v>
      </c>
      <c r="C259" s="604">
        <f t="shared" si="56"/>
        <v>131757.33473632587</v>
      </c>
      <c r="D259" s="784">
        <f t="shared" si="57"/>
        <v>76917.143492867079</v>
      </c>
      <c r="E259" s="785">
        <f t="shared" si="58"/>
        <v>54840.191243458787</v>
      </c>
      <c r="F259" s="72">
        <f t="shared" si="68"/>
        <v>115</v>
      </c>
      <c r="G259" s="784">
        <f t="shared" si="59"/>
        <v>13160613.42258798</v>
      </c>
      <c r="H259" s="604">
        <f t="shared" si="60"/>
        <v>68372.658190401169</v>
      </c>
      <c r="I259" s="784">
        <f t="shared" si="61"/>
        <v>27043.170776872903</v>
      </c>
      <c r="J259" s="785">
        <f t="shared" si="62"/>
        <v>41329.487413528266</v>
      </c>
      <c r="K259" s="72">
        <f t="shared" si="69"/>
        <v>115</v>
      </c>
      <c r="L259" s="784">
        <f t="shared" si="63"/>
        <v>34654086.927748814</v>
      </c>
      <c r="M259" s="604">
        <f t="shared" si="64"/>
        <v>200129.99292672705</v>
      </c>
      <c r="N259" s="784">
        <f t="shared" si="65"/>
        <v>103960.31426973999</v>
      </c>
      <c r="O259" s="785">
        <f t="shared" si="66"/>
        <v>96169.67865698706</v>
      </c>
      <c r="P259" s="11"/>
      <c r="Q259" s="11"/>
      <c r="R259" s="11"/>
      <c r="S259" s="11"/>
      <c r="T259" s="11"/>
    </row>
    <row r="260" spans="1:20" x14ac:dyDescent="0.25">
      <c r="A260" s="72">
        <f t="shared" si="67"/>
        <v>116</v>
      </c>
      <c r="B260" s="784">
        <f t="shared" si="55"/>
        <v>21438437.56074065</v>
      </c>
      <c r="C260" s="604">
        <f t="shared" si="56"/>
        <v>131757.33473632587</v>
      </c>
      <c r="D260" s="784">
        <f t="shared" si="57"/>
        <v>76721.390316146193</v>
      </c>
      <c r="E260" s="785">
        <f t="shared" si="58"/>
        <v>55035.944420179672</v>
      </c>
      <c r="F260" s="72">
        <f t="shared" si="68"/>
        <v>116</v>
      </c>
      <c r="G260" s="784">
        <f t="shared" si="59"/>
        <v>13119199.274879079</v>
      </c>
      <c r="H260" s="604">
        <f t="shared" si="60"/>
        <v>68372.658190401169</v>
      </c>
      <c r="I260" s="784">
        <f t="shared" si="61"/>
        <v>26958.510481500933</v>
      </c>
      <c r="J260" s="785">
        <f t="shared" si="62"/>
        <v>41414.147708900236</v>
      </c>
      <c r="K260" s="72">
        <f t="shared" si="69"/>
        <v>116</v>
      </c>
      <c r="L260" s="784">
        <f t="shared" si="63"/>
        <v>34557636.835619733</v>
      </c>
      <c r="M260" s="604">
        <f t="shared" si="64"/>
        <v>200129.99292672705</v>
      </c>
      <c r="N260" s="784">
        <f t="shared" si="65"/>
        <v>103679.90079764713</v>
      </c>
      <c r="O260" s="785">
        <f t="shared" si="66"/>
        <v>96450.092129079916</v>
      </c>
      <c r="P260" s="11"/>
      <c r="Q260" s="11"/>
      <c r="R260" s="11"/>
      <c r="S260" s="11"/>
      <c r="T260" s="11"/>
    </row>
    <row r="261" spans="1:20" x14ac:dyDescent="0.25">
      <c r="A261" s="72">
        <f t="shared" si="67"/>
        <v>117</v>
      </c>
      <c r="B261" s="784">
        <f t="shared" si="55"/>
        <v>21383205.164398808</v>
      </c>
      <c r="C261" s="604">
        <f t="shared" si="56"/>
        <v>131757.33473632587</v>
      </c>
      <c r="D261" s="784">
        <f t="shared" si="57"/>
        <v>76524.93839448427</v>
      </c>
      <c r="E261" s="785">
        <f t="shared" si="58"/>
        <v>55232.396341841595</v>
      </c>
      <c r="F261" s="72">
        <f t="shared" si="68"/>
        <v>117</v>
      </c>
      <c r="G261" s="784">
        <f t="shared" si="59"/>
        <v>13077700.293454664</v>
      </c>
      <c r="H261" s="604">
        <f t="shared" si="60"/>
        <v>68372.658190401169</v>
      </c>
      <c r="I261" s="784">
        <f t="shared" si="61"/>
        <v>26873.676765986078</v>
      </c>
      <c r="J261" s="785">
        <f t="shared" si="62"/>
        <v>41498.981424415091</v>
      </c>
      <c r="K261" s="72">
        <f t="shared" si="69"/>
        <v>117</v>
      </c>
      <c r="L261" s="784">
        <f t="shared" si="63"/>
        <v>34460905.457853474</v>
      </c>
      <c r="M261" s="604">
        <f t="shared" si="64"/>
        <v>200129.99292672705</v>
      </c>
      <c r="N261" s="784">
        <f t="shared" si="65"/>
        <v>103398.61516047035</v>
      </c>
      <c r="O261" s="785">
        <f t="shared" si="66"/>
        <v>96731.377766256686</v>
      </c>
      <c r="P261" s="11"/>
      <c r="Q261" s="11"/>
      <c r="R261" s="11"/>
      <c r="S261" s="11"/>
      <c r="T261" s="11"/>
    </row>
    <row r="262" spans="1:20" x14ac:dyDescent="0.25">
      <c r="A262" s="72">
        <f t="shared" si="67"/>
        <v>118</v>
      </c>
      <c r="B262" s="784">
        <f t="shared" si="55"/>
        <v>21327775.614896178</v>
      </c>
      <c r="C262" s="604">
        <f t="shared" si="56"/>
        <v>131757.33473632587</v>
      </c>
      <c r="D262" s="784">
        <f t="shared" si="57"/>
        <v>76327.785233697068</v>
      </c>
      <c r="E262" s="785">
        <f t="shared" si="58"/>
        <v>55429.549502628797</v>
      </c>
      <c r="F262" s="72">
        <f t="shared" si="68"/>
        <v>118</v>
      </c>
      <c r="G262" s="784">
        <f t="shared" si="59"/>
        <v>13036116.304539353</v>
      </c>
      <c r="H262" s="604">
        <f t="shared" si="60"/>
        <v>68372.658190401169</v>
      </c>
      <c r="I262" s="784">
        <f t="shared" si="61"/>
        <v>26788.669275090433</v>
      </c>
      <c r="J262" s="785">
        <f t="shared" si="62"/>
        <v>41583.988915310736</v>
      </c>
      <c r="K262" s="72">
        <f t="shared" si="69"/>
        <v>118</v>
      </c>
      <c r="L262" s="784">
        <f t="shared" si="63"/>
        <v>34363891.919435531</v>
      </c>
      <c r="M262" s="604">
        <f t="shared" si="64"/>
        <v>200129.99292672705</v>
      </c>
      <c r="N262" s="784">
        <f t="shared" si="65"/>
        <v>103116.4545087875</v>
      </c>
      <c r="O262" s="785">
        <f t="shared" si="66"/>
        <v>97013.538417939533</v>
      </c>
      <c r="P262" s="11"/>
      <c r="Q262" s="11"/>
      <c r="R262" s="11"/>
      <c r="S262" s="11"/>
      <c r="T262" s="11"/>
    </row>
    <row r="263" spans="1:20" x14ac:dyDescent="0.25">
      <c r="A263" s="72">
        <f t="shared" si="67"/>
        <v>119</v>
      </c>
      <c r="B263" s="784">
        <f t="shared" si="55"/>
        <v>21272148.208490551</v>
      </c>
      <c r="C263" s="604">
        <f t="shared" si="56"/>
        <v>131757.33473632587</v>
      </c>
      <c r="D263" s="784">
        <f t="shared" si="57"/>
        <v>76129.928330697265</v>
      </c>
      <c r="E263" s="785">
        <f t="shared" si="58"/>
        <v>55627.406405628601</v>
      </c>
      <c r="F263" s="72">
        <f t="shared" si="68"/>
        <v>119</v>
      </c>
      <c r="G263" s="784">
        <f t="shared" si="59"/>
        <v>12994447.134001801</v>
      </c>
      <c r="H263" s="604">
        <f t="shared" si="60"/>
        <v>68372.658190401169</v>
      </c>
      <c r="I263" s="784">
        <f t="shared" si="61"/>
        <v>26703.487652848424</v>
      </c>
      <c r="J263" s="785">
        <f t="shared" si="62"/>
        <v>41669.170537552745</v>
      </c>
      <c r="K263" s="72">
        <f t="shared" si="69"/>
        <v>119</v>
      </c>
      <c r="L263" s="784">
        <f t="shared" si="63"/>
        <v>34266595.342492349</v>
      </c>
      <c r="M263" s="604">
        <f t="shared" si="64"/>
        <v>200129.99292672705</v>
      </c>
      <c r="N263" s="784">
        <f t="shared" si="65"/>
        <v>102833.41598354568</v>
      </c>
      <c r="O263" s="785">
        <f t="shared" si="66"/>
        <v>97296.576943181339</v>
      </c>
      <c r="P263" s="11"/>
      <c r="Q263" s="11"/>
      <c r="R263" s="11"/>
      <c r="S263" s="11"/>
      <c r="T263" s="11"/>
    </row>
    <row r="264" spans="1:20" x14ac:dyDescent="0.25">
      <c r="A264" s="72">
        <f t="shared" si="67"/>
        <v>120</v>
      </c>
      <c r="B264" s="784">
        <f t="shared" si="55"/>
        <v>21216322.238927688</v>
      </c>
      <c r="C264" s="604">
        <f t="shared" si="56"/>
        <v>131757.33473632587</v>
      </c>
      <c r="D264" s="784">
        <f t="shared" si="57"/>
        <v>75931.365173462749</v>
      </c>
      <c r="E264" s="785">
        <f t="shared" si="58"/>
        <v>55825.969562863116</v>
      </c>
      <c r="F264" s="72">
        <f t="shared" si="68"/>
        <v>120</v>
      </c>
      <c r="G264" s="784">
        <f t="shared" si="59"/>
        <v>12952692.607353965</v>
      </c>
      <c r="H264" s="604">
        <f t="shared" si="60"/>
        <v>68372.658190401169</v>
      </c>
      <c r="I264" s="784">
        <f t="shared" si="61"/>
        <v>26618.131542565294</v>
      </c>
      <c r="J264" s="785">
        <f t="shared" si="62"/>
        <v>41754.526647835875</v>
      </c>
      <c r="K264" s="72">
        <f t="shared" si="69"/>
        <v>120</v>
      </c>
      <c r="L264" s="784">
        <f t="shared" si="63"/>
        <v>34169014.846281655</v>
      </c>
      <c r="M264" s="604">
        <f t="shared" si="64"/>
        <v>200129.99292672705</v>
      </c>
      <c r="N264" s="784">
        <f t="shared" si="65"/>
        <v>102549.49671602805</v>
      </c>
      <c r="O264" s="785">
        <f t="shared" si="66"/>
        <v>97580.496210698999</v>
      </c>
      <c r="P264" s="11"/>
      <c r="Q264" s="11"/>
      <c r="R264" s="11"/>
      <c r="S264" s="11"/>
      <c r="T264" s="11"/>
    </row>
    <row r="265" spans="1:20" x14ac:dyDescent="0.25">
      <c r="A265" s="72">
        <f t="shared" si="67"/>
        <v>121</v>
      </c>
      <c r="B265" s="784">
        <f t="shared" si="55"/>
        <v>21160296.997432366</v>
      </c>
      <c r="C265" s="604">
        <f t="shared" si="56"/>
        <v>131757.33473632587</v>
      </c>
      <c r="D265" s="784">
        <f t="shared" si="57"/>
        <v>75732.093241004695</v>
      </c>
      <c r="E265" s="785">
        <f t="shared" si="58"/>
        <v>56025.24149532117</v>
      </c>
      <c r="F265" s="72">
        <f t="shared" si="68"/>
        <v>121</v>
      </c>
      <c r="G265" s="784">
        <f t="shared" si="59"/>
        <v>12910852.54975038</v>
      </c>
      <c r="H265" s="604">
        <f t="shared" si="60"/>
        <v>68372.658190401169</v>
      </c>
      <c r="I265" s="784">
        <f t="shared" si="61"/>
        <v>26532.600586815632</v>
      </c>
      <c r="J265" s="785">
        <f t="shared" si="62"/>
        <v>41840.057603585534</v>
      </c>
      <c r="K265" s="72">
        <f t="shared" si="69"/>
        <v>121</v>
      </c>
      <c r="L265" s="784">
        <f t="shared" si="63"/>
        <v>34071149.547182746</v>
      </c>
      <c r="M265" s="604">
        <f t="shared" si="64"/>
        <v>200129.99292672705</v>
      </c>
      <c r="N265" s="784">
        <f t="shared" si="65"/>
        <v>102264.69382782033</v>
      </c>
      <c r="O265" s="785">
        <f t="shared" si="66"/>
        <v>97865.299098906704</v>
      </c>
      <c r="P265" s="11"/>
      <c r="Q265" s="11"/>
      <c r="R265" s="11"/>
      <c r="S265" s="11"/>
      <c r="T265" s="11"/>
    </row>
    <row r="266" spans="1:20" x14ac:dyDescent="0.25">
      <c r="A266" s="72">
        <f t="shared" si="67"/>
        <v>122</v>
      </c>
      <c r="B266" s="784">
        <f t="shared" si="55"/>
        <v>21104071.772699375</v>
      </c>
      <c r="C266" s="604">
        <f t="shared" si="56"/>
        <v>131757.33473632587</v>
      </c>
      <c r="D266" s="784">
        <f t="shared" si="57"/>
        <v>75532.110003335503</v>
      </c>
      <c r="E266" s="785">
        <f t="shared" si="58"/>
        <v>56225.224732990362</v>
      </c>
      <c r="F266" s="72">
        <f t="shared" si="68"/>
        <v>122</v>
      </c>
      <c r="G266" s="784">
        <f t="shared" si="59"/>
        <v>12868926.78598742</v>
      </c>
      <c r="H266" s="604">
        <f t="shared" si="60"/>
        <v>68372.658190401169</v>
      </c>
      <c r="I266" s="784">
        <f t="shared" si="61"/>
        <v>26446.894427441865</v>
      </c>
      <c r="J266" s="785">
        <f t="shared" si="62"/>
        <v>41925.763762959308</v>
      </c>
      <c r="K266" s="72">
        <f t="shared" si="69"/>
        <v>122</v>
      </c>
      <c r="L266" s="784">
        <f t="shared" si="63"/>
        <v>33972998.558686793</v>
      </c>
      <c r="M266" s="604">
        <f t="shared" si="64"/>
        <v>200129.99292672705</v>
      </c>
      <c r="N266" s="784">
        <f t="shared" si="65"/>
        <v>101979.00443077736</v>
      </c>
      <c r="O266" s="785">
        <f t="shared" si="66"/>
        <v>98150.98849594967</v>
      </c>
      <c r="P266" s="11"/>
      <c r="Q266" s="11"/>
      <c r="R266" s="11"/>
      <c r="S266" s="11"/>
      <c r="T266" s="11"/>
    </row>
    <row r="267" spans="1:20" x14ac:dyDescent="0.25">
      <c r="A267" s="72">
        <f t="shared" si="67"/>
        <v>123</v>
      </c>
      <c r="B267" s="784">
        <f t="shared" si="55"/>
        <v>21047645.850884486</v>
      </c>
      <c r="C267" s="604">
        <f t="shared" si="56"/>
        <v>131757.33473632587</v>
      </c>
      <c r="D267" s="784">
        <f t="shared" si="57"/>
        <v>75331.4129214368</v>
      </c>
      <c r="E267" s="785">
        <f t="shared" si="58"/>
        <v>56425.921814889065</v>
      </c>
      <c r="F267" s="72">
        <f t="shared" si="68"/>
        <v>123</v>
      </c>
      <c r="G267" s="784">
        <f t="shared" si="59"/>
        <v>12826915.140502572</v>
      </c>
      <c r="H267" s="604">
        <f t="shared" si="60"/>
        <v>68372.658190401169</v>
      </c>
      <c r="I267" s="784">
        <f t="shared" si="61"/>
        <v>26361.012705552763</v>
      </c>
      <c r="J267" s="785">
        <f t="shared" si="62"/>
        <v>42011.645484848406</v>
      </c>
      <c r="K267" s="72">
        <f t="shared" si="69"/>
        <v>123</v>
      </c>
      <c r="L267" s="784">
        <f t="shared" si="63"/>
        <v>33874560.991387054</v>
      </c>
      <c r="M267" s="604">
        <f t="shared" si="64"/>
        <v>200129.99292672705</v>
      </c>
      <c r="N267" s="784">
        <f t="shared" si="65"/>
        <v>101692.42562698957</v>
      </c>
      <c r="O267" s="785">
        <f t="shared" si="66"/>
        <v>98437.567299737479</v>
      </c>
      <c r="P267" s="11"/>
      <c r="Q267" s="11"/>
      <c r="R267" s="11"/>
      <c r="S267" s="11"/>
      <c r="T267" s="11"/>
    </row>
    <row r="268" spans="1:20" x14ac:dyDescent="0.25">
      <c r="A268" s="72">
        <f t="shared" si="67"/>
        <v>124</v>
      </c>
      <c r="B268" s="784">
        <f t="shared" si="55"/>
        <v>20991018.515595388</v>
      </c>
      <c r="C268" s="604">
        <f t="shared" si="56"/>
        <v>131757.33473632587</v>
      </c>
      <c r="D268" s="784">
        <f t="shared" si="57"/>
        <v>75129.999447227106</v>
      </c>
      <c r="E268" s="785">
        <f t="shared" si="58"/>
        <v>56627.335289098759</v>
      </c>
      <c r="F268" s="72">
        <f t="shared" si="68"/>
        <v>124</v>
      </c>
      <c r="G268" s="784">
        <f t="shared" si="59"/>
        <v>12784817.437373692</v>
      </c>
      <c r="H268" s="604">
        <f t="shared" si="60"/>
        <v>68372.658190401169</v>
      </c>
      <c r="I268" s="784">
        <f t="shared" si="61"/>
        <v>26274.955061521938</v>
      </c>
      <c r="J268" s="785">
        <f t="shared" si="62"/>
        <v>42097.703128879235</v>
      </c>
      <c r="K268" s="72">
        <f t="shared" si="69"/>
        <v>124</v>
      </c>
      <c r="L268" s="784">
        <f t="shared" si="63"/>
        <v>33775835.952969082</v>
      </c>
      <c r="M268" s="604">
        <f t="shared" si="64"/>
        <v>200129.99292672705</v>
      </c>
      <c r="N268" s="784">
        <f t="shared" si="65"/>
        <v>101404.95450874904</v>
      </c>
      <c r="O268" s="785">
        <f t="shared" si="66"/>
        <v>98725.038417977994</v>
      </c>
      <c r="P268" s="11"/>
      <c r="Q268" s="11"/>
      <c r="R268" s="11"/>
      <c r="S268" s="11"/>
      <c r="T268" s="11"/>
    </row>
    <row r="269" spans="1:20" x14ac:dyDescent="0.25">
      <c r="A269" s="72">
        <f t="shared" si="67"/>
        <v>125</v>
      </c>
      <c r="B269" s="784">
        <f t="shared" si="55"/>
        <v>20934189.04788259</v>
      </c>
      <c r="C269" s="604">
        <f t="shared" si="56"/>
        <v>131757.33473632587</v>
      </c>
      <c r="D269" s="784">
        <f t="shared" si="57"/>
        <v>74927.867023529514</v>
      </c>
      <c r="E269" s="785">
        <f t="shared" si="58"/>
        <v>56829.467712796351</v>
      </c>
      <c r="F269" s="72">
        <f t="shared" si="68"/>
        <v>125</v>
      </c>
      <c r="G269" s="784">
        <f t="shared" si="59"/>
        <v>12742633.500318278</v>
      </c>
      <c r="H269" s="604">
        <f t="shared" si="60"/>
        <v>68372.658190401169</v>
      </c>
      <c r="I269" s="784">
        <f t="shared" si="61"/>
        <v>26188.721134986328</v>
      </c>
      <c r="J269" s="785">
        <f t="shared" si="62"/>
        <v>42183.937055414841</v>
      </c>
      <c r="K269" s="72">
        <f t="shared" si="69"/>
        <v>125</v>
      </c>
      <c r="L269" s="784">
        <f t="shared" si="63"/>
        <v>33676822.548200868</v>
      </c>
      <c r="M269" s="604">
        <f t="shared" si="64"/>
        <v>200129.99292672705</v>
      </c>
      <c r="N269" s="784">
        <f t="shared" si="65"/>
        <v>101116.58815851583</v>
      </c>
      <c r="O269" s="785">
        <f t="shared" si="66"/>
        <v>99013.404768211185</v>
      </c>
      <c r="P269" s="11"/>
      <c r="Q269" s="11"/>
      <c r="R269" s="11"/>
      <c r="S269" s="11"/>
      <c r="T269" s="11"/>
    </row>
    <row r="270" spans="1:20" x14ac:dyDescent="0.25">
      <c r="A270" s="72">
        <f t="shared" si="67"/>
        <v>126</v>
      </c>
      <c r="B270" s="784">
        <f t="shared" si="55"/>
        <v>20877156.726230305</v>
      </c>
      <c r="C270" s="604">
        <f t="shared" si="56"/>
        <v>131757.33473632587</v>
      </c>
      <c r="D270" s="784">
        <f t="shared" si="57"/>
        <v>74725.013084039208</v>
      </c>
      <c r="E270" s="785">
        <f t="shared" si="58"/>
        <v>57032.321652286657</v>
      </c>
      <c r="F270" s="72">
        <f t="shared" si="68"/>
        <v>126</v>
      </c>
      <c r="G270" s="784">
        <f t="shared" si="59"/>
        <v>12700363.15269272</v>
      </c>
      <c r="H270" s="604">
        <f t="shared" si="60"/>
        <v>68372.658190401169</v>
      </c>
      <c r="I270" s="784">
        <f t="shared" si="61"/>
        <v>26102.310564844702</v>
      </c>
      <c r="J270" s="785">
        <f t="shared" si="62"/>
        <v>42270.347625556467</v>
      </c>
      <c r="K270" s="72">
        <f t="shared" si="69"/>
        <v>126</v>
      </c>
      <c r="L270" s="784">
        <f t="shared" si="63"/>
        <v>33577519.878923029</v>
      </c>
      <c r="M270" s="604">
        <f t="shared" si="64"/>
        <v>200129.99292672705</v>
      </c>
      <c r="N270" s="784">
        <f t="shared" si="65"/>
        <v>100827.3236488839</v>
      </c>
      <c r="O270" s="785">
        <f t="shared" si="66"/>
        <v>99302.669277843117</v>
      </c>
      <c r="P270" s="11"/>
      <c r="Q270" s="11"/>
      <c r="R270" s="11"/>
      <c r="S270" s="11"/>
      <c r="T270" s="11"/>
    </row>
    <row r="271" spans="1:20" x14ac:dyDescent="0.25">
      <c r="A271" s="72">
        <f t="shared" si="67"/>
        <v>127</v>
      </c>
      <c r="B271" s="784">
        <f t="shared" si="55"/>
        <v>20819920.826547269</v>
      </c>
      <c r="C271" s="604">
        <f t="shared" si="56"/>
        <v>131757.33473632587</v>
      </c>
      <c r="D271" s="784">
        <f t="shared" si="57"/>
        <v>74521.43505329093</v>
      </c>
      <c r="E271" s="785">
        <f t="shared" si="58"/>
        <v>57235.899683034935</v>
      </c>
      <c r="F271" s="72">
        <f t="shared" si="68"/>
        <v>127</v>
      </c>
      <c r="G271" s="784">
        <f t="shared" si="59"/>
        <v>12658006.217491575</v>
      </c>
      <c r="H271" s="604">
        <f t="shared" si="60"/>
        <v>68372.658190401169</v>
      </c>
      <c r="I271" s="784">
        <f t="shared" si="61"/>
        <v>26015.722989256134</v>
      </c>
      <c r="J271" s="785">
        <f t="shared" si="62"/>
        <v>42356.935201145039</v>
      </c>
      <c r="K271" s="72">
        <f t="shared" si="69"/>
        <v>127</v>
      </c>
      <c r="L271" s="784">
        <f t="shared" si="63"/>
        <v>33477927.044038843</v>
      </c>
      <c r="M271" s="604">
        <f t="shared" si="64"/>
        <v>200129.99292672705</v>
      </c>
      <c r="N271" s="784">
        <f t="shared" si="65"/>
        <v>100537.15804254706</v>
      </c>
      <c r="O271" s="785">
        <f t="shared" si="66"/>
        <v>99592.834884179974</v>
      </c>
      <c r="P271" s="11"/>
      <c r="Q271" s="11"/>
      <c r="R271" s="11"/>
      <c r="S271" s="11"/>
      <c r="T271" s="11"/>
    </row>
    <row r="272" spans="1:20" x14ac:dyDescent="0.25">
      <c r="A272" s="72">
        <f t="shared" si="67"/>
        <v>128</v>
      </c>
      <c r="B272" s="784">
        <f t="shared" si="55"/>
        <v>20762480.62215757</v>
      </c>
      <c r="C272" s="604">
        <f t="shared" si="56"/>
        <v>131757.33473632587</v>
      </c>
      <c r="D272" s="784">
        <f t="shared" si="57"/>
        <v>74317.130346626203</v>
      </c>
      <c r="E272" s="785">
        <f t="shared" si="58"/>
        <v>57440.204389699662</v>
      </c>
      <c r="F272" s="72">
        <f t="shared" si="68"/>
        <v>128</v>
      </c>
      <c r="G272" s="784">
        <f t="shared" si="59"/>
        <v>12615562.517346812</v>
      </c>
      <c r="H272" s="604">
        <f t="shared" si="60"/>
        <v>68372.658190401169</v>
      </c>
      <c r="I272" s="784">
        <f t="shared" si="61"/>
        <v>25928.958045638497</v>
      </c>
      <c r="J272" s="785">
        <f t="shared" si="62"/>
        <v>42443.700144762668</v>
      </c>
      <c r="K272" s="72">
        <f t="shared" si="69"/>
        <v>128</v>
      </c>
      <c r="L272" s="784">
        <f t="shared" si="63"/>
        <v>33378043.139504381</v>
      </c>
      <c r="M272" s="604">
        <f t="shared" si="64"/>
        <v>200129.99292672705</v>
      </c>
      <c r="N272" s="784">
        <f t="shared" si="65"/>
        <v>100246.0883922647</v>
      </c>
      <c r="O272" s="785">
        <f t="shared" si="66"/>
        <v>99883.90453446233</v>
      </c>
      <c r="P272" s="11"/>
      <c r="Q272" s="11"/>
      <c r="R272" s="11"/>
      <c r="S272" s="11"/>
      <c r="T272" s="11"/>
    </row>
    <row r="273" spans="1:20" x14ac:dyDescent="0.25">
      <c r="A273" s="72">
        <f t="shared" si="67"/>
        <v>129</v>
      </c>
      <c r="B273" s="784">
        <f t="shared" ref="B273:B336" si="70">B272-E273</f>
        <v>20704835.383791406</v>
      </c>
      <c r="C273" s="604">
        <f t="shared" ref="C273:C336" si="71">-$H$59/12</f>
        <v>131757.33473632587</v>
      </c>
      <c r="D273" s="784">
        <f t="shared" ref="D273:D336" si="72">$H$57/12*B272</f>
        <v>74112.096370160594</v>
      </c>
      <c r="E273" s="785">
        <f t="shared" ref="E273:E336" si="73">C273-D273</f>
        <v>57645.238366165271</v>
      </c>
      <c r="F273" s="72">
        <f t="shared" si="68"/>
        <v>129</v>
      </c>
      <c r="G273" s="784">
        <f t="shared" ref="G273:G336" si="74">G272-J273</f>
        <v>12573031.874527078</v>
      </c>
      <c r="H273" s="604">
        <f t="shared" ref="H273:H336" si="75">-$H$64/12</f>
        <v>68372.658190401169</v>
      </c>
      <c r="I273" s="784">
        <f t="shared" ref="I273:I336" si="76">$H$62/12*G272</f>
        <v>25842.015370666948</v>
      </c>
      <c r="J273" s="785">
        <f t="shared" ref="J273:J336" si="77">H273-I273</f>
        <v>42530.642819734217</v>
      </c>
      <c r="K273" s="72">
        <f t="shared" si="69"/>
        <v>129</v>
      </c>
      <c r="L273" s="784">
        <f t="shared" ref="L273:L336" si="78">G273+B273</f>
        <v>33277867.258318484</v>
      </c>
      <c r="M273" s="604">
        <f t="shared" ref="M273:M336" si="79">H273+C273</f>
        <v>200129.99292672705</v>
      </c>
      <c r="N273" s="784">
        <f t="shared" ref="N273:N336" si="80">I273+D273</f>
        <v>99954.111740827546</v>
      </c>
      <c r="O273" s="785">
        <f t="shared" ref="O273:O336" si="81">J273+E273</f>
        <v>100175.88118589949</v>
      </c>
      <c r="P273" s="11"/>
      <c r="Q273" s="11"/>
      <c r="R273" s="11"/>
      <c r="S273" s="11"/>
      <c r="T273" s="11"/>
    </row>
    <row r="274" spans="1:20" x14ac:dyDescent="0.25">
      <c r="A274" s="72">
        <f t="shared" ref="A274:A337" si="82">A273+1</f>
        <v>130</v>
      </c>
      <c r="B274" s="784">
        <f t="shared" si="70"/>
        <v>20646984.37957583</v>
      </c>
      <c r="C274" s="604">
        <f t="shared" si="71"/>
        <v>131757.33473632587</v>
      </c>
      <c r="D274" s="784">
        <f t="shared" si="72"/>
        <v>73906.330520750736</v>
      </c>
      <c r="E274" s="785">
        <f t="shared" si="73"/>
        <v>57851.004215575129</v>
      </c>
      <c r="F274" s="72">
        <f t="shared" ref="F274:F337" si="83">F273+1</f>
        <v>130</v>
      </c>
      <c r="G274" s="784">
        <f t="shared" si="74"/>
        <v>12530414.110936949</v>
      </c>
      <c r="H274" s="604">
        <f t="shared" si="75"/>
        <v>68372.658190401169</v>
      </c>
      <c r="I274" s="784">
        <f t="shared" si="76"/>
        <v>25754.894600272393</v>
      </c>
      <c r="J274" s="785">
        <f t="shared" si="77"/>
        <v>42617.763590128772</v>
      </c>
      <c r="K274" s="72">
        <f t="shared" ref="K274:K337" si="84">K273+1</f>
        <v>130</v>
      </c>
      <c r="L274" s="784">
        <f t="shared" si="78"/>
        <v>33177398.490512781</v>
      </c>
      <c r="M274" s="604">
        <f t="shared" si="79"/>
        <v>200129.99292672705</v>
      </c>
      <c r="N274" s="784">
        <f t="shared" si="80"/>
        <v>99661.225121023133</v>
      </c>
      <c r="O274" s="785">
        <f t="shared" si="81"/>
        <v>100468.7678057039</v>
      </c>
      <c r="P274" s="11"/>
      <c r="Q274" s="11"/>
      <c r="R274" s="11"/>
      <c r="S274" s="11"/>
      <c r="T274" s="11"/>
    </row>
    <row r="275" spans="1:20" x14ac:dyDescent="0.25">
      <c r="A275" s="72">
        <f t="shared" si="82"/>
        <v>131</v>
      </c>
      <c r="B275" s="784">
        <f t="shared" si="70"/>
        <v>20588926.875025466</v>
      </c>
      <c r="C275" s="604">
        <f t="shared" si="71"/>
        <v>131757.33473632587</v>
      </c>
      <c r="D275" s="784">
        <f t="shared" si="72"/>
        <v>73699.830185961269</v>
      </c>
      <c r="E275" s="785">
        <f t="shared" si="73"/>
        <v>58057.504550364596</v>
      </c>
      <c r="F275" s="72">
        <f t="shared" si="83"/>
        <v>131</v>
      </c>
      <c r="G275" s="784">
        <f t="shared" si="74"/>
        <v>12487709.048116188</v>
      </c>
      <c r="H275" s="604">
        <f t="shared" si="75"/>
        <v>68372.658190401169</v>
      </c>
      <c r="I275" s="784">
        <f t="shared" si="76"/>
        <v>25667.595369639974</v>
      </c>
      <c r="J275" s="785">
        <f t="shared" si="77"/>
        <v>42705.062820761195</v>
      </c>
      <c r="K275" s="72">
        <f t="shared" si="84"/>
        <v>131</v>
      </c>
      <c r="L275" s="784">
        <f t="shared" si="78"/>
        <v>33076635.923141655</v>
      </c>
      <c r="M275" s="604">
        <f t="shared" si="79"/>
        <v>200129.99292672705</v>
      </c>
      <c r="N275" s="784">
        <f t="shared" si="80"/>
        <v>99367.42555560125</v>
      </c>
      <c r="O275" s="785">
        <f t="shared" si="81"/>
        <v>100762.5673711258</v>
      </c>
      <c r="P275" s="11"/>
      <c r="Q275" s="11"/>
      <c r="R275" s="11"/>
      <c r="S275" s="11"/>
      <c r="T275" s="11"/>
    </row>
    <row r="276" spans="1:20" x14ac:dyDescent="0.25">
      <c r="A276" s="72">
        <f t="shared" si="82"/>
        <v>132</v>
      </c>
      <c r="B276" s="784">
        <f t="shared" si="70"/>
        <v>20530662.133033171</v>
      </c>
      <c r="C276" s="604">
        <f t="shared" si="71"/>
        <v>131757.33473632587</v>
      </c>
      <c r="D276" s="784">
        <f t="shared" si="72"/>
        <v>73492.592744031717</v>
      </c>
      <c r="E276" s="785">
        <f t="shared" si="73"/>
        <v>58264.741992294148</v>
      </c>
      <c r="F276" s="72">
        <f t="shared" si="83"/>
        <v>132</v>
      </c>
      <c r="G276" s="784">
        <f t="shared" si="74"/>
        <v>12444916.507238995</v>
      </c>
      <c r="H276" s="604">
        <f t="shared" si="75"/>
        <v>68372.658190401169</v>
      </c>
      <c r="I276" s="784">
        <f t="shared" si="76"/>
        <v>25580.117313207538</v>
      </c>
      <c r="J276" s="785">
        <f t="shared" si="77"/>
        <v>42792.540877193635</v>
      </c>
      <c r="K276" s="72">
        <f t="shared" si="84"/>
        <v>132</v>
      </c>
      <c r="L276" s="784">
        <f t="shared" si="78"/>
        <v>32975578.640272167</v>
      </c>
      <c r="M276" s="604">
        <f t="shared" si="79"/>
        <v>200129.99292672705</v>
      </c>
      <c r="N276" s="784">
        <f t="shared" si="80"/>
        <v>99072.710057239252</v>
      </c>
      <c r="O276" s="785">
        <f t="shared" si="81"/>
        <v>101057.28286948778</v>
      </c>
      <c r="P276" s="11"/>
      <c r="Q276" s="11"/>
      <c r="R276" s="11"/>
      <c r="S276" s="11"/>
      <c r="T276" s="11"/>
    </row>
    <row r="277" spans="1:20" x14ac:dyDescent="0.25">
      <c r="A277" s="72">
        <f t="shared" si="82"/>
        <v>133</v>
      </c>
      <c r="B277" s="784">
        <f t="shared" si="70"/>
        <v>20472189.41386069</v>
      </c>
      <c r="C277" s="604">
        <f t="shared" si="71"/>
        <v>131757.33473632587</v>
      </c>
      <c r="D277" s="784">
        <f t="shared" si="72"/>
        <v>73284.615563843181</v>
      </c>
      <c r="E277" s="785">
        <f t="shared" si="73"/>
        <v>58472.719172482684</v>
      </c>
      <c r="F277" s="72">
        <f t="shared" si="83"/>
        <v>133</v>
      </c>
      <c r="G277" s="784">
        <f t="shared" si="74"/>
        <v>12402036.309113258</v>
      </c>
      <c r="H277" s="604">
        <f t="shared" si="75"/>
        <v>68372.658190401169</v>
      </c>
      <c r="I277" s="784">
        <f t="shared" si="76"/>
        <v>25492.460064664105</v>
      </c>
      <c r="J277" s="785">
        <f t="shared" si="77"/>
        <v>42880.198125737064</v>
      </c>
      <c r="K277" s="72">
        <f t="shared" si="84"/>
        <v>133</v>
      </c>
      <c r="L277" s="784">
        <f t="shared" si="78"/>
        <v>32874225.72297395</v>
      </c>
      <c r="M277" s="604">
        <f t="shared" si="79"/>
        <v>200129.99292672705</v>
      </c>
      <c r="N277" s="784">
        <f t="shared" si="80"/>
        <v>98777.075628507286</v>
      </c>
      <c r="O277" s="785">
        <f t="shared" si="81"/>
        <v>101352.91729821975</v>
      </c>
      <c r="P277" s="11"/>
      <c r="Q277" s="11"/>
      <c r="R277" s="11"/>
      <c r="S277" s="11"/>
      <c r="T277" s="11"/>
    </row>
    <row r="278" spans="1:20" x14ac:dyDescent="0.25">
      <c r="A278" s="72">
        <f t="shared" si="82"/>
        <v>134</v>
      </c>
      <c r="B278" s="784">
        <f t="shared" si="70"/>
        <v>20413507.97512925</v>
      </c>
      <c r="C278" s="604">
        <f t="shared" si="71"/>
        <v>131757.33473632587</v>
      </c>
      <c r="D278" s="784">
        <f t="shared" si="72"/>
        <v>73075.896004884926</v>
      </c>
      <c r="E278" s="785">
        <f t="shared" si="73"/>
        <v>58681.43873144094</v>
      </c>
      <c r="F278" s="72">
        <f t="shared" si="83"/>
        <v>134</v>
      </c>
      <c r="G278" s="784">
        <f t="shared" si="74"/>
        <v>12359068.274179805</v>
      </c>
      <c r="H278" s="604">
        <f t="shared" si="75"/>
        <v>68372.658190401169</v>
      </c>
      <c r="I278" s="784">
        <f t="shared" si="76"/>
        <v>25404.623256948329</v>
      </c>
      <c r="J278" s="785">
        <f t="shared" si="77"/>
        <v>42968.034933452844</v>
      </c>
      <c r="K278" s="72">
        <f t="shared" si="84"/>
        <v>134</v>
      </c>
      <c r="L278" s="784">
        <f t="shared" si="78"/>
        <v>32772576.249309056</v>
      </c>
      <c r="M278" s="604">
        <f t="shared" si="79"/>
        <v>200129.99292672705</v>
      </c>
      <c r="N278" s="784">
        <f t="shared" si="80"/>
        <v>98480.519261833251</v>
      </c>
      <c r="O278" s="785">
        <f t="shared" si="81"/>
        <v>101649.47366489378</v>
      </c>
      <c r="P278" s="11"/>
      <c r="Q278" s="11"/>
      <c r="R278" s="11"/>
      <c r="S278" s="11"/>
      <c r="T278" s="11"/>
    </row>
    <row r="279" spans="1:20" x14ac:dyDescent="0.25">
      <c r="A279" s="72">
        <f t="shared" si="82"/>
        <v>135</v>
      </c>
      <c r="B279" s="784">
        <f t="shared" si="70"/>
        <v>20354617.071810145</v>
      </c>
      <c r="C279" s="604">
        <f t="shared" si="71"/>
        <v>131757.33473632587</v>
      </c>
      <c r="D279" s="784">
        <f t="shared" si="72"/>
        <v>72866.431417220825</v>
      </c>
      <c r="E279" s="785">
        <f t="shared" si="73"/>
        <v>58890.90331910504</v>
      </c>
      <c r="F279" s="72">
        <f t="shared" si="83"/>
        <v>135</v>
      </c>
      <c r="G279" s="784">
        <f t="shared" si="74"/>
        <v>12316012.222511651</v>
      </c>
      <c r="H279" s="604">
        <f t="shared" si="75"/>
        <v>68372.658190401169</v>
      </c>
      <c r="I279" s="784">
        <f t="shared" si="76"/>
        <v>25316.606522246973</v>
      </c>
      <c r="J279" s="785">
        <f t="shared" si="77"/>
        <v>43056.051668154192</v>
      </c>
      <c r="K279" s="72">
        <f t="shared" si="84"/>
        <v>135</v>
      </c>
      <c r="L279" s="784">
        <f t="shared" si="78"/>
        <v>32670629.294321798</v>
      </c>
      <c r="M279" s="604">
        <f t="shared" si="79"/>
        <v>200129.99292672705</v>
      </c>
      <c r="N279" s="784">
        <f t="shared" si="80"/>
        <v>98183.037939467802</v>
      </c>
      <c r="O279" s="785">
        <f t="shared" si="81"/>
        <v>101946.95498725923</v>
      </c>
      <c r="P279" s="11"/>
      <c r="Q279" s="11"/>
      <c r="R279" s="11"/>
      <c r="S279" s="11"/>
      <c r="T279" s="11"/>
    </row>
    <row r="280" spans="1:20" x14ac:dyDescent="0.25">
      <c r="A280" s="72">
        <f t="shared" si="82"/>
        <v>136</v>
      </c>
      <c r="B280" s="784">
        <f t="shared" si="70"/>
        <v>20295515.956215274</v>
      </c>
      <c r="C280" s="604">
        <f t="shared" si="71"/>
        <v>131757.33473632587</v>
      </c>
      <c r="D280" s="784">
        <f t="shared" si="72"/>
        <v>72656.219141455775</v>
      </c>
      <c r="E280" s="785">
        <f t="shared" si="73"/>
        <v>59101.115594870091</v>
      </c>
      <c r="F280" s="72">
        <f t="shared" si="83"/>
        <v>136</v>
      </c>
      <c r="G280" s="784">
        <f t="shared" si="74"/>
        <v>12272867.973813243</v>
      </c>
      <c r="H280" s="604">
        <f t="shared" si="75"/>
        <v>68372.658190401169</v>
      </c>
      <c r="I280" s="784">
        <f t="shared" si="76"/>
        <v>25228.40949199337</v>
      </c>
      <c r="J280" s="785">
        <f t="shared" si="77"/>
        <v>43144.248698407799</v>
      </c>
      <c r="K280" s="72">
        <f t="shared" si="84"/>
        <v>136</v>
      </c>
      <c r="L280" s="784">
        <f t="shared" si="78"/>
        <v>32568383.930028517</v>
      </c>
      <c r="M280" s="604">
        <f t="shared" si="79"/>
        <v>200129.99292672705</v>
      </c>
      <c r="N280" s="784">
        <f t="shared" si="80"/>
        <v>97884.628633449145</v>
      </c>
      <c r="O280" s="785">
        <f t="shared" si="81"/>
        <v>102245.36429327789</v>
      </c>
      <c r="P280" s="11"/>
      <c r="Q280" s="11"/>
      <c r="R280" s="11"/>
      <c r="S280" s="11"/>
      <c r="T280" s="11"/>
    </row>
    <row r="281" spans="1:20" x14ac:dyDescent="0.25">
      <c r="A281" s="72">
        <f t="shared" si="82"/>
        <v>137</v>
      </c>
      <c r="B281" s="784">
        <f t="shared" si="70"/>
        <v>20236203.877987649</v>
      </c>
      <c r="C281" s="604">
        <f t="shared" si="71"/>
        <v>131757.33473632587</v>
      </c>
      <c r="D281" s="784">
        <f t="shared" si="72"/>
        <v>72445.256508701932</v>
      </c>
      <c r="E281" s="785">
        <f t="shared" si="73"/>
        <v>59312.078227623933</v>
      </c>
      <c r="F281" s="72">
        <f t="shared" si="83"/>
        <v>137</v>
      </c>
      <c r="G281" s="784">
        <f t="shared" si="74"/>
        <v>12229635.347419707</v>
      </c>
      <c r="H281" s="604">
        <f t="shared" si="75"/>
        <v>68372.658190401169</v>
      </c>
      <c r="I281" s="784">
        <f t="shared" si="76"/>
        <v>25140.03179686586</v>
      </c>
      <c r="J281" s="785">
        <f t="shared" si="77"/>
        <v>43232.626393535305</v>
      </c>
      <c r="K281" s="72">
        <f t="shared" si="84"/>
        <v>137</v>
      </c>
      <c r="L281" s="784">
        <f t="shared" si="78"/>
        <v>32465839.225407355</v>
      </c>
      <c r="M281" s="604">
        <f t="shared" si="79"/>
        <v>200129.99292672705</v>
      </c>
      <c r="N281" s="784">
        <f t="shared" si="80"/>
        <v>97585.288305567796</v>
      </c>
      <c r="O281" s="785">
        <f t="shared" si="81"/>
        <v>102544.70462115924</v>
      </c>
      <c r="P281" s="11"/>
      <c r="Q281" s="11"/>
      <c r="R281" s="11"/>
      <c r="S281" s="11"/>
      <c r="T281" s="11"/>
    </row>
    <row r="282" spans="1:20" x14ac:dyDescent="0.25">
      <c r="A282" s="72">
        <f t="shared" si="82"/>
        <v>138</v>
      </c>
      <c r="B282" s="784">
        <f t="shared" si="70"/>
        <v>20176680.084091868</v>
      </c>
      <c r="C282" s="604">
        <f t="shared" si="71"/>
        <v>131757.33473632587</v>
      </c>
      <c r="D282" s="784">
        <f t="shared" si="72"/>
        <v>72233.540840544767</v>
      </c>
      <c r="E282" s="785">
        <f t="shared" si="73"/>
        <v>59523.793895781098</v>
      </c>
      <c r="F282" s="72">
        <f t="shared" si="83"/>
        <v>138</v>
      </c>
      <c r="G282" s="784">
        <f t="shared" si="74"/>
        <v>12186314.162296092</v>
      </c>
      <c r="H282" s="604">
        <f t="shared" si="75"/>
        <v>68372.658190401169</v>
      </c>
      <c r="I282" s="784">
        <f t="shared" si="76"/>
        <v>25051.473066786257</v>
      </c>
      <c r="J282" s="785">
        <f t="shared" si="77"/>
        <v>43321.185123614909</v>
      </c>
      <c r="K282" s="72">
        <f t="shared" si="84"/>
        <v>138</v>
      </c>
      <c r="L282" s="784">
        <f t="shared" si="78"/>
        <v>32362994.246387959</v>
      </c>
      <c r="M282" s="604">
        <f t="shared" si="79"/>
        <v>200129.99292672705</v>
      </c>
      <c r="N282" s="784">
        <f t="shared" si="80"/>
        <v>97285.013907331027</v>
      </c>
      <c r="O282" s="785">
        <f t="shared" si="81"/>
        <v>102844.97901939601</v>
      </c>
      <c r="P282" s="11"/>
      <c r="Q282" s="11"/>
      <c r="R282" s="11"/>
      <c r="S282" s="11"/>
      <c r="T282" s="11"/>
    </row>
    <row r="283" spans="1:20" x14ac:dyDescent="0.25">
      <c r="A283" s="72">
        <f t="shared" si="82"/>
        <v>139</v>
      </c>
      <c r="B283" s="784">
        <f t="shared" si="70"/>
        <v>20116943.818804551</v>
      </c>
      <c r="C283" s="604">
        <f t="shared" si="71"/>
        <v>131757.33473632587</v>
      </c>
      <c r="D283" s="784">
        <f t="shared" si="72"/>
        <v>72021.069449009126</v>
      </c>
      <c r="E283" s="785">
        <f t="shared" si="73"/>
        <v>59736.265287316739</v>
      </c>
      <c r="F283" s="72">
        <f t="shared" si="83"/>
        <v>139</v>
      </c>
      <c r="G283" s="784">
        <f t="shared" si="74"/>
        <v>12142904.23703661</v>
      </c>
      <c r="H283" s="604">
        <f t="shared" si="75"/>
        <v>68372.658190401169</v>
      </c>
      <c r="I283" s="784">
        <f t="shared" si="76"/>
        <v>24962.732930918308</v>
      </c>
      <c r="J283" s="785">
        <f t="shared" si="77"/>
        <v>43409.925259482858</v>
      </c>
      <c r="K283" s="72">
        <f t="shared" si="84"/>
        <v>139</v>
      </c>
      <c r="L283" s="784">
        <f t="shared" si="78"/>
        <v>32259848.055841163</v>
      </c>
      <c r="M283" s="604">
        <f t="shared" si="79"/>
        <v>200129.99292672705</v>
      </c>
      <c r="N283" s="784">
        <f t="shared" si="80"/>
        <v>96983.802379927438</v>
      </c>
      <c r="O283" s="785">
        <f t="shared" si="81"/>
        <v>103146.1905467996</v>
      </c>
      <c r="P283" s="11"/>
      <c r="Q283" s="11"/>
      <c r="R283" s="11"/>
      <c r="S283" s="11"/>
      <c r="T283" s="11"/>
    </row>
    <row r="284" spans="1:20" x14ac:dyDescent="0.25">
      <c r="A284" s="72">
        <f t="shared" si="82"/>
        <v>140</v>
      </c>
      <c r="B284" s="784">
        <f t="shared" si="70"/>
        <v>20056994.323704749</v>
      </c>
      <c r="C284" s="604">
        <f t="shared" si="71"/>
        <v>131757.33473632587</v>
      </c>
      <c r="D284" s="784">
        <f t="shared" si="72"/>
        <v>71807.839636525037</v>
      </c>
      <c r="E284" s="785">
        <f t="shared" si="73"/>
        <v>59949.495099800828</v>
      </c>
      <c r="F284" s="72">
        <f t="shared" si="83"/>
        <v>140</v>
      </c>
      <c r="G284" s="784">
        <f t="shared" si="74"/>
        <v>12099405.389863875</v>
      </c>
      <c r="H284" s="604">
        <f t="shared" si="75"/>
        <v>68372.658190401169</v>
      </c>
      <c r="I284" s="784">
        <f t="shared" si="76"/>
        <v>24873.811017666121</v>
      </c>
      <c r="J284" s="785">
        <f t="shared" si="77"/>
        <v>43498.847172735048</v>
      </c>
      <c r="K284" s="72">
        <f t="shared" si="84"/>
        <v>140</v>
      </c>
      <c r="L284" s="784">
        <f t="shared" si="78"/>
        <v>32156399.713568624</v>
      </c>
      <c r="M284" s="604">
        <f t="shared" si="79"/>
        <v>200129.99292672705</v>
      </c>
      <c r="N284" s="784">
        <f t="shared" si="80"/>
        <v>96681.650654191151</v>
      </c>
      <c r="O284" s="785">
        <f t="shared" si="81"/>
        <v>103448.34227253587</v>
      </c>
      <c r="P284" s="11"/>
      <c r="Q284" s="11"/>
      <c r="R284" s="11"/>
      <c r="S284" s="11"/>
      <c r="T284" s="11"/>
    </row>
    <row r="285" spans="1:20" x14ac:dyDescent="0.25">
      <c r="A285" s="72">
        <f t="shared" si="82"/>
        <v>141</v>
      </c>
      <c r="B285" s="784">
        <f t="shared" si="70"/>
        <v>19996830.837664317</v>
      </c>
      <c r="C285" s="604">
        <f t="shared" si="71"/>
        <v>131757.33473632587</v>
      </c>
      <c r="D285" s="784">
        <f t="shared" si="72"/>
        <v>71593.848695893525</v>
      </c>
      <c r="E285" s="785">
        <f t="shared" si="73"/>
        <v>60163.486040432341</v>
      </c>
      <c r="F285" s="72">
        <f t="shared" si="83"/>
        <v>141</v>
      </c>
      <c r="G285" s="784">
        <f t="shared" si="74"/>
        <v>12055817.438628146</v>
      </c>
      <c r="H285" s="604">
        <f t="shared" si="75"/>
        <v>68372.658190401169</v>
      </c>
      <c r="I285" s="784">
        <f t="shared" si="76"/>
        <v>24784.70695467262</v>
      </c>
      <c r="J285" s="785">
        <f t="shared" si="77"/>
        <v>43587.951235728549</v>
      </c>
      <c r="K285" s="72">
        <f t="shared" si="84"/>
        <v>141</v>
      </c>
      <c r="L285" s="784">
        <f t="shared" si="78"/>
        <v>32052648.276292466</v>
      </c>
      <c r="M285" s="604">
        <f t="shared" si="79"/>
        <v>200129.99292672705</v>
      </c>
      <c r="N285" s="784">
        <f t="shared" si="80"/>
        <v>96378.555650566152</v>
      </c>
      <c r="O285" s="785">
        <f t="shared" si="81"/>
        <v>103751.4372761609</v>
      </c>
      <c r="P285" s="11"/>
      <c r="Q285" s="11"/>
      <c r="R285" s="11"/>
      <c r="S285" s="11"/>
      <c r="T285" s="11"/>
    </row>
    <row r="286" spans="1:20" x14ac:dyDescent="0.25">
      <c r="A286" s="72">
        <f t="shared" si="82"/>
        <v>142</v>
      </c>
      <c r="B286" s="784">
        <f t="shared" si="70"/>
        <v>19936452.596838243</v>
      </c>
      <c r="C286" s="604">
        <f t="shared" si="71"/>
        <v>131757.33473632587</v>
      </c>
      <c r="D286" s="784">
        <f t="shared" si="72"/>
        <v>71379.09391025221</v>
      </c>
      <c r="E286" s="785">
        <f t="shared" si="73"/>
        <v>60378.240826073656</v>
      </c>
      <c r="F286" s="72">
        <f t="shared" si="83"/>
        <v>142</v>
      </c>
      <c r="G286" s="784">
        <f t="shared" si="74"/>
        <v>12012140.200806564</v>
      </c>
      <c r="H286" s="604">
        <f t="shared" si="75"/>
        <v>68372.658190401169</v>
      </c>
      <c r="I286" s="784">
        <f t="shared" si="76"/>
        <v>24695.420368817988</v>
      </c>
      <c r="J286" s="785">
        <f t="shared" si="77"/>
        <v>43677.237821583185</v>
      </c>
      <c r="K286" s="72">
        <f t="shared" si="84"/>
        <v>142</v>
      </c>
      <c r="L286" s="784">
        <f t="shared" si="78"/>
        <v>31948592.797644809</v>
      </c>
      <c r="M286" s="604">
        <f t="shared" si="79"/>
        <v>200129.99292672705</v>
      </c>
      <c r="N286" s="784">
        <f t="shared" si="80"/>
        <v>96074.514279070194</v>
      </c>
      <c r="O286" s="785">
        <f t="shared" si="81"/>
        <v>104055.47864765684</v>
      </c>
      <c r="P286" s="11"/>
      <c r="Q286" s="11"/>
      <c r="R286" s="11"/>
      <c r="S286" s="11"/>
      <c r="T286" s="11"/>
    </row>
    <row r="287" spans="1:20" x14ac:dyDescent="0.25">
      <c r="A287" s="72">
        <f t="shared" si="82"/>
        <v>143</v>
      </c>
      <c r="B287" s="784">
        <f t="shared" si="70"/>
        <v>19875858.834654957</v>
      </c>
      <c r="C287" s="604">
        <f t="shared" si="71"/>
        <v>131757.33473632587</v>
      </c>
      <c r="D287" s="784">
        <f t="shared" si="72"/>
        <v>71163.572553040824</v>
      </c>
      <c r="E287" s="785">
        <f t="shared" si="73"/>
        <v>60593.762183285042</v>
      </c>
      <c r="F287" s="72">
        <f t="shared" si="83"/>
        <v>143</v>
      </c>
      <c r="G287" s="784">
        <f t="shared" si="74"/>
        <v>11968373.49350238</v>
      </c>
      <c r="H287" s="604">
        <f t="shared" si="75"/>
        <v>68372.658190401169</v>
      </c>
      <c r="I287" s="784">
        <f t="shared" si="76"/>
        <v>24605.950886218096</v>
      </c>
      <c r="J287" s="785">
        <f t="shared" si="77"/>
        <v>43766.707304183074</v>
      </c>
      <c r="K287" s="72">
        <f t="shared" si="84"/>
        <v>143</v>
      </c>
      <c r="L287" s="784">
        <f t="shared" si="78"/>
        <v>31844232.328157336</v>
      </c>
      <c r="M287" s="604">
        <f t="shared" si="79"/>
        <v>200129.99292672705</v>
      </c>
      <c r="N287" s="784">
        <f t="shared" si="80"/>
        <v>95769.523439258919</v>
      </c>
      <c r="O287" s="785">
        <f t="shared" si="81"/>
        <v>104360.46948746812</v>
      </c>
      <c r="P287" s="11"/>
      <c r="Q287" s="11"/>
      <c r="R287" s="11"/>
      <c r="S287" s="11"/>
      <c r="T287" s="11"/>
    </row>
    <row r="288" spans="1:20" x14ac:dyDescent="0.25">
      <c r="A288" s="72">
        <f t="shared" si="82"/>
        <v>144</v>
      </c>
      <c r="B288" s="784">
        <f t="shared" si="70"/>
        <v>19815048.781806599</v>
      </c>
      <c r="C288" s="604">
        <f t="shared" si="71"/>
        <v>131757.33473632587</v>
      </c>
      <c r="D288" s="784">
        <f t="shared" si="72"/>
        <v>70947.281887966543</v>
      </c>
      <c r="E288" s="785">
        <f t="shared" si="73"/>
        <v>60810.052848359323</v>
      </c>
      <c r="F288" s="72">
        <f t="shared" si="83"/>
        <v>144</v>
      </c>
      <c r="G288" s="784">
        <f t="shared" si="74"/>
        <v>11924517.133444201</v>
      </c>
      <c r="H288" s="604">
        <f t="shared" si="75"/>
        <v>68372.658190401169</v>
      </c>
      <c r="I288" s="784">
        <f t="shared" si="76"/>
        <v>24516.298132222943</v>
      </c>
      <c r="J288" s="785">
        <f t="shared" si="77"/>
        <v>43856.360058178223</v>
      </c>
      <c r="K288" s="72">
        <f t="shared" si="84"/>
        <v>144</v>
      </c>
      <c r="L288" s="784">
        <f t="shared" si="78"/>
        <v>31739565.915250801</v>
      </c>
      <c r="M288" s="604">
        <f t="shared" si="79"/>
        <v>200129.99292672705</v>
      </c>
      <c r="N288" s="784">
        <f t="shared" si="80"/>
        <v>95463.580020189489</v>
      </c>
      <c r="O288" s="785">
        <f t="shared" si="81"/>
        <v>104666.41290653755</v>
      </c>
      <c r="P288" s="11"/>
      <c r="Q288" s="11"/>
      <c r="R288" s="11"/>
      <c r="S288" s="11"/>
      <c r="T288" s="11"/>
    </row>
    <row r="289" spans="1:20" x14ac:dyDescent="0.25">
      <c r="A289" s="72">
        <f t="shared" si="82"/>
        <v>145</v>
      </c>
      <c r="B289" s="784">
        <f t="shared" si="70"/>
        <v>19754021.666239243</v>
      </c>
      <c r="C289" s="604">
        <f t="shared" si="71"/>
        <v>131757.33473632587</v>
      </c>
      <c r="D289" s="784">
        <f t="shared" si="72"/>
        <v>70730.219168969343</v>
      </c>
      <c r="E289" s="785">
        <f t="shared" si="73"/>
        <v>61027.115567356523</v>
      </c>
      <c r="F289" s="72">
        <f t="shared" si="83"/>
        <v>145</v>
      </c>
      <c r="G289" s="784">
        <f t="shared" si="74"/>
        <v>11880570.936985215</v>
      </c>
      <c r="H289" s="604">
        <f t="shared" si="75"/>
        <v>68372.658190401169</v>
      </c>
      <c r="I289" s="784">
        <f t="shared" si="76"/>
        <v>24426.461731415082</v>
      </c>
      <c r="J289" s="785">
        <f t="shared" si="77"/>
        <v>43946.196458986087</v>
      </c>
      <c r="K289" s="72">
        <f t="shared" si="84"/>
        <v>145</v>
      </c>
      <c r="L289" s="784">
        <f t="shared" si="78"/>
        <v>31634592.603224456</v>
      </c>
      <c r="M289" s="604">
        <f t="shared" si="79"/>
        <v>200129.99292672705</v>
      </c>
      <c r="N289" s="784">
        <f t="shared" si="80"/>
        <v>95156.680900384425</v>
      </c>
      <c r="O289" s="785">
        <f t="shared" si="81"/>
        <v>104973.31202634261</v>
      </c>
      <c r="P289" s="11"/>
      <c r="Q289" s="11"/>
      <c r="R289" s="11"/>
      <c r="S289" s="11"/>
      <c r="T289" s="11"/>
    </row>
    <row r="290" spans="1:20" x14ac:dyDescent="0.25">
      <c r="A290" s="72">
        <f t="shared" si="82"/>
        <v>146</v>
      </c>
      <c r="B290" s="784">
        <f t="shared" si="70"/>
        <v>19692776.713143103</v>
      </c>
      <c r="C290" s="604">
        <f t="shared" si="71"/>
        <v>131757.33473632587</v>
      </c>
      <c r="D290" s="784">
        <f t="shared" si="72"/>
        <v>70512.381640187057</v>
      </c>
      <c r="E290" s="785">
        <f t="shared" si="73"/>
        <v>61244.953096138808</v>
      </c>
      <c r="F290" s="72">
        <f t="shared" si="83"/>
        <v>146</v>
      </c>
      <c r="G290" s="784">
        <f t="shared" si="74"/>
        <v>11836534.720102422</v>
      </c>
      <c r="H290" s="604">
        <f t="shared" si="75"/>
        <v>68372.658190401169</v>
      </c>
      <c r="I290" s="784">
        <f t="shared" si="76"/>
        <v>24336.441307608067</v>
      </c>
      <c r="J290" s="785">
        <f t="shared" si="77"/>
        <v>44036.216882793102</v>
      </c>
      <c r="K290" s="72">
        <f t="shared" si="84"/>
        <v>146</v>
      </c>
      <c r="L290" s="784">
        <f t="shared" si="78"/>
        <v>31529311.433245525</v>
      </c>
      <c r="M290" s="604">
        <f t="shared" si="79"/>
        <v>200129.99292672705</v>
      </c>
      <c r="N290" s="784">
        <f t="shared" si="80"/>
        <v>94848.822947795124</v>
      </c>
      <c r="O290" s="785">
        <f t="shared" si="81"/>
        <v>105281.16997893191</v>
      </c>
      <c r="P290" s="11"/>
      <c r="Q290" s="11"/>
      <c r="R290" s="11"/>
      <c r="S290" s="11"/>
      <c r="T290" s="11"/>
    </row>
    <row r="291" spans="1:20" x14ac:dyDescent="0.25">
      <c r="A291" s="72">
        <f t="shared" si="82"/>
        <v>147</v>
      </c>
      <c r="B291" s="784">
        <f t="shared" si="70"/>
        <v>19631313.144942697</v>
      </c>
      <c r="C291" s="604">
        <f t="shared" si="71"/>
        <v>131757.33473632587</v>
      </c>
      <c r="D291" s="784">
        <f t="shared" si="72"/>
        <v>70293.766535920426</v>
      </c>
      <c r="E291" s="785">
        <f t="shared" si="73"/>
        <v>61463.56820040544</v>
      </c>
      <c r="F291" s="72">
        <f t="shared" si="83"/>
        <v>147</v>
      </c>
      <c r="G291" s="784">
        <f t="shared" si="74"/>
        <v>11792408.298395867</v>
      </c>
      <c r="H291" s="604">
        <f t="shared" si="75"/>
        <v>68372.658190401169</v>
      </c>
      <c r="I291" s="784">
        <f t="shared" si="76"/>
        <v>24246.236483844845</v>
      </c>
      <c r="J291" s="785">
        <f t="shared" si="77"/>
        <v>44126.421706556328</v>
      </c>
      <c r="K291" s="72">
        <f t="shared" si="84"/>
        <v>147</v>
      </c>
      <c r="L291" s="784">
        <f t="shared" si="78"/>
        <v>31423721.443338566</v>
      </c>
      <c r="M291" s="604">
        <f t="shared" si="79"/>
        <v>200129.99292672705</v>
      </c>
      <c r="N291" s="784">
        <f t="shared" si="80"/>
        <v>94540.003019765267</v>
      </c>
      <c r="O291" s="785">
        <f t="shared" si="81"/>
        <v>105589.98990696177</v>
      </c>
      <c r="P291" s="11"/>
      <c r="Q291" s="11"/>
      <c r="R291" s="11"/>
      <c r="S291" s="11"/>
      <c r="T291" s="11"/>
    </row>
    <row r="292" spans="1:20" x14ac:dyDescent="0.25">
      <c r="A292" s="72">
        <f t="shared" si="82"/>
        <v>148</v>
      </c>
      <c r="B292" s="784">
        <f t="shared" si="70"/>
        <v>19569630.181286968</v>
      </c>
      <c r="C292" s="604">
        <f t="shared" si="71"/>
        <v>131757.33473632587</v>
      </c>
      <c r="D292" s="784">
        <f t="shared" si="72"/>
        <v>70074.371080597935</v>
      </c>
      <c r="E292" s="785">
        <f t="shared" si="73"/>
        <v>61682.96365572793</v>
      </c>
      <c r="F292" s="72">
        <f t="shared" si="83"/>
        <v>148</v>
      </c>
      <c r="G292" s="784">
        <f t="shared" si="74"/>
        <v>11748191.487087861</v>
      </c>
      <c r="H292" s="604">
        <f t="shared" si="75"/>
        <v>68372.658190401169</v>
      </c>
      <c r="I292" s="784">
        <f t="shared" si="76"/>
        <v>24155.84688239621</v>
      </c>
      <c r="J292" s="785">
        <f t="shared" si="77"/>
        <v>44216.811308004959</v>
      </c>
      <c r="K292" s="72">
        <f t="shared" si="84"/>
        <v>148</v>
      </c>
      <c r="L292" s="784">
        <f t="shared" si="78"/>
        <v>31317821.668374829</v>
      </c>
      <c r="M292" s="604">
        <f t="shared" si="79"/>
        <v>200129.99292672705</v>
      </c>
      <c r="N292" s="784">
        <f t="shared" si="80"/>
        <v>94230.217962994153</v>
      </c>
      <c r="O292" s="785">
        <f t="shared" si="81"/>
        <v>105899.7749637329</v>
      </c>
      <c r="P292" s="11"/>
      <c r="Q292" s="11"/>
      <c r="R292" s="11"/>
      <c r="S292" s="11"/>
      <c r="T292" s="11"/>
    </row>
    <row r="293" spans="1:20" x14ac:dyDescent="0.25">
      <c r="A293" s="72">
        <f t="shared" si="82"/>
        <v>149</v>
      </c>
      <c r="B293" s="784">
        <f t="shared" si="70"/>
        <v>19507727.039039385</v>
      </c>
      <c r="C293" s="604">
        <f t="shared" si="71"/>
        <v>131757.33473632587</v>
      </c>
      <c r="D293" s="784">
        <f t="shared" si="72"/>
        <v>69854.192488740679</v>
      </c>
      <c r="E293" s="785">
        <f t="shared" si="73"/>
        <v>61903.142247585187</v>
      </c>
      <c r="F293" s="72">
        <f t="shared" si="83"/>
        <v>149</v>
      </c>
      <c r="G293" s="784">
        <f t="shared" si="74"/>
        <v>11703884.101022219</v>
      </c>
      <c r="H293" s="604">
        <f t="shared" si="75"/>
        <v>68372.658190401169</v>
      </c>
      <c r="I293" s="784">
        <f t="shared" si="76"/>
        <v>24065.272124759187</v>
      </c>
      <c r="J293" s="785">
        <f t="shared" si="77"/>
        <v>44307.386065641986</v>
      </c>
      <c r="K293" s="72">
        <f t="shared" si="84"/>
        <v>149</v>
      </c>
      <c r="L293" s="784">
        <f t="shared" si="78"/>
        <v>31211611.140061602</v>
      </c>
      <c r="M293" s="604">
        <f t="shared" si="79"/>
        <v>200129.99292672705</v>
      </c>
      <c r="N293" s="784">
        <f t="shared" si="80"/>
        <v>93919.464613499862</v>
      </c>
      <c r="O293" s="785">
        <f t="shared" si="81"/>
        <v>106210.52831322717</v>
      </c>
      <c r="P293" s="11"/>
      <c r="Q293" s="11"/>
      <c r="R293" s="11"/>
      <c r="S293" s="11"/>
      <c r="T293" s="11"/>
    </row>
    <row r="294" spans="1:20" x14ac:dyDescent="0.25">
      <c r="A294" s="72">
        <f t="shared" si="82"/>
        <v>150</v>
      </c>
      <c r="B294" s="784">
        <f t="shared" si="70"/>
        <v>19445602.932267986</v>
      </c>
      <c r="C294" s="604">
        <f t="shared" si="71"/>
        <v>131757.33473632587</v>
      </c>
      <c r="D294" s="784">
        <f t="shared" si="72"/>
        <v>69633.22796492686</v>
      </c>
      <c r="E294" s="785">
        <f t="shared" si="73"/>
        <v>62124.106771399005</v>
      </c>
      <c r="F294" s="72">
        <f t="shared" si="83"/>
        <v>150</v>
      </c>
      <c r="G294" s="784">
        <f t="shared" si="74"/>
        <v>11659485.954663474</v>
      </c>
      <c r="H294" s="604">
        <f t="shared" si="75"/>
        <v>68372.658190401169</v>
      </c>
      <c r="I294" s="784">
        <f t="shared" si="76"/>
        <v>23974.511831655494</v>
      </c>
      <c r="J294" s="785">
        <f t="shared" si="77"/>
        <v>44398.146358745675</v>
      </c>
      <c r="K294" s="72">
        <f t="shared" si="84"/>
        <v>150</v>
      </c>
      <c r="L294" s="784">
        <f t="shared" si="78"/>
        <v>31105088.88693146</v>
      </c>
      <c r="M294" s="604">
        <f t="shared" si="79"/>
        <v>200129.99292672705</v>
      </c>
      <c r="N294" s="784">
        <f t="shared" si="80"/>
        <v>93607.739796582347</v>
      </c>
      <c r="O294" s="785">
        <f t="shared" si="81"/>
        <v>106522.25313014467</v>
      </c>
      <c r="P294" s="11"/>
      <c r="Q294" s="11"/>
      <c r="R294" s="11"/>
      <c r="S294" s="11"/>
      <c r="T294" s="11"/>
    </row>
    <row r="295" spans="1:20" x14ac:dyDescent="0.25">
      <c r="A295" s="72">
        <f t="shared" si="82"/>
        <v>151</v>
      </c>
      <c r="B295" s="784">
        <f t="shared" si="70"/>
        <v>19383257.072235417</v>
      </c>
      <c r="C295" s="604">
        <f t="shared" si="71"/>
        <v>131757.33473632587</v>
      </c>
      <c r="D295" s="784">
        <f t="shared" si="72"/>
        <v>69411.474703756394</v>
      </c>
      <c r="E295" s="785">
        <f t="shared" si="73"/>
        <v>62345.860032569472</v>
      </c>
      <c r="F295" s="72">
        <f t="shared" si="83"/>
        <v>151</v>
      </c>
      <c r="G295" s="784">
        <f t="shared" si="74"/>
        <v>11614996.862096103</v>
      </c>
      <c r="H295" s="604">
        <f t="shared" si="75"/>
        <v>68372.658190401169</v>
      </c>
      <c r="I295" s="784">
        <f t="shared" si="76"/>
        <v>23883.565623029903</v>
      </c>
      <c r="J295" s="785">
        <f t="shared" si="77"/>
        <v>44489.092567371263</v>
      </c>
      <c r="K295" s="72">
        <f t="shared" si="84"/>
        <v>151</v>
      </c>
      <c r="L295" s="784">
        <f t="shared" si="78"/>
        <v>30998253.934331521</v>
      </c>
      <c r="M295" s="604">
        <f t="shared" si="79"/>
        <v>200129.99292672705</v>
      </c>
      <c r="N295" s="784">
        <f t="shared" si="80"/>
        <v>93295.0403267863</v>
      </c>
      <c r="O295" s="785">
        <f t="shared" si="81"/>
        <v>106834.95259994073</v>
      </c>
      <c r="P295" s="11"/>
      <c r="Q295" s="11"/>
      <c r="R295" s="11"/>
      <c r="S295" s="11"/>
      <c r="T295" s="11"/>
    </row>
    <row r="296" spans="1:20" x14ac:dyDescent="0.25">
      <c r="A296" s="72">
        <f t="shared" si="82"/>
        <v>152</v>
      </c>
      <c r="B296" s="784">
        <f t="shared" si="70"/>
        <v>19320688.667388905</v>
      </c>
      <c r="C296" s="604">
        <f t="shared" si="71"/>
        <v>131757.33473632587</v>
      </c>
      <c r="D296" s="784">
        <f t="shared" si="72"/>
        <v>69188.929889815263</v>
      </c>
      <c r="E296" s="785">
        <f t="shared" si="73"/>
        <v>62568.404846510603</v>
      </c>
      <c r="F296" s="72">
        <f t="shared" si="83"/>
        <v>152</v>
      </c>
      <c r="G296" s="784">
        <f t="shared" si="74"/>
        <v>11570416.637023751</v>
      </c>
      <c r="H296" s="604">
        <f t="shared" si="75"/>
        <v>68372.658190401169</v>
      </c>
      <c r="I296" s="784">
        <f t="shared" si="76"/>
        <v>23792.433118048681</v>
      </c>
      <c r="J296" s="785">
        <f t="shared" si="77"/>
        <v>44580.225072352492</v>
      </c>
      <c r="K296" s="72">
        <f t="shared" si="84"/>
        <v>152</v>
      </c>
      <c r="L296" s="784">
        <f t="shared" si="78"/>
        <v>30891105.304412656</v>
      </c>
      <c r="M296" s="604">
        <f t="shared" si="79"/>
        <v>200129.99292672705</v>
      </c>
      <c r="N296" s="784">
        <f t="shared" si="80"/>
        <v>92981.36300786394</v>
      </c>
      <c r="O296" s="785">
        <f t="shared" si="81"/>
        <v>107148.62991886309</v>
      </c>
      <c r="P296" s="11"/>
      <c r="Q296" s="11"/>
      <c r="R296" s="11"/>
      <c r="S296" s="11"/>
      <c r="T296" s="11"/>
    </row>
    <row r="297" spans="1:20" x14ac:dyDescent="0.25">
      <c r="A297" s="72">
        <f t="shared" si="82"/>
        <v>153</v>
      </c>
      <c r="B297" s="784">
        <f t="shared" si="70"/>
        <v>19257896.923350219</v>
      </c>
      <c r="C297" s="604">
        <f t="shared" si="71"/>
        <v>131757.33473632587</v>
      </c>
      <c r="D297" s="784">
        <f t="shared" si="72"/>
        <v>68965.590697639767</v>
      </c>
      <c r="E297" s="785">
        <f t="shared" si="73"/>
        <v>62791.744038686098</v>
      </c>
      <c r="F297" s="72">
        <f t="shared" si="83"/>
        <v>153</v>
      </c>
      <c r="G297" s="784">
        <f t="shared" si="74"/>
        <v>11525745.092768447</v>
      </c>
      <c r="H297" s="604">
        <f t="shared" si="75"/>
        <v>68372.658190401169</v>
      </c>
      <c r="I297" s="784">
        <f t="shared" si="76"/>
        <v>23701.113935097987</v>
      </c>
      <c r="J297" s="785">
        <f t="shared" si="77"/>
        <v>44671.544255303183</v>
      </c>
      <c r="K297" s="72">
        <f t="shared" si="84"/>
        <v>153</v>
      </c>
      <c r="L297" s="784">
        <f t="shared" si="78"/>
        <v>30783642.016118668</v>
      </c>
      <c r="M297" s="604">
        <f t="shared" si="79"/>
        <v>200129.99292672705</v>
      </c>
      <c r="N297" s="784">
        <f t="shared" si="80"/>
        <v>92666.704632737761</v>
      </c>
      <c r="O297" s="785">
        <f t="shared" si="81"/>
        <v>107463.28829398929</v>
      </c>
      <c r="P297" s="11"/>
      <c r="Q297" s="11"/>
      <c r="R297" s="11"/>
      <c r="S297" s="11"/>
      <c r="T297" s="11"/>
    </row>
    <row r="298" spans="1:20" x14ac:dyDescent="0.25">
      <c r="A298" s="72">
        <f t="shared" si="82"/>
        <v>154</v>
      </c>
      <c r="B298" s="784">
        <f t="shared" si="70"/>
        <v>19194881.042905573</v>
      </c>
      <c r="C298" s="604">
        <f t="shared" si="71"/>
        <v>131757.33473632587</v>
      </c>
      <c r="D298" s="784">
        <f t="shared" si="72"/>
        <v>68741.454291680682</v>
      </c>
      <c r="E298" s="785">
        <f t="shared" si="73"/>
        <v>63015.880444645183</v>
      </c>
      <c r="F298" s="72">
        <f t="shared" si="83"/>
        <v>154</v>
      </c>
      <c r="G298" s="784">
        <f t="shared" si="74"/>
        <v>11480982.042269828</v>
      </c>
      <c r="H298" s="604">
        <f t="shared" si="75"/>
        <v>68372.658190401169</v>
      </c>
      <c r="I298" s="784">
        <f t="shared" si="76"/>
        <v>23609.607691782268</v>
      </c>
      <c r="J298" s="785">
        <f t="shared" si="77"/>
        <v>44763.050498618904</v>
      </c>
      <c r="K298" s="72">
        <f t="shared" si="84"/>
        <v>154</v>
      </c>
      <c r="L298" s="784">
        <f t="shared" si="78"/>
        <v>30675863.085175402</v>
      </c>
      <c r="M298" s="604">
        <f t="shared" si="79"/>
        <v>200129.99292672705</v>
      </c>
      <c r="N298" s="784">
        <f t="shared" si="80"/>
        <v>92351.061983462947</v>
      </c>
      <c r="O298" s="785">
        <f t="shared" si="81"/>
        <v>107778.93094326409</v>
      </c>
      <c r="P298" s="11"/>
      <c r="Q298" s="11"/>
      <c r="R298" s="11"/>
      <c r="S298" s="11"/>
      <c r="T298" s="11"/>
    </row>
    <row r="299" spans="1:20" x14ac:dyDescent="0.25">
      <c r="A299" s="72">
        <f t="shared" si="82"/>
        <v>155</v>
      </c>
      <c r="B299" s="784">
        <f t="shared" si="70"/>
        <v>19131640.225995515</v>
      </c>
      <c r="C299" s="604">
        <f t="shared" si="71"/>
        <v>131757.33473632587</v>
      </c>
      <c r="D299" s="784">
        <f t="shared" si="72"/>
        <v>68516.517826267198</v>
      </c>
      <c r="E299" s="785">
        <f t="shared" si="73"/>
        <v>63240.816910058667</v>
      </c>
      <c r="F299" s="72">
        <f t="shared" si="83"/>
        <v>155</v>
      </c>
      <c r="G299" s="784">
        <f t="shared" si="74"/>
        <v>11436127.298084348</v>
      </c>
      <c r="H299" s="604">
        <f t="shared" si="75"/>
        <v>68372.658190401169</v>
      </c>
      <c r="I299" s="784">
        <f t="shared" si="76"/>
        <v>23517.91400492267</v>
      </c>
      <c r="J299" s="785">
        <f t="shared" si="77"/>
        <v>44854.744185478499</v>
      </c>
      <c r="K299" s="72">
        <f t="shared" si="84"/>
        <v>155</v>
      </c>
      <c r="L299" s="784">
        <f t="shared" si="78"/>
        <v>30567767.524079863</v>
      </c>
      <c r="M299" s="604">
        <f t="shared" si="79"/>
        <v>200129.99292672705</v>
      </c>
      <c r="N299" s="784">
        <f t="shared" si="80"/>
        <v>92034.431831189868</v>
      </c>
      <c r="O299" s="785">
        <f t="shared" si="81"/>
        <v>108095.56109553717</v>
      </c>
      <c r="P299" s="11"/>
      <c r="Q299" s="11"/>
      <c r="R299" s="11"/>
      <c r="S299" s="11"/>
      <c r="T299" s="11"/>
    </row>
    <row r="300" spans="1:20" x14ac:dyDescent="0.25">
      <c r="A300" s="72">
        <f t="shared" si="82"/>
        <v>156</v>
      </c>
      <c r="B300" s="784">
        <f t="shared" si="70"/>
        <v>19068173.669704761</v>
      </c>
      <c r="C300" s="604">
        <f t="shared" si="71"/>
        <v>131757.33473632587</v>
      </c>
      <c r="D300" s="784">
        <f t="shared" si="72"/>
        <v>68290.778445570846</v>
      </c>
      <c r="E300" s="785">
        <f t="shared" si="73"/>
        <v>63466.556290755019</v>
      </c>
      <c r="F300" s="72">
        <f t="shared" si="83"/>
        <v>156</v>
      </c>
      <c r="G300" s="784">
        <f t="shared" si="74"/>
        <v>11391180.672384502</v>
      </c>
      <c r="H300" s="604">
        <f t="shared" si="75"/>
        <v>68372.658190401169</v>
      </c>
      <c r="I300" s="784">
        <f t="shared" si="76"/>
        <v>23426.032490555426</v>
      </c>
      <c r="J300" s="785">
        <f t="shared" si="77"/>
        <v>44946.625699845739</v>
      </c>
      <c r="K300" s="72">
        <f t="shared" si="84"/>
        <v>156</v>
      </c>
      <c r="L300" s="784">
        <f t="shared" si="78"/>
        <v>30459354.342089266</v>
      </c>
      <c r="M300" s="604">
        <f t="shared" si="79"/>
        <v>200129.99292672705</v>
      </c>
      <c r="N300" s="784">
        <f t="shared" si="80"/>
        <v>91716.810936126276</v>
      </c>
      <c r="O300" s="785">
        <f t="shared" si="81"/>
        <v>108413.18199060076</v>
      </c>
      <c r="P300" s="11"/>
      <c r="Q300" s="11"/>
      <c r="R300" s="11"/>
      <c r="S300" s="11"/>
      <c r="T300" s="11"/>
    </row>
    <row r="301" spans="1:20" x14ac:dyDescent="0.25">
      <c r="A301" s="72">
        <f t="shared" si="82"/>
        <v>157</v>
      </c>
      <c r="B301" s="784">
        <f t="shared" si="70"/>
        <v>19004480.568252005</v>
      </c>
      <c r="C301" s="604">
        <f t="shared" si="71"/>
        <v>131757.33473632587</v>
      </c>
      <c r="D301" s="784">
        <f t="shared" si="72"/>
        <v>68064.233283569207</v>
      </c>
      <c r="E301" s="785">
        <f t="shared" si="73"/>
        <v>63693.101452756659</v>
      </c>
      <c r="F301" s="72">
        <f t="shared" si="83"/>
        <v>157</v>
      </c>
      <c r="G301" s="784">
        <f t="shared" si="74"/>
        <v>11346141.976958031</v>
      </c>
      <c r="H301" s="604">
        <f t="shared" si="75"/>
        <v>68372.658190401169</v>
      </c>
      <c r="I301" s="784">
        <f t="shared" si="76"/>
        <v>23333.962763930242</v>
      </c>
      <c r="J301" s="785">
        <f t="shared" si="77"/>
        <v>45038.695426470927</v>
      </c>
      <c r="K301" s="72">
        <f t="shared" si="84"/>
        <v>157</v>
      </c>
      <c r="L301" s="784">
        <f t="shared" si="78"/>
        <v>30350622.545210034</v>
      </c>
      <c r="M301" s="604">
        <f t="shared" si="79"/>
        <v>200129.99292672705</v>
      </c>
      <c r="N301" s="784">
        <f t="shared" si="80"/>
        <v>91398.196047499456</v>
      </c>
      <c r="O301" s="785">
        <f t="shared" si="81"/>
        <v>108731.79687922759</v>
      </c>
      <c r="P301" s="11"/>
      <c r="Q301" s="11"/>
      <c r="R301" s="11"/>
      <c r="S301" s="11"/>
      <c r="T301" s="11"/>
    </row>
    <row r="302" spans="1:20" x14ac:dyDescent="0.25">
      <c r="A302" s="72">
        <f t="shared" si="82"/>
        <v>158</v>
      </c>
      <c r="B302" s="784">
        <f t="shared" si="70"/>
        <v>18940560.112979688</v>
      </c>
      <c r="C302" s="604">
        <f t="shared" si="71"/>
        <v>131757.33473632587</v>
      </c>
      <c r="D302" s="784">
        <f t="shared" si="72"/>
        <v>67836.879464009544</v>
      </c>
      <c r="E302" s="785">
        <f t="shared" si="73"/>
        <v>63920.455272316321</v>
      </c>
      <c r="F302" s="72">
        <f t="shared" si="83"/>
        <v>158</v>
      </c>
      <c r="G302" s="784">
        <f t="shared" si="74"/>
        <v>11301011.023207139</v>
      </c>
      <c r="H302" s="604">
        <f t="shared" si="75"/>
        <v>68372.658190401169</v>
      </c>
      <c r="I302" s="784">
        <f t="shared" si="76"/>
        <v>23241.704439508696</v>
      </c>
      <c r="J302" s="785">
        <f t="shared" si="77"/>
        <v>45130.95375089247</v>
      </c>
      <c r="K302" s="72">
        <f t="shared" si="84"/>
        <v>158</v>
      </c>
      <c r="L302" s="784">
        <f t="shared" si="78"/>
        <v>30241571.136186827</v>
      </c>
      <c r="M302" s="604">
        <f t="shared" si="79"/>
        <v>200129.99292672705</v>
      </c>
      <c r="N302" s="784">
        <f t="shared" si="80"/>
        <v>91078.583903518243</v>
      </c>
      <c r="O302" s="785">
        <f t="shared" si="81"/>
        <v>109051.40902320879</v>
      </c>
      <c r="P302" s="11"/>
      <c r="Q302" s="11"/>
      <c r="R302" s="11"/>
      <c r="S302" s="11"/>
      <c r="T302" s="11"/>
    </row>
    <row r="303" spans="1:20" x14ac:dyDescent="0.25">
      <c r="A303" s="72">
        <f t="shared" si="82"/>
        <v>159</v>
      </c>
      <c r="B303" s="784">
        <f t="shared" si="70"/>
        <v>18876411.492343735</v>
      </c>
      <c r="C303" s="604">
        <f t="shared" si="71"/>
        <v>131757.33473632587</v>
      </c>
      <c r="D303" s="784">
        <f t="shared" si="72"/>
        <v>67608.714100372265</v>
      </c>
      <c r="E303" s="785">
        <f t="shared" si="73"/>
        <v>64148.620635953601</v>
      </c>
      <c r="F303" s="72">
        <f t="shared" si="83"/>
        <v>159</v>
      </c>
      <c r="G303" s="784">
        <f t="shared" si="74"/>
        <v>11255787.6221477</v>
      </c>
      <c r="H303" s="604">
        <f t="shared" si="75"/>
        <v>68372.658190401169</v>
      </c>
      <c r="I303" s="784">
        <f t="shared" si="76"/>
        <v>23149.257130962626</v>
      </c>
      <c r="J303" s="785">
        <f t="shared" si="77"/>
        <v>45223.401059438547</v>
      </c>
      <c r="K303" s="72">
        <f t="shared" si="84"/>
        <v>159</v>
      </c>
      <c r="L303" s="784">
        <f t="shared" si="78"/>
        <v>30132199.114491433</v>
      </c>
      <c r="M303" s="604">
        <f t="shared" si="79"/>
        <v>200129.99292672705</v>
      </c>
      <c r="N303" s="784">
        <f t="shared" si="80"/>
        <v>90757.971231334886</v>
      </c>
      <c r="O303" s="785">
        <f t="shared" si="81"/>
        <v>109372.02169539215</v>
      </c>
      <c r="P303" s="11"/>
      <c r="Q303" s="11"/>
      <c r="R303" s="11"/>
      <c r="S303" s="11"/>
      <c r="T303" s="11"/>
    </row>
    <row r="304" spans="1:20" x14ac:dyDescent="0.25">
      <c r="A304" s="72">
        <f t="shared" si="82"/>
        <v>160</v>
      </c>
      <c r="B304" s="784">
        <f t="shared" si="70"/>
        <v>18812033.891903244</v>
      </c>
      <c r="C304" s="604">
        <f t="shared" si="71"/>
        <v>131757.33473632587</v>
      </c>
      <c r="D304" s="784">
        <f t="shared" si="72"/>
        <v>67379.734295834307</v>
      </c>
      <c r="E304" s="785">
        <f t="shared" si="73"/>
        <v>64377.600440491558</v>
      </c>
      <c r="F304" s="72">
        <f t="shared" si="83"/>
        <v>160</v>
      </c>
      <c r="G304" s="784">
        <f t="shared" si="74"/>
        <v>11210471.584408471</v>
      </c>
      <c r="H304" s="604">
        <f t="shared" si="75"/>
        <v>68372.658190401169</v>
      </c>
      <c r="I304" s="784">
        <f t="shared" si="76"/>
        <v>23056.620451172494</v>
      </c>
      <c r="J304" s="785">
        <f t="shared" si="77"/>
        <v>45316.037739228675</v>
      </c>
      <c r="K304" s="72">
        <f t="shared" si="84"/>
        <v>160</v>
      </c>
      <c r="L304" s="784">
        <f t="shared" si="78"/>
        <v>30022505.476311713</v>
      </c>
      <c r="M304" s="604">
        <f t="shared" si="79"/>
        <v>200129.99292672705</v>
      </c>
      <c r="N304" s="784">
        <f t="shared" si="80"/>
        <v>90436.354747006801</v>
      </c>
      <c r="O304" s="785">
        <f t="shared" si="81"/>
        <v>109693.63817972023</v>
      </c>
      <c r="P304" s="11"/>
      <c r="Q304" s="11"/>
      <c r="R304" s="11"/>
      <c r="S304" s="11"/>
      <c r="T304" s="11"/>
    </row>
    <row r="305" spans="1:20" x14ac:dyDescent="0.25">
      <c r="A305" s="72">
        <f t="shared" si="82"/>
        <v>161</v>
      </c>
      <c r="B305" s="784">
        <f t="shared" si="70"/>
        <v>18747426.494310152</v>
      </c>
      <c r="C305" s="604">
        <f t="shared" si="71"/>
        <v>131757.33473632587</v>
      </c>
      <c r="D305" s="784">
        <f t="shared" si="72"/>
        <v>67149.937143232339</v>
      </c>
      <c r="E305" s="785">
        <f t="shared" si="73"/>
        <v>64607.397593093527</v>
      </c>
      <c r="F305" s="72">
        <f t="shared" si="83"/>
        <v>161</v>
      </c>
      <c r="G305" s="784">
        <f t="shared" si="74"/>
        <v>11165062.720230296</v>
      </c>
      <c r="H305" s="604">
        <f t="shared" si="75"/>
        <v>68372.658190401169</v>
      </c>
      <c r="I305" s="784">
        <f t="shared" si="76"/>
        <v>22963.794012225786</v>
      </c>
      <c r="J305" s="785">
        <f t="shared" si="77"/>
        <v>45408.864178175383</v>
      </c>
      <c r="K305" s="72">
        <f t="shared" si="84"/>
        <v>161</v>
      </c>
      <c r="L305" s="784">
        <f t="shared" si="78"/>
        <v>29912489.214540448</v>
      </c>
      <c r="M305" s="604">
        <f t="shared" si="79"/>
        <v>200129.99292672705</v>
      </c>
      <c r="N305" s="784">
        <f t="shared" si="80"/>
        <v>90113.731155458125</v>
      </c>
      <c r="O305" s="785">
        <f t="shared" si="81"/>
        <v>110016.26177126891</v>
      </c>
      <c r="P305" s="11"/>
      <c r="Q305" s="11"/>
      <c r="R305" s="11"/>
      <c r="S305" s="11"/>
      <c r="T305" s="11"/>
    </row>
    <row r="306" spans="1:20" x14ac:dyDescent="0.25">
      <c r="A306" s="72">
        <f t="shared" si="82"/>
        <v>162</v>
      </c>
      <c r="B306" s="784">
        <f t="shared" si="70"/>
        <v>18682588.479298852</v>
      </c>
      <c r="C306" s="604">
        <f t="shared" si="71"/>
        <v>131757.33473632587</v>
      </c>
      <c r="D306" s="784">
        <f t="shared" si="72"/>
        <v>66919.319725025838</v>
      </c>
      <c r="E306" s="785">
        <f t="shared" si="73"/>
        <v>64838.015011300027</v>
      </c>
      <c r="F306" s="72">
        <f t="shared" si="83"/>
        <v>162</v>
      </c>
      <c r="G306" s="784">
        <f t="shared" si="74"/>
        <v>11119560.839465311</v>
      </c>
      <c r="H306" s="604">
        <f t="shared" si="75"/>
        <v>68372.658190401169</v>
      </c>
      <c r="I306" s="784">
        <f t="shared" si="76"/>
        <v>22870.777425415377</v>
      </c>
      <c r="J306" s="785">
        <f t="shared" si="77"/>
        <v>45501.880764985792</v>
      </c>
      <c r="K306" s="72">
        <f t="shared" si="84"/>
        <v>162</v>
      </c>
      <c r="L306" s="784">
        <f t="shared" si="78"/>
        <v>29802149.318764165</v>
      </c>
      <c r="M306" s="604">
        <f t="shared" si="79"/>
        <v>200129.99292672705</v>
      </c>
      <c r="N306" s="784">
        <f t="shared" si="80"/>
        <v>89790.097150441215</v>
      </c>
      <c r="O306" s="785">
        <f t="shared" si="81"/>
        <v>110339.89577628582</v>
      </c>
      <c r="P306" s="11"/>
      <c r="Q306" s="11"/>
      <c r="R306" s="11"/>
      <c r="S306" s="11"/>
      <c r="T306" s="11"/>
    </row>
    <row r="307" spans="1:20" x14ac:dyDescent="0.25">
      <c r="A307" s="72">
        <f t="shared" si="82"/>
        <v>163</v>
      </c>
      <c r="B307" s="784">
        <f t="shared" si="70"/>
        <v>18617519.023675788</v>
      </c>
      <c r="C307" s="604">
        <f t="shared" si="71"/>
        <v>131757.33473632587</v>
      </c>
      <c r="D307" s="784">
        <f t="shared" si="72"/>
        <v>66687.87911326006</v>
      </c>
      <c r="E307" s="785">
        <f t="shared" si="73"/>
        <v>65069.455623065805</v>
      </c>
      <c r="F307" s="72">
        <f t="shared" si="83"/>
        <v>163</v>
      </c>
      <c r="G307" s="784">
        <f t="shared" si="74"/>
        <v>11073965.751576148</v>
      </c>
      <c r="H307" s="604">
        <f t="shared" si="75"/>
        <v>68372.658190401169</v>
      </c>
      <c r="I307" s="784">
        <f t="shared" si="76"/>
        <v>22777.570301237905</v>
      </c>
      <c r="J307" s="785">
        <f t="shared" si="77"/>
        <v>45595.08788916326</v>
      </c>
      <c r="K307" s="72">
        <f t="shared" si="84"/>
        <v>163</v>
      </c>
      <c r="L307" s="784">
        <f t="shared" si="78"/>
        <v>29691484.775251936</v>
      </c>
      <c r="M307" s="604">
        <f t="shared" si="79"/>
        <v>200129.99292672705</v>
      </c>
      <c r="N307" s="784">
        <f t="shared" si="80"/>
        <v>89465.449414497969</v>
      </c>
      <c r="O307" s="785">
        <f t="shared" si="81"/>
        <v>110664.54351222907</v>
      </c>
      <c r="P307" s="11"/>
      <c r="Q307" s="11"/>
      <c r="R307" s="11"/>
      <c r="S307" s="11"/>
      <c r="T307" s="11"/>
    </row>
    <row r="308" spans="1:20" x14ac:dyDescent="0.25">
      <c r="A308" s="72">
        <f t="shared" si="82"/>
        <v>164</v>
      </c>
      <c r="B308" s="784">
        <f t="shared" si="70"/>
        <v>18552217.30130899</v>
      </c>
      <c r="C308" s="604">
        <f t="shared" si="71"/>
        <v>131757.33473632587</v>
      </c>
      <c r="D308" s="784">
        <f t="shared" si="72"/>
        <v>66455.61236952887</v>
      </c>
      <c r="E308" s="785">
        <f t="shared" si="73"/>
        <v>65301.722366796996</v>
      </c>
      <c r="F308" s="72">
        <f t="shared" si="83"/>
        <v>164</v>
      </c>
      <c r="G308" s="784">
        <f t="shared" si="74"/>
        <v>11028277.265635138</v>
      </c>
      <c r="H308" s="604">
        <f t="shared" si="75"/>
        <v>68372.658190401169</v>
      </c>
      <c r="I308" s="784">
        <f t="shared" si="76"/>
        <v>22684.172249392137</v>
      </c>
      <c r="J308" s="785">
        <f t="shared" si="77"/>
        <v>45688.485941009028</v>
      </c>
      <c r="K308" s="72">
        <f t="shared" si="84"/>
        <v>164</v>
      </c>
      <c r="L308" s="784">
        <f t="shared" si="78"/>
        <v>29580494.56694413</v>
      </c>
      <c r="M308" s="604">
        <f t="shared" si="79"/>
        <v>200129.99292672705</v>
      </c>
      <c r="N308" s="784">
        <f t="shared" si="80"/>
        <v>89139.78461892101</v>
      </c>
      <c r="O308" s="785">
        <f t="shared" si="81"/>
        <v>110990.20830780602</v>
      </c>
      <c r="P308" s="11"/>
      <c r="Q308" s="11"/>
      <c r="R308" s="11"/>
      <c r="S308" s="11"/>
      <c r="T308" s="11"/>
    </row>
    <row r="309" spans="1:20" x14ac:dyDescent="0.25">
      <c r="A309" s="72">
        <f t="shared" si="82"/>
        <v>165</v>
      </c>
      <c r="B309" s="784">
        <f t="shared" si="70"/>
        <v>18486682.483117603</v>
      </c>
      <c r="C309" s="604">
        <f t="shared" si="71"/>
        <v>131757.33473632587</v>
      </c>
      <c r="D309" s="784">
        <f t="shared" si="72"/>
        <v>66222.516544937433</v>
      </c>
      <c r="E309" s="785">
        <f t="shared" si="73"/>
        <v>65534.818191388433</v>
      </c>
      <c r="F309" s="72">
        <f t="shared" si="83"/>
        <v>165</v>
      </c>
      <c r="G309" s="784">
        <f t="shared" si="74"/>
        <v>10982495.190323515</v>
      </c>
      <c r="H309" s="604">
        <f t="shared" si="75"/>
        <v>68372.658190401169</v>
      </c>
      <c r="I309" s="784">
        <f t="shared" si="76"/>
        <v>22590.582878777346</v>
      </c>
      <c r="J309" s="785">
        <f t="shared" si="77"/>
        <v>45782.075311623819</v>
      </c>
      <c r="K309" s="72">
        <f t="shared" si="84"/>
        <v>165</v>
      </c>
      <c r="L309" s="784">
        <f t="shared" si="78"/>
        <v>29469177.673441119</v>
      </c>
      <c r="M309" s="604">
        <f t="shared" si="79"/>
        <v>200129.99292672705</v>
      </c>
      <c r="N309" s="784">
        <f t="shared" si="80"/>
        <v>88813.099423714782</v>
      </c>
      <c r="O309" s="785">
        <f t="shared" si="81"/>
        <v>111316.89350301225</v>
      </c>
      <c r="P309" s="11"/>
      <c r="Q309" s="11"/>
      <c r="R309" s="11"/>
      <c r="S309" s="11"/>
      <c r="T309" s="11"/>
    </row>
    <row r="310" spans="1:20" x14ac:dyDescent="0.25">
      <c r="A310" s="72">
        <f t="shared" si="82"/>
        <v>166</v>
      </c>
      <c r="B310" s="784">
        <f t="shared" si="70"/>
        <v>18420913.73706134</v>
      </c>
      <c r="C310" s="604">
        <f t="shared" si="71"/>
        <v>131757.33473632587</v>
      </c>
      <c r="D310" s="784">
        <f t="shared" si="72"/>
        <v>65988.588680064786</v>
      </c>
      <c r="E310" s="785">
        <f t="shared" si="73"/>
        <v>65768.74605626108</v>
      </c>
      <c r="F310" s="72">
        <f t="shared" si="83"/>
        <v>166</v>
      </c>
      <c r="G310" s="784">
        <f t="shared" si="74"/>
        <v>10936619.333930606</v>
      </c>
      <c r="H310" s="604">
        <f t="shared" si="75"/>
        <v>68372.658190401169</v>
      </c>
      <c r="I310" s="784">
        <f t="shared" si="76"/>
        <v>22496.801797491655</v>
      </c>
      <c r="J310" s="785">
        <f t="shared" si="77"/>
        <v>45875.856392909511</v>
      </c>
      <c r="K310" s="72">
        <f t="shared" si="84"/>
        <v>166</v>
      </c>
      <c r="L310" s="784">
        <f t="shared" si="78"/>
        <v>29357533.070991948</v>
      </c>
      <c r="M310" s="604">
        <f t="shared" si="79"/>
        <v>200129.99292672705</v>
      </c>
      <c r="N310" s="784">
        <f t="shared" si="80"/>
        <v>88485.390477556444</v>
      </c>
      <c r="O310" s="785">
        <f t="shared" si="81"/>
        <v>111644.60244917059</v>
      </c>
      <c r="P310" s="11"/>
      <c r="Q310" s="11"/>
      <c r="R310" s="11"/>
      <c r="S310" s="11"/>
      <c r="T310" s="11"/>
    </row>
    <row r="311" spans="1:20" x14ac:dyDescent="0.25">
      <c r="A311" s="72">
        <f t="shared" si="82"/>
        <v>167</v>
      </c>
      <c r="B311" s="784">
        <f t="shared" si="70"/>
        <v>18354910.228129942</v>
      </c>
      <c r="C311" s="604">
        <f t="shared" si="71"/>
        <v>131757.33473632587</v>
      </c>
      <c r="D311" s="784">
        <f t="shared" si="72"/>
        <v>65753.825804926222</v>
      </c>
      <c r="E311" s="785">
        <f t="shared" si="73"/>
        <v>66003.508931399643</v>
      </c>
      <c r="F311" s="72">
        <f t="shared" si="83"/>
        <v>167</v>
      </c>
      <c r="G311" s="784">
        <f t="shared" si="74"/>
        <v>10890649.504353035</v>
      </c>
      <c r="H311" s="604">
        <f t="shared" si="75"/>
        <v>68372.658190401169</v>
      </c>
      <c r="I311" s="784">
        <f t="shared" si="76"/>
        <v>22402.828612830413</v>
      </c>
      <c r="J311" s="785">
        <f t="shared" si="77"/>
        <v>45969.829577570752</v>
      </c>
      <c r="K311" s="72">
        <f t="shared" si="84"/>
        <v>167</v>
      </c>
      <c r="L311" s="784">
        <f t="shared" si="78"/>
        <v>29245559.732482977</v>
      </c>
      <c r="M311" s="604">
        <f t="shared" si="79"/>
        <v>200129.99292672705</v>
      </c>
      <c r="N311" s="784">
        <f t="shared" si="80"/>
        <v>88156.654417756639</v>
      </c>
      <c r="O311" s="785">
        <f t="shared" si="81"/>
        <v>111973.3385089704</v>
      </c>
      <c r="P311" s="11"/>
      <c r="Q311" s="11"/>
      <c r="R311" s="11"/>
      <c r="S311" s="11"/>
      <c r="T311" s="11"/>
    </row>
    <row r="312" spans="1:20" x14ac:dyDescent="0.25">
      <c r="A312" s="72">
        <f t="shared" si="82"/>
        <v>168</v>
      </c>
      <c r="B312" s="784">
        <f t="shared" si="70"/>
        <v>18288671.11833255</v>
      </c>
      <c r="C312" s="604">
        <f t="shared" si="71"/>
        <v>131757.33473632587</v>
      </c>
      <c r="D312" s="784">
        <f t="shared" si="72"/>
        <v>65518.224938935666</v>
      </c>
      <c r="E312" s="785">
        <f t="shared" si="73"/>
        <v>66239.109797390207</v>
      </c>
      <c r="F312" s="72">
        <f t="shared" si="83"/>
        <v>168</v>
      </c>
      <c r="G312" s="784">
        <f t="shared" si="74"/>
        <v>10844585.509093918</v>
      </c>
      <c r="H312" s="604">
        <f t="shared" si="75"/>
        <v>68372.658190401169</v>
      </c>
      <c r="I312" s="784">
        <f t="shared" si="76"/>
        <v>22308.66293128454</v>
      </c>
      <c r="J312" s="785">
        <f t="shared" si="77"/>
        <v>46063.995259116629</v>
      </c>
      <c r="K312" s="72">
        <f t="shared" si="84"/>
        <v>168</v>
      </c>
      <c r="L312" s="784">
        <f t="shared" si="78"/>
        <v>29133256.627426468</v>
      </c>
      <c r="M312" s="604">
        <f t="shared" si="79"/>
        <v>200129.99292672705</v>
      </c>
      <c r="N312" s="784">
        <f t="shared" si="80"/>
        <v>87826.887870220206</v>
      </c>
      <c r="O312" s="785">
        <f t="shared" si="81"/>
        <v>112303.10505650684</v>
      </c>
      <c r="P312" s="11"/>
      <c r="Q312" s="11"/>
      <c r="R312" s="11"/>
      <c r="S312" s="11"/>
      <c r="T312" s="11"/>
    </row>
    <row r="313" spans="1:20" x14ac:dyDescent="0.25">
      <c r="A313" s="72">
        <f t="shared" si="82"/>
        <v>169</v>
      </c>
      <c r="B313" s="784">
        <f t="shared" si="70"/>
        <v>18222195.566687092</v>
      </c>
      <c r="C313" s="604">
        <f t="shared" si="71"/>
        <v>131757.33473632587</v>
      </c>
      <c r="D313" s="784">
        <f t="shared" si="72"/>
        <v>65281.783090867713</v>
      </c>
      <c r="E313" s="785">
        <f t="shared" si="73"/>
        <v>66475.551645458152</v>
      </c>
      <c r="F313" s="72">
        <f t="shared" si="83"/>
        <v>169</v>
      </c>
      <c r="G313" s="784">
        <f t="shared" si="74"/>
        <v>10798427.155262055</v>
      </c>
      <c r="H313" s="604">
        <f t="shared" si="75"/>
        <v>68372.658190401169</v>
      </c>
      <c r="I313" s="784">
        <f t="shared" si="76"/>
        <v>22214.304358538884</v>
      </c>
      <c r="J313" s="785">
        <f t="shared" si="77"/>
        <v>46158.353831862289</v>
      </c>
      <c r="K313" s="72">
        <f t="shared" si="84"/>
        <v>169</v>
      </c>
      <c r="L313" s="784">
        <f t="shared" si="78"/>
        <v>29020622.721949145</v>
      </c>
      <c r="M313" s="604">
        <f t="shared" si="79"/>
        <v>200129.99292672705</v>
      </c>
      <c r="N313" s="784">
        <f t="shared" si="80"/>
        <v>87496.087449406594</v>
      </c>
      <c r="O313" s="785">
        <f t="shared" si="81"/>
        <v>112633.90547732044</v>
      </c>
      <c r="P313" s="11"/>
      <c r="Q313" s="11"/>
      <c r="R313" s="11"/>
      <c r="S313" s="11"/>
      <c r="T313" s="11"/>
    </row>
    <row r="314" spans="1:20" x14ac:dyDescent="0.25">
      <c r="A314" s="72">
        <f t="shared" si="82"/>
        <v>170</v>
      </c>
      <c r="B314" s="784">
        <f t="shared" si="70"/>
        <v>18155482.729209587</v>
      </c>
      <c r="C314" s="604">
        <f t="shared" si="71"/>
        <v>131757.33473632587</v>
      </c>
      <c r="D314" s="784">
        <f t="shared" si="72"/>
        <v>65044.497258819778</v>
      </c>
      <c r="E314" s="785">
        <f t="shared" si="73"/>
        <v>66712.83747750608</v>
      </c>
      <c r="F314" s="72">
        <f t="shared" si="83"/>
        <v>170</v>
      </c>
      <c r="G314" s="784">
        <f t="shared" si="74"/>
        <v>10752174.249571124</v>
      </c>
      <c r="H314" s="604">
        <f t="shared" si="75"/>
        <v>68372.658190401169</v>
      </c>
      <c r="I314" s="784">
        <f t="shared" si="76"/>
        <v>22119.752499470571</v>
      </c>
      <c r="J314" s="785">
        <f t="shared" si="77"/>
        <v>46252.905690930595</v>
      </c>
      <c r="K314" s="72">
        <f t="shared" si="84"/>
        <v>170</v>
      </c>
      <c r="L314" s="784">
        <f t="shared" si="78"/>
        <v>28907656.978780709</v>
      </c>
      <c r="M314" s="604">
        <f t="shared" si="79"/>
        <v>200129.99292672705</v>
      </c>
      <c r="N314" s="784">
        <f t="shared" si="80"/>
        <v>87164.249758290345</v>
      </c>
      <c r="O314" s="785">
        <f t="shared" si="81"/>
        <v>112965.74316843667</v>
      </c>
      <c r="P314" s="11"/>
      <c r="Q314" s="11"/>
      <c r="R314" s="11"/>
      <c r="S314" s="11"/>
      <c r="T314" s="11"/>
    </row>
    <row r="315" spans="1:20" x14ac:dyDescent="0.25">
      <c r="A315" s="72">
        <f t="shared" si="82"/>
        <v>171</v>
      </c>
      <c r="B315" s="784">
        <f t="shared" si="70"/>
        <v>18088531.758903436</v>
      </c>
      <c r="C315" s="604">
        <f t="shared" si="71"/>
        <v>131757.33473632587</v>
      </c>
      <c r="D315" s="784">
        <f t="shared" si="72"/>
        <v>64806.364430173897</v>
      </c>
      <c r="E315" s="785">
        <f t="shared" si="73"/>
        <v>66950.970306151969</v>
      </c>
      <c r="F315" s="72">
        <f t="shared" si="83"/>
        <v>171</v>
      </c>
      <c r="G315" s="784">
        <f t="shared" si="74"/>
        <v>10705826.59833887</v>
      </c>
      <c r="H315" s="604">
        <f t="shared" si="75"/>
        <v>68372.658190401169</v>
      </c>
      <c r="I315" s="784">
        <f t="shared" si="76"/>
        <v>22025.006958147344</v>
      </c>
      <c r="J315" s="785">
        <f t="shared" si="77"/>
        <v>46347.651232253826</v>
      </c>
      <c r="K315" s="72">
        <f t="shared" si="84"/>
        <v>171</v>
      </c>
      <c r="L315" s="784">
        <f t="shared" si="78"/>
        <v>28794358.357242309</v>
      </c>
      <c r="M315" s="604">
        <f t="shared" si="79"/>
        <v>200129.99292672705</v>
      </c>
      <c r="N315" s="784">
        <f t="shared" si="80"/>
        <v>86831.371388321248</v>
      </c>
      <c r="O315" s="785">
        <f t="shared" si="81"/>
        <v>113298.6215384058</v>
      </c>
      <c r="P315" s="11"/>
      <c r="Q315" s="11"/>
      <c r="R315" s="11"/>
      <c r="S315" s="11"/>
      <c r="T315" s="11"/>
    </row>
    <row r="316" spans="1:20" x14ac:dyDescent="0.25">
      <c r="A316" s="72">
        <f t="shared" si="82"/>
        <v>172</v>
      </c>
      <c r="B316" s="784">
        <f t="shared" si="70"/>
        <v>18021341.805748668</v>
      </c>
      <c r="C316" s="604">
        <f t="shared" si="71"/>
        <v>131757.33473632587</v>
      </c>
      <c r="D316" s="784">
        <f t="shared" si="72"/>
        <v>64567.381581558497</v>
      </c>
      <c r="E316" s="785">
        <f t="shared" si="73"/>
        <v>67189.953154767369</v>
      </c>
      <c r="F316" s="72">
        <f t="shared" si="83"/>
        <v>172</v>
      </c>
      <c r="G316" s="784">
        <f t="shared" si="74"/>
        <v>10659384.007486295</v>
      </c>
      <c r="H316" s="604">
        <f t="shared" si="75"/>
        <v>68372.658190401169</v>
      </c>
      <c r="I316" s="784">
        <f t="shared" si="76"/>
        <v>21930.067337825909</v>
      </c>
      <c r="J316" s="785">
        <f t="shared" si="77"/>
        <v>46442.59085257526</v>
      </c>
      <c r="K316" s="72">
        <f t="shared" si="84"/>
        <v>172</v>
      </c>
      <c r="L316" s="784">
        <f t="shared" si="78"/>
        <v>28680725.813234963</v>
      </c>
      <c r="M316" s="604">
        <f t="shared" si="79"/>
        <v>200129.99292672705</v>
      </c>
      <c r="N316" s="784">
        <f t="shared" si="80"/>
        <v>86497.448919384406</v>
      </c>
      <c r="O316" s="785">
        <f t="shared" si="81"/>
        <v>113632.54400734263</v>
      </c>
      <c r="P316" s="11"/>
      <c r="Q316" s="11"/>
      <c r="R316" s="11"/>
      <c r="S316" s="11"/>
      <c r="T316" s="11"/>
    </row>
    <row r="317" spans="1:20" x14ac:dyDescent="0.25">
      <c r="A317" s="72">
        <f t="shared" si="82"/>
        <v>173</v>
      </c>
      <c r="B317" s="784">
        <f t="shared" si="70"/>
        <v>17953912.016691152</v>
      </c>
      <c r="C317" s="604">
        <f t="shared" si="71"/>
        <v>131757.33473632587</v>
      </c>
      <c r="D317" s="784">
        <f t="shared" si="72"/>
        <v>64327.545678810027</v>
      </c>
      <c r="E317" s="785">
        <f t="shared" si="73"/>
        <v>67429.789057515838</v>
      </c>
      <c r="F317" s="72">
        <f t="shared" si="83"/>
        <v>173</v>
      </c>
      <c r="G317" s="784">
        <f t="shared" si="74"/>
        <v>10612846.282536844</v>
      </c>
      <c r="H317" s="604">
        <f t="shared" si="75"/>
        <v>68372.658190401169</v>
      </c>
      <c r="I317" s="784">
        <f t="shared" si="76"/>
        <v>21834.933240950279</v>
      </c>
      <c r="J317" s="785">
        <f t="shared" si="77"/>
        <v>46537.724949450887</v>
      </c>
      <c r="K317" s="72">
        <f t="shared" si="84"/>
        <v>173</v>
      </c>
      <c r="L317" s="784">
        <f t="shared" si="78"/>
        <v>28566758.299227998</v>
      </c>
      <c r="M317" s="604">
        <f t="shared" si="79"/>
        <v>200129.99292672705</v>
      </c>
      <c r="N317" s="784">
        <f t="shared" si="80"/>
        <v>86162.47891976031</v>
      </c>
      <c r="O317" s="785">
        <f t="shared" si="81"/>
        <v>113967.51400696672</v>
      </c>
      <c r="P317" s="11"/>
      <c r="Q317" s="11"/>
      <c r="R317" s="11"/>
      <c r="S317" s="11"/>
      <c r="T317" s="11"/>
    </row>
    <row r="318" spans="1:20" x14ac:dyDescent="0.25">
      <c r="A318" s="72">
        <f t="shared" si="82"/>
        <v>174</v>
      </c>
      <c r="B318" s="784">
        <f t="shared" si="70"/>
        <v>17886241.535631761</v>
      </c>
      <c r="C318" s="604">
        <f t="shared" si="71"/>
        <v>131757.33473632587</v>
      </c>
      <c r="D318" s="784">
        <f t="shared" si="72"/>
        <v>64086.853676934443</v>
      </c>
      <c r="E318" s="785">
        <f t="shared" si="73"/>
        <v>67670.48105939143</v>
      </c>
      <c r="F318" s="72">
        <f t="shared" si="83"/>
        <v>174</v>
      </c>
      <c r="G318" s="784">
        <f t="shared" si="74"/>
        <v>10566213.228615593</v>
      </c>
      <c r="H318" s="604">
        <f t="shared" si="75"/>
        <v>68372.658190401169</v>
      </c>
      <c r="I318" s="784">
        <f t="shared" si="76"/>
        <v>21739.604269150095</v>
      </c>
      <c r="J318" s="785">
        <f t="shared" si="77"/>
        <v>46633.053921251078</v>
      </c>
      <c r="K318" s="72">
        <f t="shared" si="84"/>
        <v>174</v>
      </c>
      <c r="L318" s="784">
        <f t="shared" si="78"/>
        <v>28452454.764247354</v>
      </c>
      <c r="M318" s="604">
        <f t="shared" si="79"/>
        <v>200129.99292672705</v>
      </c>
      <c r="N318" s="784">
        <f t="shared" si="80"/>
        <v>85826.457946084542</v>
      </c>
      <c r="O318" s="785">
        <f t="shared" si="81"/>
        <v>114303.53498064251</v>
      </c>
      <c r="P318" s="11"/>
      <c r="Q318" s="11"/>
      <c r="R318" s="11"/>
      <c r="S318" s="11"/>
      <c r="T318" s="11"/>
    </row>
    <row r="319" spans="1:20" x14ac:dyDescent="0.25">
      <c r="A319" s="72">
        <f t="shared" si="82"/>
        <v>175</v>
      </c>
      <c r="B319" s="784">
        <f t="shared" si="70"/>
        <v>17818329.503415503</v>
      </c>
      <c r="C319" s="604">
        <f t="shared" si="71"/>
        <v>131757.33473632587</v>
      </c>
      <c r="D319" s="784">
        <f t="shared" si="72"/>
        <v>63845.302520068508</v>
      </c>
      <c r="E319" s="785">
        <f t="shared" si="73"/>
        <v>67912.032216257358</v>
      </c>
      <c r="F319" s="72">
        <f t="shared" si="83"/>
        <v>175</v>
      </c>
      <c r="G319" s="784">
        <f t="shared" si="74"/>
        <v>10519484.65044843</v>
      </c>
      <c r="H319" s="604">
        <f t="shared" si="75"/>
        <v>68372.658190401169</v>
      </c>
      <c r="I319" s="784">
        <f t="shared" si="76"/>
        <v>21644.080023238981</v>
      </c>
      <c r="J319" s="785">
        <f t="shared" si="77"/>
        <v>46728.578167162188</v>
      </c>
      <c r="K319" s="72">
        <f t="shared" si="84"/>
        <v>175</v>
      </c>
      <c r="L319" s="784">
        <f t="shared" si="78"/>
        <v>28337814.153863933</v>
      </c>
      <c r="M319" s="604">
        <f t="shared" si="79"/>
        <v>200129.99292672705</v>
      </c>
      <c r="N319" s="784">
        <f t="shared" si="80"/>
        <v>85489.382543307496</v>
      </c>
      <c r="O319" s="785">
        <f t="shared" si="81"/>
        <v>114640.61038341955</v>
      </c>
      <c r="P319" s="11"/>
      <c r="Q319" s="11"/>
      <c r="R319" s="11"/>
      <c r="S319" s="11"/>
      <c r="T319" s="11"/>
    </row>
    <row r="320" spans="1:20" x14ac:dyDescent="0.25">
      <c r="A320" s="72">
        <f t="shared" si="82"/>
        <v>176</v>
      </c>
      <c r="B320" s="784">
        <f t="shared" si="70"/>
        <v>17750175.057820618</v>
      </c>
      <c r="C320" s="604">
        <f t="shared" si="71"/>
        <v>131757.33473632587</v>
      </c>
      <c r="D320" s="784">
        <f t="shared" si="72"/>
        <v>63602.889141441025</v>
      </c>
      <c r="E320" s="785">
        <f t="shared" si="73"/>
        <v>68154.445594884834</v>
      </c>
      <c r="F320" s="72">
        <f t="shared" si="83"/>
        <v>176</v>
      </c>
      <c r="G320" s="784">
        <f t="shared" si="74"/>
        <v>10472660.352361241</v>
      </c>
      <c r="H320" s="604">
        <f t="shared" si="75"/>
        <v>68372.658190401169</v>
      </c>
      <c r="I320" s="784">
        <f t="shared" si="76"/>
        <v>21548.360103212839</v>
      </c>
      <c r="J320" s="785">
        <f t="shared" si="77"/>
        <v>46824.298087188334</v>
      </c>
      <c r="K320" s="72">
        <f t="shared" si="84"/>
        <v>176</v>
      </c>
      <c r="L320" s="784">
        <f t="shared" si="78"/>
        <v>28222835.410181858</v>
      </c>
      <c r="M320" s="604">
        <f t="shared" si="79"/>
        <v>200129.99292672705</v>
      </c>
      <c r="N320" s="784">
        <f t="shared" si="80"/>
        <v>85151.249244653867</v>
      </c>
      <c r="O320" s="785">
        <f t="shared" si="81"/>
        <v>114978.74368207317</v>
      </c>
      <c r="P320" s="11"/>
      <c r="Q320" s="11"/>
      <c r="R320" s="11"/>
      <c r="S320" s="11"/>
      <c r="T320" s="11"/>
    </row>
    <row r="321" spans="1:20" x14ac:dyDescent="0.25">
      <c r="A321" s="72">
        <f t="shared" si="82"/>
        <v>177</v>
      </c>
      <c r="B321" s="784">
        <f t="shared" si="70"/>
        <v>17681777.333547626</v>
      </c>
      <c r="C321" s="604">
        <f t="shared" si="71"/>
        <v>131757.33473632587</v>
      </c>
      <c r="D321" s="784">
        <f t="shared" si="72"/>
        <v>63359.61046333392</v>
      </c>
      <c r="E321" s="785">
        <f t="shared" si="73"/>
        <v>68397.724272991938</v>
      </c>
      <c r="F321" s="72">
        <f t="shared" si="83"/>
        <v>177</v>
      </c>
      <c r="G321" s="784">
        <f t="shared" si="74"/>
        <v>10425740.138279088</v>
      </c>
      <c r="H321" s="604">
        <f t="shared" si="75"/>
        <v>68372.658190401169</v>
      </c>
      <c r="I321" s="784">
        <f t="shared" si="76"/>
        <v>21452.444108248208</v>
      </c>
      <c r="J321" s="785">
        <f t="shared" si="77"/>
        <v>46920.214082152961</v>
      </c>
      <c r="K321" s="72">
        <f t="shared" si="84"/>
        <v>177</v>
      </c>
      <c r="L321" s="784">
        <f t="shared" si="78"/>
        <v>28107517.471826714</v>
      </c>
      <c r="M321" s="604">
        <f t="shared" si="79"/>
        <v>200129.99292672705</v>
      </c>
      <c r="N321" s="784">
        <f t="shared" si="80"/>
        <v>84812.054571582121</v>
      </c>
      <c r="O321" s="785">
        <f t="shared" si="81"/>
        <v>115317.9383551449</v>
      </c>
      <c r="P321" s="11"/>
      <c r="Q321" s="11"/>
      <c r="R321" s="11"/>
      <c r="S321" s="11"/>
      <c r="T321" s="11"/>
    </row>
    <row r="322" spans="1:20" x14ac:dyDescent="0.25">
      <c r="A322" s="72">
        <f t="shared" si="82"/>
        <v>178</v>
      </c>
      <c r="B322" s="784">
        <f t="shared" si="70"/>
        <v>17613135.462208342</v>
      </c>
      <c r="C322" s="604">
        <f t="shared" si="71"/>
        <v>131757.33473632587</v>
      </c>
      <c r="D322" s="784">
        <f t="shared" si="72"/>
        <v>63115.463397043102</v>
      </c>
      <c r="E322" s="785">
        <f t="shared" si="73"/>
        <v>68641.871339282763</v>
      </c>
      <c r="F322" s="72">
        <f t="shared" si="83"/>
        <v>178</v>
      </c>
      <c r="G322" s="784">
        <f t="shared" si="74"/>
        <v>10378723.811725387</v>
      </c>
      <c r="H322" s="604">
        <f t="shared" si="75"/>
        <v>68372.658190401169</v>
      </c>
      <c r="I322" s="784">
        <f t="shared" si="76"/>
        <v>21356.331636700565</v>
      </c>
      <c r="J322" s="785">
        <f t="shared" si="77"/>
        <v>47016.326553700608</v>
      </c>
      <c r="K322" s="72">
        <f t="shared" si="84"/>
        <v>178</v>
      </c>
      <c r="L322" s="784">
        <f t="shared" si="78"/>
        <v>27991859.273933731</v>
      </c>
      <c r="M322" s="604">
        <f t="shared" si="79"/>
        <v>200129.99292672705</v>
      </c>
      <c r="N322" s="784">
        <f t="shared" si="80"/>
        <v>84471.795033743663</v>
      </c>
      <c r="O322" s="785">
        <f t="shared" si="81"/>
        <v>115658.19789298337</v>
      </c>
      <c r="P322" s="11"/>
      <c r="Q322" s="11"/>
      <c r="R322" s="11"/>
      <c r="S322" s="11"/>
      <c r="T322" s="11"/>
    </row>
    <row r="323" spans="1:20" x14ac:dyDescent="0.25">
      <c r="A323" s="72">
        <f t="shared" si="82"/>
        <v>179</v>
      </c>
      <c r="B323" s="784">
        <f t="shared" si="70"/>
        <v>17544248.572314855</v>
      </c>
      <c r="C323" s="604">
        <f t="shared" si="71"/>
        <v>131757.33473632587</v>
      </c>
      <c r="D323" s="784">
        <f t="shared" si="72"/>
        <v>62870.444842839315</v>
      </c>
      <c r="E323" s="785">
        <f t="shared" si="73"/>
        <v>68886.889893486543</v>
      </c>
      <c r="F323" s="72">
        <f t="shared" si="83"/>
        <v>179</v>
      </c>
      <c r="G323" s="784">
        <f t="shared" si="74"/>
        <v>10331611.175821088</v>
      </c>
      <c r="H323" s="604">
        <f t="shared" si="75"/>
        <v>68372.658190401169</v>
      </c>
      <c r="I323" s="784">
        <f t="shared" si="76"/>
        <v>21260.022286102652</v>
      </c>
      <c r="J323" s="785">
        <f t="shared" si="77"/>
        <v>47112.635904298513</v>
      </c>
      <c r="K323" s="72">
        <f t="shared" si="84"/>
        <v>179</v>
      </c>
      <c r="L323" s="784">
        <f t="shared" si="78"/>
        <v>27875859.748135943</v>
      </c>
      <c r="M323" s="604">
        <f t="shared" si="79"/>
        <v>200129.99292672705</v>
      </c>
      <c r="N323" s="784">
        <f t="shared" si="80"/>
        <v>84130.467128941964</v>
      </c>
      <c r="O323" s="785">
        <f t="shared" si="81"/>
        <v>115999.52579778506</v>
      </c>
      <c r="P323" s="11"/>
      <c r="Q323" s="11"/>
      <c r="R323" s="11"/>
      <c r="S323" s="11"/>
      <c r="T323" s="11"/>
    </row>
    <row r="324" spans="1:20" x14ac:dyDescent="0.25">
      <c r="A324" s="72">
        <f t="shared" si="82"/>
        <v>180</v>
      </c>
      <c r="B324" s="784">
        <f t="shared" si="70"/>
        <v>17475115.789268456</v>
      </c>
      <c r="C324" s="604">
        <f t="shared" si="71"/>
        <v>131757.33473632587</v>
      </c>
      <c r="D324" s="784">
        <f t="shared" si="72"/>
        <v>62624.551689928754</v>
      </c>
      <c r="E324" s="785">
        <f t="shared" si="73"/>
        <v>69132.783046397119</v>
      </c>
      <c r="F324" s="72">
        <f t="shared" si="83"/>
        <v>180</v>
      </c>
      <c r="G324" s="784">
        <f t="shared" si="74"/>
        <v>10284402.03328385</v>
      </c>
      <c r="H324" s="604">
        <f t="shared" si="75"/>
        <v>68372.658190401169</v>
      </c>
      <c r="I324" s="784">
        <f t="shared" si="76"/>
        <v>21163.515653162787</v>
      </c>
      <c r="J324" s="785">
        <f t="shared" si="77"/>
        <v>47209.142537238382</v>
      </c>
      <c r="K324" s="72">
        <f t="shared" si="84"/>
        <v>180</v>
      </c>
      <c r="L324" s="784">
        <f t="shared" si="78"/>
        <v>27759517.822552308</v>
      </c>
      <c r="M324" s="604">
        <f t="shared" si="79"/>
        <v>200129.99292672705</v>
      </c>
      <c r="N324" s="784">
        <f t="shared" si="80"/>
        <v>83788.067343091534</v>
      </c>
      <c r="O324" s="785">
        <f t="shared" si="81"/>
        <v>116341.9255836355</v>
      </c>
      <c r="P324" s="11"/>
      <c r="Q324" s="11"/>
      <c r="R324" s="11"/>
      <c r="S324" s="11"/>
      <c r="T324" s="11"/>
    </row>
    <row r="325" spans="1:20" x14ac:dyDescent="0.25">
      <c r="A325" s="72">
        <f t="shared" si="82"/>
        <v>181</v>
      </c>
      <c r="B325" s="784">
        <f t="shared" si="70"/>
        <v>17405736.235348545</v>
      </c>
      <c r="C325" s="604">
        <f t="shared" si="71"/>
        <v>131757.33473632587</v>
      </c>
      <c r="D325" s="784">
        <f t="shared" si="72"/>
        <v>62377.780816413564</v>
      </c>
      <c r="E325" s="785">
        <f t="shared" si="73"/>
        <v>69379.553919912301</v>
      </c>
      <c r="F325" s="72">
        <f t="shared" si="83"/>
        <v>181</v>
      </c>
      <c r="G325" s="784">
        <f t="shared" si="74"/>
        <v>10237096.186427211</v>
      </c>
      <c r="H325" s="604">
        <f t="shared" si="75"/>
        <v>68372.658190401169</v>
      </c>
      <c r="I325" s="784">
        <f t="shared" si="76"/>
        <v>21066.811333763173</v>
      </c>
      <c r="J325" s="785">
        <f t="shared" si="77"/>
        <v>47305.846856637996</v>
      </c>
      <c r="K325" s="72">
        <f t="shared" si="84"/>
        <v>181</v>
      </c>
      <c r="L325" s="784">
        <f t="shared" si="78"/>
        <v>27642832.421775758</v>
      </c>
      <c r="M325" s="604">
        <f t="shared" si="79"/>
        <v>200129.99292672705</v>
      </c>
      <c r="N325" s="784">
        <f t="shared" si="80"/>
        <v>83444.59215017673</v>
      </c>
      <c r="O325" s="785">
        <f t="shared" si="81"/>
        <v>116685.40077655029</v>
      </c>
      <c r="P325" s="11"/>
      <c r="Q325" s="11"/>
      <c r="R325" s="11"/>
      <c r="S325" s="11"/>
      <c r="T325" s="11"/>
    </row>
    <row r="326" spans="1:20" x14ac:dyDescent="0.25">
      <c r="A326" s="72">
        <f t="shared" si="82"/>
        <v>182</v>
      </c>
      <c r="B326" s="784">
        <f t="shared" si="70"/>
        <v>17336109.029701471</v>
      </c>
      <c r="C326" s="604">
        <f t="shared" si="71"/>
        <v>131757.33473632587</v>
      </c>
      <c r="D326" s="784">
        <f t="shared" si="72"/>
        <v>62130.129089252223</v>
      </c>
      <c r="E326" s="785">
        <f t="shared" si="73"/>
        <v>69627.205647073642</v>
      </c>
      <c r="F326" s="72">
        <f t="shared" si="83"/>
        <v>182</v>
      </c>
      <c r="G326" s="784">
        <f t="shared" si="74"/>
        <v>10189693.437159769</v>
      </c>
      <c r="H326" s="604">
        <f t="shared" si="75"/>
        <v>68372.658190401169</v>
      </c>
      <c r="I326" s="784">
        <f t="shared" si="76"/>
        <v>20969.908922958206</v>
      </c>
      <c r="J326" s="785">
        <f t="shared" si="77"/>
        <v>47402.749267442967</v>
      </c>
      <c r="K326" s="72">
        <f t="shared" si="84"/>
        <v>182</v>
      </c>
      <c r="L326" s="784">
        <f t="shared" si="78"/>
        <v>27525802.466861241</v>
      </c>
      <c r="M326" s="604">
        <f t="shared" si="79"/>
        <v>200129.99292672705</v>
      </c>
      <c r="N326" s="784">
        <f t="shared" si="80"/>
        <v>83100.038012210425</v>
      </c>
      <c r="O326" s="785">
        <f t="shared" si="81"/>
        <v>117029.95491451661</v>
      </c>
      <c r="P326" s="11"/>
      <c r="Q326" s="11"/>
      <c r="R326" s="11"/>
      <c r="S326" s="11"/>
      <c r="T326" s="11"/>
    </row>
    <row r="327" spans="1:20" x14ac:dyDescent="0.25">
      <c r="A327" s="72">
        <f t="shared" si="82"/>
        <v>183</v>
      </c>
      <c r="B327" s="784">
        <f t="shared" si="70"/>
        <v>17266233.288329367</v>
      </c>
      <c r="C327" s="604">
        <f t="shared" si="71"/>
        <v>131757.33473632587</v>
      </c>
      <c r="D327" s="784">
        <f t="shared" si="72"/>
        <v>61881.593364219734</v>
      </c>
      <c r="E327" s="785">
        <f t="shared" si="73"/>
        <v>69875.741372106131</v>
      </c>
      <c r="F327" s="72">
        <f t="shared" si="83"/>
        <v>183</v>
      </c>
      <c r="G327" s="784">
        <f t="shared" si="74"/>
        <v>10142193.58698434</v>
      </c>
      <c r="H327" s="604">
        <f t="shared" si="75"/>
        <v>68372.658190401169</v>
      </c>
      <c r="I327" s="784">
        <f t="shared" si="76"/>
        <v>20872.808014972794</v>
      </c>
      <c r="J327" s="785">
        <f t="shared" si="77"/>
        <v>47499.850175428379</v>
      </c>
      <c r="K327" s="72">
        <f t="shared" si="84"/>
        <v>183</v>
      </c>
      <c r="L327" s="784">
        <f t="shared" si="78"/>
        <v>27408426.875313707</v>
      </c>
      <c r="M327" s="604">
        <f t="shared" si="79"/>
        <v>200129.99292672705</v>
      </c>
      <c r="N327" s="784">
        <f t="shared" si="80"/>
        <v>82754.401379192524</v>
      </c>
      <c r="O327" s="785">
        <f t="shared" si="81"/>
        <v>117375.59154753451</v>
      </c>
      <c r="P327" s="11"/>
      <c r="Q327" s="11"/>
      <c r="R327" s="11"/>
      <c r="S327" s="11"/>
      <c r="T327" s="11"/>
    </row>
    <row r="328" spans="1:20" x14ac:dyDescent="0.25">
      <c r="A328" s="72">
        <f t="shared" si="82"/>
        <v>184</v>
      </c>
      <c r="B328" s="784">
        <f t="shared" si="70"/>
        <v>17196108.124078907</v>
      </c>
      <c r="C328" s="604">
        <f t="shared" si="71"/>
        <v>131757.33473632587</v>
      </c>
      <c r="D328" s="784">
        <f t="shared" si="72"/>
        <v>61632.170485867748</v>
      </c>
      <c r="E328" s="785">
        <f t="shared" si="73"/>
        <v>70125.164250458125</v>
      </c>
      <c r="F328" s="72">
        <f t="shared" si="83"/>
        <v>184</v>
      </c>
      <c r="G328" s="784">
        <f t="shared" si="74"/>
        <v>10094596.43699714</v>
      </c>
      <c r="H328" s="604">
        <f t="shared" si="75"/>
        <v>68372.658190401169</v>
      </c>
      <c r="I328" s="784">
        <f t="shared" si="76"/>
        <v>20775.508203200628</v>
      </c>
      <c r="J328" s="785">
        <f t="shared" si="77"/>
        <v>47597.149987200537</v>
      </c>
      <c r="K328" s="72">
        <f t="shared" si="84"/>
        <v>184</v>
      </c>
      <c r="L328" s="784">
        <f t="shared" si="78"/>
        <v>27290704.561076045</v>
      </c>
      <c r="M328" s="604">
        <f t="shared" si="79"/>
        <v>200129.99292672705</v>
      </c>
      <c r="N328" s="784">
        <f t="shared" si="80"/>
        <v>82407.678689068372</v>
      </c>
      <c r="O328" s="785">
        <f t="shared" si="81"/>
        <v>117722.31423765866</v>
      </c>
      <c r="P328" s="11"/>
      <c r="Q328" s="11"/>
      <c r="R328" s="11"/>
      <c r="S328" s="11"/>
      <c r="T328" s="11"/>
    </row>
    <row r="329" spans="1:20" x14ac:dyDescent="0.25">
      <c r="A329" s="72">
        <f t="shared" si="82"/>
        <v>185</v>
      </c>
      <c r="B329" s="784">
        <f t="shared" si="70"/>
        <v>17125732.646630067</v>
      </c>
      <c r="C329" s="604">
        <f t="shared" si="71"/>
        <v>131757.33473632587</v>
      </c>
      <c r="D329" s="784">
        <f t="shared" si="72"/>
        <v>61381.857287484454</v>
      </c>
      <c r="E329" s="785">
        <f t="shared" si="73"/>
        <v>70375.477448841411</v>
      </c>
      <c r="F329" s="72">
        <f t="shared" si="83"/>
        <v>185</v>
      </c>
      <c r="G329" s="784">
        <f t="shared" si="74"/>
        <v>10046901.787886942</v>
      </c>
      <c r="H329" s="604">
        <f t="shared" si="75"/>
        <v>68372.658190401169</v>
      </c>
      <c r="I329" s="784">
        <f t="shared" si="76"/>
        <v>20678.009080202515</v>
      </c>
      <c r="J329" s="785">
        <f t="shared" si="77"/>
        <v>47694.649110198654</v>
      </c>
      <c r="K329" s="72">
        <f t="shared" si="84"/>
        <v>185</v>
      </c>
      <c r="L329" s="784">
        <f t="shared" si="78"/>
        <v>27172634.434517011</v>
      </c>
      <c r="M329" s="604">
        <f t="shared" si="79"/>
        <v>200129.99292672705</v>
      </c>
      <c r="N329" s="784">
        <f t="shared" si="80"/>
        <v>82059.866367686976</v>
      </c>
      <c r="O329" s="785">
        <f t="shared" si="81"/>
        <v>118070.12655904007</v>
      </c>
      <c r="P329" s="11"/>
      <c r="Q329" s="11"/>
      <c r="R329" s="11"/>
      <c r="S329" s="11"/>
      <c r="T329" s="11"/>
    </row>
    <row r="330" spans="1:20" x14ac:dyDescent="0.25">
      <c r="A330" s="72">
        <f t="shared" si="82"/>
        <v>186</v>
      </c>
      <c r="B330" s="784">
        <f t="shared" si="70"/>
        <v>17055105.962484796</v>
      </c>
      <c r="C330" s="604">
        <f t="shared" si="71"/>
        <v>131757.33473632587</v>
      </c>
      <c r="D330" s="784">
        <f t="shared" si="72"/>
        <v>61130.650591054437</v>
      </c>
      <c r="E330" s="785">
        <f t="shared" si="73"/>
        <v>70626.684145271429</v>
      </c>
      <c r="F330" s="72">
        <f t="shared" si="83"/>
        <v>186</v>
      </c>
      <c r="G330" s="784">
        <f t="shared" si="74"/>
        <v>9999109.4399342444</v>
      </c>
      <c r="H330" s="604">
        <f t="shared" si="75"/>
        <v>68372.658190401169</v>
      </c>
      <c r="I330" s="784">
        <f t="shared" si="76"/>
        <v>20580.310237704645</v>
      </c>
      <c r="J330" s="785">
        <f t="shared" si="77"/>
        <v>47792.347952696524</v>
      </c>
      <c r="K330" s="72">
        <f t="shared" si="84"/>
        <v>186</v>
      </c>
      <c r="L330" s="784">
        <f t="shared" si="78"/>
        <v>27054215.402419038</v>
      </c>
      <c r="M330" s="604">
        <f t="shared" si="79"/>
        <v>200129.99292672705</v>
      </c>
      <c r="N330" s="784">
        <f t="shared" si="80"/>
        <v>81710.960828759082</v>
      </c>
      <c r="O330" s="785">
        <f t="shared" si="81"/>
        <v>118419.03209796795</v>
      </c>
      <c r="P330" s="11"/>
      <c r="Q330" s="11"/>
      <c r="R330" s="11"/>
      <c r="S330" s="11"/>
      <c r="T330" s="11"/>
    </row>
    <row r="331" spans="1:20" x14ac:dyDescent="0.25">
      <c r="A331" s="72">
        <f t="shared" si="82"/>
        <v>187</v>
      </c>
      <c r="B331" s="784">
        <f t="shared" si="70"/>
        <v>16984227.174955688</v>
      </c>
      <c r="C331" s="604">
        <f t="shared" si="71"/>
        <v>131757.33473632587</v>
      </c>
      <c r="D331" s="784">
        <f t="shared" si="72"/>
        <v>60878.547207218246</v>
      </c>
      <c r="E331" s="785">
        <f t="shared" si="73"/>
        <v>70878.78752910762</v>
      </c>
      <c r="F331" s="72">
        <f t="shared" si="83"/>
        <v>187</v>
      </c>
      <c r="G331" s="784">
        <f t="shared" si="74"/>
        <v>9951219.1930104401</v>
      </c>
      <c r="H331" s="604">
        <f t="shared" si="75"/>
        <v>68372.658190401169</v>
      </c>
      <c r="I331" s="784">
        <f t="shared" si="76"/>
        <v>20482.411266596886</v>
      </c>
      <c r="J331" s="785">
        <f t="shared" si="77"/>
        <v>47890.246923804283</v>
      </c>
      <c r="K331" s="72">
        <f t="shared" si="84"/>
        <v>187</v>
      </c>
      <c r="L331" s="784">
        <f t="shared" si="78"/>
        <v>26935446.36796613</v>
      </c>
      <c r="M331" s="604">
        <f t="shared" si="79"/>
        <v>200129.99292672705</v>
      </c>
      <c r="N331" s="784">
        <f t="shared" si="80"/>
        <v>81360.958473815132</v>
      </c>
      <c r="O331" s="785">
        <f t="shared" si="81"/>
        <v>118769.0344529119</v>
      </c>
      <c r="P331" s="11"/>
      <c r="Q331" s="11"/>
      <c r="R331" s="11"/>
      <c r="S331" s="11"/>
      <c r="T331" s="11"/>
    </row>
    <row r="332" spans="1:20" x14ac:dyDescent="0.25">
      <c r="A332" s="72">
        <f t="shared" si="82"/>
        <v>188</v>
      </c>
      <c r="B332" s="784">
        <f t="shared" si="70"/>
        <v>16913095.384154595</v>
      </c>
      <c r="C332" s="604">
        <f t="shared" si="71"/>
        <v>131757.33473632587</v>
      </c>
      <c r="D332" s="784">
        <f t="shared" si="72"/>
        <v>60625.543935231981</v>
      </c>
      <c r="E332" s="785">
        <f t="shared" si="73"/>
        <v>71131.790801093885</v>
      </c>
      <c r="F332" s="72">
        <f t="shared" si="83"/>
        <v>188</v>
      </c>
      <c r="G332" s="784">
        <f t="shared" si="74"/>
        <v>9903230.8465769701</v>
      </c>
      <c r="H332" s="604">
        <f t="shared" si="75"/>
        <v>68372.658190401169</v>
      </c>
      <c r="I332" s="784">
        <f t="shared" si="76"/>
        <v>20384.311756931085</v>
      </c>
      <c r="J332" s="785">
        <f t="shared" si="77"/>
        <v>47988.346433470084</v>
      </c>
      <c r="K332" s="72">
        <f t="shared" si="84"/>
        <v>188</v>
      </c>
      <c r="L332" s="784">
        <f t="shared" si="78"/>
        <v>26816326.230731566</v>
      </c>
      <c r="M332" s="604">
        <f t="shared" si="79"/>
        <v>200129.99292672705</v>
      </c>
      <c r="N332" s="784">
        <f t="shared" si="80"/>
        <v>81009.855692163066</v>
      </c>
      <c r="O332" s="785">
        <f t="shared" si="81"/>
        <v>119120.13723456397</v>
      </c>
      <c r="P332" s="11"/>
      <c r="Q332" s="11"/>
      <c r="R332" s="11"/>
      <c r="S332" s="11"/>
      <c r="T332" s="11"/>
    </row>
    <row r="333" spans="1:20" x14ac:dyDescent="0.25">
      <c r="A333" s="72">
        <f t="shared" si="82"/>
        <v>189</v>
      </c>
      <c r="B333" s="784">
        <f t="shared" si="70"/>
        <v>16841709.686981197</v>
      </c>
      <c r="C333" s="604">
        <f t="shared" si="71"/>
        <v>131757.33473632587</v>
      </c>
      <c r="D333" s="784">
        <f t="shared" si="72"/>
        <v>60371.637562926604</v>
      </c>
      <c r="E333" s="785">
        <f t="shared" si="73"/>
        <v>71385.697173399269</v>
      </c>
      <c r="F333" s="72">
        <f t="shared" si="83"/>
        <v>189</v>
      </c>
      <c r="G333" s="784">
        <f t="shared" si="74"/>
        <v>9855144.1996844877</v>
      </c>
      <c r="H333" s="604">
        <f t="shared" si="75"/>
        <v>68372.658190401169</v>
      </c>
      <c r="I333" s="784">
        <f t="shared" si="76"/>
        <v>20286.011297919336</v>
      </c>
      <c r="J333" s="785">
        <f t="shared" si="77"/>
        <v>48086.646892481833</v>
      </c>
      <c r="K333" s="72">
        <f t="shared" si="84"/>
        <v>189</v>
      </c>
      <c r="L333" s="784">
        <f t="shared" si="78"/>
        <v>26696853.886665687</v>
      </c>
      <c r="M333" s="604">
        <f t="shared" si="79"/>
        <v>200129.99292672705</v>
      </c>
      <c r="N333" s="784">
        <f t="shared" si="80"/>
        <v>80657.648860845948</v>
      </c>
      <c r="O333" s="785">
        <f t="shared" si="81"/>
        <v>119472.3440658811</v>
      </c>
      <c r="P333" s="11"/>
      <c r="Q333" s="11"/>
      <c r="R333" s="11"/>
      <c r="S333" s="11"/>
      <c r="T333" s="11"/>
    </row>
    <row r="334" spans="1:20" x14ac:dyDescent="0.25">
      <c r="A334" s="72">
        <f t="shared" si="82"/>
        <v>190</v>
      </c>
      <c r="B334" s="784">
        <f t="shared" si="70"/>
        <v>16770069.177111538</v>
      </c>
      <c r="C334" s="604">
        <f t="shared" si="71"/>
        <v>131757.33473632587</v>
      </c>
      <c r="D334" s="784">
        <f t="shared" si="72"/>
        <v>60116.824866667179</v>
      </c>
      <c r="E334" s="785">
        <f t="shared" si="73"/>
        <v>71640.509869658679</v>
      </c>
      <c r="F334" s="72">
        <f t="shared" si="83"/>
        <v>190</v>
      </c>
      <c r="G334" s="784">
        <f t="shared" si="74"/>
        <v>9806959.0509720184</v>
      </c>
      <c r="H334" s="604">
        <f t="shared" si="75"/>
        <v>68372.658190401169</v>
      </c>
      <c r="I334" s="784">
        <f t="shared" si="76"/>
        <v>20187.509477932261</v>
      </c>
      <c r="J334" s="785">
        <f t="shared" si="77"/>
        <v>48185.148712468908</v>
      </c>
      <c r="K334" s="72">
        <f t="shared" si="84"/>
        <v>190</v>
      </c>
      <c r="L334" s="784">
        <f t="shared" si="78"/>
        <v>26577028.228083558</v>
      </c>
      <c r="M334" s="604">
        <f t="shared" si="79"/>
        <v>200129.99292672705</v>
      </c>
      <c r="N334" s="784">
        <f t="shared" si="80"/>
        <v>80304.33434459944</v>
      </c>
      <c r="O334" s="785">
        <f t="shared" si="81"/>
        <v>119825.65858212759</v>
      </c>
      <c r="P334" s="11"/>
      <c r="Q334" s="11"/>
      <c r="R334" s="11"/>
      <c r="S334" s="11"/>
      <c r="T334" s="11"/>
    </row>
    <row r="335" spans="1:20" x14ac:dyDescent="0.25">
      <c r="A335" s="72">
        <f t="shared" si="82"/>
        <v>191</v>
      </c>
      <c r="B335" s="784">
        <f t="shared" si="70"/>
        <v>16698172.944986524</v>
      </c>
      <c r="C335" s="604">
        <f t="shared" si="71"/>
        <v>131757.33473632587</v>
      </c>
      <c r="D335" s="784">
        <f t="shared" si="72"/>
        <v>59861.102611311937</v>
      </c>
      <c r="E335" s="785">
        <f t="shared" si="73"/>
        <v>71896.232125013921</v>
      </c>
      <c r="F335" s="72">
        <f t="shared" si="83"/>
        <v>191</v>
      </c>
      <c r="G335" s="784">
        <f t="shared" si="74"/>
        <v>9758675.1986661144</v>
      </c>
      <c r="H335" s="604">
        <f t="shared" si="75"/>
        <v>68372.658190401169</v>
      </c>
      <c r="I335" s="784">
        <f t="shared" si="76"/>
        <v>20088.805884497302</v>
      </c>
      <c r="J335" s="785">
        <f t="shared" si="77"/>
        <v>48283.852305903871</v>
      </c>
      <c r="K335" s="72">
        <f t="shared" si="84"/>
        <v>191</v>
      </c>
      <c r="L335" s="784">
        <f t="shared" si="78"/>
        <v>26456848.14365264</v>
      </c>
      <c r="M335" s="604">
        <f t="shared" si="79"/>
        <v>200129.99292672705</v>
      </c>
      <c r="N335" s="784">
        <f t="shared" si="80"/>
        <v>79949.908495809243</v>
      </c>
      <c r="O335" s="785">
        <f t="shared" si="81"/>
        <v>120180.08443091779</v>
      </c>
      <c r="P335" s="11"/>
      <c r="Q335" s="11"/>
      <c r="R335" s="11"/>
      <c r="S335" s="11"/>
      <c r="T335" s="11"/>
    </row>
    <row r="336" spans="1:20" x14ac:dyDescent="0.25">
      <c r="A336" s="72">
        <f t="shared" si="82"/>
        <v>192</v>
      </c>
      <c r="B336" s="784">
        <f t="shared" si="70"/>
        <v>16626020.077800369</v>
      </c>
      <c r="C336" s="604">
        <f t="shared" si="71"/>
        <v>131757.33473632587</v>
      </c>
      <c r="D336" s="784">
        <f t="shared" si="72"/>
        <v>59604.467550171219</v>
      </c>
      <c r="E336" s="785">
        <f t="shared" si="73"/>
        <v>72152.867186154646</v>
      </c>
      <c r="F336" s="72">
        <f t="shared" si="83"/>
        <v>192</v>
      </c>
      <c r="G336" s="784">
        <f t="shared" si="74"/>
        <v>9710292.4405800104</v>
      </c>
      <c r="H336" s="604">
        <f t="shared" si="75"/>
        <v>68372.658190401169</v>
      </c>
      <c r="I336" s="784">
        <f t="shared" si="76"/>
        <v>19989.900104296976</v>
      </c>
      <c r="J336" s="785">
        <f t="shared" si="77"/>
        <v>48382.758086104193</v>
      </c>
      <c r="K336" s="72">
        <f t="shared" si="84"/>
        <v>192</v>
      </c>
      <c r="L336" s="784">
        <f t="shared" si="78"/>
        <v>26336312.518380381</v>
      </c>
      <c r="M336" s="604">
        <f t="shared" si="79"/>
        <v>200129.99292672705</v>
      </c>
      <c r="N336" s="784">
        <f t="shared" si="80"/>
        <v>79594.367654468195</v>
      </c>
      <c r="O336" s="785">
        <f t="shared" si="81"/>
        <v>120535.62527225884</v>
      </c>
      <c r="P336" s="11"/>
      <c r="Q336" s="11"/>
      <c r="R336" s="11"/>
      <c r="S336" s="11"/>
      <c r="T336" s="11"/>
    </row>
    <row r="337" spans="1:20" x14ac:dyDescent="0.25">
      <c r="A337" s="72">
        <f t="shared" si="82"/>
        <v>193</v>
      </c>
      <c r="B337" s="784">
        <f t="shared" ref="B337:B400" si="85">B336-E337</f>
        <v>16553609.65948901</v>
      </c>
      <c r="C337" s="604">
        <f t="shared" ref="C337:C400" si="86">-$H$59/12</f>
        <v>131757.33473632587</v>
      </c>
      <c r="D337" s="784">
        <f t="shared" ref="D337:D400" si="87">$H$57/12*B336</f>
        <v>59346.916424966214</v>
      </c>
      <c r="E337" s="785">
        <f t="shared" ref="E337:E400" si="88">C337-D337</f>
        <v>72410.418311359652</v>
      </c>
      <c r="F337" s="72">
        <f t="shared" si="83"/>
        <v>193</v>
      </c>
      <c r="G337" s="784">
        <f t="shared" ref="G337:G400" si="89">G336-J337</f>
        <v>9661810.5741127767</v>
      </c>
      <c r="H337" s="604">
        <f t="shared" ref="H337:H400" si="90">-$H$64/12</f>
        <v>68372.658190401169</v>
      </c>
      <c r="I337" s="784">
        <f t="shared" ref="I337:I400" si="91">$H$62/12*G336</f>
        <v>19890.791723167149</v>
      </c>
      <c r="J337" s="785">
        <f t="shared" ref="J337:J400" si="92">H337-I337</f>
        <v>48481.866467234024</v>
      </c>
      <c r="K337" s="72">
        <f t="shared" si="84"/>
        <v>193</v>
      </c>
      <c r="L337" s="784">
        <f t="shared" ref="L337:L400" si="93">G337+B337</f>
        <v>26215420.233601786</v>
      </c>
      <c r="M337" s="604">
        <f t="shared" ref="M337:M400" si="94">H337+C337</f>
        <v>200129.99292672705</v>
      </c>
      <c r="N337" s="784">
        <f t="shared" ref="N337:N400" si="95">I337+D337</f>
        <v>79237.708148133359</v>
      </c>
      <c r="O337" s="785">
        <f t="shared" ref="O337:O400" si="96">J337+E337</f>
        <v>120892.28477859368</v>
      </c>
      <c r="P337" s="11"/>
      <c r="Q337" s="11"/>
      <c r="R337" s="11"/>
      <c r="S337" s="11"/>
      <c r="T337" s="11"/>
    </row>
    <row r="338" spans="1:20" x14ac:dyDescent="0.25">
      <c r="A338" s="72">
        <f t="shared" ref="A338:A401" si="97">A337+1</f>
        <v>194</v>
      </c>
      <c r="B338" s="784">
        <f t="shared" si="85"/>
        <v>16480940.770718472</v>
      </c>
      <c r="C338" s="604">
        <f t="shared" si="86"/>
        <v>131757.33473632587</v>
      </c>
      <c r="D338" s="784">
        <f t="shared" si="87"/>
        <v>59088.44596578765</v>
      </c>
      <c r="E338" s="785">
        <f t="shared" si="88"/>
        <v>72668.888770538208</v>
      </c>
      <c r="F338" s="72">
        <f t="shared" ref="F338:F401" si="98">F337+1</f>
        <v>194</v>
      </c>
      <c r="G338" s="784">
        <f t="shared" si="89"/>
        <v>9613229.396248471</v>
      </c>
      <c r="H338" s="604">
        <f t="shared" si="90"/>
        <v>68372.658190401169</v>
      </c>
      <c r="I338" s="784">
        <f t="shared" si="91"/>
        <v>19791.480326095309</v>
      </c>
      <c r="J338" s="785">
        <f t="shared" si="92"/>
        <v>48581.177864305864</v>
      </c>
      <c r="K338" s="72">
        <f t="shared" ref="K338:K401" si="99">K337+1</f>
        <v>194</v>
      </c>
      <c r="L338" s="784">
        <f t="shared" si="93"/>
        <v>26094170.166966945</v>
      </c>
      <c r="M338" s="604">
        <f t="shared" si="94"/>
        <v>200129.99292672705</v>
      </c>
      <c r="N338" s="784">
        <f t="shared" si="95"/>
        <v>78879.926291882963</v>
      </c>
      <c r="O338" s="785">
        <f t="shared" si="96"/>
        <v>121250.06663484407</v>
      </c>
      <c r="P338" s="11"/>
      <c r="Q338" s="11"/>
      <c r="R338" s="11"/>
      <c r="S338" s="11"/>
      <c r="T338" s="11"/>
    </row>
    <row r="339" spans="1:20" x14ac:dyDescent="0.25">
      <c r="A339" s="72">
        <f t="shared" si="97"/>
        <v>195</v>
      </c>
      <c r="B339" s="784">
        <f t="shared" si="85"/>
        <v>16408012.4888732</v>
      </c>
      <c r="C339" s="604">
        <f t="shared" si="86"/>
        <v>131757.33473632587</v>
      </c>
      <c r="D339" s="784">
        <f t="shared" si="87"/>
        <v>58829.052891054227</v>
      </c>
      <c r="E339" s="785">
        <f t="shared" si="88"/>
        <v>72928.281845271646</v>
      </c>
      <c r="F339" s="72">
        <f t="shared" si="98"/>
        <v>195</v>
      </c>
      <c r="G339" s="784">
        <f t="shared" si="89"/>
        <v>9564548.7035552878</v>
      </c>
      <c r="H339" s="604">
        <f t="shared" si="90"/>
        <v>68372.658190401169</v>
      </c>
      <c r="I339" s="784">
        <f t="shared" si="91"/>
        <v>19691.965497218815</v>
      </c>
      <c r="J339" s="785">
        <f t="shared" si="92"/>
        <v>48680.692693182355</v>
      </c>
      <c r="K339" s="72">
        <f t="shared" si="99"/>
        <v>195</v>
      </c>
      <c r="L339" s="784">
        <f t="shared" si="93"/>
        <v>25972561.192428488</v>
      </c>
      <c r="M339" s="604">
        <f t="shared" si="94"/>
        <v>200129.99292672705</v>
      </c>
      <c r="N339" s="784">
        <f t="shared" si="95"/>
        <v>78521.018388273049</v>
      </c>
      <c r="O339" s="785">
        <f t="shared" si="96"/>
        <v>121608.974538454</v>
      </c>
      <c r="P339" s="11"/>
      <c r="Q339" s="11"/>
      <c r="R339" s="11"/>
      <c r="S339" s="11"/>
      <c r="T339" s="11"/>
    </row>
    <row r="340" spans="1:20" x14ac:dyDescent="0.25">
      <c r="A340" s="72">
        <f t="shared" si="97"/>
        <v>196</v>
      </c>
      <c r="B340" s="784">
        <f t="shared" si="85"/>
        <v>16334823.888044346</v>
      </c>
      <c r="C340" s="604">
        <f t="shared" si="86"/>
        <v>131757.33473632587</v>
      </c>
      <c r="D340" s="784">
        <f t="shared" si="87"/>
        <v>58568.733907470974</v>
      </c>
      <c r="E340" s="785">
        <f t="shared" si="88"/>
        <v>73188.600828854891</v>
      </c>
      <c r="F340" s="72">
        <f t="shared" si="98"/>
        <v>196</v>
      </c>
      <c r="G340" s="784">
        <f t="shared" si="89"/>
        <v>9515768.2921847105</v>
      </c>
      <c r="H340" s="604">
        <f t="shared" si="90"/>
        <v>68372.658190401169</v>
      </c>
      <c r="I340" s="784">
        <f t="shared" si="91"/>
        <v>19592.246819823162</v>
      </c>
      <c r="J340" s="785">
        <f t="shared" si="92"/>
        <v>48780.411370578004</v>
      </c>
      <c r="K340" s="72">
        <f t="shared" si="99"/>
        <v>196</v>
      </c>
      <c r="L340" s="784">
        <f t="shared" si="93"/>
        <v>25850592.180229057</v>
      </c>
      <c r="M340" s="604">
        <f t="shared" si="94"/>
        <v>200129.99292672705</v>
      </c>
      <c r="N340" s="784">
        <f t="shared" si="95"/>
        <v>78160.98072729414</v>
      </c>
      <c r="O340" s="785">
        <f t="shared" si="96"/>
        <v>121969.01219943289</v>
      </c>
      <c r="P340" s="11"/>
      <c r="Q340" s="11"/>
      <c r="R340" s="11"/>
      <c r="S340" s="11"/>
      <c r="T340" s="11"/>
    </row>
    <row r="341" spans="1:20" x14ac:dyDescent="0.25">
      <c r="A341" s="72">
        <f t="shared" si="97"/>
        <v>197</v>
      </c>
      <c r="B341" s="784">
        <f t="shared" si="85"/>
        <v>16261374.039018007</v>
      </c>
      <c r="C341" s="604">
        <f t="shared" si="86"/>
        <v>131757.33473632587</v>
      </c>
      <c r="D341" s="784">
        <f t="shared" si="87"/>
        <v>58307.48570998745</v>
      </c>
      <c r="E341" s="785">
        <f t="shared" si="88"/>
        <v>73449.849026338416</v>
      </c>
      <c r="F341" s="72">
        <f t="shared" si="98"/>
        <v>197</v>
      </c>
      <c r="G341" s="784">
        <f t="shared" si="89"/>
        <v>9466887.9578706492</v>
      </c>
      <c r="H341" s="604">
        <f t="shared" si="90"/>
        <v>68372.658190401169</v>
      </c>
      <c r="I341" s="784">
        <f t="shared" si="91"/>
        <v>19492.323876340259</v>
      </c>
      <c r="J341" s="785">
        <f t="shared" si="92"/>
        <v>48880.334314060907</v>
      </c>
      <c r="K341" s="72">
        <f t="shared" si="99"/>
        <v>197</v>
      </c>
      <c r="L341" s="784">
        <f t="shared" si="93"/>
        <v>25728261.996888656</v>
      </c>
      <c r="M341" s="604">
        <f t="shared" si="94"/>
        <v>200129.99292672705</v>
      </c>
      <c r="N341" s="784">
        <f t="shared" si="95"/>
        <v>77799.809586327712</v>
      </c>
      <c r="O341" s="785">
        <f t="shared" si="96"/>
        <v>122330.18334039932</v>
      </c>
      <c r="P341" s="11"/>
      <c r="Q341" s="11"/>
      <c r="R341" s="11"/>
      <c r="S341" s="11"/>
      <c r="T341" s="11"/>
    </row>
    <row r="342" spans="1:20" x14ac:dyDescent="0.25">
      <c r="A342" s="72">
        <f t="shared" si="97"/>
        <v>198</v>
      </c>
      <c r="B342" s="784">
        <f t="shared" si="85"/>
        <v>16187662.009263437</v>
      </c>
      <c r="C342" s="604">
        <f t="shared" si="86"/>
        <v>131757.33473632587</v>
      </c>
      <c r="D342" s="784">
        <f t="shared" si="87"/>
        <v>58045.304981755755</v>
      </c>
      <c r="E342" s="785">
        <f t="shared" si="88"/>
        <v>73712.029754570103</v>
      </c>
      <c r="F342" s="72">
        <f t="shared" si="98"/>
        <v>198</v>
      </c>
      <c r="G342" s="784">
        <f t="shared" si="89"/>
        <v>9417907.4959285948</v>
      </c>
      <c r="H342" s="604">
        <f t="shared" si="90"/>
        <v>68372.658190401169</v>
      </c>
      <c r="I342" s="784">
        <f t="shared" si="91"/>
        <v>19392.196248346623</v>
      </c>
      <c r="J342" s="785">
        <f t="shared" si="92"/>
        <v>48980.46194205455</v>
      </c>
      <c r="K342" s="72">
        <f t="shared" si="99"/>
        <v>198</v>
      </c>
      <c r="L342" s="784">
        <f t="shared" si="93"/>
        <v>25605569.505192034</v>
      </c>
      <c r="M342" s="604">
        <f t="shared" si="94"/>
        <v>200129.99292672705</v>
      </c>
      <c r="N342" s="784">
        <f t="shared" si="95"/>
        <v>77437.501230102382</v>
      </c>
      <c r="O342" s="785">
        <f t="shared" si="96"/>
        <v>122692.49169662465</v>
      </c>
      <c r="P342" s="11"/>
      <c r="Q342" s="11"/>
      <c r="R342" s="11"/>
      <c r="S342" s="11"/>
      <c r="T342" s="11"/>
    </row>
    <row r="343" spans="1:20" x14ac:dyDescent="0.25">
      <c r="A343" s="72">
        <f t="shared" si="97"/>
        <v>199</v>
      </c>
      <c r="B343" s="784">
        <f t="shared" si="85"/>
        <v>16113686.862921201</v>
      </c>
      <c r="C343" s="604">
        <f t="shared" si="86"/>
        <v>131757.33473632587</v>
      </c>
      <c r="D343" s="784">
        <f t="shared" si="87"/>
        <v>57782.188394088444</v>
      </c>
      <c r="E343" s="785">
        <f t="shared" si="88"/>
        <v>73975.146342237422</v>
      </c>
      <c r="F343" s="72">
        <f t="shared" si="98"/>
        <v>199</v>
      </c>
      <c r="G343" s="784">
        <f t="shared" si="89"/>
        <v>9368826.7012547553</v>
      </c>
      <c r="H343" s="604">
        <f t="shared" si="90"/>
        <v>68372.658190401169</v>
      </c>
      <c r="I343" s="784">
        <f t="shared" si="91"/>
        <v>19291.863516561698</v>
      </c>
      <c r="J343" s="785">
        <f t="shared" si="92"/>
        <v>49080.794673839468</v>
      </c>
      <c r="K343" s="72">
        <f t="shared" si="99"/>
        <v>199</v>
      </c>
      <c r="L343" s="784">
        <f t="shared" si="93"/>
        <v>25482513.564175956</v>
      </c>
      <c r="M343" s="604">
        <f t="shared" si="94"/>
        <v>200129.99292672705</v>
      </c>
      <c r="N343" s="784">
        <f t="shared" si="95"/>
        <v>77074.051910650145</v>
      </c>
      <c r="O343" s="785">
        <f t="shared" si="96"/>
        <v>123055.94101607689</v>
      </c>
      <c r="P343" s="11"/>
      <c r="Q343" s="11"/>
      <c r="R343" s="11"/>
      <c r="S343" s="11"/>
      <c r="T343" s="11"/>
    </row>
    <row r="344" spans="1:20" x14ac:dyDescent="0.25">
      <c r="A344" s="72">
        <f t="shared" si="97"/>
        <v>200</v>
      </c>
      <c r="B344" s="784">
        <f t="shared" si="85"/>
        <v>16039447.660791291</v>
      </c>
      <c r="C344" s="604">
        <f t="shared" si="86"/>
        <v>131757.33473632587</v>
      </c>
      <c r="D344" s="784">
        <f t="shared" si="87"/>
        <v>57518.132606416242</v>
      </c>
      <c r="E344" s="785">
        <f t="shared" si="88"/>
        <v>74239.202129909623</v>
      </c>
      <c r="F344" s="72">
        <f t="shared" si="98"/>
        <v>200</v>
      </c>
      <c r="G344" s="784">
        <f t="shared" si="89"/>
        <v>9319645.3683251999</v>
      </c>
      <c r="H344" s="604">
        <f t="shared" si="90"/>
        <v>68372.658190401169</v>
      </c>
      <c r="I344" s="784">
        <f t="shared" si="91"/>
        <v>19191.325260846039</v>
      </c>
      <c r="J344" s="785">
        <f t="shared" si="92"/>
        <v>49181.33292955513</v>
      </c>
      <c r="K344" s="72">
        <f t="shared" si="99"/>
        <v>200</v>
      </c>
      <c r="L344" s="784">
        <f t="shared" si="93"/>
        <v>25359093.029116489</v>
      </c>
      <c r="M344" s="604">
        <f t="shared" si="94"/>
        <v>200129.99292672705</v>
      </c>
      <c r="N344" s="784">
        <f t="shared" si="95"/>
        <v>76709.457867262274</v>
      </c>
      <c r="O344" s="785">
        <f t="shared" si="96"/>
        <v>123420.53505946475</v>
      </c>
      <c r="P344" s="11"/>
      <c r="Q344" s="11"/>
      <c r="R344" s="11"/>
      <c r="S344" s="11"/>
      <c r="T344" s="11"/>
    </row>
    <row r="345" spans="1:20" x14ac:dyDescent="0.25">
      <c r="A345" s="72">
        <f t="shared" si="97"/>
        <v>201</v>
      </c>
      <c r="B345" s="784">
        <f t="shared" si="85"/>
        <v>15964943.46032121</v>
      </c>
      <c r="C345" s="604">
        <f t="shared" si="86"/>
        <v>131757.33473632587</v>
      </c>
      <c r="D345" s="784">
        <f t="shared" si="87"/>
        <v>57253.134266245659</v>
      </c>
      <c r="E345" s="785">
        <f t="shared" si="88"/>
        <v>74504.200470080206</v>
      </c>
      <c r="F345" s="72">
        <f t="shared" si="98"/>
        <v>201</v>
      </c>
      <c r="G345" s="784">
        <f t="shared" si="89"/>
        <v>9270363.2911949977</v>
      </c>
      <c r="H345" s="604">
        <f t="shared" si="90"/>
        <v>68372.658190401169</v>
      </c>
      <c r="I345" s="784">
        <f t="shared" si="91"/>
        <v>19090.581060199584</v>
      </c>
      <c r="J345" s="785">
        <f t="shared" si="92"/>
        <v>49282.077130201586</v>
      </c>
      <c r="K345" s="72">
        <f t="shared" si="99"/>
        <v>201</v>
      </c>
      <c r="L345" s="784">
        <f t="shared" si="93"/>
        <v>25235306.751516208</v>
      </c>
      <c r="M345" s="604">
        <f t="shared" si="94"/>
        <v>200129.99292672705</v>
      </c>
      <c r="N345" s="784">
        <f t="shared" si="95"/>
        <v>76343.715326445235</v>
      </c>
      <c r="O345" s="785">
        <f t="shared" si="96"/>
        <v>123786.27760028178</v>
      </c>
      <c r="P345" s="11"/>
      <c r="Q345" s="11"/>
      <c r="R345" s="11"/>
      <c r="S345" s="11"/>
      <c r="T345" s="11"/>
    </row>
    <row r="346" spans="1:20" x14ac:dyDescent="0.25">
      <c r="A346" s="72">
        <f t="shared" si="97"/>
        <v>202</v>
      </c>
      <c r="B346" s="784">
        <f t="shared" si="85"/>
        <v>15890173.315594001</v>
      </c>
      <c r="C346" s="604">
        <f t="shared" si="86"/>
        <v>131757.33473632587</v>
      </c>
      <c r="D346" s="784">
        <f t="shared" si="87"/>
        <v>56987.190009116399</v>
      </c>
      <c r="E346" s="785">
        <f t="shared" si="88"/>
        <v>74770.144727209467</v>
      </c>
      <c r="F346" s="72">
        <f t="shared" si="98"/>
        <v>202</v>
      </c>
      <c r="G346" s="784">
        <f t="shared" si="89"/>
        <v>9220980.2634973563</v>
      </c>
      <c r="H346" s="604">
        <f t="shared" si="90"/>
        <v>68372.658190401169</v>
      </c>
      <c r="I346" s="784">
        <f t="shared" si="91"/>
        <v>18989.630492759894</v>
      </c>
      <c r="J346" s="785">
        <f t="shared" si="92"/>
        <v>49383.027697641272</v>
      </c>
      <c r="K346" s="72">
        <f t="shared" si="99"/>
        <v>202</v>
      </c>
      <c r="L346" s="784">
        <f t="shared" si="93"/>
        <v>25111153.579091355</v>
      </c>
      <c r="M346" s="604">
        <f t="shared" si="94"/>
        <v>200129.99292672705</v>
      </c>
      <c r="N346" s="784">
        <f t="shared" si="95"/>
        <v>75976.820501876296</v>
      </c>
      <c r="O346" s="785">
        <f t="shared" si="96"/>
        <v>124153.17242485074</v>
      </c>
      <c r="P346" s="11"/>
      <c r="Q346" s="11"/>
      <c r="R346" s="11"/>
      <c r="S346" s="11"/>
      <c r="T346" s="11"/>
    </row>
    <row r="347" spans="1:20" x14ac:dyDescent="0.25">
      <c r="A347" s="72">
        <f t="shared" si="97"/>
        <v>203</v>
      </c>
      <c r="B347" s="784">
        <f t="shared" si="85"/>
        <v>15815136.277316233</v>
      </c>
      <c r="C347" s="604">
        <f t="shared" si="86"/>
        <v>131757.33473632587</v>
      </c>
      <c r="D347" s="784">
        <f t="shared" si="87"/>
        <v>56720.29645855866</v>
      </c>
      <c r="E347" s="785">
        <f t="shared" si="88"/>
        <v>75037.038277767206</v>
      </c>
      <c r="F347" s="72">
        <f t="shared" si="98"/>
        <v>203</v>
      </c>
      <c r="G347" s="784">
        <f t="shared" si="89"/>
        <v>9171496.0784427561</v>
      </c>
      <c r="H347" s="604">
        <f t="shared" si="90"/>
        <v>68372.658190401169</v>
      </c>
      <c r="I347" s="784">
        <f t="shared" si="91"/>
        <v>18888.473135800363</v>
      </c>
      <c r="J347" s="785">
        <f t="shared" si="92"/>
        <v>49484.185054600806</v>
      </c>
      <c r="K347" s="72">
        <f t="shared" si="99"/>
        <v>203</v>
      </c>
      <c r="L347" s="784">
        <f t="shared" si="93"/>
        <v>24986632.355758987</v>
      </c>
      <c r="M347" s="604">
        <f t="shared" si="94"/>
        <v>200129.99292672705</v>
      </c>
      <c r="N347" s="784">
        <f t="shared" si="95"/>
        <v>75608.769594359022</v>
      </c>
      <c r="O347" s="785">
        <f t="shared" si="96"/>
        <v>124521.22333236801</v>
      </c>
      <c r="P347" s="11"/>
      <c r="Q347" s="11"/>
      <c r="R347" s="11"/>
      <c r="S347" s="11"/>
      <c r="T347" s="11"/>
    </row>
    <row r="348" spans="1:20" x14ac:dyDescent="0.25">
      <c r="A348" s="72">
        <f t="shared" si="97"/>
        <v>204</v>
      </c>
      <c r="B348" s="784">
        <f t="shared" si="85"/>
        <v>15739831.392805958</v>
      </c>
      <c r="C348" s="604">
        <f t="shared" si="86"/>
        <v>131757.33473632587</v>
      </c>
      <c r="D348" s="784">
        <f t="shared" si="87"/>
        <v>56452.45022605027</v>
      </c>
      <c r="E348" s="785">
        <f t="shared" si="88"/>
        <v>75304.884510275588</v>
      </c>
      <c r="F348" s="72">
        <f t="shared" si="98"/>
        <v>204</v>
      </c>
      <c r="G348" s="784">
        <f t="shared" si="89"/>
        <v>9121910.5288180839</v>
      </c>
      <c r="H348" s="604">
        <f t="shared" si="90"/>
        <v>68372.658190401169</v>
      </c>
      <c r="I348" s="784">
        <f t="shared" si="91"/>
        <v>18787.108565728471</v>
      </c>
      <c r="J348" s="785">
        <f t="shared" si="92"/>
        <v>49585.549624672698</v>
      </c>
      <c r="K348" s="72">
        <f t="shared" si="99"/>
        <v>204</v>
      </c>
      <c r="L348" s="784">
        <f t="shared" si="93"/>
        <v>24861741.921624042</v>
      </c>
      <c r="M348" s="604">
        <f t="shared" si="94"/>
        <v>200129.99292672705</v>
      </c>
      <c r="N348" s="784">
        <f t="shared" si="95"/>
        <v>75239.558791778749</v>
      </c>
      <c r="O348" s="785">
        <f t="shared" si="96"/>
        <v>124890.43413494829</v>
      </c>
      <c r="P348" s="11"/>
      <c r="Q348" s="11"/>
      <c r="R348" s="11"/>
      <c r="S348" s="11"/>
      <c r="T348" s="11"/>
    </row>
    <row r="349" spans="1:20" x14ac:dyDescent="0.25">
      <c r="A349" s="72">
        <f t="shared" si="97"/>
        <v>205</v>
      </c>
      <c r="B349" s="784">
        <f t="shared" si="85"/>
        <v>15664257.705980606</v>
      </c>
      <c r="C349" s="604">
        <f t="shared" si="86"/>
        <v>131757.33473632587</v>
      </c>
      <c r="D349" s="784">
        <f t="shared" si="87"/>
        <v>56183.647910973654</v>
      </c>
      <c r="E349" s="785">
        <f t="shared" si="88"/>
        <v>75573.686825352212</v>
      </c>
      <c r="F349" s="72">
        <f t="shared" si="98"/>
        <v>205</v>
      </c>
      <c r="G349" s="784">
        <f t="shared" si="89"/>
        <v>9072223.4069857672</v>
      </c>
      <c r="H349" s="604">
        <f t="shared" si="90"/>
        <v>68372.658190401169</v>
      </c>
      <c r="I349" s="784">
        <f t="shared" si="91"/>
        <v>18685.536358084002</v>
      </c>
      <c r="J349" s="785">
        <f t="shared" si="92"/>
        <v>49687.121832317163</v>
      </c>
      <c r="K349" s="72">
        <f t="shared" si="99"/>
        <v>205</v>
      </c>
      <c r="L349" s="784">
        <f t="shared" si="93"/>
        <v>24736481.112966374</v>
      </c>
      <c r="M349" s="604">
        <f t="shared" si="94"/>
        <v>200129.99292672705</v>
      </c>
      <c r="N349" s="784">
        <f t="shared" si="95"/>
        <v>74869.18426905766</v>
      </c>
      <c r="O349" s="785">
        <f t="shared" si="96"/>
        <v>125260.80865766937</v>
      </c>
      <c r="P349" s="11"/>
      <c r="Q349" s="11"/>
      <c r="R349" s="11"/>
      <c r="S349" s="11"/>
      <c r="T349" s="11"/>
    </row>
    <row r="350" spans="1:20" x14ac:dyDescent="0.25">
      <c r="A350" s="72">
        <f t="shared" si="97"/>
        <v>206</v>
      </c>
      <c r="B350" s="784">
        <f t="shared" si="85"/>
        <v>15588414.257344853</v>
      </c>
      <c r="C350" s="604">
        <f t="shared" si="86"/>
        <v>131757.33473632587</v>
      </c>
      <c r="D350" s="784">
        <f t="shared" si="87"/>
        <v>55913.886100572658</v>
      </c>
      <c r="E350" s="785">
        <f t="shared" si="88"/>
        <v>75843.448635753215</v>
      </c>
      <c r="F350" s="72">
        <f t="shared" si="98"/>
        <v>206</v>
      </c>
      <c r="G350" s="784">
        <f t="shared" si="89"/>
        <v>9022434.5048829038</v>
      </c>
      <c r="H350" s="604">
        <f t="shared" si="90"/>
        <v>68372.658190401169</v>
      </c>
      <c r="I350" s="784">
        <f t="shared" si="91"/>
        <v>18583.756087537258</v>
      </c>
      <c r="J350" s="785">
        <f t="shared" si="92"/>
        <v>49788.902102863911</v>
      </c>
      <c r="K350" s="72">
        <f t="shared" si="99"/>
        <v>206</v>
      </c>
      <c r="L350" s="784">
        <f t="shared" si="93"/>
        <v>24610848.762227759</v>
      </c>
      <c r="M350" s="604">
        <f t="shared" si="94"/>
        <v>200129.99292672705</v>
      </c>
      <c r="N350" s="784">
        <f t="shared" si="95"/>
        <v>74497.642188109923</v>
      </c>
      <c r="O350" s="785">
        <f t="shared" si="96"/>
        <v>125632.35073861713</v>
      </c>
      <c r="P350" s="11"/>
      <c r="Q350" s="11"/>
      <c r="R350" s="11"/>
      <c r="S350" s="11"/>
      <c r="T350" s="11"/>
    </row>
    <row r="351" spans="1:20" x14ac:dyDescent="0.25">
      <c r="A351" s="72">
        <f t="shared" si="97"/>
        <v>207</v>
      </c>
      <c r="B351" s="784">
        <f t="shared" si="85"/>
        <v>15512300.083978437</v>
      </c>
      <c r="C351" s="604">
        <f t="shared" si="86"/>
        <v>131757.33473632587</v>
      </c>
      <c r="D351" s="784">
        <f t="shared" si="87"/>
        <v>55643.161369909234</v>
      </c>
      <c r="E351" s="785">
        <f t="shared" si="88"/>
        <v>76114.173366416624</v>
      </c>
      <c r="F351" s="72">
        <f t="shared" si="98"/>
        <v>207</v>
      </c>
      <c r="G351" s="784">
        <f t="shared" si="89"/>
        <v>8972543.6140203904</v>
      </c>
      <c r="H351" s="604">
        <f t="shared" si="90"/>
        <v>68372.658190401169</v>
      </c>
      <c r="I351" s="784">
        <f t="shared" si="91"/>
        <v>18481.76732788729</v>
      </c>
      <c r="J351" s="785">
        <f t="shared" si="92"/>
        <v>49890.890862513879</v>
      </c>
      <c r="K351" s="72">
        <f t="shared" si="99"/>
        <v>207</v>
      </c>
      <c r="L351" s="784">
        <f t="shared" si="93"/>
        <v>24484843.697998829</v>
      </c>
      <c r="M351" s="604">
        <f t="shared" si="94"/>
        <v>200129.99292672705</v>
      </c>
      <c r="N351" s="784">
        <f t="shared" si="95"/>
        <v>74124.928697796524</v>
      </c>
      <c r="O351" s="785">
        <f t="shared" si="96"/>
        <v>126005.06422893051</v>
      </c>
      <c r="P351" s="11"/>
      <c r="Q351" s="11"/>
      <c r="R351" s="11"/>
      <c r="S351" s="11"/>
      <c r="T351" s="11"/>
    </row>
    <row r="352" spans="1:20" x14ac:dyDescent="0.25">
      <c r="A352" s="72">
        <f t="shared" si="97"/>
        <v>208</v>
      </c>
      <c r="B352" s="784">
        <f t="shared" si="85"/>
        <v>15435914.219523931</v>
      </c>
      <c r="C352" s="604">
        <f t="shared" si="86"/>
        <v>131757.33473632587</v>
      </c>
      <c r="D352" s="784">
        <f t="shared" si="87"/>
        <v>55371.470281819937</v>
      </c>
      <c r="E352" s="785">
        <f t="shared" si="88"/>
        <v>76385.864454505936</v>
      </c>
      <c r="F352" s="72">
        <f t="shared" si="98"/>
        <v>208</v>
      </c>
      <c r="G352" s="784">
        <f t="shared" si="89"/>
        <v>8922550.5254820492</v>
      </c>
      <c r="H352" s="604">
        <f t="shared" si="90"/>
        <v>68372.658190401169</v>
      </c>
      <c r="I352" s="784">
        <f t="shared" si="91"/>
        <v>18379.569652060109</v>
      </c>
      <c r="J352" s="785">
        <f t="shared" si="92"/>
        <v>49993.088538341064</v>
      </c>
      <c r="K352" s="72">
        <f t="shared" si="99"/>
        <v>208</v>
      </c>
      <c r="L352" s="784">
        <f t="shared" si="93"/>
        <v>24358464.74500598</v>
      </c>
      <c r="M352" s="604">
        <f t="shared" si="94"/>
        <v>200129.99292672705</v>
      </c>
      <c r="N352" s="784">
        <f t="shared" si="95"/>
        <v>73751.039933880049</v>
      </c>
      <c r="O352" s="785">
        <f t="shared" si="96"/>
        <v>126378.952992847</v>
      </c>
      <c r="P352" s="11"/>
      <c r="Q352" s="11"/>
      <c r="R352" s="11"/>
      <c r="S352" s="11"/>
      <c r="T352" s="11"/>
    </row>
    <row r="353" spans="1:20" x14ac:dyDescent="0.25">
      <c r="A353" s="72">
        <f t="shared" si="97"/>
        <v>209</v>
      </c>
      <c r="B353" s="784">
        <f t="shared" si="85"/>
        <v>15359255.694174478</v>
      </c>
      <c r="C353" s="604">
        <f t="shared" si="86"/>
        <v>131757.33473632587</v>
      </c>
      <c r="D353" s="784">
        <f t="shared" si="87"/>
        <v>55098.809386872301</v>
      </c>
      <c r="E353" s="785">
        <f t="shared" si="88"/>
        <v>76658.525349453557</v>
      </c>
      <c r="F353" s="72">
        <f t="shared" si="98"/>
        <v>209</v>
      </c>
      <c r="G353" s="784">
        <f t="shared" si="89"/>
        <v>8872455.0299237557</v>
      </c>
      <c r="H353" s="604">
        <f t="shared" si="90"/>
        <v>68372.658190401169</v>
      </c>
      <c r="I353" s="784">
        <f t="shared" si="91"/>
        <v>18277.162632106898</v>
      </c>
      <c r="J353" s="785">
        <f t="shared" si="92"/>
        <v>50095.495558294271</v>
      </c>
      <c r="K353" s="72">
        <f t="shared" si="99"/>
        <v>209</v>
      </c>
      <c r="L353" s="784">
        <f t="shared" si="93"/>
        <v>24231710.724098235</v>
      </c>
      <c r="M353" s="604">
        <f t="shared" si="94"/>
        <v>200129.99292672705</v>
      </c>
      <c r="N353" s="784">
        <f t="shared" si="95"/>
        <v>73375.972018979199</v>
      </c>
      <c r="O353" s="785">
        <f t="shared" si="96"/>
        <v>126754.02090774782</v>
      </c>
      <c r="P353" s="11"/>
      <c r="Q353" s="11"/>
      <c r="R353" s="11"/>
      <c r="S353" s="11"/>
      <c r="T353" s="11"/>
    </row>
    <row r="354" spans="1:20" x14ac:dyDescent="0.25">
      <c r="A354" s="72">
        <f t="shared" si="97"/>
        <v>210</v>
      </c>
      <c r="B354" s="784">
        <f t="shared" si="85"/>
        <v>15282323.534661474</v>
      </c>
      <c r="C354" s="604">
        <f t="shared" si="86"/>
        <v>131757.33473632587</v>
      </c>
      <c r="D354" s="784">
        <f t="shared" si="87"/>
        <v>54825.175223321057</v>
      </c>
      <c r="E354" s="785">
        <f t="shared" si="88"/>
        <v>76932.159513004808</v>
      </c>
      <c r="F354" s="72">
        <f t="shared" si="98"/>
        <v>210</v>
      </c>
      <c r="G354" s="784">
        <f t="shared" si="89"/>
        <v>8822256.9175725561</v>
      </c>
      <c r="H354" s="604">
        <f t="shared" si="90"/>
        <v>68372.658190401169</v>
      </c>
      <c r="I354" s="784">
        <f t="shared" si="91"/>
        <v>18174.545839202219</v>
      </c>
      <c r="J354" s="785">
        <f t="shared" si="92"/>
        <v>50198.11235119895</v>
      </c>
      <c r="K354" s="72">
        <f t="shared" si="99"/>
        <v>210</v>
      </c>
      <c r="L354" s="784">
        <f t="shared" si="93"/>
        <v>24104580.45223403</v>
      </c>
      <c r="M354" s="604">
        <f t="shared" si="94"/>
        <v>200129.99292672705</v>
      </c>
      <c r="N354" s="784">
        <f t="shared" si="95"/>
        <v>72999.721062523284</v>
      </c>
      <c r="O354" s="785">
        <f t="shared" si="96"/>
        <v>127130.27186420377</v>
      </c>
      <c r="P354" s="11"/>
      <c r="Q354" s="11"/>
      <c r="R354" s="11"/>
      <c r="S354" s="11"/>
      <c r="T354" s="11"/>
    </row>
    <row r="355" spans="1:20" x14ac:dyDescent="0.25">
      <c r="A355" s="72">
        <f t="shared" si="97"/>
        <v>211</v>
      </c>
      <c r="B355" s="784">
        <f t="shared" si="85"/>
        <v>15205116.764242211</v>
      </c>
      <c r="C355" s="604">
        <f t="shared" si="86"/>
        <v>131757.33473632587</v>
      </c>
      <c r="D355" s="784">
        <f t="shared" si="87"/>
        <v>54550.564317064142</v>
      </c>
      <c r="E355" s="785">
        <f t="shared" si="88"/>
        <v>77206.770419261724</v>
      </c>
      <c r="F355" s="72">
        <f t="shared" si="98"/>
        <v>211</v>
      </c>
      <c r="G355" s="784">
        <f t="shared" si="89"/>
        <v>8771955.9782257974</v>
      </c>
      <c r="H355" s="604">
        <f t="shared" si="90"/>
        <v>68372.658190401169</v>
      </c>
      <c r="I355" s="784">
        <f t="shared" si="91"/>
        <v>18071.718843642215</v>
      </c>
      <c r="J355" s="785">
        <f t="shared" si="92"/>
        <v>50300.939346758954</v>
      </c>
      <c r="K355" s="72">
        <f t="shared" si="99"/>
        <v>211</v>
      </c>
      <c r="L355" s="784">
        <f t="shared" si="93"/>
        <v>23977072.742468007</v>
      </c>
      <c r="M355" s="604">
        <f t="shared" si="94"/>
        <v>200129.99292672705</v>
      </c>
      <c r="N355" s="784">
        <f t="shared" si="95"/>
        <v>72622.283160706356</v>
      </c>
      <c r="O355" s="785">
        <f t="shared" si="96"/>
        <v>127507.70976602068</v>
      </c>
      <c r="P355" s="11"/>
      <c r="Q355" s="11"/>
      <c r="R355" s="11"/>
      <c r="S355" s="11"/>
      <c r="T355" s="11"/>
    </row>
    <row r="356" spans="1:20" x14ac:dyDescent="0.25">
      <c r="A356" s="72">
        <f t="shared" si="97"/>
        <v>212</v>
      </c>
      <c r="B356" s="784">
        <f t="shared" si="85"/>
        <v>15127634.402687484</v>
      </c>
      <c r="C356" s="604">
        <f t="shared" si="86"/>
        <v>131757.33473632587</v>
      </c>
      <c r="D356" s="784">
        <f t="shared" si="87"/>
        <v>54274.973181598623</v>
      </c>
      <c r="E356" s="785">
        <f t="shared" si="88"/>
        <v>77482.361554727249</v>
      </c>
      <c r="F356" s="72">
        <f t="shared" si="98"/>
        <v>212</v>
      </c>
      <c r="G356" s="784">
        <f t="shared" si="89"/>
        <v>8721552.0012502391</v>
      </c>
      <c r="H356" s="604">
        <f t="shared" si="90"/>
        <v>68372.658190401169</v>
      </c>
      <c r="I356" s="784">
        <f t="shared" si="91"/>
        <v>17968.681214842822</v>
      </c>
      <c r="J356" s="785">
        <f t="shared" si="92"/>
        <v>50403.976975558347</v>
      </c>
      <c r="K356" s="72">
        <f t="shared" si="99"/>
        <v>212</v>
      </c>
      <c r="L356" s="784">
        <f t="shared" si="93"/>
        <v>23849186.403937723</v>
      </c>
      <c r="M356" s="604">
        <f t="shared" si="94"/>
        <v>200129.99292672705</v>
      </c>
      <c r="N356" s="784">
        <f t="shared" si="95"/>
        <v>72243.654396441445</v>
      </c>
      <c r="O356" s="785">
        <f t="shared" si="96"/>
        <v>127886.3385302856</v>
      </c>
      <c r="P356" s="11"/>
      <c r="Q356" s="11"/>
      <c r="R356" s="11"/>
      <c r="S356" s="11"/>
      <c r="T356" s="11"/>
    </row>
    <row r="357" spans="1:20" x14ac:dyDescent="0.25">
      <c r="A357" s="72">
        <f t="shared" si="97"/>
        <v>213</v>
      </c>
      <c r="B357" s="784">
        <f t="shared" si="85"/>
        <v>15049875.466269135</v>
      </c>
      <c r="C357" s="604">
        <f t="shared" si="86"/>
        <v>131757.33473632587</v>
      </c>
      <c r="D357" s="784">
        <f t="shared" si="87"/>
        <v>53998.398317976433</v>
      </c>
      <c r="E357" s="785">
        <f t="shared" si="88"/>
        <v>77758.936418349433</v>
      </c>
      <c r="F357" s="72">
        <f t="shared" si="98"/>
        <v>213</v>
      </c>
      <c r="G357" s="784">
        <f t="shared" si="89"/>
        <v>8671044.7755811755</v>
      </c>
      <c r="H357" s="604">
        <f t="shared" si="90"/>
        <v>68372.658190401169</v>
      </c>
      <c r="I357" s="784">
        <f t="shared" si="91"/>
        <v>17865.432521337949</v>
      </c>
      <c r="J357" s="785">
        <f t="shared" si="92"/>
        <v>50507.22566906322</v>
      </c>
      <c r="K357" s="72">
        <f t="shared" si="99"/>
        <v>213</v>
      </c>
      <c r="L357" s="784">
        <f t="shared" si="93"/>
        <v>23720920.241850309</v>
      </c>
      <c r="M357" s="604">
        <f t="shared" si="94"/>
        <v>200129.99292672705</v>
      </c>
      <c r="N357" s="784">
        <f t="shared" si="95"/>
        <v>71863.830839314382</v>
      </c>
      <c r="O357" s="785">
        <f t="shared" si="96"/>
        <v>128266.16208741265</v>
      </c>
      <c r="P357" s="11"/>
      <c r="Q357" s="11"/>
      <c r="R357" s="11"/>
      <c r="S357" s="11"/>
      <c r="T357" s="11"/>
    </row>
    <row r="358" spans="1:20" x14ac:dyDescent="0.25">
      <c r="A358" s="72">
        <f t="shared" si="97"/>
        <v>214</v>
      </c>
      <c r="B358" s="784">
        <f t="shared" si="85"/>
        <v>14971838.967747569</v>
      </c>
      <c r="C358" s="604">
        <f t="shared" si="86"/>
        <v>131757.33473632587</v>
      </c>
      <c r="D358" s="784">
        <f t="shared" si="87"/>
        <v>53720.836214759933</v>
      </c>
      <c r="E358" s="785">
        <f t="shared" si="88"/>
        <v>78036.498521565925</v>
      </c>
      <c r="F358" s="72">
        <f t="shared" si="98"/>
        <v>214</v>
      </c>
      <c r="G358" s="784">
        <f t="shared" si="89"/>
        <v>8620434.0897215512</v>
      </c>
      <c r="H358" s="604">
        <f t="shared" si="90"/>
        <v>68372.658190401169</v>
      </c>
      <c r="I358" s="784">
        <f t="shared" si="91"/>
        <v>17761.97233077768</v>
      </c>
      <c r="J358" s="785">
        <f t="shared" si="92"/>
        <v>50610.685859623489</v>
      </c>
      <c r="K358" s="72">
        <f t="shared" si="99"/>
        <v>214</v>
      </c>
      <c r="L358" s="784">
        <f t="shared" si="93"/>
        <v>23592273.057469122</v>
      </c>
      <c r="M358" s="604">
        <f t="shared" si="94"/>
        <v>200129.99292672705</v>
      </c>
      <c r="N358" s="784">
        <f t="shared" si="95"/>
        <v>71482.808545537613</v>
      </c>
      <c r="O358" s="785">
        <f t="shared" si="96"/>
        <v>128647.18438118941</v>
      </c>
      <c r="P358" s="11"/>
      <c r="Q358" s="11"/>
      <c r="R358" s="11"/>
      <c r="S358" s="11"/>
      <c r="T358" s="11"/>
    </row>
    <row r="359" spans="1:20" x14ac:dyDescent="0.25">
      <c r="A359" s="72">
        <f t="shared" si="97"/>
        <v>215</v>
      </c>
      <c r="B359" s="784">
        <f t="shared" si="85"/>
        <v>14893523.91635922</v>
      </c>
      <c r="C359" s="604">
        <f t="shared" si="86"/>
        <v>131757.33473632587</v>
      </c>
      <c r="D359" s="784">
        <f t="shared" si="87"/>
        <v>53442.283347977333</v>
      </c>
      <c r="E359" s="785">
        <f t="shared" si="88"/>
        <v>78315.05138834854</v>
      </c>
      <c r="F359" s="72">
        <f t="shared" si="98"/>
        <v>215</v>
      </c>
      <c r="G359" s="784">
        <f t="shared" si="89"/>
        <v>8569719.7317410763</v>
      </c>
      <c r="H359" s="604">
        <f t="shared" si="90"/>
        <v>68372.658190401169</v>
      </c>
      <c r="I359" s="784">
        <f t="shared" si="91"/>
        <v>17658.300209926467</v>
      </c>
      <c r="J359" s="785">
        <f t="shared" si="92"/>
        <v>50714.357980474699</v>
      </c>
      <c r="K359" s="72">
        <f t="shared" si="99"/>
        <v>215</v>
      </c>
      <c r="L359" s="784">
        <f t="shared" si="93"/>
        <v>23463243.648100294</v>
      </c>
      <c r="M359" s="604">
        <f t="shared" si="94"/>
        <v>200129.99292672705</v>
      </c>
      <c r="N359" s="784">
        <f t="shared" si="95"/>
        <v>71100.583557903796</v>
      </c>
      <c r="O359" s="785">
        <f t="shared" si="96"/>
        <v>129029.40936882324</v>
      </c>
      <c r="P359" s="11"/>
      <c r="Q359" s="11"/>
      <c r="R359" s="11"/>
      <c r="S359" s="11"/>
      <c r="T359" s="11"/>
    </row>
    <row r="360" spans="1:20" x14ac:dyDescent="0.25">
      <c r="A360" s="72">
        <f t="shared" si="97"/>
        <v>216</v>
      </c>
      <c r="B360" s="784">
        <f t="shared" si="85"/>
        <v>14814929.317803971</v>
      </c>
      <c r="C360" s="604">
        <f t="shared" si="86"/>
        <v>131757.33473632587</v>
      </c>
      <c r="D360" s="784">
        <f t="shared" si="87"/>
        <v>53162.736181077948</v>
      </c>
      <c r="E360" s="785">
        <f t="shared" si="88"/>
        <v>78594.598555247911</v>
      </c>
      <c r="F360" s="72">
        <f t="shared" si="98"/>
        <v>216</v>
      </c>
      <c r="G360" s="784">
        <f t="shared" si="89"/>
        <v>8518901.4892753363</v>
      </c>
      <c r="H360" s="604">
        <f t="shared" si="90"/>
        <v>68372.658190401169</v>
      </c>
      <c r="I360" s="784">
        <f t="shared" si="91"/>
        <v>17554.415724661314</v>
      </c>
      <c r="J360" s="785">
        <f t="shared" si="92"/>
        <v>50818.242465739851</v>
      </c>
      <c r="K360" s="72">
        <f t="shared" si="99"/>
        <v>216</v>
      </c>
      <c r="L360" s="784">
        <f t="shared" si="93"/>
        <v>23333830.807079308</v>
      </c>
      <c r="M360" s="604">
        <f t="shared" si="94"/>
        <v>200129.99292672705</v>
      </c>
      <c r="N360" s="784">
        <f t="shared" si="95"/>
        <v>70717.151905739258</v>
      </c>
      <c r="O360" s="785">
        <f t="shared" si="96"/>
        <v>129412.84102098776</v>
      </c>
      <c r="P360" s="11"/>
      <c r="Q360" s="11"/>
      <c r="R360" s="11"/>
      <c r="S360" s="11"/>
      <c r="T360" s="11"/>
    </row>
    <row r="361" spans="1:20" x14ac:dyDescent="0.25">
      <c r="A361" s="72">
        <f t="shared" si="97"/>
        <v>217</v>
      </c>
      <c r="B361" s="784">
        <f t="shared" si="85"/>
        <v>14736054.174232533</v>
      </c>
      <c r="C361" s="604">
        <f t="shared" si="86"/>
        <v>131757.33473632587</v>
      </c>
      <c r="D361" s="784">
        <f t="shared" si="87"/>
        <v>52882.191164887328</v>
      </c>
      <c r="E361" s="785">
        <f t="shared" si="88"/>
        <v>78875.14357143853</v>
      </c>
      <c r="F361" s="72">
        <f t="shared" si="98"/>
        <v>217</v>
      </c>
      <c r="G361" s="784">
        <f t="shared" si="89"/>
        <v>8467979.1495249048</v>
      </c>
      <c r="H361" s="604">
        <f t="shared" si="90"/>
        <v>68372.658190401169</v>
      </c>
      <c r="I361" s="784">
        <f t="shared" si="91"/>
        <v>17450.318439969949</v>
      </c>
      <c r="J361" s="785">
        <f t="shared" si="92"/>
        <v>50922.339750431216</v>
      </c>
      <c r="K361" s="72">
        <f t="shared" si="99"/>
        <v>217</v>
      </c>
      <c r="L361" s="784">
        <f t="shared" si="93"/>
        <v>23204033.32375744</v>
      </c>
      <c r="M361" s="604">
        <f t="shared" si="94"/>
        <v>200129.99292672705</v>
      </c>
      <c r="N361" s="784">
        <f t="shared" si="95"/>
        <v>70332.509604857274</v>
      </c>
      <c r="O361" s="785">
        <f t="shared" si="96"/>
        <v>129797.48332186975</v>
      </c>
      <c r="P361" s="11"/>
      <c r="Q361" s="11"/>
      <c r="R361" s="11"/>
      <c r="S361" s="11"/>
      <c r="T361" s="11"/>
    </row>
    <row r="362" spans="1:20" x14ac:dyDescent="0.25">
      <c r="A362" s="72">
        <f t="shared" si="97"/>
        <v>218</v>
      </c>
      <c r="B362" s="784">
        <f t="shared" si="85"/>
        <v>14656897.484233769</v>
      </c>
      <c r="C362" s="604">
        <f t="shared" si="86"/>
        <v>131757.33473632587</v>
      </c>
      <c r="D362" s="784">
        <f t="shared" si="87"/>
        <v>52600.64473756215</v>
      </c>
      <c r="E362" s="785">
        <f t="shared" si="88"/>
        <v>79156.689998763715</v>
      </c>
      <c r="F362" s="72">
        <f t="shared" si="98"/>
        <v>218</v>
      </c>
      <c r="G362" s="784">
        <f t="shared" si="89"/>
        <v>8416952.4992544521</v>
      </c>
      <c r="H362" s="604">
        <f t="shared" si="90"/>
        <v>68372.658190401169</v>
      </c>
      <c r="I362" s="784">
        <f t="shared" si="91"/>
        <v>17346.007919949021</v>
      </c>
      <c r="J362" s="785">
        <f t="shared" si="92"/>
        <v>51026.650270452148</v>
      </c>
      <c r="K362" s="72">
        <f t="shared" si="99"/>
        <v>218</v>
      </c>
      <c r="L362" s="784">
        <f t="shared" si="93"/>
        <v>23073849.983488221</v>
      </c>
      <c r="M362" s="604">
        <f t="shared" si="94"/>
        <v>200129.99292672705</v>
      </c>
      <c r="N362" s="784">
        <f t="shared" si="95"/>
        <v>69946.652657511178</v>
      </c>
      <c r="O362" s="785">
        <f t="shared" si="96"/>
        <v>130183.34026921587</v>
      </c>
      <c r="P362" s="11"/>
      <c r="Q362" s="11"/>
      <c r="R362" s="11"/>
      <c r="S362" s="11"/>
      <c r="T362" s="11"/>
    </row>
    <row r="363" spans="1:20" x14ac:dyDescent="0.25">
      <c r="A363" s="72">
        <f t="shared" si="97"/>
        <v>219</v>
      </c>
      <c r="B363" s="784">
        <f t="shared" si="85"/>
        <v>14577458.242821988</v>
      </c>
      <c r="C363" s="604">
        <f t="shared" si="86"/>
        <v>131757.33473632587</v>
      </c>
      <c r="D363" s="784">
        <f t="shared" si="87"/>
        <v>52318.093324545021</v>
      </c>
      <c r="E363" s="785">
        <f t="shared" si="88"/>
        <v>79439.241411780851</v>
      </c>
      <c r="F363" s="72">
        <f t="shared" si="98"/>
        <v>219</v>
      </c>
      <c r="G363" s="784">
        <f t="shared" si="89"/>
        <v>8365821.3247918533</v>
      </c>
      <c r="H363" s="604">
        <f t="shared" si="90"/>
        <v>68372.658190401169</v>
      </c>
      <c r="I363" s="784">
        <f t="shared" si="91"/>
        <v>17241.483727802257</v>
      </c>
      <c r="J363" s="785">
        <f t="shared" si="92"/>
        <v>51131.174462598909</v>
      </c>
      <c r="K363" s="72">
        <f t="shared" si="99"/>
        <v>219</v>
      </c>
      <c r="L363" s="784">
        <f t="shared" si="93"/>
        <v>22943279.56761384</v>
      </c>
      <c r="M363" s="604">
        <f t="shared" si="94"/>
        <v>200129.99292672705</v>
      </c>
      <c r="N363" s="784">
        <f t="shared" si="95"/>
        <v>69559.577052347275</v>
      </c>
      <c r="O363" s="785">
        <f t="shared" si="96"/>
        <v>130570.41587437976</v>
      </c>
      <c r="P363" s="11"/>
      <c r="Q363" s="11"/>
      <c r="R363" s="11"/>
      <c r="S363" s="11"/>
      <c r="T363" s="11"/>
    </row>
    <row r="364" spans="1:20" x14ac:dyDescent="0.25">
      <c r="A364" s="72">
        <f t="shared" si="97"/>
        <v>220</v>
      </c>
      <c r="B364" s="784">
        <f t="shared" si="85"/>
        <v>14497735.441424182</v>
      </c>
      <c r="C364" s="604">
        <f t="shared" si="86"/>
        <v>131757.33473632587</v>
      </c>
      <c r="D364" s="784">
        <f t="shared" si="87"/>
        <v>52034.533338519112</v>
      </c>
      <c r="E364" s="785">
        <f t="shared" si="88"/>
        <v>79722.801397806761</v>
      </c>
      <c r="F364" s="72">
        <f t="shared" si="98"/>
        <v>220</v>
      </c>
      <c r="G364" s="784">
        <f t="shared" si="89"/>
        <v>8314585.412027291</v>
      </c>
      <c r="H364" s="604">
        <f t="shared" si="90"/>
        <v>68372.658190401169</v>
      </c>
      <c r="I364" s="784">
        <f t="shared" si="91"/>
        <v>17136.745425838642</v>
      </c>
      <c r="J364" s="785">
        <f t="shared" si="92"/>
        <v>51235.912764562527</v>
      </c>
      <c r="K364" s="72">
        <f t="shared" si="99"/>
        <v>220</v>
      </c>
      <c r="L364" s="784">
        <f t="shared" si="93"/>
        <v>22812320.853451472</v>
      </c>
      <c r="M364" s="604">
        <f t="shared" si="94"/>
        <v>200129.99292672705</v>
      </c>
      <c r="N364" s="784">
        <f t="shared" si="95"/>
        <v>69171.278764357761</v>
      </c>
      <c r="O364" s="785">
        <f t="shared" si="96"/>
        <v>130958.71416236929</v>
      </c>
      <c r="P364" s="11"/>
      <c r="Q364" s="11"/>
      <c r="R364" s="11"/>
      <c r="S364" s="11"/>
      <c r="T364" s="11"/>
    </row>
    <row r="365" spans="1:20" x14ac:dyDescent="0.25">
      <c r="A365" s="72">
        <f t="shared" si="97"/>
        <v>221</v>
      </c>
      <c r="B365" s="784">
        <f t="shared" si="85"/>
        <v>14417728.067867218</v>
      </c>
      <c r="C365" s="604">
        <f t="shared" si="86"/>
        <v>131757.33473632587</v>
      </c>
      <c r="D365" s="784">
        <f t="shared" si="87"/>
        <v>51749.961179362559</v>
      </c>
      <c r="E365" s="785">
        <f t="shared" si="88"/>
        <v>80007.373556963314</v>
      </c>
      <c r="F365" s="72">
        <f t="shared" si="98"/>
        <v>221</v>
      </c>
      <c r="G365" s="784">
        <f t="shared" si="89"/>
        <v>8263244.5464123609</v>
      </c>
      <c r="H365" s="604">
        <f t="shared" si="90"/>
        <v>68372.658190401169</v>
      </c>
      <c r="I365" s="784">
        <f t="shared" si="91"/>
        <v>17031.792575470587</v>
      </c>
      <c r="J365" s="785">
        <f t="shared" si="92"/>
        <v>51340.865614930583</v>
      </c>
      <c r="K365" s="72">
        <f t="shared" si="99"/>
        <v>221</v>
      </c>
      <c r="L365" s="784">
        <f t="shared" si="93"/>
        <v>22680972.614279579</v>
      </c>
      <c r="M365" s="604">
        <f t="shared" si="94"/>
        <v>200129.99292672705</v>
      </c>
      <c r="N365" s="784">
        <f t="shared" si="95"/>
        <v>68781.753754833146</v>
      </c>
      <c r="O365" s="785">
        <f t="shared" si="96"/>
        <v>131348.23917189389</v>
      </c>
      <c r="P365" s="11"/>
      <c r="Q365" s="11"/>
      <c r="R365" s="11"/>
      <c r="S365" s="11"/>
      <c r="T365" s="11"/>
    </row>
    <row r="366" spans="1:20" x14ac:dyDescent="0.25">
      <c r="A366" s="72">
        <f t="shared" si="97"/>
        <v>222</v>
      </c>
      <c r="B366" s="784">
        <f t="shared" si="85"/>
        <v>14337435.106364995</v>
      </c>
      <c r="C366" s="604">
        <f t="shared" si="86"/>
        <v>131757.33473632587</v>
      </c>
      <c r="D366" s="784">
        <f t="shared" si="87"/>
        <v>51464.373234102823</v>
      </c>
      <c r="E366" s="785">
        <f t="shared" si="88"/>
        <v>80292.961502223043</v>
      </c>
      <c r="F366" s="72">
        <f t="shared" si="98"/>
        <v>222</v>
      </c>
      <c r="G366" s="784">
        <f t="shared" si="89"/>
        <v>8211798.512959172</v>
      </c>
      <c r="H366" s="604">
        <f t="shared" si="90"/>
        <v>68372.658190401169</v>
      </c>
      <c r="I366" s="784">
        <f t="shared" si="91"/>
        <v>16926.624737212082</v>
      </c>
      <c r="J366" s="785">
        <f t="shared" si="92"/>
        <v>51446.033453189084</v>
      </c>
      <c r="K366" s="72">
        <f t="shared" si="99"/>
        <v>222</v>
      </c>
      <c r="L366" s="784">
        <f t="shared" si="93"/>
        <v>22549233.619324166</v>
      </c>
      <c r="M366" s="604">
        <f t="shared" si="94"/>
        <v>200129.99292672705</v>
      </c>
      <c r="N366" s="784">
        <f t="shared" si="95"/>
        <v>68390.997971314908</v>
      </c>
      <c r="O366" s="785">
        <f t="shared" si="96"/>
        <v>131738.99495541211</v>
      </c>
      <c r="P366" s="11"/>
      <c r="Q366" s="11"/>
      <c r="R366" s="11"/>
      <c r="S366" s="11"/>
      <c r="T366" s="11"/>
    </row>
    <row r="367" spans="1:20" x14ac:dyDescent="0.25">
      <c r="A367" s="72">
        <f t="shared" si="97"/>
        <v>223</v>
      </c>
      <c r="B367" s="784">
        <f t="shared" si="85"/>
        <v>14256855.537505541</v>
      </c>
      <c r="C367" s="604">
        <f t="shared" si="86"/>
        <v>131757.33473632587</v>
      </c>
      <c r="D367" s="784">
        <f t="shared" si="87"/>
        <v>51177.765876870762</v>
      </c>
      <c r="E367" s="785">
        <f t="shared" si="88"/>
        <v>80579.568859455103</v>
      </c>
      <c r="F367" s="72">
        <f t="shared" si="98"/>
        <v>223</v>
      </c>
      <c r="G367" s="784">
        <f t="shared" si="89"/>
        <v>8160247.0962394476</v>
      </c>
      <c r="H367" s="604">
        <f t="shared" si="90"/>
        <v>68372.658190401169</v>
      </c>
      <c r="I367" s="784">
        <f t="shared" si="91"/>
        <v>16821.241470676872</v>
      </c>
      <c r="J367" s="785">
        <f t="shared" si="92"/>
        <v>51551.416719724293</v>
      </c>
      <c r="K367" s="72">
        <f t="shared" si="99"/>
        <v>223</v>
      </c>
      <c r="L367" s="784">
        <f t="shared" si="93"/>
        <v>22417102.633744989</v>
      </c>
      <c r="M367" s="604">
        <f t="shared" si="94"/>
        <v>200129.99292672705</v>
      </c>
      <c r="N367" s="784">
        <f t="shared" si="95"/>
        <v>67999.007347547638</v>
      </c>
      <c r="O367" s="785">
        <f t="shared" si="96"/>
        <v>132130.9855791794</v>
      </c>
      <c r="P367" s="11"/>
      <c r="Q367" s="11"/>
      <c r="R367" s="11"/>
      <c r="S367" s="11"/>
      <c r="T367" s="11"/>
    </row>
    <row r="368" spans="1:20" x14ac:dyDescent="0.25">
      <c r="A368" s="72">
        <f t="shared" si="97"/>
        <v>224</v>
      </c>
      <c r="B368" s="784">
        <f t="shared" si="85"/>
        <v>14175988.33823807</v>
      </c>
      <c r="C368" s="604">
        <f t="shared" si="86"/>
        <v>131757.33473632587</v>
      </c>
      <c r="D368" s="784">
        <f t="shared" si="87"/>
        <v>50890.135468854649</v>
      </c>
      <c r="E368" s="785">
        <f t="shared" si="88"/>
        <v>80867.199267471209</v>
      </c>
      <c r="F368" s="72">
        <f t="shared" si="98"/>
        <v>224</v>
      </c>
      <c r="G368" s="784">
        <f t="shared" si="89"/>
        <v>8108590.080383623</v>
      </c>
      <c r="H368" s="604">
        <f t="shared" si="90"/>
        <v>68372.658190401169</v>
      </c>
      <c r="I368" s="784">
        <f t="shared" si="91"/>
        <v>16715.642334576602</v>
      </c>
      <c r="J368" s="785">
        <f t="shared" si="92"/>
        <v>51657.015855824568</v>
      </c>
      <c r="K368" s="72">
        <f t="shared" si="99"/>
        <v>224</v>
      </c>
      <c r="L368" s="784">
        <f t="shared" si="93"/>
        <v>22284578.418621693</v>
      </c>
      <c r="M368" s="604">
        <f t="shared" si="94"/>
        <v>200129.99292672705</v>
      </c>
      <c r="N368" s="784">
        <f t="shared" si="95"/>
        <v>67605.777803431251</v>
      </c>
      <c r="O368" s="785">
        <f t="shared" si="96"/>
        <v>132524.21512329578</v>
      </c>
      <c r="P368" s="11"/>
      <c r="Q368" s="11"/>
      <c r="R368" s="11"/>
      <c r="S368" s="11"/>
      <c r="T368" s="11"/>
    </row>
    <row r="369" spans="1:20" x14ac:dyDescent="0.25">
      <c r="A369" s="72">
        <f t="shared" si="97"/>
        <v>225</v>
      </c>
      <c r="B369" s="784">
        <f t="shared" si="85"/>
        <v>14094832.481859997</v>
      </c>
      <c r="C369" s="604">
        <f t="shared" si="86"/>
        <v>131757.33473632587</v>
      </c>
      <c r="D369" s="784">
        <f t="shared" si="87"/>
        <v>50601.478358253917</v>
      </c>
      <c r="E369" s="785">
        <f t="shared" si="88"/>
        <v>81155.856378071941</v>
      </c>
      <c r="F369" s="72">
        <f t="shared" si="98"/>
        <v>225</v>
      </c>
      <c r="G369" s="784">
        <f t="shared" si="89"/>
        <v>8056827.2490799408</v>
      </c>
      <c r="H369" s="604">
        <f t="shared" si="90"/>
        <v>68372.658190401169</v>
      </c>
      <c r="I369" s="784">
        <f t="shared" si="91"/>
        <v>16609.826886718969</v>
      </c>
      <c r="J369" s="785">
        <f t="shared" si="92"/>
        <v>51762.8313036822</v>
      </c>
      <c r="K369" s="72">
        <f t="shared" si="99"/>
        <v>225</v>
      </c>
      <c r="L369" s="784">
        <f t="shared" si="93"/>
        <v>22151659.73093994</v>
      </c>
      <c r="M369" s="604">
        <f t="shared" si="94"/>
        <v>200129.99292672705</v>
      </c>
      <c r="N369" s="784">
        <f t="shared" si="95"/>
        <v>67211.305244972886</v>
      </c>
      <c r="O369" s="785">
        <f t="shared" si="96"/>
        <v>132918.68768175415</v>
      </c>
      <c r="P369" s="11"/>
      <c r="Q369" s="11"/>
      <c r="R369" s="11"/>
      <c r="S369" s="11"/>
      <c r="T369" s="11"/>
    </row>
    <row r="370" spans="1:20" x14ac:dyDescent="0.25">
      <c r="A370" s="72">
        <f t="shared" si="97"/>
        <v>226</v>
      </c>
      <c r="B370" s="784">
        <f t="shared" si="85"/>
        <v>14013386.938003903</v>
      </c>
      <c r="C370" s="604">
        <f t="shared" si="86"/>
        <v>131757.33473632587</v>
      </c>
      <c r="D370" s="784">
        <f t="shared" si="87"/>
        <v>50311.790880232817</v>
      </c>
      <c r="E370" s="785">
        <f t="shared" si="88"/>
        <v>81445.543856093049</v>
      </c>
      <c r="F370" s="72">
        <f t="shared" si="98"/>
        <v>226</v>
      </c>
      <c r="G370" s="784">
        <f t="shared" si="89"/>
        <v>8004958.3855735455</v>
      </c>
      <c r="H370" s="604">
        <f t="shared" si="90"/>
        <v>68372.658190401169</v>
      </c>
      <c r="I370" s="784">
        <f t="shared" si="91"/>
        <v>16503.794684005879</v>
      </c>
      <c r="J370" s="785">
        <f t="shared" si="92"/>
        <v>51868.86350639529</v>
      </c>
      <c r="K370" s="72">
        <f t="shared" si="99"/>
        <v>226</v>
      </c>
      <c r="L370" s="784">
        <f t="shared" si="93"/>
        <v>22018345.323577449</v>
      </c>
      <c r="M370" s="604">
        <f t="shared" si="94"/>
        <v>200129.99292672705</v>
      </c>
      <c r="N370" s="784">
        <f t="shared" si="95"/>
        <v>66815.585564238689</v>
      </c>
      <c r="O370" s="785">
        <f t="shared" si="96"/>
        <v>133314.40736248833</v>
      </c>
      <c r="P370" s="11"/>
      <c r="Q370" s="11"/>
      <c r="R370" s="11"/>
      <c r="S370" s="11"/>
      <c r="T370" s="11"/>
    </row>
    <row r="371" spans="1:20" x14ac:dyDescent="0.25">
      <c r="A371" s="72">
        <f t="shared" si="97"/>
        <v>227</v>
      </c>
      <c r="B371" s="784">
        <f t="shared" si="85"/>
        <v>13931650.672624452</v>
      </c>
      <c r="C371" s="604">
        <f t="shared" si="86"/>
        <v>131757.33473632587</v>
      </c>
      <c r="D371" s="784">
        <f t="shared" si="87"/>
        <v>50021.069356873937</v>
      </c>
      <c r="E371" s="785">
        <f t="shared" si="88"/>
        <v>81736.265379451928</v>
      </c>
      <c r="F371" s="72">
        <f t="shared" si="98"/>
        <v>227</v>
      </c>
      <c r="G371" s="784">
        <f t="shared" si="89"/>
        <v>7952983.2726655761</v>
      </c>
      <c r="H371" s="604">
        <f t="shared" si="90"/>
        <v>68372.658190401169</v>
      </c>
      <c r="I371" s="784">
        <f t="shared" si="91"/>
        <v>16397.545282431576</v>
      </c>
      <c r="J371" s="785">
        <f t="shared" si="92"/>
        <v>51975.112907969597</v>
      </c>
      <c r="K371" s="72">
        <f t="shared" si="99"/>
        <v>227</v>
      </c>
      <c r="L371" s="784">
        <f t="shared" si="93"/>
        <v>21884633.945290029</v>
      </c>
      <c r="M371" s="604">
        <f t="shared" si="94"/>
        <v>200129.99292672705</v>
      </c>
      <c r="N371" s="784">
        <f t="shared" si="95"/>
        <v>66418.61463930551</v>
      </c>
      <c r="O371" s="785">
        <f t="shared" si="96"/>
        <v>133711.37828742154</v>
      </c>
      <c r="P371" s="11"/>
      <c r="Q371" s="11"/>
      <c r="R371" s="11"/>
      <c r="S371" s="11"/>
      <c r="T371" s="11"/>
    </row>
    <row r="372" spans="1:20" x14ac:dyDescent="0.25">
      <c r="A372" s="72">
        <f t="shared" si="97"/>
        <v>228</v>
      </c>
      <c r="B372" s="784">
        <f t="shared" si="85"/>
        <v>13849622.647985257</v>
      </c>
      <c r="C372" s="604">
        <f t="shared" si="86"/>
        <v>131757.33473632587</v>
      </c>
      <c r="D372" s="784">
        <f t="shared" si="87"/>
        <v>49729.310097131427</v>
      </c>
      <c r="E372" s="785">
        <f t="shared" si="88"/>
        <v>82028.024639194438</v>
      </c>
      <c r="F372" s="72">
        <f t="shared" si="98"/>
        <v>228</v>
      </c>
      <c r="G372" s="784">
        <f t="shared" si="89"/>
        <v>7900901.6927122558</v>
      </c>
      <c r="H372" s="604">
        <f t="shared" si="90"/>
        <v>68372.658190401169</v>
      </c>
      <c r="I372" s="784">
        <f t="shared" si="91"/>
        <v>16291.078237080801</v>
      </c>
      <c r="J372" s="785">
        <f t="shared" si="92"/>
        <v>52081.579953320368</v>
      </c>
      <c r="K372" s="72">
        <f t="shared" si="99"/>
        <v>228</v>
      </c>
      <c r="L372" s="784">
        <f t="shared" si="93"/>
        <v>21750524.340697512</v>
      </c>
      <c r="M372" s="604">
        <f t="shared" si="94"/>
        <v>200129.99292672705</v>
      </c>
      <c r="N372" s="784">
        <f t="shared" si="95"/>
        <v>66020.388334212228</v>
      </c>
      <c r="O372" s="785">
        <f t="shared" si="96"/>
        <v>134109.60459251481</v>
      </c>
      <c r="P372" s="11"/>
      <c r="Q372" s="11"/>
      <c r="R372" s="11"/>
      <c r="S372" s="11"/>
      <c r="T372" s="11"/>
    </row>
    <row r="373" spans="1:20" x14ac:dyDescent="0.25">
      <c r="A373" s="72">
        <f t="shared" si="97"/>
        <v>229</v>
      </c>
      <c r="B373" s="784">
        <f t="shared" si="85"/>
        <v>13767301.822645716</v>
      </c>
      <c r="C373" s="604">
        <f t="shared" si="86"/>
        <v>131757.33473632587</v>
      </c>
      <c r="D373" s="784">
        <f t="shared" si="87"/>
        <v>49436.509396784175</v>
      </c>
      <c r="E373" s="785">
        <f t="shared" si="88"/>
        <v>82320.825339541683</v>
      </c>
      <c r="F373" s="72">
        <f t="shared" si="98"/>
        <v>229</v>
      </c>
      <c r="G373" s="784">
        <f t="shared" si="89"/>
        <v>7848713.4276239816</v>
      </c>
      <c r="H373" s="604">
        <f t="shared" si="90"/>
        <v>68372.658190401169</v>
      </c>
      <c r="I373" s="784">
        <f t="shared" si="91"/>
        <v>16184.393102126916</v>
      </c>
      <c r="J373" s="785">
        <f t="shared" si="92"/>
        <v>52188.265088274253</v>
      </c>
      <c r="K373" s="72">
        <f t="shared" si="99"/>
        <v>229</v>
      </c>
      <c r="L373" s="784">
        <f t="shared" si="93"/>
        <v>21616015.250269696</v>
      </c>
      <c r="M373" s="604">
        <f t="shared" si="94"/>
        <v>200129.99292672705</v>
      </c>
      <c r="N373" s="784">
        <f t="shared" si="95"/>
        <v>65620.902498911091</v>
      </c>
      <c r="O373" s="785">
        <f t="shared" si="96"/>
        <v>134509.09042781594</v>
      </c>
      <c r="P373" s="11"/>
      <c r="Q373" s="11"/>
      <c r="R373" s="11"/>
      <c r="S373" s="11"/>
      <c r="T373" s="11"/>
    </row>
    <row r="374" spans="1:20" x14ac:dyDescent="0.25">
      <c r="A374" s="72">
        <f t="shared" si="97"/>
        <v>230</v>
      </c>
      <c r="B374" s="784">
        <f t="shared" si="85"/>
        <v>13684687.151447779</v>
      </c>
      <c r="C374" s="604">
        <f t="shared" si="86"/>
        <v>131757.33473632587</v>
      </c>
      <c r="D374" s="784">
        <f t="shared" si="87"/>
        <v>49142.663538388806</v>
      </c>
      <c r="E374" s="785">
        <f t="shared" si="88"/>
        <v>82614.671197937059</v>
      </c>
      <c r="F374" s="72">
        <f t="shared" si="98"/>
        <v>230</v>
      </c>
      <c r="G374" s="784">
        <f t="shared" si="89"/>
        <v>7796418.2588644102</v>
      </c>
      <c r="H374" s="604">
        <f t="shared" si="90"/>
        <v>68372.658190401169</v>
      </c>
      <c r="I374" s="784">
        <f t="shared" si="91"/>
        <v>16077.489430830041</v>
      </c>
      <c r="J374" s="785">
        <f t="shared" si="92"/>
        <v>52295.168759571126</v>
      </c>
      <c r="K374" s="72">
        <f t="shared" si="99"/>
        <v>230</v>
      </c>
      <c r="L374" s="784">
        <f t="shared" si="93"/>
        <v>21481105.410312191</v>
      </c>
      <c r="M374" s="604">
        <f t="shared" si="94"/>
        <v>200129.99292672705</v>
      </c>
      <c r="N374" s="784">
        <f t="shared" si="95"/>
        <v>65220.152969218849</v>
      </c>
      <c r="O374" s="785">
        <f t="shared" si="96"/>
        <v>134909.8399575082</v>
      </c>
      <c r="P374" s="11"/>
      <c r="Q374" s="11"/>
      <c r="R374" s="11"/>
      <c r="S374" s="11"/>
      <c r="T374" s="11"/>
    </row>
    <row r="375" spans="1:20" x14ac:dyDescent="0.25">
      <c r="A375" s="72">
        <f t="shared" si="97"/>
        <v>231</v>
      </c>
      <c r="B375" s="784">
        <f t="shared" si="85"/>
        <v>13601777.585502686</v>
      </c>
      <c r="C375" s="604">
        <f t="shared" si="86"/>
        <v>131757.33473632587</v>
      </c>
      <c r="D375" s="784">
        <f t="shared" si="87"/>
        <v>48847.768791232411</v>
      </c>
      <c r="E375" s="785">
        <f t="shared" si="88"/>
        <v>82909.565945093462</v>
      </c>
      <c r="F375" s="72">
        <f t="shared" si="98"/>
        <v>231</v>
      </c>
      <c r="G375" s="784">
        <f t="shared" si="89"/>
        <v>7744015.967449544</v>
      </c>
      <c r="H375" s="604">
        <f t="shared" si="90"/>
        <v>68372.658190401169</v>
      </c>
      <c r="I375" s="784">
        <f t="shared" si="91"/>
        <v>15970.366775535183</v>
      </c>
      <c r="J375" s="785">
        <f t="shared" si="92"/>
        <v>52402.291414865984</v>
      </c>
      <c r="K375" s="72">
        <f t="shared" si="99"/>
        <v>231</v>
      </c>
      <c r="L375" s="784">
        <f t="shared" si="93"/>
        <v>21345793.55295223</v>
      </c>
      <c r="M375" s="604">
        <f t="shared" si="94"/>
        <v>200129.99292672705</v>
      </c>
      <c r="N375" s="784">
        <f t="shared" si="95"/>
        <v>64818.135566767596</v>
      </c>
      <c r="O375" s="785">
        <f t="shared" si="96"/>
        <v>135311.85735995945</v>
      </c>
      <c r="P375" s="11"/>
      <c r="Q375" s="11"/>
      <c r="R375" s="11"/>
      <c r="S375" s="11"/>
      <c r="T375" s="11"/>
    </row>
    <row r="376" spans="1:20" x14ac:dyDescent="0.25">
      <c r="A376" s="72">
        <f t="shared" si="97"/>
        <v>232</v>
      </c>
      <c r="B376" s="784">
        <f t="shared" si="85"/>
        <v>13518572.072177645</v>
      </c>
      <c r="C376" s="604">
        <f t="shared" si="86"/>
        <v>131757.33473632587</v>
      </c>
      <c r="D376" s="784">
        <f t="shared" si="87"/>
        <v>48551.821411285266</v>
      </c>
      <c r="E376" s="785">
        <f t="shared" si="88"/>
        <v>83205.513325040607</v>
      </c>
      <c r="F376" s="72">
        <f t="shared" si="98"/>
        <v>232</v>
      </c>
      <c r="G376" s="784">
        <f t="shared" si="89"/>
        <v>7691506.3339468129</v>
      </c>
      <c r="H376" s="604">
        <f t="shared" si="90"/>
        <v>68372.658190401169</v>
      </c>
      <c r="I376" s="784">
        <f t="shared" si="91"/>
        <v>15863.024687670366</v>
      </c>
      <c r="J376" s="785">
        <f t="shared" si="92"/>
        <v>52509.633502730801</v>
      </c>
      <c r="K376" s="72">
        <f t="shared" si="99"/>
        <v>232</v>
      </c>
      <c r="L376" s="784">
        <f t="shared" si="93"/>
        <v>21210078.406124458</v>
      </c>
      <c r="M376" s="604">
        <f t="shared" si="94"/>
        <v>200129.99292672705</v>
      </c>
      <c r="N376" s="784">
        <f t="shared" si="95"/>
        <v>64414.846098955633</v>
      </c>
      <c r="O376" s="785">
        <f t="shared" si="96"/>
        <v>135715.14682777142</v>
      </c>
      <c r="P376" s="11"/>
      <c r="Q376" s="11"/>
      <c r="R376" s="11"/>
      <c r="S376" s="11"/>
      <c r="T376" s="11"/>
    </row>
    <row r="377" spans="1:20" x14ac:dyDescent="0.25">
      <c r="A377" s="72">
        <f t="shared" si="97"/>
        <v>233</v>
      </c>
      <c r="B377" s="784">
        <f t="shared" si="85"/>
        <v>13435069.555082472</v>
      </c>
      <c r="C377" s="604">
        <f t="shared" si="86"/>
        <v>131757.33473632587</v>
      </c>
      <c r="D377" s="784">
        <f t="shared" si="87"/>
        <v>48254.817641153226</v>
      </c>
      <c r="E377" s="785">
        <f t="shared" si="88"/>
        <v>83502.517095172632</v>
      </c>
      <c r="F377" s="72">
        <f t="shared" si="98"/>
        <v>233</v>
      </c>
      <c r="G377" s="784">
        <f t="shared" si="89"/>
        <v>7638889.1384741561</v>
      </c>
      <c r="H377" s="604">
        <f t="shared" si="90"/>
        <v>68372.658190401169</v>
      </c>
      <c r="I377" s="784">
        <f t="shared" si="91"/>
        <v>15755.462717744744</v>
      </c>
      <c r="J377" s="785">
        <f t="shared" si="92"/>
        <v>52617.195472656429</v>
      </c>
      <c r="K377" s="72">
        <f t="shared" si="99"/>
        <v>233</v>
      </c>
      <c r="L377" s="784">
        <f t="shared" si="93"/>
        <v>21073958.693556629</v>
      </c>
      <c r="M377" s="604">
        <f t="shared" si="94"/>
        <v>200129.99292672705</v>
      </c>
      <c r="N377" s="784">
        <f t="shared" si="95"/>
        <v>64010.280358897973</v>
      </c>
      <c r="O377" s="785">
        <f t="shared" si="96"/>
        <v>136119.71256782906</v>
      </c>
      <c r="P377" s="11"/>
      <c r="Q377" s="11"/>
      <c r="R377" s="11"/>
      <c r="S377" s="11"/>
      <c r="T377" s="11"/>
    </row>
    <row r="378" spans="1:20" x14ac:dyDescent="0.25">
      <c r="A378" s="72">
        <f t="shared" si="97"/>
        <v>234</v>
      </c>
      <c r="B378" s="784">
        <f t="shared" si="85"/>
        <v>13351268.974056177</v>
      </c>
      <c r="C378" s="604">
        <f t="shared" si="86"/>
        <v>131757.33473632587</v>
      </c>
      <c r="D378" s="784">
        <f t="shared" si="87"/>
        <v>47956.753710030083</v>
      </c>
      <c r="E378" s="785">
        <f t="shared" si="88"/>
        <v>83800.581026295782</v>
      </c>
      <c r="F378" s="72">
        <f t="shared" si="98"/>
        <v>234</v>
      </c>
      <c r="G378" s="784">
        <f t="shared" si="89"/>
        <v>7586164.1606991021</v>
      </c>
      <c r="H378" s="604">
        <f t="shared" si="90"/>
        <v>68372.658190401169</v>
      </c>
      <c r="I378" s="784">
        <f t="shared" si="91"/>
        <v>15647.680415346726</v>
      </c>
      <c r="J378" s="785">
        <f t="shared" si="92"/>
        <v>52724.977775054445</v>
      </c>
      <c r="K378" s="72">
        <f t="shared" si="99"/>
        <v>234</v>
      </c>
      <c r="L378" s="784">
        <f t="shared" si="93"/>
        <v>20937433.13475528</v>
      </c>
      <c r="M378" s="604">
        <f t="shared" si="94"/>
        <v>200129.99292672705</v>
      </c>
      <c r="N378" s="784">
        <f t="shared" si="95"/>
        <v>63604.434125376807</v>
      </c>
      <c r="O378" s="785">
        <f t="shared" si="96"/>
        <v>136525.55880135024</v>
      </c>
      <c r="P378" s="11"/>
      <c r="Q378" s="11"/>
      <c r="R378" s="11"/>
      <c r="S378" s="11"/>
      <c r="T378" s="11"/>
    </row>
    <row r="379" spans="1:20" x14ac:dyDescent="0.25">
      <c r="A379" s="72">
        <f t="shared" si="97"/>
        <v>235</v>
      </c>
      <c r="B379" s="784">
        <f t="shared" si="85"/>
        <v>13267169.265153501</v>
      </c>
      <c r="C379" s="604">
        <f t="shared" si="86"/>
        <v>131757.33473632587</v>
      </c>
      <c r="D379" s="784">
        <f t="shared" si="87"/>
        <v>47657.625833649632</v>
      </c>
      <c r="E379" s="785">
        <f t="shared" si="88"/>
        <v>84099.708902676241</v>
      </c>
      <c r="F379" s="72">
        <f t="shared" si="98"/>
        <v>235</v>
      </c>
      <c r="G379" s="784">
        <f t="shared" si="89"/>
        <v>7533331.1798378434</v>
      </c>
      <c r="H379" s="604">
        <f t="shared" si="90"/>
        <v>68372.658190401169</v>
      </c>
      <c r="I379" s="784">
        <f t="shared" si="91"/>
        <v>15539.677329142087</v>
      </c>
      <c r="J379" s="785">
        <f t="shared" si="92"/>
        <v>52832.980861259086</v>
      </c>
      <c r="K379" s="72">
        <f t="shared" si="99"/>
        <v>235</v>
      </c>
      <c r="L379" s="784">
        <f t="shared" si="93"/>
        <v>20800500.444991343</v>
      </c>
      <c r="M379" s="604">
        <f t="shared" si="94"/>
        <v>200129.99292672705</v>
      </c>
      <c r="N379" s="784">
        <f t="shared" si="95"/>
        <v>63197.303162791723</v>
      </c>
      <c r="O379" s="785">
        <f t="shared" si="96"/>
        <v>136932.68976393534</v>
      </c>
      <c r="P379" s="11"/>
      <c r="Q379" s="11"/>
      <c r="R379" s="11"/>
      <c r="S379" s="11"/>
      <c r="T379" s="11"/>
    </row>
    <row r="380" spans="1:20" x14ac:dyDescent="0.25">
      <c r="A380" s="72">
        <f t="shared" si="97"/>
        <v>236</v>
      </c>
      <c r="B380" s="784">
        <f t="shared" si="85"/>
        <v>13182769.360631414</v>
      </c>
      <c r="C380" s="604">
        <f t="shared" si="86"/>
        <v>131757.33473632587</v>
      </c>
      <c r="D380" s="784">
        <f t="shared" si="87"/>
        <v>47357.430214237669</v>
      </c>
      <c r="E380" s="785">
        <f t="shared" si="88"/>
        <v>84399.904522088196</v>
      </c>
      <c r="F380" s="72">
        <f t="shared" si="98"/>
        <v>236</v>
      </c>
      <c r="G380" s="784">
        <f t="shared" si="89"/>
        <v>7480389.9746543141</v>
      </c>
      <c r="H380" s="604">
        <f t="shared" si="90"/>
        <v>68372.658190401169</v>
      </c>
      <c r="I380" s="784">
        <f t="shared" si="91"/>
        <v>15431.453006872076</v>
      </c>
      <c r="J380" s="785">
        <f t="shared" si="92"/>
        <v>52941.205183529091</v>
      </c>
      <c r="K380" s="72">
        <f t="shared" si="99"/>
        <v>236</v>
      </c>
      <c r="L380" s="784">
        <f t="shared" si="93"/>
        <v>20663159.335285727</v>
      </c>
      <c r="M380" s="604">
        <f t="shared" si="94"/>
        <v>200129.99292672705</v>
      </c>
      <c r="N380" s="784">
        <f t="shared" si="95"/>
        <v>62788.883221109747</v>
      </c>
      <c r="O380" s="785">
        <f t="shared" si="96"/>
        <v>137341.1097056173</v>
      </c>
      <c r="P380" s="11"/>
      <c r="Q380" s="11"/>
      <c r="R380" s="11"/>
      <c r="S380" s="11"/>
      <c r="T380" s="11"/>
    </row>
    <row r="381" spans="1:20" x14ac:dyDescent="0.25">
      <c r="A381" s="72">
        <f t="shared" si="97"/>
        <v>237</v>
      </c>
      <c r="B381" s="784">
        <f t="shared" si="85"/>
        <v>13098068.188935552</v>
      </c>
      <c r="C381" s="604">
        <f t="shared" si="86"/>
        <v>131757.33473632587</v>
      </c>
      <c r="D381" s="784">
        <f t="shared" si="87"/>
        <v>47056.16304046374</v>
      </c>
      <c r="E381" s="785">
        <f t="shared" si="88"/>
        <v>84701.171695862125</v>
      </c>
      <c r="F381" s="72">
        <f t="shared" si="98"/>
        <v>237</v>
      </c>
      <c r="G381" s="784">
        <f t="shared" si="89"/>
        <v>7427340.3234592648</v>
      </c>
      <c r="H381" s="604">
        <f t="shared" si="90"/>
        <v>68372.658190401169</v>
      </c>
      <c r="I381" s="784">
        <f t="shared" si="91"/>
        <v>15323.006995351527</v>
      </c>
      <c r="J381" s="785">
        <f t="shared" si="92"/>
        <v>53049.651195049642</v>
      </c>
      <c r="K381" s="72">
        <f t="shared" si="99"/>
        <v>237</v>
      </c>
      <c r="L381" s="784">
        <f t="shared" si="93"/>
        <v>20525408.512394816</v>
      </c>
      <c r="M381" s="604">
        <f t="shared" si="94"/>
        <v>200129.99292672705</v>
      </c>
      <c r="N381" s="784">
        <f t="shared" si="95"/>
        <v>62379.170035815267</v>
      </c>
      <c r="O381" s="785">
        <f t="shared" si="96"/>
        <v>137750.82289091178</v>
      </c>
      <c r="P381" s="11"/>
      <c r="Q381" s="11"/>
      <c r="R381" s="11"/>
      <c r="S381" s="11"/>
      <c r="T381" s="11"/>
    </row>
    <row r="382" spans="1:20" x14ac:dyDescent="0.25">
      <c r="A382" s="72">
        <f t="shared" si="97"/>
        <v>238</v>
      </c>
      <c r="B382" s="784">
        <f t="shared" si="85"/>
        <v>13013064.674686618</v>
      </c>
      <c r="C382" s="604">
        <f t="shared" si="86"/>
        <v>131757.33473632587</v>
      </c>
      <c r="D382" s="784">
        <f t="shared" si="87"/>
        <v>46753.82048739279</v>
      </c>
      <c r="E382" s="785">
        <f t="shared" si="88"/>
        <v>85003.514248933076</v>
      </c>
      <c r="F382" s="72">
        <f t="shared" si="98"/>
        <v>238</v>
      </c>
      <c r="G382" s="784">
        <f t="shared" si="89"/>
        <v>7374182.0041093305</v>
      </c>
      <c r="H382" s="604">
        <f t="shared" si="90"/>
        <v>68372.658190401169</v>
      </c>
      <c r="I382" s="784">
        <f t="shared" si="91"/>
        <v>15214.33884046696</v>
      </c>
      <c r="J382" s="785">
        <f t="shared" si="92"/>
        <v>53158.319349934209</v>
      </c>
      <c r="K382" s="72">
        <f t="shared" si="99"/>
        <v>238</v>
      </c>
      <c r="L382" s="784">
        <f t="shared" si="93"/>
        <v>20387246.678795949</v>
      </c>
      <c r="M382" s="604">
        <f t="shared" si="94"/>
        <v>200129.99292672705</v>
      </c>
      <c r="N382" s="784">
        <f t="shared" si="95"/>
        <v>61968.15932785975</v>
      </c>
      <c r="O382" s="785">
        <f t="shared" si="96"/>
        <v>138161.83359886729</v>
      </c>
      <c r="P382" s="11"/>
      <c r="Q382" s="11"/>
      <c r="R382" s="11"/>
      <c r="S382" s="11"/>
      <c r="T382" s="11"/>
    </row>
    <row r="383" spans="1:20" x14ac:dyDescent="0.25">
      <c r="A383" s="72">
        <f t="shared" si="97"/>
        <v>239</v>
      </c>
      <c r="B383" s="784">
        <f t="shared" si="85"/>
        <v>12927757.738666728</v>
      </c>
      <c r="C383" s="604">
        <f t="shared" si="86"/>
        <v>131757.33473632587</v>
      </c>
      <c r="D383" s="784">
        <f t="shared" si="87"/>
        <v>46450.398716436568</v>
      </c>
      <c r="E383" s="785">
        <f t="shared" si="88"/>
        <v>85306.936019889297</v>
      </c>
      <c r="F383" s="72">
        <f t="shared" si="98"/>
        <v>239</v>
      </c>
      <c r="G383" s="784">
        <f t="shared" si="89"/>
        <v>7320914.7940061036</v>
      </c>
      <c r="H383" s="604">
        <f t="shared" si="90"/>
        <v>68372.658190401169</v>
      </c>
      <c r="I383" s="784">
        <f t="shared" si="91"/>
        <v>15105.448087174675</v>
      </c>
      <c r="J383" s="785">
        <f t="shared" si="92"/>
        <v>53267.210103226491</v>
      </c>
      <c r="K383" s="72">
        <f t="shared" si="99"/>
        <v>239</v>
      </c>
      <c r="L383" s="784">
        <f t="shared" si="93"/>
        <v>20248672.53267283</v>
      </c>
      <c r="M383" s="604">
        <f t="shared" si="94"/>
        <v>200129.99292672705</v>
      </c>
      <c r="N383" s="784">
        <f t="shared" si="95"/>
        <v>61555.846803611246</v>
      </c>
      <c r="O383" s="785">
        <f t="shared" si="96"/>
        <v>138574.14612311579</v>
      </c>
      <c r="P383" s="11"/>
      <c r="Q383" s="11"/>
      <c r="R383" s="11"/>
      <c r="S383" s="11"/>
      <c r="T383" s="11"/>
    </row>
    <row r="384" spans="1:20" x14ac:dyDescent="0.25">
      <c r="A384" s="72">
        <f t="shared" si="97"/>
        <v>240</v>
      </c>
      <c r="B384" s="784">
        <f t="shared" si="85"/>
        <v>12842146.297805708</v>
      </c>
      <c r="C384" s="604">
        <f t="shared" si="86"/>
        <v>131757.33473632587</v>
      </c>
      <c r="D384" s="784">
        <f t="shared" si="87"/>
        <v>46145.893875304908</v>
      </c>
      <c r="E384" s="785">
        <f t="shared" si="88"/>
        <v>85611.440861020965</v>
      </c>
      <c r="F384" s="72">
        <f t="shared" si="98"/>
        <v>240</v>
      </c>
      <c r="G384" s="784">
        <f t="shared" si="89"/>
        <v>7267538.4700952014</v>
      </c>
      <c r="H384" s="604">
        <f t="shared" si="90"/>
        <v>68372.658190401169</v>
      </c>
      <c r="I384" s="784">
        <f t="shared" si="91"/>
        <v>14996.334279498849</v>
      </c>
      <c r="J384" s="785">
        <f t="shared" si="92"/>
        <v>53376.32391090232</v>
      </c>
      <c r="K384" s="72">
        <f t="shared" si="99"/>
        <v>240</v>
      </c>
      <c r="L384" s="784">
        <f t="shared" si="93"/>
        <v>20109684.76790091</v>
      </c>
      <c r="M384" s="604">
        <f t="shared" si="94"/>
        <v>200129.99292672705</v>
      </c>
      <c r="N384" s="784">
        <f t="shared" si="95"/>
        <v>61142.228154803757</v>
      </c>
      <c r="O384" s="785">
        <f t="shared" si="96"/>
        <v>138987.76477192328</v>
      </c>
      <c r="P384" s="11"/>
      <c r="Q384" s="11"/>
      <c r="R384" s="11"/>
      <c r="S384" s="11"/>
      <c r="T384" s="11"/>
    </row>
    <row r="385" spans="1:20" x14ac:dyDescent="0.25">
      <c r="A385" s="72">
        <f t="shared" si="97"/>
        <v>241</v>
      </c>
      <c r="B385" s="784">
        <f t="shared" si="85"/>
        <v>12756229.265167339</v>
      </c>
      <c r="C385" s="604">
        <f t="shared" si="86"/>
        <v>131757.33473632587</v>
      </c>
      <c r="D385" s="784">
        <f t="shared" si="87"/>
        <v>45840.302097956832</v>
      </c>
      <c r="E385" s="785">
        <f t="shared" si="88"/>
        <v>85917.032638369041</v>
      </c>
      <c r="F385" s="72">
        <f t="shared" si="98"/>
        <v>241</v>
      </c>
      <c r="G385" s="784">
        <f t="shared" si="89"/>
        <v>7214052.8088653302</v>
      </c>
      <c r="H385" s="604">
        <f t="shared" si="90"/>
        <v>68372.658190401169</v>
      </c>
      <c r="I385" s="784">
        <f t="shared" si="91"/>
        <v>14886.996960529632</v>
      </c>
      <c r="J385" s="785">
        <f t="shared" si="92"/>
        <v>53485.661229871534</v>
      </c>
      <c r="K385" s="72">
        <f t="shared" si="99"/>
        <v>241</v>
      </c>
      <c r="L385" s="784">
        <f t="shared" si="93"/>
        <v>19970282.074032668</v>
      </c>
      <c r="M385" s="604">
        <f t="shared" si="94"/>
        <v>200129.99292672705</v>
      </c>
      <c r="N385" s="784">
        <f t="shared" si="95"/>
        <v>60727.29905848646</v>
      </c>
      <c r="O385" s="785">
        <f t="shared" si="96"/>
        <v>139402.69386824057</v>
      </c>
      <c r="P385" s="11"/>
      <c r="Q385" s="11"/>
      <c r="R385" s="11"/>
      <c r="S385" s="11"/>
      <c r="T385" s="11"/>
    </row>
    <row r="386" spans="1:20" x14ac:dyDescent="0.25">
      <c r="A386" s="72">
        <f t="shared" si="97"/>
        <v>242</v>
      </c>
      <c r="B386" s="784">
        <f t="shared" si="85"/>
        <v>12670005.549935564</v>
      </c>
      <c r="C386" s="604">
        <f t="shared" si="86"/>
        <v>131757.33473632587</v>
      </c>
      <c r="D386" s="784">
        <f t="shared" si="87"/>
        <v>45533.619504551411</v>
      </c>
      <c r="E386" s="785">
        <f t="shared" si="88"/>
        <v>86223.715231774462</v>
      </c>
      <c r="F386" s="72">
        <f t="shared" si="98"/>
        <v>242</v>
      </c>
      <c r="G386" s="784">
        <f t="shared" si="89"/>
        <v>7160457.5863473499</v>
      </c>
      <c r="H386" s="604">
        <f t="shared" si="90"/>
        <v>68372.658190401169</v>
      </c>
      <c r="I386" s="784">
        <f t="shared" si="91"/>
        <v>14777.435672421228</v>
      </c>
      <c r="J386" s="785">
        <f t="shared" si="92"/>
        <v>53595.222517979942</v>
      </c>
      <c r="K386" s="72">
        <f t="shared" si="99"/>
        <v>242</v>
      </c>
      <c r="L386" s="784">
        <f t="shared" si="93"/>
        <v>19830463.136282913</v>
      </c>
      <c r="M386" s="604">
        <f t="shared" si="94"/>
        <v>200129.99292672705</v>
      </c>
      <c r="N386" s="784">
        <f t="shared" si="95"/>
        <v>60311.055176972637</v>
      </c>
      <c r="O386" s="785">
        <f t="shared" si="96"/>
        <v>139818.9377497544</v>
      </c>
      <c r="P386" s="11"/>
      <c r="Q386" s="11"/>
      <c r="R386" s="11"/>
      <c r="S386" s="11"/>
      <c r="T386" s="11"/>
    </row>
    <row r="387" spans="1:20" x14ac:dyDescent="0.25">
      <c r="A387" s="72">
        <f t="shared" si="97"/>
        <v>243</v>
      </c>
      <c r="B387" s="784">
        <f t="shared" si="85"/>
        <v>12583474.057400636</v>
      </c>
      <c r="C387" s="604">
        <f t="shared" si="86"/>
        <v>131757.33473632587</v>
      </c>
      <c r="D387" s="784">
        <f t="shared" si="87"/>
        <v>45225.842201398584</v>
      </c>
      <c r="E387" s="785">
        <f t="shared" si="88"/>
        <v>86531.492534927282</v>
      </c>
      <c r="F387" s="72">
        <f t="shared" si="98"/>
        <v>243</v>
      </c>
      <c r="G387" s="784">
        <f t="shared" si="89"/>
        <v>7106752.5781133389</v>
      </c>
      <c r="H387" s="604">
        <f t="shared" si="90"/>
        <v>68372.658190401169</v>
      </c>
      <c r="I387" s="784">
        <f t="shared" si="91"/>
        <v>14667.649956389976</v>
      </c>
      <c r="J387" s="785">
        <f t="shared" si="92"/>
        <v>53705.008234011191</v>
      </c>
      <c r="K387" s="72">
        <f t="shared" si="99"/>
        <v>243</v>
      </c>
      <c r="L387" s="784">
        <f t="shared" si="93"/>
        <v>19690226.635513976</v>
      </c>
      <c r="M387" s="604">
        <f t="shared" si="94"/>
        <v>200129.99292672705</v>
      </c>
      <c r="N387" s="784">
        <f t="shared" si="95"/>
        <v>59893.492157788562</v>
      </c>
      <c r="O387" s="785">
        <f t="shared" si="96"/>
        <v>140236.50076893848</v>
      </c>
      <c r="P387" s="11"/>
      <c r="Q387" s="11"/>
      <c r="R387" s="11"/>
      <c r="S387" s="11"/>
      <c r="T387" s="11"/>
    </row>
    <row r="388" spans="1:20" x14ac:dyDescent="0.25">
      <c r="A388" s="72">
        <f t="shared" si="97"/>
        <v>244</v>
      </c>
      <c r="B388" s="784">
        <f t="shared" si="85"/>
        <v>12496633.688945221</v>
      </c>
      <c r="C388" s="604">
        <f t="shared" si="86"/>
        <v>131757.33473632587</v>
      </c>
      <c r="D388" s="784">
        <f t="shared" si="87"/>
        <v>44916.966280909655</v>
      </c>
      <c r="E388" s="785">
        <f t="shared" si="88"/>
        <v>86840.368455416203</v>
      </c>
      <c r="F388" s="72">
        <f t="shared" si="98"/>
        <v>244</v>
      </c>
      <c r="G388" s="784">
        <f t="shared" si="89"/>
        <v>7052937.5592756504</v>
      </c>
      <c r="H388" s="604">
        <f t="shared" si="90"/>
        <v>68372.658190401169</v>
      </c>
      <c r="I388" s="784">
        <f t="shared" si="91"/>
        <v>14557.639352712433</v>
      </c>
      <c r="J388" s="785">
        <f t="shared" si="92"/>
        <v>53815.018837688738</v>
      </c>
      <c r="K388" s="72">
        <f t="shared" si="99"/>
        <v>244</v>
      </c>
      <c r="L388" s="784">
        <f t="shared" si="93"/>
        <v>19549571.248220872</v>
      </c>
      <c r="M388" s="604">
        <f t="shared" si="94"/>
        <v>200129.99292672705</v>
      </c>
      <c r="N388" s="784">
        <f t="shared" si="95"/>
        <v>59474.605633622086</v>
      </c>
      <c r="O388" s="785">
        <f t="shared" si="96"/>
        <v>140655.38729310496</v>
      </c>
      <c r="P388" s="11"/>
      <c r="Q388" s="11"/>
      <c r="R388" s="11"/>
      <c r="S388" s="11"/>
      <c r="T388" s="11"/>
    </row>
    <row r="389" spans="1:20" x14ac:dyDescent="0.25">
      <c r="A389" s="72">
        <f t="shared" si="97"/>
        <v>245</v>
      </c>
      <c r="B389" s="784">
        <f t="shared" si="85"/>
        <v>12409483.342030443</v>
      </c>
      <c r="C389" s="604">
        <f t="shared" si="86"/>
        <v>131757.33473632587</v>
      </c>
      <c r="D389" s="784">
        <f t="shared" si="87"/>
        <v>44606.987821547737</v>
      </c>
      <c r="E389" s="785">
        <f t="shared" si="88"/>
        <v>87150.346914778129</v>
      </c>
      <c r="F389" s="72">
        <f t="shared" si="98"/>
        <v>245</v>
      </c>
      <c r="G389" s="784">
        <f t="shared" si="89"/>
        <v>6999012.304485973</v>
      </c>
      <c r="H389" s="604">
        <f t="shared" si="90"/>
        <v>68372.658190401169</v>
      </c>
      <c r="I389" s="784">
        <f t="shared" si="91"/>
        <v>14447.403400723448</v>
      </c>
      <c r="J389" s="785">
        <f t="shared" si="92"/>
        <v>53925.254789677725</v>
      </c>
      <c r="K389" s="72">
        <f t="shared" si="99"/>
        <v>245</v>
      </c>
      <c r="L389" s="784">
        <f t="shared" si="93"/>
        <v>19408495.646516416</v>
      </c>
      <c r="M389" s="604">
        <f t="shared" si="94"/>
        <v>200129.99292672705</v>
      </c>
      <c r="N389" s="784">
        <f t="shared" si="95"/>
        <v>59054.391222271181</v>
      </c>
      <c r="O389" s="785">
        <f t="shared" si="96"/>
        <v>141075.60170445585</v>
      </c>
      <c r="P389" s="11"/>
      <c r="Q389" s="11"/>
      <c r="R389" s="11"/>
      <c r="S389" s="11"/>
      <c r="T389" s="11"/>
    </row>
    <row r="390" spans="1:20" x14ac:dyDescent="0.25">
      <c r="A390" s="72">
        <f t="shared" si="97"/>
        <v>246</v>
      </c>
      <c r="B390" s="784">
        <f t="shared" si="85"/>
        <v>12322021.910181895</v>
      </c>
      <c r="C390" s="604">
        <f t="shared" si="86"/>
        <v>131757.33473632587</v>
      </c>
      <c r="D390" s="784">
        <f t="shared" si="87"/>
        <v>44295.902887777927</v>
      </c>
      <c r="E390" s="785">
        <f t="shared" si="88"/>
        <v>87461.431848547945</v>
      </c>
      <c r="F390" s="72">
        <f t="shared" si="98"/>
        <v>246</v>
      </c>
      <c r="G390" s="784">
        <f t="shared" si="89"/>
        <v>6944976.587934386</v>
      </c>
      <c r="H390" s="604">
        <f t="shared" si="90"/>
        <v>68372.658190401169</v>
      </c>
      <c r="I390" s="784">
        <f t="shared" si="91"/>
        <v>14336.941638814233</v>
      </c>
      <c r="J390" s="785">
        <f t="shared" si="92"/>
        <v>54035.716551586935</v>
      </c>
      <c r="K390" s="72">
        <f t="shared" si="99"/>
        <v>246</v>
      </c>
      <c r="L390" s="784">
        <f t="shared" si="93"/>
        <v>19266998.498116281</v>
      </c>
      <c r="M390" s="604">
        <f t="shared" si="94"/>
        <v>200129.99292672705</v>
      </c>
      <c r="N390" s="784">
        <f t="shared" si="95"/>
        <v>58632.844526592162</v>
      </c>
      <c r="O390" s="785">
        <f t="shared" si="96"/>
        <v>141497.14840013487</v>
      </c>
      <c r="P390" s="11"/>
      <c r="Q390" s="11"/>
      <c r="R390" s="11"/>
      <c r="S390" s="11"/>
      <c r="T390" s="11"/>
    </row>
    <row r="391" spans="1:20" x14ac:dyDescent="0.25">
      <c r="A391" s="72">
        <f t="shared" si="97"/>
        <v>247</v>
      </c>
      <c r="B391" s="784">
        <f t="shared" si="85"/>
        <v>12234248.282975586</v>
      </c>
      <c r="C391" s="604">
        <f t="shared" si="86"/>
        <v>131757.33473632587</v>
      </c>
      <c r="D391" s="784">
        <f t="shared" si="87"/>
        <v>43983.707530017331</v>
      </c>
      <c r="E391" s="785">
        <f t="shared" si="88"/>
        <v>87773.627206308534</v>
      </c>
      <c r="F391" s="72">
        <f t="shared" si="98"/>
        <v>247</v>
      </c>
      <c r="G391" s="784">
        <f t="shared" si="89"/>
        <v>6890830.1833484154</v>
      </c>
      <c r="H391" s="604">
        <f t="shared" si="90"/>
        <v>68372.658190401169</v>
      </c>
      <c r="I391" s="784">
        <f t="shared" si="91"/>
        <v>14226.253604430429</v>
      </c>
      <c r="J391" s="785">
        <f t="shared" si="92"/>
        <v>54146.40458597074</v>
      </c>
      <c r="K391" s="72">
        <f t="shared" si="99"/>
        <v>247</v>
      </c>
      <c r="L391" s="784">
        <f t="shared" si="93"/>
        <v>19125078.466324002</v>
      </c>
      <c r="M391" s="604">
        <f t="shared" si="94"/>
        <v>200129.99292672705</v>
      </c>
      <c r="N391" s="784">
        <f t="shared" si="95"/>
        <v>58209.96113444776</v>
      </c>
      <c r="O391" s="785">
        <f t="shared" si="96"/>
        <v>141920.03179227927</v>
      </c>
      <c r="P391" s="11"/>
      <c r="Q391" s="11"/>
      <c r="R391" s="11"/>
      <c r="S391" s="11"/>
      <c r="T391" s="11"/>
    </row>
    <row r="392" spans="1:20" x14ac:dyDescent="0.25">
      <c r="A392" s="72">
        <f t="shared" si="97"/>
        <v>248</v>
      </c>
      <c r="B392" s="784">
        <f t="shared" si="85"/>
        <v>12146161.346023845</v>
      </c>
      <c r="C392" s="604">
        <f t="shared" si="86"/>
        <v>131757.33473632587</v>
      </c>
      <c r="D392" s="784">
        <f t="shared" si="87"/>
        <v>43670.397784584973</v>
      </c>
      <c r="E392" s="785">
        <f t="shared" si="88"/>
        <v>88086.936951740892</v>
      </c>
      <c r="F392" s="72">
        <f t="shared" si="98"/>
        <v>248</v>
      </c>
      <c r="G392" s="784">
        <f t="shared" si="89"/>
        <v>6836572.8639920847</v>
      </c>
      <c r="H392" s="604">
        <f t="shared" si="90"/>
        <v>68372.658190401169</v>
      </c>
      <c r="I392" s="784">
        <f t="shared" si="91"/>
        <v>14115.338834070171</v>
      </c>
      <c r="J392" s="785">
        <f t="shared" si="92"/>
        <v>54257.319356330998</v>
      </c>
      <c r="K392" s="72">
        <f t="shared" si="99"/>
        <v>248</v>
      </c>
      <c r="L392" s="784">
        <f t="shared" si="93"/>
        <v>18982734.21001593</v>
      </c>
      <c r="M392" s="604">
        <f t="shared" si="94"/>
        <v>200129.99292672705</v>
      </c>
      <c r="N392" s="784">
        <f t="shared" si="95"/>
        <v>57785.736618655144</v>
      </c>
      <c r="O392" s="785">
        <f t="shared" si="96"/>
        <v>142344.2563080719</v>
      </c>
      <c r="P392" s="11"/>
      <c r="Q392" s="11"/>
      <c r="R392" s="11"/>
      <c r="S392" s="11"/>
      <c r="T392" s="11"/>
    </row>
    <row r="393" spans="1:20" x14ac:dyDescent="0.25">
      <c r="A393" s="72">
        <f t="shared" si="97"/>
        <v>249</v>
      </c>
      <c r="B393" s="784">
        <f t="shared" si="85"/>
        <v>12057759.98096117</v>
      </c>
      <c r="C393" s="604">
        <f t="shared" si="86"/>
        <v>131757.33473632587</v>
      </c>
      <c r="D393" s="784">
        <f t="shared" si="87"/>
        <v>43355.969673651409</v>
      </c>
      <c r="E393" s="785">
        <f t="shared" si="88"/>
        <v>88401.365062674449</v>
      </c>
      <c r="F393" s="72">
        <f t="shared" si="98"/>
        <v>249</v>
      </c>
      <c r="G393" s="784">
        <f t="shared" si="89"/>
        <v>6782204.4026649659</v>
      </c>
      <c r="H393" s="604">
        <f t="shared" si="90"/>
        <v>68372.658190401169</v>
      </c>
      <c r="I393" s="784">
        <f t="shared" si="91"/>
        <v>14004.196863282144</v>
      </c>
      <c r="J393" s="785">
        <f t="shared" si="92"/>
        <v>54368.461327119025</v>
      </c>
      <c r="K393" s="72">
        <f t="shared" si="99"/>
        <v>249</v>
      </c>
      <c r="L393" s="784">
        <f t="shared" si="93"/>
        <v>18839964.383626137</v>
      </c>
      <c r="M393" s="604">
        <f t="shared" si="94"/>
        <v>200129.99292672705</v>
      </c>
      <c r="N393" s="784">
        <f t="shared" si="95"/>
        <v>57360.166536933553</v>
      </c>
      <c r="O393" s="785">
        <f t="shared" si="96"/>
        <v>142769.82638979348</v>
      </c>
      <c r="P393" s="11"/>
      <c r="Q393" s="11"/>
      <c r="R393" s="11"/>
      <c r="S393" s="11"/>
      <c r="T393" s="11"/>
    </row>
    <row r="394" spans="1:20" x14ac:dyDescent="0.25">
      <c r="A394" s="72">
        <f t="shared" si="97"/>
        <v>250</v>
      </c>
      <c r="B394" s="784">
        <f t="shared" si="85"/>
        <v>11969043.065430032</v>
      </c>
      <c r="C394" s="604">
        <f t="shared" si="86"/>
        <v>131757.33473632587</v>
      </c>
      <c r="D394" s="784">
        <f t="shared" si="87"/>
        <v>43040.419205188271</v>
      </c>
      <c r="E394" s="785">
        <f t="shared" si="88"/>
        <v>88716.915531137594</v>
      </c>
      <c r="F394" s="72">
        <f t="shared" si="98"/>
        <v>250</v>
      </c>
      <c r="G394" s="784">
        <f t="shared" si="89"/>
        <v>6727724.5717012286</v>
      </c>
      <c r="H394" s="604">
        <f t="shared" si="90"/>
        <v>68372.658190401169</v>
      </c>
      <c r="I394" s="784">
        <f t="shared" si="91"/>
        <v>13892.827226663641</v>
      </c>
      <c r="J394" s="785">
        <f t="shared" si="92"/>
        <v>54479.830963737528</v>
      </c>
      <c r="K394" s="72">
        <f t="shared" si="99"/>
        <v>250</v>
      </c>
      <c r="L394" s="784">
        <f t="shared" si="93"/>
        <v>18696767.637131259</v>
      </c>
      <c r="M394" s="604">
        <f t="shared" si="94"/>
        <v>200129.99292672705</v>
      </c>
      <c r="N394" s="784">
        <f t="shared" si="95"/>
        <v>56933.246431851912</v>
      </c>
      <c r="O394" s="785">
        <f t="shared" si="96"/>
        <v>143196.74649487511</v>
      </c>
      <c r="P394" s="11"/>
      <c r="Q394" s="11"/>
      <c r="R394" s="11"/>
      <c r="S394" s="11"/>
      <c r="T394" s="11"/>
    </row>
    <row r="395" spans="1:20" x14ac:dyDescent="0.25">
      <c r="A395" s="72">
        <f t="shared" si="97"/>
        <v>251</v>
      </c>
      <c r="B395" s="784">
        <f t="shared" si="85"/>
        <v>11880009.473066624</v>
      </c>
      <c r="C395" s="604">
        <f t="shared" si="86"/>
        <v>131757.33473632587</v>
      </c>
      <c r="D395" s="784">
        <f t="shared" si="87"/>
        <v>42723.74237291755</v>
      </c>
      <c r="E395" s="785">
        <f t="shared" si="88"/>
        <v>89033.592363408316</v>
      </c>
      <c r="F395" s="72">
        <f t="shared" si="98"/>
        <v>251</v>
      </c>
      <c r="G395" s="784">
        <f t="shared" si="89"/>
        <v>6673133.1429686863</v>
      </c>
      <c r="H395" s="604">
        <f t="shared" si="90"/>
        <v>68372.658190401169</v>
      </c>
      <c r="I395" s="784">
        <f t="shared" si="91"/>
        <v>13781.229457858613</v>
      </c>
      <c r="J395" s="785">
        <f t="shared" si="92"/>
        <v>54591.428732542554</v>
      </c>
      <c r="K395" s="72">
        <f t="shared" si="99"/>
        <v>251</v>
      </c>
      <c r="L395" s="784">
        <f t="shared" si="93"/>
        <v>18553142.616035312</v>
      </c>
      <c r="M395" s="604">
        <f t="shared" si="94"/>
        <v>200129.99292672705</v>
      </c>
      <c r="N395" s="784">
        <f t="shared" si="95"/>
        <v>56504.971830776165</v>
      </c>
      <c r="O395" s="785">
        <f t="shared" si="96"/>
        <v>143625.02109595085</v>
      </c>
      <c r="P395" s="11"/>
      <c r="Q395" s="11"/>
      <c r="R395" s="11"/>
      <c r="S395" s="11"/>
      <c r="T395" s="11"/>
    </row>
    <row r="396" spans="1:20" x14ac:dyDescent="0.25">
      <c r="A396" s="72">
        <f t="shared" si="97"/>
        <v>252</v>
      </c>
      <c r="B396" s="784">
        <f t="shared" si="85"/>
        <v>11790658.073486559</v>
      </c>
      <c r="C396" s="604">
        <f t="shared" si="86"/>
        <v>131757.33473632587</v>
      </c>
      <c r="D396" s="784">
        <f t="shared" si="87"/>
        <v>42405.935156260755</v>
      </c>
      <c r="E396" s="785">
        <f t="shared" si="88"/>
        <v>89351.399580065103</v>
      </c>
      <c r="F396" s="72">
        <f t="shared" si="98"/>
        <v>252</v>
      </c>
      <c r="G396" s="784">
        <f t="shared" si="89"/>
        <v>6618429.8878678409</v>
      </c>
      <c r="H396" s="604">
        <f t="shared" si="90"/>
        <v>68372.658190401169</v>
      </c>
      <c r="I396" s="784">
        <f t="shared" si="91"/>
        <v>13669.403089555719</v>
      </c>
      <c r="J396" s="785">
        <f t="shared" si="92"/>
        <v>54703.255100845447</v>
      </c>
      <c r="K396" s="72">
        <f t="shared" si="99"/>
        <v>252</v>
      </c>
      <c r="L396" s="784">
        <f t="shared" si="93"/>
        <v>18409087.961354401</v>
      </c>
      <c r="M396" s="604">
        <f t="shared" si="94"/>
        <v>200129.99292672705</v>
      </c>
      <c r="N396" s="784">
        <f t="shared" si="95"/>
        <v>56075.338245816471</v>
      </c>
      <c r="O396" s="785">
        <f t="shared" si="96"/>
        <v>144054.65468091055</v>
      </c>
      <c r="P396" s="11"/>
      <c r="Q396" s="11"/>
      <c r="R396" s="11"/>
      <c r="S396" s="11"/>
      <c r="T396" s="11"/>
    </row>
    <row r="397" spans="1:20" x14ac:dyDescent="0.25">
      <c r="A397" s="72">
        <f t="shared" si="97"/>
        <v>253</v>
      </c>
      <c r="B397" s="784">
        <f t="shared" si="85"/>
        <v>11700987.73227052</v>
      </c>
      <c r="C397" s="604">
        <f t="shared" si="86"/>
        <v>131757.33473632587</v>
      </c>
      <c r="D397" s="784">
        <f t="shared" si="87"/>
        <v>42086.993520287862</v>
      </c>
      <c r="E397" s="785">
        <f t="shared" si="88"/>
        <v>89670.34121603801</v>
      </c>
      <c r="F397" s="72">
        <f t="shared" si="98"/>
        <v>253</v>
      </c>
      <c r="G397" s="784">
        <f t="shared" si="89"/>
        <v>6563614.5773309264</v>
      </c>
      <c r="H397" s="604">
        <f t="shared" si="90"/>
        <v>68372.658190401169</v>
      </c>
      <c r="I397" s="784">
        <f t="shared" si="91"/>
        <v>13557.34765348636</v>
      </c>
      <c r="J397" s="785">
        <f t="shared" si="92"/>
        <v>54815.310536914811</v>
      </c>
      <c r="K397" s="72">
        <f t="shared" si="99"/>
        <v>253</v>
      </c>
      <c r="L397" s="784">
        <f t="shared" si="93"/>
        <v>18264602.309601448</v>
      </c>
      <c r="M397" s="604">
        <f t="shared" si="94"/>
        <v>200129.99292672705</v>
      </c>
      <c r="N397" s="784">
        <f t="shared" si="95"/>
        <v>55644.341173774221</v>
      </c>
      <c r="O397" s="785">
        <f t="shared" si="96"/>
        <v>144485.65175295284</v>
      </c>
      <c r="P397" s="11"/>
      <c r="Q397" s="11"/>
      <c r="R397" s="11"/>
      <c r="S397" s="11"/>
      <c r="T397" s="11"/>
    </row>
    <row r="398" spans="1:20" x14ac:dyDescent="0.25">
      <c r="A398" s="72">
        <f t="shared" si="97"/>
        <v>254</v>
      </c>
      <c r="B398" s="784">
        <f t="shared" si="85"/>
        <v>11610997.31094986</v>
      </c>
      <c r="C398" s="604">
        <f t="shared" si="86"/>
        <v>131757.33473632587</v>
      </c>
      <c r="D398" s="784">
        <f t="shared" si="87"/>
        <v>41766.913415666058</v>
      </c>
      <c r="E398" s="785">
        <f t="shared" si="88"/>
        <v>89990.421320659807</v>
      </c>
      <c r="F398" s="72">
        <f t="shared" si="98"/>
        <v>254</v>
      </c>
      <c r="G398" s="784">
        <f t="shared" si="89"/>
        <v>6508686.9818209484</v>
      </c>
      <c r="H398" s="604">
        <f t="shared" si="90"/>
        <v>68372.658190401169</v>
      </c>
      <c r="I398" s="784">
        <f t="shared" si="91"/>
        <v>13445.062680422729</v>
      </c>
      <c r="J398" s="785">
        <f t="shared" si="92"/>
        <v>54927.595509978441</v>
      </c>
      <c r="K398" s="72">
        <f t="shared" si="99"/>
        <v>254</v>
      </c>
      <c r="L398" s="784">
        <f t="shared" si="93"/>
        <v>18119684.29277081</v>
      </c>
      <c r="M398" s="604">
        <f t="shared" si="94"/>
        <v>200129.99292672705</v>
      </c>
      <c r="N398" s="784">
        <f t="shared" si="95"/>
        <v>55211.976096088787</v>
      </c>
      <c r="O398" s="785">
        <f t="shared" si="96"/>
        <v>144918.01683063825</v>
      </c>
      <c r="P398" s="11"/>
      <c r="Q398" s="11"/>
      <c r="R398" s="11"/>
      <c r="S398" s="11"/>
      <c r="T398" s="11"/>
    </row>
    <row r="399" spans="1:20" x14ac:dyDescent="0.25">
      <c r="A399" s="72">
        <f t="shared" si="97"/>
        <v>255</v>
      </c>
      <c r="B399" s="784">
        <f t="shared" si="85"/>
        <v>11520685.666992143</v>
      </c>
      <c r="C399" s="604">
        <f t="shared" si="86"/>
        <v>131757.33473632587</v>
      </c>
      <c r="D399" s="784">
        <f t="shared" si="87"/>
        <v>41445.690778608398</v>
      </c>
      <c r="E399" s="785">
        <f t="shared" si="88"/>
        <v>90311.643957717461</v>
      </c>
      <c r="F399" s="72">
        <f t="shared" si="98"/>
        <v>255</v>
      </c>
      <c r="G399" s="784">
        <f t="shared" si="89"/>
        <v>6453646.8713307232</v>
      </c>
      <c r="H399" s="604">
        <f t="shared" si="90"/>
        <v>68372.658190401169</v>
      </c>
      <c r="I399" s="784">
        <f t="shared" si="91"/>
        <v>13332.547700175845</v>
      </c>
      <c r="J399" s="785">
        <f t="shared" si="92"/>
        <v>55040.110490225328</v>
      </c>
      <c r="K399" s="72">
        <f t="shared" si="99"/>
        <v>255</v>
      </c>
      <c r="L399" s="784">
        <f t="shared" si="93"/>
        <v>17974332.538322866</v>
      </c>
      <c r="M399" s="604">
        <f t="shared" si="94"/>
        <v>200129.99292672705</v>
      </c>
      <c r="N399" s="784">
        <f t="shared" si="95"/>
        <v>54778.238478784246</v>
      </c>
      <c r="O399" s="785">
        <f t="shared" si="96"/>
        <v>145351.75444794277</v>
      </c>
      <c r="P399" s="11"/>
      <c r="Q399" s="11"/>
      <c r="R399" s="11"/>
      <c r="S399" s="11"/>
      <c r="T399" s="11"/>
    </row>
    <row r="400" spans="1:20" x14ac:dyDescent="0.25">
      <c r="A400" s="72">
        <f t="shared" si="97"/>
        <v>256</v>
      </c>
      <c r="B400" s="784">
        <f t="shared" si="85"/>
        <v>11430051.653786639</v>
      </c>
      <c r="C400" s="604">
        <f t="shared" si="86"/>
        <v>131757.33473632587</v>
      </c>
      <c r="D400" s="784">
        <f t="shared" si="87"/>
        <v>41123.321530822126</v>
      </c>
      <c r="E400" s="785">
        <f t="shared" si="88"/>
        <v>90634.013205503739</v>
      </c>
      <c r="F400" s="72">
        <f t="shared" si="98"/>
        <v>256</v>
      </c>
      <c r="G400" s="784">
        <f t="shared" si="89"/>
        <v>6398494.0153819155</v>
      </c>
      <c r="H400" s="604">
        <f t="shared" si="90"/>
        <v>68372.658190401169</v>
      </c>
      <c r="I400" s="784">
        <f t="shared" si="91"/>
        <v>13219.80224159357</v>
      </c>
      <c r="J400" s="785">
        <f t="shared" si="92"/>
        <v>55152.855948807599</v>
      </c>
      <c r="K400" s="72">
        <f t="shared" si="99"/>
        <v>256</v>
      </c>
      <c r="L400" s="784">
        <f t="shared" si="93"/>
        <v>17828545.669168554</v>
      </c>
      <c r="M400" s="604">
        <f t="shared" si="94"/>
        <v>200129.99292672705</v>
      </c>
      <c r="N400" s="784">
        <f t="shared" si="95"/>
        <v>54343.123772415696</v>
      </c>
      <c r="O400" s="785">
        <f t="shared" si="96"/>
        <v>145786.86915431134</v>
      </c>
      <c r="P400" s="11"/>
      <c r="Q400" s="11"/>
      <c r="R400" s="11"/>
      <c r="S400" s="11"/>
      <c r="T400" s="11"/>
    </row>
    <row r="401" spans="1:20" x14ac:dyDescent="0.25">
      <c r="A401" s="72">
        <f t="shared" si="97"/>
        <v>257</v>
      </c>
      <c r="B401" s="784">
        <f t="shared" ref="B401:B464" si="100">B400-E401</f>
        <v>11339094.120629771</v>
      </c>
      <c r="C401" s="604">
        <f t="shared" ref="C401:C464" si="101">-$H$59/12</f>
        <v>131757.33473632587</v>
      </c>
      <c r="D401" s="784">
        <f t="shared" ref="D401:D464" si="102">$H$57/12*B400</f>
        <v>40799.801579456951</v>
      </c>
      <c r="E401" s="785">
        <f t="shared" ref="E401:E464" si="103">C401-D401</f>
        <v>90957.533156868914</v>
      </c>
      <c r="F401" s="72">
        <f t="shared" si="98"/>
        <v>257</v>
      </c>
      <c r="G401" s="784">
        <f t="shared" ref="G401:G464" si="104">G400-J401</f>
        <v>6343228.183024073</v>
      </c>
      <c r="H401" s="604">
        <f t="shared" ref="H401:H464" si="105">-$H$64/12</f>
        <v>68372.658190401169</v>
      </c>
      <c r="I401" s="784">
        <f t="shared" ref="I401:I464" si="106">$H$62/12*G400</f>
        <v>13106.825832558659</v>
      </c>
      <c r="J401" s="785">
        <f t="shared" ref="J401:J464" si="107">H401-I401</f>
        <v>55265.832357842512</v>
      </c>
      <c r="K401" s="72">
        <f t="shared" si="99"/>
        <v>257</v>
      </c>
      <c r="L401" s="784">
        <f t="shared" ref="L401:L464" si="108">G401+B401</f>
        <v>17682322.303653844</v>
      </c>
      <c r="M401" s="604">
        <f t="shared" ref="M401:M464" si="109">H401+C401</f>
        <v>200129.99292672705</v>
      </c>
      <c r="N401" s="784">
        <f t="shared" ref="N401:N464" si="110">I401+D401</f>
        <v>53906.627412015609</v>
      </c>
      <c r="O401" s="785">
        <f t="shared" ref="O401:O464" si="111">J401+E401</f>
        <v>146223.36551471142</v>
      </c>
      <c r="P401" s="11"/>
      <c r="Q401" s="11"/>
      <c r="R401" s="11"/>
      <c r="S401" s="11"/>
      <c r="T401" s="11"/>
    </row>
    <row r="402" spans="1:20" x14ac:dyDescent="0.25">
      <c r="A402" s="72">
        <f t="shared" ref="A402:A465" si="112">A401+1</f>
        <v>258</v>
      </c>
      <c r="B402" s="784">
        <f t="shared" si="100"/>
        <v>11247811.912710497</v>
      </c>
      <c r="C402" s="604">
        <f t="shared" si="101"/>
        <v>131757.33473632587</v>
      </c>
      <c r="D402" s="784">
        <f t="shared" si="102"/>
        <v>40475.126817053089</v>
      </c>
      <c r="E402" s="785">
        <f t="shared" si="103"/>
        <v>91282.207919272769</v>
      </c>
      <c r="F402" s="72">
        <f t="shared" ref="F402:F465" si="113">F401+1</f>
        <v>258</v>
      </c>
      <c r="G402" s="784">
        <f t="shared" si="104"/>
        <v>6287849.1428336585</v>
      </c>
      <c r="H402" s="604">
        <f t="shared" si="105"/>
        <v>68372.658190401169</v>
      </c>
      <c r="I402" s="784">
        <f t="shared" si="106"/>
        <v>12993.617999986764</v>
      </c>
      <c r="J402" s="785">
        <f t="shared" si="107"/>
        <v>55379.040190414409</v>
      </c>
      <c r="K402" s="72">
        <f t="shared" ref="K402:K465" si="114">K401+1</f>
        <v>258</v>
      </c>
      <c r="L402" s="784">
        <f t="shared" si="108"/>
        <v>17535661.055544157</v>
      </c>
      <c r="M402" s="604">
        <f t="shared" si="109"/>
        <v>200129.99292672705</v>
      </c>
      <c r="N402" s="784">
        <f t="shared" si="110"/>
        <v>53468.744817039857</v>
      </c>
      <c r="O402" s="785">
        <f t="shared" si="111"/>
        <v>146661.24810968718</v>
      </c>
      <c r="P402" s="11"/>
      <c r="Q402" s="11"/>
      <c r="R402" s="11"/>
      <c r="S402" s="11"/>
      <c r="T402" s="11"/>
    </row>
    <row r="403" spans="1:20" x14ac:dyDescent="0.25">
      <c r="A403" s="72">
        <f t="shared" si="112"/>
        <v>259</v>
      </c>
      <c r="B403" s="784">
        <f t="shared" si="100"/>
        <v>11156203.871095661</v>
      </c>
      <c r="C403" s="604">
        <f t="shared" si="101"/>
        <v>131757.33473632587</v>
      </c>
      <c r="D403" s="784">
        <f t="shared" si="102"/>
        <v>40149.293121489056</v>
      </c>
      <c r="E403" s="785">
        <f t="shared" si="103"/>
        <v>91608.041614836809</v>
      </c>
      <c r="F403" s="72">
        <f t="shared" si="113"/>
        <v>259</v>
      </c>
      <c r="G403" s="784">
        <f t="shared" si="104"/>
        <v>6232356.6629130822</v>
      </c>
      <c r="H403" s="604">
        <f t="shared" si="105"/>
        <v>68372.658190401169</v>
      </c>
      <c r="I403" s="784">
        <f t="shared" si="106"/>
        <v>12880.178269824462</v>
      </c>
      <c r="J403" s="785">
        <f t="shared" si="107"/>
        <v>55492.479920576705</v>
      </c>
      <c r="K403" s="72">
        <f t="shared" si="114"/>
        <v>259</v>
      </c>
      <c r="L403" s="784">
        <f t="shared" si="108"/>
        <v>17388560.534008741</v>
      </c>
      <c r="M403" s="604">
        <f t="shared" si="109"/>
        <v>200129.99292672705</v>
      </c>
      <c r="N403" s="784">
        <f t="shared" si="110"/>
        <v>53029.47139131352</v>
      </c>
      <c r="O403" s="785">
        <f t="shared" si="111"/>
        <v>147100.52153541351</v>
      </c>
      <c r="P403" s="11"/>
      <c r="Q403" s="11"/>
      <c r="R403" s="11"/>
      <c r="S403" s="11"/>
      <c r="T403" s="11"/>
    </row>
    <row r="404" spans="1:20" x14ac:dyDescent="0.25">
      <c r="A404" s="72">
        <f t="shared" si="112"/>
        <v>260</v>
      </c>
      <c r="B404" s="784">
        <f t="shared" si="100"/>
        <v>11064268.832715265</v>
      </c>
      <c r="C404" s="604">
        <f t="shared" si="101"/>
        <v>131757.33473632587</v>
      </c>
      <c r="D404" s="784">
        <f t="shared" si="102"/>
        <v>39822.296355929408</v>
      </c>
      <c r="E404" s="785">
        <f t="shared" si="103"/>
        <v>91935.038380396465</v>
      </c>
      <c r="F404" s="72">
        <f t="shared" si="113"/>
        <v>260</v>
      </c>
      <c r="G404" s="784">
        <f t="shared" si="104"/>
        <v>6176750.5108897286</v>
      </c>
      <c r="H404" s="604">
        <f t="shared" si="105"/>
        <v>68372.658190401169</v>
      </c>
      <c r="I404" s="784">
        <f t="shared" si="106"/>
        <v>12766.506167047268</v>
      </c>
      <c r="J404" s="785">
        <f t="shared" si="107"/>
        <v>55606.152023353905</v>
      </c>
      <c r="K404" s="72">
        <f t="shared" si="114"/>
        <v>260</v>
      </c>
      <c r="L404" s="784">
        <f t="shared" si="108"/>
        <v>17241019.343604993</v>
      </c>
      <c r="M404" s="604">
        <f t="shared" si="109"/>
        <v>200129.99292672705</v>
      </c>
      <c r="N404" s="784">
        <f t="shared" si="110"/>
        <v>52588.802522976679</v>
      </c>
      <c r="O404" s="785">
        <f t="shared" si="111"/>
        <v>147541.19040375037</v>
      </c>
      <c r="P404" s="11"/>
      <c r="Q404" s="11"/>
      <c r="R404" s="11"/>
      <c r="S404" s="11"/>
      <c r="T404" s="11"/>
    </row>
    <row r="405" spans="1:20" x14ac:dyDescent="0.25">
      <c r="A405" s="72">
        <f t="shared" si="112"/>
        <v>261</v>
      </c>
      <c r="B405" s="784">
        <f t="shared" si="100"/>
        <v>10972005.630347712</v>
      </c>
      <c r="C405" s="604">
        <f t="shared" si="101"/>
        <v>131757.33473632587</v>
      </c>
      <c r="D405" s="784">
        <f t="shared" si="102"/>
        <v>39494.13236877216</v>
      </c>
      <c r="E405" s="785">
        <f t="shared" si="103"/>
        <v>92263.202367553706</v>
      </c>
      <c r="F405" s="72">
        <f t="shared" si="113"/>
        <v>261</v>
      </c>
      <c r="G405" s="784">
        <f t="shared" si="104"/>
        <v>6121030.4539149851</v>
      </c>
      <c r="H405" s="604">
        <f t="shared" si="105"/>
        <v>68372.658190401169</v>
      </c>
      <c r="I405" s="784">
        <f t="shared" si="106"/>
        <v>12652.601215657645</v>
      </c>
      <c r="J405" s="785">
        <f t="shared" si="107"/>
        <v>55720.056974743522</v>
      </c>
      <c r="K405" s="72">
        <f t="shared" si="114"/>
        <v>261</v>
      </c>
      <c r="L405" s="784">
        <f t="shared" si="108"/>
        <v>17093036.084262699</v>
      </c>
      <c r="M405" s="604">
        <f t="shared" si="109"/>
        <v>200129.99292672705</v>
      </c>
      <c r="N405" s="784">
        <f t="shared" si="110"/>
        <v>52146.733584429807</v>
      </c>
      <c r="O405" s="785">
        <f t="shared" si="111"/>
        <v>147983.25934229721</v>
      </c>
      <c r="P405" s="11"/>
      <c r="Q405" s="11"/>
      <c r="R405" s="11"/>
      <c r="S405" s="11"/>
      <c r="T405" s="11"/>
    </row>
    <row r="406" spans="1:20" x14ac:dyDescent="0.25">
      <c r="A406" s="72">
        <f t="shared" si="112"/>
        <v>262</v>
      </c>
      <c r="B406" s="784">
        <f t="shared" si="100"/>
        <v>10879413.092604982</v>
      </c>
      <c r="C406" s="604">
        <f t="shared" si="101"/>
        <v>131757.33473632587</v>
      </c>
      <c r="D406" s="784">
        <f t="shared" si="102"/>
        <v>39164.796993596108</v>
      </c>
      <c r="E406" s="785">
        <f t="shared" si="103"/>
        <v>92592.537742729764</v>
      </c>
      <c r="F406" s="72">
        <f t="shared" si="113"/>
        <v>262</v>
      </c>
      <c r="G406" s="784">
        <f t="shared" si="104"/>
        <v>6065196.2586632669</v>
      </c>
      <c r="H406" s="604">
        <f t="shared" si="105"/>
        <v>68372.658190401169</v>
      </c>
      <c r="I406" s="784">
        <f t="shared" si="106"/>
        <v>12538.462938683009</v>
      </c>
      <c r="J406" s="785">
        <f t="shared" si="107"/>
        <v>55834.195251718163</v>
      </c>
      <c r="K406" s="72">
        <f t="shared" si="114"/>
        <v>262</v>
      </c>
      <c r="L406" s="784">
        <f t="shared" si="108"/>
        <v>16944609.351268247</v>
      </c>
      <c r="M406" s="604">
        <f t="shared" si="109"/>
        <v>200129.99292672705</v>
      </c>
      <c r="N406" s="784">
        <f t="shared" si="110"/>
        <v>51703.259932279121</v>
      </c>
      <c r="O406" s="785">
        <f t="shared" si="111"/>
        <v>148426.73299444793</v>
      </c>
      <c r="P406" s="11"/>
      <c r="Q406" s="11"/>
      <c r="R406" s="11"/>
      <c r="S406" s="11"/>
      <c r="T406" s="11"/>
    </row>
    <row r="407" spans="1:20" x14ac:dyDescent="0.25">
      <c r="A407" s="72">
        <f t="shared" si="112"/>
        <v>263</v>
      </c>
      <c r="B407" s="784">
        <f t="shared" si="100"/>
        <v>10786490.043917764</v>
      </c>
      <c r="C407" s="604">
        <f t="shared" si="101"/>
        <v>131757.33473632587</v>
      </c>
      <c r="D407" s="784">
        <f t="shared" si="102"/>
        <v>38834.286049107919</v>
      </c>
      <c r="E407" s="785">
        <f t="shared" si="103"/>
        <v>92923.048687217946</v>
      </c>
      <c r="F407" s="72">
        <f t="shared" si="113"/>
        <v>263</v>
      </c>
      <c r="G407" s="784">
        <f t="shared" si="104"/>
        <v>6009247.6913310392</v>
      </c>
      <c r="H407" s="604">
        <f t="shared" si="105"/>
        <v>68372.658190401169</v>
      </c>
      <c r="I407" s="784">
        <f t="shared" si="106"/>
        <v>12424.090858173739</v>
      </c>
      <c r="J407" s="785">
        <f t="shared" si="107"/>
        <v>55948.567332227431</v>
      </c>
      <c r="K407" s="72">
        <f t="shared" si="114"/>
        <v>263</v>
      </c>
      <c r="L407" s="784">
        <f t="shared" si="108"/>
        <v>16795737.735248804</v>
      </c>
      <c r="M407" s="604">
        <f t="shared" si="109"/>
        <v>200129.99292672705</v>
      </c>
      <c r="N407" s="784">
        <f t="shared" si="110"/>
        <v>51258.376907281658</v>
      </c>
      <c r="O407" s="785">
        <f t="shared" si="111"/>
        <v>148871.61601944538</v>
      </c>
      <c r="P407" s="11"/>
      <c r="Q407" s="11"/>
      <c r="R407" s="11"/>
      <c r="S407" s="11"/>
      <c r="T407" s="11"/>
    </row>
    <row r="408" spans="1:20" x14ac:dyDescent="0.25">
      <c r="A408" s="72">
        <f t="shared" si="112"/>
        <v>264</v>
      </c>
      <c r="B408" s="784">
        <f t="shared" si="100"/>
        <v>10693235.304520527</v>
      </c>
      <c r="C408" s="604">
        <f t="shared" si="101"/>
        <v>131757.33473632587</v>
      </c>
      <c r="D408" s="784">
        <f t="shared" si="102"/>
        <v>38502.595339089065</v>
      </c>
      <c r="E408" s="785">
        <f t="shared" si="103"/>
        <v>93254.739397236801</v>
      </c>
      <c r="F408" s="72">
        <f t="shared" si="113"/>
        <v>264</v>
      </c>
      <c r="G408" s="784">
        <f t="shared" si="104"/>
        <v>5953184.5176358391</v>
      </c>
      <c r="H408" s="604">
        <f t="shared" si="105"/>
        <v>68372.658190401169</v>
      </c>
      <c r="I408" s="784">
        <f t="shared" si="106"/>
        <v>12309.484495201166</v>
      </c>
      <c r="J408" s="785">
        <f t="shared" si="107"/>
        <v>56063.173695200006</v>
      </c>
      <c r="K408" s="72">
        <f t="shared" si="114"/>
        <v>264</v>
      </c>
      <c r="L408" s="784">
        <f t="shared" si="108"/>
        <v>16646419.822156366</v>
      </c>
      <c r="M408" s="604">
        <f t="shared" si="109"/>
        <v>200129.99292672705</v>
      </c>
      <c r="N408" s="784">
        <f t="shared" si="110"/>
        <v>50812.079834290227</v>
      </c>
      <c r="O408" s="785">
        <f t="shared" si="111"/>
        <v>149317.91309243679</v>
      </c>
      <c r="P408" s="11"/>
      <c r="Q408" s="11"/>
      <c r="R408" s="11"/>
      <c r="S408" s="11"/>
      <c r="T408" s="11"/>
    </row>
    <row r="409" spans="1:20" x14ac:dyDescent="0.25">
      <c r="A409" s="72">
        <f t="shared" si="112"/>
        <v>265</v>
      </c>
      <c r="B409" s="784">
        <f t="shared" si="100"/>
        <v>10599647.690436544</v>
      </c>
      <c r="C409" s="604">
        <f t="shared" si="101"/>
        <v>131757.33473632587</v>
      </c>
      <c r="D409" s="784">
        <f t="shared" si="102"/>
        <v>38169.720652342505</v>
      </c>
      <c r="E409" s="785">
        <f t="shared" si="103"/>
        <v>93587.614083983353</v>
      </c>
      <c r="F409" s="72">
        <f t="shared" si="113"/>
        <v>265</v>
      </c>
      <c r="G409" s="784">
        <f t="shared" si="104"/>
        <v>5897006.5028152931</v>
      </c>
      <c r="H409" s="604">
        <f t="shared" si="105"/>
        <v>68372.658190401169</v>
      </c>
      <c r="I409" s="784">
        <f t="shared" si="106"/>
        <v>12194.643369855579</v>
      </c>
      <c r="J409" s="785">
        <f t="shared" si="107"/>
        <v>56178.014820545592</v>
      </c>
      <c r="K409" s="72">
        <f t="shared" si="114"/>
        <v>265</v>
      </c>
      <c r="L409" s="784">
        <f t="shared" si="108"/>
        <v>16496654.193251837</v>
      </c>
      <c r="M409" s="604">
        <f t="shared" si="109"/>
        <v>200129.99292672705</v>
      </c>
      <c r="N409" s="784">
        <f t="shared" si="110"/>
        <v>50364.364022198082</v>
      </c>
      <c r="O409" s="785">
        <f t="shared" si="111"/>
        <v>149765.62890452894</v>
      </c>
      <c r="P409" s="11"/>
      <c r="Q409" s="11"/>
      <c r="R409" s="11"/>
      <c r="S409" s="11"/>
      <c r="T409" s="11"/>
    </row>
    <row r="410" spans="1:20" x14ac:dyDescent="0.25">
      <c r="A410" s="72">
        <f t="shared" si="112"/>
        <v>266</v>
      </c>
      <c r="B410" s="784">
        <f t="shared" si="100"/>
        <v>10505726.013462856</v>
      </c>
      <c r="C410" s="604">
        <f t="shared" si="101"/>
        <v>131757.33473632587</v>
      </c>
      <c r="D410" s="784">
        <f t="shared" si="102"/>
        <v>37835.657762639261</v>
      </c>
      <c r="E410" s="785">
        <f t="shared" si="103"/>
        <v>93921.676973686612</v>
      </c>
      <c r="F410" s="72">
        <f t="shared" si="113"/>
        <v>266</v>
      </c>
      <c r="G410" s="784">
        <f t="shared" si="104"/>
        <v>5840713.4116261359</v>
      </c>
      <c r="H410" s="604">
        <f t="shared" si="105"/>
        <v>68372.658190401169</v>
      </c>
      <c r="I410" s="784">
        <f t="shared" si="106"/>
        <v>12079.567001244199</v>
      </c>
      <c r="J410" s="785">
        <f t="shared" si="107"/>
        <v>56293.09118915697</v>
      </c>
      <c r="K410" s="72">
        <f t="shared" si="114"/>
        <v>266</v>
      </c>
      <c r="L410" s="784">
        <f t="shared" si="108"/>
        <v>16346439.425088992</v>
      </c>
      <c r="M410" s="604">
        <f t="shared" si="109"/>
        <v>200129.99292672705</v>
      </c>
      <c r="N410" s="784">
        <f t="shared" si="110"/>
        <v>49915.22476388346</v>
      </c>
      <c r="O410" s="785">
        <f t="shared" si="111"/>
        <v>150214.7681628436</v>
      </c>
      <c r="P410" s="11"/>
      <c r="Q410" s="11"/>
      <c r="R410" s="11"/>
      <c r="S410" s="11"/>
      <c r="T410" s="11"/>
    </row>
    <row r="411" spans="1:20" x14ac:dyDescent="0.25">
      <c r="A411" s="72">
        <f t="shared" si="112"/>
        <v>267</v>
      </c>
      <c r="B411" s="784">
        <f t="shared" si="100"/>
        <v>10411469.081155196</v>
      </c>
      <c r="C411" s="604">
        <f t="shared" si="101"/>
        <v>131757.33473632587</v>
      </c>
      <c r="D411" s="784">
        <f t="shared" si="102"/>
        <v>37500.402428664733</v>
      </c>
      <c r="E411" s="785">
        <f t="shared" si="103"/>
        <v>94256.932307661133</v>
      </c>
      <c r="F411" s="72">
        <f t="shared" si="113"/>
        <v>267</v>
      </c>
      <c r="G411" s="784">
        <f t="shared" si="104"/>
        <v>5784305.0083432235</v>
      </c>
      <c r="H411" s="604">
        <f t="shared" si="105"/>
        <v>68372.658190401169</v>
      </c>
      <c r="I411" s="784">
        <f t="shared" si="106"/>
        <v>11964.254907489183</v>
      </c>
      <c r="J411" s="785">
        <f t="shared" si="107"/>
        <v>56408.403282911982</v>
      </c>
      <c r="K411" s="72">
        <f t="shared" si="114"/>
        <v>267</v>
      </c>
      <c r="L411" s="784">
        <f t="shared" si="108"/>
        <v>16195774.089498419</v>
      </c>
      <c r="M411" s="604">
        <f t="shared" si="109"/>
        <v>200129.99292672705</v>
      </c>
      <c r="N411" s="784">
        <f t="shared" si="110"/>
        <v>49464.657336153919</v>
      </c>
      <c r="O411" s="785">
        <f t="shared" si="111"/>
        <v>150665.33559057312</v>
      </c>
      <c r="P411" s="11"/>
      <c r="Q411" s="11"/>
      <c r="R411" s="11"/>
      <c r="S411" s="11"/>
      <c r="T411" s="11"/>
    </row>
    <row r="412" spans="1:20" x14ac:dyDescent="0.25">
      <c r="A412" s="72">
        <f t="shared" si="112"/>
        <v>268</v>
      </c>
      <c r="B412" s="784">
        <f t="shared" si="100"/>
        <v>10316875.696812835</v>
      </c>
      <c r="C412" s="604">
        <f t="shared" si="101"/>
        <v>131757.33473632587</v>
      </c>
      <c r="D412" s="784">
        <f t="shared" si="102"/>
        <v>37163.950393964893</v>
      </c>
      <c r="E412" s="785">
        <f t="shared" si="103"/>
        <v>94593.38434236098</v>
      </c>
      <c r="F412" s="72">
        <f t="shared" si="113"/>
        <v>268</v>
      </c>
      <c r="G412" s="784">
        <f t="shared" si="104"/>
        <v>5727781.0567585481</v>
      </c>
      <c r="H412" s="604">
        <f t="shared" si="105"/>
        <v>68372.658190401169</v>
      </c>
      <c r="I412" s="784">
        <f t="shared" si="106"/>
        <v>11848.706605725596</v>
      </c>
      <c r="J412" s="785">
        <f t="shared" si="107"/>
        <v>56523.951584675575</v>
      </c>
      <c r="K412" s="72">
        <f t="shared" si="114"/>
        <v>268</v>
      </c>
      <c r="L412" s="784">
        <f t="shared" si="108"/>
        <v>16044656.753571384</v>
      </c>
      <c r="M412" s="604">
        <f t="shared" si="109"/>
        <v>200129.99292672705</v>
      </c>
      <c r="N412" s="784">
        <f t="shared" si="110"/>
        <v>49012.656999690487</v>
      </c>
      <c r="O412" s="785">
        <f t="shared" si="111"/>
        <v>151117.33592703656</v>
      </c>
      <c r="P412" s="11"/>
      <c r="Q412" s="11"/>
      <c r="R412" s="11"/>
      <c r="S412" s="11"/>
      <c r="T412" s="11"/>
    </row>
    <row r="413" spans="1:20" x14ac:dyDescent="0.25">
      <c r="A413" s="72">
        <f t="shared" si="112"/>
        <v>269</v>
      </c>
      <c r="B413" s="784">
        <f t="shared" si="100"/>
        <v>10221944.6594634</v>
      </c>
      <c r="C413" s="604">
        <f t="shared" si="101"/>
        <v>131757.33473632587</v>
      </c>
      <c r="D413" s="784">
        <f t="shared" si="102"/>
        <v>36826.297386892162</v>
      </c>
      <c r="E413" s="785">
        <f t="shared" si="103"/>
        <v>94931.037349433696</v>
      </c>
      <c r="F413" s="72">
        <f t="shared" si="113"/>
        <v>269</v>
      </c>
      <c r="G413" s="784">
        <f t="shared" si="104"/>
        <v>5671141.3201802466</v>
      </c>
      <c r="H413" s="604">
        <f t="shared" si="105"/>
        <v>68372.658190401169</v>
      </c>
      <c r="I413" s="784">
        <f t="shared" si="106"/>
        <v>11732.921612099388</v>
      </c>
      <c r="J413" s="785">
        <f t="shared" si="107"/>
        <v>56639.736578301781</v>
      </c>
      <c r="K413" s="72">
        <f t="shared" si="114"/>
        <v>269</v>
      </c>
      <c r="L413" s="784">
        <f t="shared" si="108"/>
        <v>15893085.979643647</v>
      </c>
      <c r="M413" s="604">
        <f t="shared" si="109"/>
        <v>200129.99292672705</v>
      </c>
      <c r="N413" s="784">
        <f t="shared" si="110"/>
        <v>48559.21899899155</v>
      </c>
      <c r="O413" s="785">
        <f t="shared" si="111"/>
        <v>151570.77392773548</v>
      </c>
      <c r="P413" s="11"/>
      <c r="Q413" s="11"/>
      <c r="R413" s="11"/>
      <c r="S413" s="11"/>
      <c r="T413" s="11"/>
    </row>
    <row r="414" spans="1:20" x14ac:dyDescent="0.25">
      <c r="A414" s="72">
        <f t="shared" si="112"/>
        <v>270</v>
      </c>
      <c r="B414" s="784">
        <f t="shared" si="100"/>
        <v>10126674.763847625</v>
      </c>
      <c r="C414" s="604">
        <f t="shared" si="101"/>
        <v>131757.33473632587</v>
      </c>
      <c r="D414" s="784">
        <f t="shared" si="102"/>
        <v>36487.439120551273</v>
      </c>
      <c r="E414" s="785">
        <f t="shared" si="103"/>
        <v>95269.895615774585</v>
      </c>
      <c r="F414" s="72">
        <f t="shared" si="113"/>
        <v>270</v>
      </c>
      <c r="G414" s="784">
        <f t="shared" si="104"/>
        <v>5614385.561431611</v>
      </c>
      <c r="H414" s="604">
        <f t="shared" si="105"/>
        <v>68372.658190401169</v>
      </c>
      <c r="I414" s="784">
        <f t="shared" si="106"/>
        <v>11616.899441765376</v>
      </c>
      <c r="J414" s="785">
        <f t="shared" si="107"/>
        <v>56755.758748635795</v>
      </c>
      <c r="K414" s="72">
        <f t="shared" si="114"/>
        <v>270</v>
      </c>
      <c r="L414" s="784">
        <f t="shared" si="108"/>
        <v>15741060.325279236</v>
      </c>
      <c r="M414" s="604">
        <f t="shared" si="109"/>
        <v>200129.99292672705</v>
      </c>
      <c r="N414" s="784">
        <f t="shared" si="110"/>
        <v>48104.338562316647</v>
      </c>
      <c r="O414" s="785">
        <f t="shared" si="111"/>
        <v>152025.65436441038</v>
      </c>
      <c r="P414" s="11"/>
      <c r="Q414" s="11"/>
      <c r="R414" s="11"/>
      <c r="S414" s="11"/>
      <c r="T414" s="11"/>
    </row>
    <row r="415" spans="1:20" x14ac:dyDescent="0.25">
      <c r="A415" s="72">
        <f t="shared" si="112"/>
        <v>271</v>
      </c>
      <c r="B415" s="784">
        <f t="shared" si="100"/>
        <v>10031064.800404044</v>
      </c>
      <c r="C415" s="604">
        <f t="shared" si="101"/>
        <v>131757.33473632587</v>
      </c>
      <c r="D415" s="784">
        <f t="shared" si="102"/>
        <v>36147.371292744785</v>
      </c>
      <c r="E415" s="785">
        <f t="shared" si="103"/>
        <v>95609.963443581073</v>
      </c>
      <c r="F415" s="72">
        <f t="shared" si="113"/>
        <v>271</v>
      </c>
      <c r="G415" s="784">
        <f t="shared" si="104"/>
        <v>5557513.5428500948</v>
      </c>
      <c r="H415" s="604">
        <f t="shared" si="105"/>
        <v>68372.658190401169</v>
      </c>
      <c r="I415" s="784">
        <f t="shared" si="106"/>
        <v>11500.639608885203</v>
      </c>
      <c r="J415" s="785">
        <f t="shared" si="107"/>
        <v>56872.018581515964</v>
      </c>
      <c r="K415" s="72">
        <f t="shared" si="114"/>
        <v>271</v>
      </c>
      <c r="L415" s="784">
        <f t="shared" si="108"/>
        <v>15588578.343254138</v>
      </c>
      <c r="M415" s="604">
        <f t="shared" si="109"/>
        <v>200129.99292672705</v>
      </c>
      <c r="N415" s="784">
        <f t="shared" si="110"/>
        <v>47648.01090162999</v>
      </c>
      <c r="O415" s="785">
        <f t="shared" si="111"/>
        <v>152481.98202509704</v>
      </c>
      <c r="P415" s="11"/>
      <c r="Q415" s="11"/>
      <c r="R415" s="11"/>
      <c r="S415" s="11"/>
      <c r="T415" s="11"/>
    </row>
    <row r="416" spans="1:20" x14ac:dyDescent="0.25">
      <c r="A416" s="72">
        <f t="shared" si="112"/>
        <v>272</v>
      </c>
      <c r="B416" s="784">
        <f t="shared" si="100"/>
        <v>9935113.5552536361</v>
      </c>
      <c r="C416" s="604">
        <f t="shared" si="101"/>
        <v>131757.33473632587</v>
      </c>
      <c r="D416" s="784">
        <f t="shared" si="102"/>
        <v>35806.089585918467</v>
      </c>
      <c r="E416" s="785">
        <f t="shared" si="103"/>
        <v>95951.245150407398</v>
      </c>
      <c r="F416" s="72">
        <f t="shared" si="113"/>
        <v>272</v>
      </c>
      <c r="G416" s="784">
        <f t="shared" si="104"/>
        <v>5500525.0262863189</v>
      </c>
      <c r="H416" s="604">
        <f t="shared" si="105"/>
        <v>68372.658190401169</v>
      </c>
      <c r="I416" s="784">
        <f t="shared" si="106"/>
        <v>11384.141626625315</v>
      </c>
      <c r="J416" s="785">
        <f t="shared" si="107"/>
        <v>56988.516563775855</v>
      </c>
      <c r="K416" s="72">
        <f t="shared" si="114"/>
        <v>272</v>
      </c>
      <c r="L416" s="784">
        <f t="shared" si="108"/>
        <v>15435638.581539955</v>
      </c>
      <c r="M416" s="604">
        <f t="shared" si="109"/>
        <v>200129.99292672705</v>
      </c>
      <c r="N416" s="784">
        <f t="shared" si="110"/>
        <v>47190.231212543782</v>
      </c>
      <c r="O416" s="785">
        <f t="shared" si="111"/>
        <v>152939.76171418326</v>
      </c>
      <c r="P416" s="11"/>
      <c r="Q416" s="11"/>
      <c r="R416" s="11"/>
      <c r="S416" s="11"/>
      <c r="T416" s="11"/>
    </row>
    <row r="417" spans="1:20" x14ac:dyDescent="0.25">
      <c r="A417" s="72">
        <f t="shared" si="112"/>
        <v>273</v>
      </c>
      <c r="B417" s="784">
        <f t="shared" si="100"/>
        <v>9838819.8101844173</v>
      </c>
      <c r="C417" s="604">
        <f t="shared" si="101"/>
        <v>131757.33473632587</v>
      </c>
      <c r="D417" s="784">
        <f t="shared" si="102"/>
        <v>35463.589667106506</v>
      </c>
      <c r="E417" s="785">
        <f t="shared" si="103"/>
        <v>96293.745069219352</v>
      </c>
      <c r="F417" s="72">
        <f t="shared" si="113"/>
        <v>273</v>
      </c>
      <c r="G417" s="784">
        <f t="shared" si="104"/>
        <v>5443419.7731030723</v>
      </c>
      <c r="H417" s="604">
        <f t="shared" si="105"/>
        <v>68372.658190401169</v>
      </c>
      <c r="I417" s="784">
        <f t="shared" si="106"/>
        <v>11267.40500715491</v>
      </c>
      <c r="J417" s="785">
        <f t="shared" si="107"/>
        <v>57105.253183246256</v>
      </c>
      <c r="K417" s="72">
        <f t="shared" si="114"/>
        <v>273</v>
      </c>
      <c r="L417" s="784">
        <f t="shared" si="108"/>
        <v>15282239.583287489</v>
      </c>
      <c r="M417" s="604">
        <f t="shared" si="109"/>
        <v>200129.99292672705</v>
      </c>
      <c r="N417" s="784">
        <f t="shared" si="110"/>
        <v>46730.994674261412</v>
      </c>
      <c r="O417" s="785">
        <f t="shared" si="111"/>
        <v>153398.99825246562</v>
      </c>
      <c r="P417" s="11"/>
      <c r="Q417" s="11"/>
      <c r="R417" s="11"/>
      <c r="S417" s="11"/>
      <c r="T417" s="11"/>
    </row>
    <row r="418" spans="1:20" x14ac:dyDescent="0.25">
      <c r="A418" s="72">
        <f t="shared" si="112"/>
        <v>274</v>
      </c>
      <c r="B418" s="784">
        <f t="shared" si="100"/>
        <v>9742182.3426359687</v>
      </c>
      <c r="C418" s="604">
        <f t="shared" si="101"/>
        <v>131757.33473632587</v>
      </c>
      <c r="D418" s="784">
        <f t="shared" si="102"/>
        <v>35119.867187876473</v>
      </c>
      <c r="E418" s="785">
        <f t="shared" si="103"/>
        <v>96637.467548449393</v>
      </c>
      <c r="F418" s="72">
        <f t="shared" si="113"/>
        <v>274</v>
      </c>
      <c r="G418" s="784">
        <f t="shared" si="104"/>
        <v>5386197.5441743154</v>
      </c>
      <c r="H418" s="604">
        <f t="shared" si="105"/>
        <v>68372.658190401169</v>
      </c>
      <c r="I418" s="784">
        <f t="shared" si="106"/>
        <v>11150.429261643909</v>
      </c>
      <c r="J418" s="785">
        <f t="shared" si="107"/>
        <v>57222.228928757264</v>
      </c>
      <c r="K418" s="72">
        <f t="shared" si="114"/>
        <v>274</v>
      </c>
      <c r="L418" s="784">
        <f t="shared" si="108"/>
        <v>15128379.886810284</v>
      </c>
      <c r="M418" s="604">
        <f t="shared" si="109"/>
        <v>200129.99292672705</v>
      </c>
      <c r="N418" s="784">
        <f t="shared" si="110"/>
        <v>46270.296449520378</v>
      </c>
      <c r="O418" s="785">
        <f t="shared" si="111"/>
        <v>153859.69647720666</v>
      </c>
      <c r="P418" s="11"/>
      <c r="Q418" s="11"/>
      <c r="R418" s="11"/>
      <c r="S418" s="11"/>
      <c r="T418" s="11"/>
    </row>
    <row r="419" spans="1:20" x14ac:dyDescent="0.25">
      <c r="A419" s="72">
        <f t="shared" si="112"/>
        <v>275</v>
      </c>
      <c r="B419" s="784">
        <f t="shared" si="100"/>
        <v>9645199.9256839175</v>
      </c>
      <c r="C419" s="604">
        <f t="shared" si="101"/>
        <v>131757.33473632587</v>
      </c>
      <c r="D419" s="784">
        <f t="shared" si="102"/>
        <v>34774.917784274105</v>
      </c>
      <c r="E419" s="785">
        <f t="shared" si="103"/>
        <v>96982.416952051761</v>
      </c>
      <c r="F419" s="72">
        <f t="shared" si="113"/>
        <v>275</v>
      </c>
      <c r="G419" s="784">
        <f t="shared" si="104"/>
        <v>5328858.0998841748</v>
      </c>
      <c r="H419" s="604">
        <f t="shared" si="105"/>
        <v>68372.658190401169</v>
      </c>
      <c r="I419" s="784">
        <f t="shared" si="106"/>
        <v>11033.213900260898</v>
      </c>
      <c r="J419" s="785">
        <f t="shared" si="107"/>
        <v>57339.444290140273</v>
      </c>
      <c r="K419" s="72">
        <f t="shared" si="114"/>
        <v>275</v>
      </c>
      <c r="L419" s="784">
        <f t="shared" si="108"/>
        <v>14974058.025568092</v>
      </c>
      <c r="M419" s="604">
        <f t="shared" si="109"/>
        <v>200129.99292672705</v>
      </c>
      <c r="N419" s="784">
        <f t="shared" si="110"/>
        <v>45808.131684535001</v>
      </c>
      <c r="O419" s="785">
        <f t="shared" si="111"/>
        <v>154321.86124219204</v>
      </c>
      <c r="P419" s="11"/>
      <c r="Q419" s="11"/>
      <c r="R419" s="11"/>
      <c r="S419" s="11"/>
      <c r="T419" s="11"/>
    </row>
    <row r="420" spans="1:20" x14ac:dyDescent="0.25">
      <c r="A420" s="72">
        <f t="shared" si="112"/>
        <v>276</v>
      </c>
      <c r="B420" s="784">
        <f t="shared" si="100"/>
        <v>9547871.3280243594</v>
      </c>
      <c r="C420" s="604">
        <f t="shared" si="101"/>
        <v>131757.33473632587</v>
      </c>
      <c r="D420" s="784">
        <f t="shared" si="102"/>
        <v>34428.737076767946</v>
      </c>
      <c r="E420" s="785">
        <f t="shared" si="103"/>
        <v>97328.597659557912</v>
      </c>
      <c r="F420" s="72">
        <f t="shared" si="113"/>
        <v>276</v>
      </c>
      <c r="G420" s="784">
        <f t="shared" si="104"/>
        <v>5271401.2001259448</v>
      </c>
      <c r="H420" s="604">
        <f t="shared" si="105"/>
        <v>68372.658190401169</v>
      </c>
      <c r="I420" s="784">
        <f t="shared" si="106"/>
        <v>10915.758432171082</v>
      </c>
      <c r="J420" s="785">
        <f t="shared" si="107"/>
        <v>57456.899758230087</v>
      </c>
      <c r="K420" s="72">
        <f t="shared" si="114"/>
        <v>276</v>
      </c>
      <c r="L420" s="784">
        <f t="shared" si="108"/>
        <v>14819272.528150305</v>
      </c>
      <c r="M420" s="604">
        <f t="shared" si="109"/>
        <v>200129.99292672705</v>
      </c>
      <c r="N420" s="784">
        <f t="shared" si="110"/>
        <v>45344.495508939028</v>
      </c>
      <c r="O420" s="785">
        <f t="shared" si="111"/>
        <v>154785.49741778799</v>
      </c>
      <c r="P420" s="11"/>
      <c r="Q420" s="11"/>
      <c r="R420" s="11"/>
      <c r="S420" s="11"/>
      <c r="T420" s="11"/>
    </row>
    <row r="421" spans="1:20" x14ac:dyDescent="0.25">
      <c r="A421" s="72">
        <f t="shared" si="112"/>
        <v>277</v>
      </c>
      <c r="B421" s="784">
        <f t="shared" si="100"/>
        <v>9450195.3139582276</v>
      </c>
      <c r="C421" s="604">
        <f t="shared" si="101"/>
        <v>131757.33473632587</v>
      </c>
      <c r="D421" s="784">
        <f t="shared" si="102"/>
        <v>34081.32067019368</v>
      </c>
      <c r="E421" s="785">
        <f t="shared" si="103"/>
        <v>97676.014066132193</v>
      </c>
      <c r="F421" s="72">
        <f t="shared" si="113"/>
        <v>277</v>
      </c>
      <c r="G421" s="784">
        <f t="shared" si="104"/>
        <v>5213826.6043010782</v>
      </c>
      <c r="H421" s="604">
        <f t="shared" si="105"/>
        <v>68372.658190401169</v>
      </c>
      <c r="I421" s="784">
        <f t="shared" si="106"/>
        <v>10798.062365534228</v>
      </c>
      <c r="J421" s="785">
        <f t="shared" si="107"/>
        <v>57574.595824866941</v>
      </c>
      <c r="K421" s="72">
        <f t="shared" si="114"/>
        <v>277</v>
      </c>
      <c r="L421" s="784">
        <f t="shared" si="108"/>
        <v>14664021.918259306</v>
      </c>
      <c r="M421" s="604">
        <f t="shared" si="109"/>
        <v>200129.99292672705</v>
      </c>
      <c r="N421" s="784">
        <f t="shared" si="110"/>
        <v>44879.383035727908</v>
      </c>
      <c r="O421" s="785">
        <f t="shared" si="111"/>
        <v>155250.60989099913</v>
      </c>
      <c r="P421" s="11"/>
      <c r="Q421" s="11"/>
      <c r="R421" s="11"/>
      <c r="S421" s="11"/>
      <c r="T421" s="11"/>
    </row>
    <row r="422" spans="1:20" x14ac:dyDescent="0.25">
      <c r="A422" s="72">
        <f t="shared" si="112"/>
        <v>278</v>
      </c>
      <c r="B422" s="784">
        <f t="shared" si="100"/>
        <v>9352170.6433755998</v>
      </c>
      <c r="C422" s="604">
        <f t="shared" si="101"/>
        <v>131757.33473632587</v>
      </c>
      <c r="D422" s="784">
        <f t="shared" si="102"/>
        <v>33732.664153698395</v>
      </c>
      <c r="E422" s="785">
        <f t="shared" si="103"/>
        <v>98024.67058262747</v>
      </c>
      <c r="F422" s="72">
        <f t="shared" si="113"/>
        <v>278</v>
      </c>
      <c r="G422" s="784">
        <f t="shared" si="104"/>
        <v>5156134.0713181794</v>
      </c>
      <c r="H422" s="604">
        <f t="shared" si="105"/>
        <v>68372.658190401169</v>
      </c>
      <c r="I422" s="784">
        <f t="shared" si="106"/>
        <v>10680.125207502606</v>
      </c>
      <c r="J422" s="785">
        <f t="shared" si="107"/>
        <v>57692.532982898563</v>
      </c>
      <c r="K422" s="72">
        <f t="shared" si="114"/>
        <v>278</v>
      </c>
      <c r="L422" s="784">
        <f t="shared" si="108"/>
        <v>14508304.714693779</v>
      </c>
      <c r="M422" s="604">
        <f t="shared" si="109"/>
        <v>200129.99292672705</v>
      </c>
      <c r="N422" s="784">
        <f t="shared" si="110"/>
        <v>44412.789361201001</v>
      </c>
      <c r="O422" s="785">
        <f t="shared" si="111"/>
        <v>155717.20356552603</v>
      </c>
      <c r="P422" s="11"/>
      <c r="Q422" s="11"/>
      <c r="R422" s="11"/>
      <c r="S422" s="11"/>
      <c r="T422" s="11"/>
    </row>
    <row r="423" spans="1:20" x14ac:dyDescent="0.25">
      <c r="A423" s="72">
        <f t="shared" si="112"/>
        <v>279</v>
      </c>
      <c r="B423" s="784">
        <f t="shared" si="100"/>
        <v>9253796.0717399586</v>
      </c>
      <c r="C423" s="604">
        <f t="shared" si="101"/>
        <v>131757.33473632587</v>
      </c>
      <c r="D423" s="784">
        <f t="shared" si="102"/>
        <v>33382.763100684526</v>
      </c>
      <c r="E423" s="785">
        <f t="shared" si="103"/>
        <v>98374.571635641332</v>
      </c>
      <c r="F423" s="72">
        <f t="shared" si="113"/>
        <v>279</v>
      </c>
      <c r="G423" s="784">
        <f t="shared" si="104"/>
        <v>5098323.3595919972</v>
      </c>
      <c r="H423" s="604">
        <f t="shared" si="105"/>
        <v>68372.658190401169</v>
      </c>
      <c r="I423" s="784">
        <f t="shared" si="106"/>
        <v>10561.946464218923</v>
      </c>
      <c r="J423" s="785">
        <f t="shared" si="107"/>
        <v>57810.711726182242</v>
      </c>
      <c r="K423" s="72">
        <f t="shared" si="114"/>
        <v>279</v>
      </c>
      <c r="L423" s="784">
        <f t="shared" si="108"/>
        <v>14352119.431331955</v>
      </c>
      <c r="M423" s="604">
        <f t="shared" si="109"/>
        <v>200129.99292672705</v>
      </c>
      <c r="N423" s="784">
        <f t="shared" si="110"/>
        <v>43944.709564903445</v>
      </c>
      <c r="O423" s="785">
        <f t="shared" si="111"/>
        <v>156185.28336182359</v>
      </c>
      <c r="P423" s="11"/>
      <c r="Q423" s="11"/>
      <c r="R423" s="11"/>
      <c r="S423" s="11"/>
      <c r="T423" s="11"/>
    </row>
    <row r="424" spans="1:20" x14ac:dyDescent="0.25">
      <c r="A424" s="72">
        <f t="shared" si="112"/>
        <v>280</v>
      </c>
      <c r="B424" s="784">
        <f t="shared" si="100"/>
        <v>9155070.3500723857</v>
      </c>
      <c r="C424" s="604">
        <f t="shared" si="101"/>
        <v>131757.33473632587</v>
      </c>
      <c r="D424" s="784">
        <f t="shared" si="102"/>
        <v>33031.613068753693</v>
      </c>
      <c r="E424" s="785">
        <f t="shared" si="103"/>
        <v>98725.721667572172</v>
      </c>
      <c r="F424" s="72">
        <f t="shared" si="113"/>
        <v>280</v>
      </c>
      <c r="G424" s="784">
        <f t="shared" si="104"/>
        <v>5040394.2270424105</v>
      </c>
      <c r="H424" s="604">
        <f t="shared" si="105"/>
        <v>68372.658190401169</v>
      </c>
      <c r="I424" s="784">
        <f t="shared" si="106"/>
        <v>10443.525640814261</v>
      </c>
      <c r="J424" s="785">
        <f t="shared" si="107"/>
        <v>57929.13254958691</v>
      </c>
      <c r="K424" s="72">
        <f t="shared" si="114"/>
        <v>280</v>
      </c>
      <c r="L424" s="784">
        <f t="shared" si="108"/>
        <v>14195464.577114796</v>
      </c>
      <c r="M424" s="604">
        <f t="shared" si="109"/>
        <v>200129.99292672705</v>
      </c>
      <c r="N424" s="784">
        <f t="shared" si="110"/>
        <v>43475.138709567953</v>
      </c>
      <c r="O424" s="785">
        <f t="shared" si="111"/>
        <v>156654.8542171591</v>
      </c>
      <c r="P424" s="11"/>
      <c r="Q424" s="11"/>
      <c r="R424" s="11"/>
      <c r="S424" s="11"/>
      <c r="T424" s="11"/>
    </row>
    <row r="425" spans="1:20" x14ac:dyDescent="0.25">
      <c r="A425" s="72">
        <f t="shared" si="112"/>
        <v>281</v>
      </c>
      <c r="B425" s="784">
        <f t="shared" si="100"/>
        <v>9055992.2249357104</v>
      </c>
      <c r="C425" s="604">
        <f t="shared" si="101"/>
        <v>131757.33473632587</v>
      </c>
      <c r="D425" s="784">
        <f t="shared" si="102"/>
        <v>32679.209599650276</v>
      </c>
      <c r="E425" s="785">
        <f t="shared" si="103"/>
        <v>99078.12513667559</v>
      </c>
      <c r="F425" s="72">
        <f t="shared" si="113"/>
        <v>281</v>
      </c>
      <c r="G425" s="784">
        <f t="shared" si="104"/>
        <v>4982346.4310934152</v>
      </c>
      <c r="H425" s="604">
        <f t="shared" si="105"/>
        <v>68372.658190401169</v>
      </c>
      <c r="I425" s="784">
        <f t="shared" si="106"/>
        <v>10324.862241405999</v>
      </c>
      <c r="J425" s="785">
        <f t="shared" si="107"/>
        <v>58047.795948995168</v>
      </c>
      <c r="K425" s="72">
        <f t="shared" si="114"/>
        <v>281</v>
      </c>
      <c r="L425" s="784">
        <f t="shared" si="108"/>
        <v>14038338.656029126</v>
      </c>
      <c r="M425" s="604">
        <f t="shared" si="109"/>
        <v>200129.99292672705</v>
      </c>
      <c r="N425" s="784">
        <f t="shared" si="110"/>
        <v>43004.071841056277</v>
      </c>
      <c r="O425" s="785">
        <f t="shared" si="111"/>
        <v>157125.92108567077</v>
      </c>
      <c r="P425" s="11"/>
      <c r="Q425" s="11"/>
      <c r="R425" s="11"/>
      <c r="S425" s="11"/>
      <c r="T425" s="11"/>
    </row>
    <row r="426" spans="1:20" x14ac:dyDescent="0.25">
      <c r="A426" s="72">
        <f t="shared" si="112"/>
        <v>282</v>
      </c>
      <c r="B426" s="784">
        <f t="shared" si="100"/>
        <v>8956560.4384185895</v>
      </c>
      <c r="C426" s="604">
        <f t="shared" si="101"/>
        <v>131757.33473632587</v>
      </c>
      <c r="D426" s="784">
        <f t="shared" si="102"/>
        <v>32325.548219204829</v>
      </c>
      <c r="E426" s="785">
        <f t="shared" si="103"/>
        <v>99431.786517121043</v>
      </c>
      <c r="F426" s="72">
        <f t="shared" si="113"/>
        <v>282</v>
      </c>
      <c r="G426" s="784">
        <f t="shared" si="104"/>
        <v>4924179.7286721095</v>
      </c>
      <c r="H426" s="604">
        <f t="shared" si="105"/>
        <v>68372.658190401169</v>
      </c>
      <c r="I426" s="784">
        <f t="shared" si="106"/>
        <v>10205.955769095739</v>
      </c>
      <c r="J426" s="785">
        <f t="shared" si="107"/>
        <v>58166.702421305432</v>
      </c>
      <c r="K426" s="72">
        <f t="shared" si="114"/>
        <v>282</v>
      </c>
      <c r="L426" s="784">
        <f t="shared" si="108"/>
        <v>13880740.167090699</v>
      </c>
      <c r="M426" s="604">
        <f t="shared" si="109"/>
        <v>200129.99292672705</v>
      </c>
      <c r="N426" s="784">
        <f t="shared" si="110"/>
        <v>42531.503988300567</v>
      </c>
      <c r="O426" s="785">
        <f t="shared" si="111"/>
        <v>157598.48893842648</v>
      </c>
      <c r="P426" s="11"/>
      <c r="Q426" s="11"/>
      <c r="R426" s="11"/>
      <c r="S426" s="11"/>
      <c r="T426" s="11"/>
    </row>
    <row r="427" spans="1:20" x14ac:dyDescent="0.25">
      <c r="A427" s="72">
        <f t="shared" si="112"/>
        <v>283</v>
      </c>
      <c r="B427" s="784">
        <f t="shared" si="100"/>
        <v>8856773.728119541</v>
      </c>
      <c r="C427" s="604">
        <f t="shared" si="101"/>
        <v>131757.33473632587</v>
      </c>
      <c r="D427" s="784">
        <f t="shared" si="102"/>
        <v>31970.624437277256</v>
      </c>
      <c r="E427" s="785">
        <f t="shared" si="103"/>
        <v>99786.710299048602</v>
      </c>
      <c r="F427" s="72">
        <f t="shared" si="113"/>
        <v>283</v>
      </c>
      <c r="G427" s="784">
        <f t="shared" si="104"/>
        <v>4865893.8762076758</v>
      </c>
      <c r="H427" s="604">
        <f t="shared" si="105"/>
        <v>68372.658190401169</v>
      </c>
      <c r="I427" s="784">
        <f t="shared" si="106"/>
        <v>10086.80572596722</v>
      </c>
      <c r="J427" s="785">
        <f t="shared" si="107"/>
        <v>58285.852464433949</v>
      </c>
      <c r="K427" s="72">
        <f t="shared" si="114"/>
        <v>283</v>
      </c>
      <c r="L427" s="784">
        <f t="shared" si="108"/>
        <v>13722667.604327217</v>
      </c>
      <c r="M427" s="604">
        <f t="shared" si="109"/>
        <v>200129.99292672705</v>
      </c>
      <c r="N427" s="784">
        <f t="shared" si="110"/>
        <v>42057.430163244477</v>
      </c>
      <c r="O427" s="785">
        <f t="shared" si="111"/>
        <v>158072.56276348257</v>
      </c>
      <c r="P427" s="11"/>
      <c r="Q427" s="11"/>
      <c r="R427" s="11"/>
      <c r="S427" s="11"/>
      <c r="T427" s="11"/>
    </row>
    <row r="428" spans="1:20" x14ac:dyDescent="0.25">
      <c r="A428" s="72">
        <f t="shared" si="112"/>
        <v>284</v>
      </c>
      <c r="B428" s="784">
        <f t="shared" si="100"/>
        <v>8756630.8271309156</v>
      </c>
      <c r="C428" s="604">
        <f t="shared" si="101"/>
        <v>131757.33473632587</v>
      </c>
      <c r="D428" s="784">
        <f t="shared" si="102"/>
        <v>31614.433747699823</v>
      </c>
      <c r="E428" s="785">
        <f t="shared" si="103"/>
        <v>100142.90098862605</v>
      </c>
      <c r="F428" s="72">
        <f t="shared" si="113"/>
        <v>284</v>
      </c>
      <c r="G428" s="784">
        <f t="shared" si="104"/>
        <v>4807488.6296303589</v>
      </c>
      <c r="H428" s="604">
        <f t="shared" si="105"/>
        <v>68372.658190401169</v>
      </c>
      <c r="I428" s="784">
        <f t="shared" si="106"/>
        <v>9967.4116130842449</v>
      </c>
      <c r="J428" s="785">
        <f t="shared" si="107"/>
        <v>58405.246577316924</v>
      </c>
      <c r="K428" s="72">
        <f t="shared" si="114"/>
        <v>284</v>
      </c>
      <c r="L428" s="784">
        <f t="shared" si="108"/>
        <v>13564119.456761274</v>
      </c>
      <c r="M428" s="604">
        <f t="shared" si="109"/>
        <v>200129.99292672705</v>
      </c>
      <c r="N428" s="784">
        <f t="shared" si="110"/>
        <v>41581.845360784064</v>
      </c>
      <c r="O428" s="785">
        <f t="shared" si="111"/>
        <v>158548.14756594296</v>
      </c>
      <c r="P428" s="11"/>
      <c r="Q428" s="11"/>
      <c r="R428" s="11"/>
      <c r="S428" s="11"/>
      <c r="T428" s="11"/>
    </row>
    <row r="429" spans="1:20" x14ac:dyDescent="0.25">
      <c r="A429" s="72">
        <f t="shared" si="112"/>
        <v>285</v>
      </c>
      <c r="B429" s="784">
        <f t="shared" si="100"/>
        <v>8656130.4640228096</v>
      </c>
      <c r="C429" s="604">
        <f t="shared" si="101"/>
        <v>131757.33473632587</v>
      </c>
      <c r="D429" s="784">
        <f t="shared" si="102"/>
        <v>31256.971628219941</v>
      </c>
      <c r="E429" s="785">
        <f t="shared" si="103"/>
        <v>100500.36310810593</v>
      </c>
      <c r="F429" s="72">
        <f t="shared" si="113"/>
        <v>285</v>
      </c>
      <c r="G429" s="784">
        <f t="shared" si="104"/>
        <v>4748963.7443704465</v>
      </c>
      <c r="H429" s="604">
        <f t="shared" si="105"/>
        <v>68372.658190401169</v>
      </c>
      <c r="I429" s="784">
        <f t="shared" si="106"/>
        <v>9847.7729304885816</v>
      </c>
      <c r="J429" s="785">
        <f t="shared" si="107"/>
        <v>58524.885259912589</v>
      </c>
      <c r="K429" s="72">
        <f t="shared" si="114"/>
        <v>285</v>
      </c>
      <c r="L429" s="784">
        <f t="shared" si="108"/>
        <v>13405094.208393257</v>
      </c>
      <c r="M429" s="604">
        <f t="shared" si="109"/>
        <v>200129.99292672705</v>
      </c>
      <c r="N429" s="784">
        <f t="shared" si="110"/>
        <v>41104.744558708524</v>
      </c>
      <c r="O429" s="785">
        <f t="shared" si="111"/>
        <v>159025.24836801851</v>
      </c>
      <c r="P429" s="11"/>
      <c r="Q429" s="11"/>
      <c r="R429" s="11"/>
      <c r="S429" s="11"/>
      <c r="T429" s="11"/>
    </row>
    <row r="430" spans="1:20" x14ac:dyDescent="0.25">
      <c r="A430" s="72">
        <f t="shared" si="112"/>
        <v>286</v>
      </c>
      <c r="B430" s="784">
        <f t="shared" si="100"/>
        <v>8555271.3628269266</v>
      </c>
      <c r="C430" s="604">
        <f t="shared" si="101"/>
        <v>131757.33473632587</v>
      </c>
      <c r="D430" s="784">
        <f t="shared" si="102"/>
        <v>30898.233540442736</v>
      </c>
      <c r="E430" s="785">
        <f t="shared" si="103"/>
        <v>100859.10119588312</v>
      </c>
      <c r="F430" s="72">
        <f t="shared" si="113"/>
        <v>286</v>
      </c>
      <c r="G430" s="784">
        <f t="shared" si="104"/>
        <v>4690318.9753572429</v>
      </c>
      <c r="H430" s="604">
        <f t="shared" si="105"/>
        <v>68372.658190401169</v>
      </c>
      <c r="I430" s="784">
        <f t="shared" si="106"/>
        <v>9727.8891771978688</v>
      </c>
      <c r="J430" s="785">
        <f t="shared" si="107"/>
        <v>58644.769013203302</v>
      </c>
      <c r="K430" s="72">
        <f t="shared" si="114"/>
        <v>286</v>
      </c>
      <c r="L430" s="784">
        <f t="shared" si="108"/>
        <v>13245590.33818417</v>
      </c>
      <c r="M430" s="604">
        <f t="shared" si="109"/>
        <v>200129.99292672705</v>
      </c>
      <c r="N430" s="784">
        <f t="shared" si="110"/>
        <v>40626.122717640603</v>
      </c>
      <c r="O430" s="785">
        <f t="shared" si="111"/>
        <v>159503.87020908642</v>
      </c>
      <c r="P430" s="11"/>
      <c r="Q430" s="11"/>
      <c r="R430" s="11"/>
      <c r="S430" s="11"/>
      <c r="T430" s="11"/>
    </row>
    <row r="431" spans="1:20" x14ac:dyDescent="0.25">
      <c r="A431" s="72">
        <f t="shared" si="112"/>
        <v>287</v>
      </c>
      <c r="B431" s="784">
        <f t="shared" si="100"/>
        <v>8454052.2430203743</v>
      </c>
      <c r="C431" s="604">
        <f t="shared" si="101"/>
        <v>131757.33473632587</v>
      </c>
      <c r="D431" s="784">
        <f t="shared" si="102"/>
        <v>30538.214929773454</v>
      </c>
      <c r="E431" s="785">
        <f t="shared" si="103"/>
        <v>101219.11980655241</v>
      </c>
      <c r="F431" s="72">
        <f t="shared" si="113"/>
        <v>287</v>
      </c>
      <c r="G431" s="784">
        <f t="shared" si="104"/>
        <v>4631554.0770180449</v>
      </c>
      <c r="H431" s="604">
        <f t="shared" si="105"/>
        <v>68372.658190401169</v>
      </c>
      <c r="I431" s="784">
        <f t="shared" si="106"/>
        <v>9607.7598512035202</v>
      </c>
      <c r="J431" s="785">
        <f t="shared" si="107"/>
        <v>58764.898339197651</v>
      </c>
      <c r="K431" s="72">
        <f t="shared" si="114"/>
        <v>287</v>
      </c>
      <c r="L431" s="784">
        <f t="shared" si="108"/>
        <v>13085606.320038419</v>
      </c>
      <c r="M431" s="604">
        <f t="shared" si="109"/>
        <v>200129.99292672705</v>
      </c>
      <c r="N431" s="784">
        <f t="shared" si="110"/>
        <v>40145.974780976976</v>
      </c>
      <c r="O431" s="785">
        <f t="shared" si="111"/>
        <v>159984.01814575004</v>
      </c>
      <c r="P431" s="11"/>
      <c r="Q431" s="11"/>
      <c r="R431" s="11"/>
      <c r="S431" s="11"/>
      <c r="T431" s="11"/>
    </row>
    <row r="432" spans="1:20" x14ac:dyDescent="0.25">
      <c r="A432" s="72">
        <f t="shared" si="112"/>
        <v>288</v>
      </c>
      <c r="B432" s="784">
        <f t="shared" si="100"/>
        <v>8352471.8195094084</v>
      </c>
      <c r="C432" s="604">
        <f t="shared" si="101"/>
        <v>131757.33473632587</v>
      </c>
      <c r="D432" s="784">
        <f t="shared" si="102"/>
        <v>30176.911225359618</v>
      </c>
      <c r="E432" s="785">
        <f t="shared" si="103"/>
        <v>101580.42351096624</v>
      </c>
      <c r="F432" s="72">
        <f t="shared" si="113"/>
        <v>288</v>
      </c>
      <c r="G432" s="784">
        <f t="shared" si="104"/>
        <v>4572668.8032771125</v>
      </c>
      <c r="H432" s="604">
        <f t="shared" si="105"/>
        <v>68372.658190401169</v>
      </c>
      <c r="I432" s="784">
        <f t="shared" si="106"/>
        <v>9487.3844494686309</v>
      </c>
      <c r="J432" s="785">
        <f t="shared" si="107"/>
        <v>58885.273740932535</v>
      </c>
      <c r="K432" s="72">
        <f t="shared" si="114"/>
        <v>288</v>
      </c>
      <c r="L432" s="784">
        <f t="shared" si="108"/>
        <v>12925140.622786522</v>
      </c>
      <c r="M432" s="604">
        <f t="shared" si="109"/>
        <v>200129.99292672705</v>
      </c>
      <c r="N432" s="784">
        <f t="shared" si="110"/>
        <v>39664.295674828245</v>
      </c>
      <c r="O432" s="785">
        <f t="shared" si="111"/>
        <v>160465.69725189876</v>
      </c>
      <c r="P432" s="11"/>
      <c r="Q432" s="11"/>
      <c r="R432" s="11"/>
      <c r="S432" s="11"/>
      <c r="T432" s="11"/>
    </row>
    <row r="433" spans="1:20" x14ac:dyDescent="0.25">
      <c r="A433" s="72">
        <f t="shared" si="112"/>
        <v>289</v>
      </c>
      <c r="B433" s="784">
        <f t="shared" si="100"/>
        <v>8250528.8026131159</v>
      </c>
      <c r="C433" s="604">
        <f t="shared" si="101"/>
        <v>131757.33473632587</v>
      </c>
      <c r="D433" s="784">
        <f t="shared" si="102"/>
        <v>29814.317840032996</v>
      </c>
      <c r="E433" s="785">
        <f t="shared" si="103"/>
        <v>101943.01689629287</v>
      </c>
      <c r="F433" s="72">
        <f t="shared" si="113"/>
        <v>289</v>
      </c>
      <c r="G433" s="784">
        <f t="shared" si="104"/>
        <v>4513662.9075546376</v>
      </c>
      <c r="H433" s="604">
        <f t="shared" si="105"/>
        <v>68372.658190401169</v>
      </c>
      <c r="I433" s="784">
        <f t="shared" si="106"/>
        <v>9366.7624679258588</v>
      </c>
      <c r="J433" s="785">
        <f t="shared" si="107"/>
        <v>59005.89572247531</v>
      </c>
      <c r="K433" s="72">
        <f t="shared" si="114"/>
        <v>289</v>
      </c>
      <c r="L433" s="784">
        <f t="shared" si="108"/>
        <v>12764191.710167754</v>
      </c>
      <c r="M433" s="604">
        <f t="shared" si="109"/>
        <v>200129.99292672705</v>
      </c>
      <c r="N433" s="784">
        <f t="shared" si="110"/>
        <v>39181.080307958851</v>
      </c>
      <c r="O433" s="785">
        <f t="shared" si="111"/>
        <v>160948.91261876817</v>
      </c>
      <c r="P433" s="11"/>
      <c r="Q433" s="11"/>
      <c r="R433" s="11"/>
      <c r="S433" s="11"/>
      <c r="T433" s="11"/>
    </row>
    <row r="434" spans="1:20" x14ac:dyDescent="0.25">
      <c r="A434" s="72">
        <f t="shared" si="112"/>
        <v>290</v>
      </c>
      <c r="B434" s="784">
        <f t="shared" si="100"/>
        <v>8148221.8980470411</v>
      </c>
      <c r="C434" s="604">
        <f t="shared" si="101"/>
        <v>131757.33473632587</v>
      </c>
      <c r="D434" s="784">
        <f t="shared" si="102"/>
        <v>29450.43017025138</v>
      </c>
      <c r="E434" s="785">
        <f t="shared" si="103"/>
        <v>102306.90456607449</v>
      </c>
      <c r="F434" s="72">
        <f t="shared" si="113"/>
        <v>290</v>
      </c>
      <c r="G434" s="784">
        <f t="shared" si="104"/>
        <v>4454536.142765712</v>
      </c>
      <c r="H434" s="604">
        <f t="shared" si="105"/>
        <v>68372.658190401169</v>
      </c>
      <c r="I434" s="784">
        <f t="shared" si="106"/>
        <v>9245.8934014753158</v>
      </c>
      <c r="J434" s="785">
        <f t="shared" si="107"/>
        <v>59126.764788925851</v>
      </c>
      <c r="K434" s="72">
        <f t="shared" si="114"/>
        <v>290</v>
      </c>
      <c r="L434" s="784">
        <f t="shared" si="108"/>
        <v>12602758.040812753</v>
      </c>
      <c r="M434" s="604">
        <f t="shared" si="109"/>
        <v>200129.99292672705</v>
      </c>
      <c r="N434" s="784">
        <f t="shared" si="110"/>
        <v>38696.323571726694</v>
      </c>
      <c r="O434" s="785">
        <f t="shared" si="111"/>
        <v>161433.66935500034</v>
      </c>
      <c r="P434" s="11"/>
      <c r="Q434" s="11"/>
      <c r="R434" s="11"/>
      <c r="S434" s="11"/>
      <c r="T434" s="11"/>
    </row>
    <row r="435" spans="1:20" x14ac:dyDescent="0.25">
      <c r="A435" s="72">
        <f t="shared" si="112"/>
        <v>291</v>
      </c>
      <c r="B435" s="784">
        <f t="shared" si="100"/>
        <v>8045549.8069067551</v>
      </c>
      <c r="C435" s="604">
        <f t="shared" si="101"/>
        <v>131757.33473632587</v>
      </c>
      <c r="D435" s="784">
        <f t="shared" si="102"/>
        <v>29085.243596040102</v>
      </c>
      <c r="E435" s="785">
        <f t="shared" si="103"/>
        <v>102672.09114028576</v>
      </c>
      <c r="F435" s="72">
        <f t="shared" si="113"/>
        <v>291</v>
      </c>
      <c r="G435" s="784">
        <f t="shared" si="104"/>
        <v>4395288.2613192936</v>
      </c>
      <c r="H435" s="604">
        <f t="shared" si="105"/>
        <v>68372.658190401169</v>
      </c>
      <c r="I435" s="784">
        <f t="shared" si="106"/>
        <v>9124.7767439824584</v>
      </c>
      <c r="J435" s="785">
        <f t="shared" si="107"/>
        <v>59247.881446418709</v>
      </c>
      <c r="K435" s="72">
        <f t="shared" si="114"/>
        <v>291</v>
      </c>
      <c r="L435" s="784">
        <f t="shared" si="108"/>
        <v>12440838.068226049</v>
      </c>
      <c r="M435" s="604">
        <f t="shared" si="109"/>
        <v>200129.99292672705</v>
      </c>
      <c r="N435" s="784">
        <f t="shared" si="110"/>
        <v>38210.020340022558</v>
      </c>
      <c r="O435" s="785">
        <f t="shared" si="111"/>
        <v>161919.97258670448</v>
      </c>
      <c r="P435" s="11"/>
      <c r="Q435" s="11"/>
      <c r="R435" s="11"/>
      <c r="S435" s="11"/>
      <c r="T435" s="11"/>
    </row>
    <row r="436" spans="1:20" x14ac:dyDescent="0.25">
      <c r="A436" s="72">
        <f t="shared" si="112"/>
        <v>292</v>
      </c>
      <c r="B436" s="784">
        <f t="shared" si="100"/>
        <v>7942511.2256513629</v>
      </c>
      <c r="C436" s="604">
        <f t="shared" si="101"/>
        <v>131757.33473632587</v>
      </c>
      <c r="D436" s="784">
        <f t="shared" si="102"/>
        <v>28718.753480933417</v>
      </c>
      <c r="E436" s="785">
        <f t="shared" si="103"/>
        <v>103038.58125539245</v>
      </c>
      <c r="F436" s="72">
        <f t="shared" si="113"/>
        <v>292</v>
      </c>
      <c r="G436" s="784">
        <f t="shared" si="104"/>
        <v>4335919.0151171684</v>
      </c>
      <c r="H436" s="604">
        <f t="shared" si="105"/>
        <v>68372.658190401169</v>
      </c>
      <c r="I436" s="784">
        <f t="shared" si="106"/>
        <v>9003.4119882759642</v>
      </c>
      <c r="J436" s="785">
        <f t="shared" si="107"/>
        <v>59369.246202125207</v>
      </c>
      <c r="K436" s="72">
        <f t="shared" si="114"/>
        <v>292</v>
      </c>
      <c r="L436" s="784">
        <f t="shared" si="108"/>
        <v>12278430.240768531</v>
      </c>
      <c r="M436" s="604">
        <f t="shared" si="109"/>
        <v>200129.99292672705</v>
      </c>
      <c r="N436" s="784">
        <f t="shared" si="110"/>
        <v>37722.16546920938</v>
      </c>
      <c r="O436" s="785">
        <f t="shared" si="111"/>
        <v>162407.82745751765</v>
      </c>
      <c r="P436" s="11"/>
      <c r="Q436" s="11"/>
      <c r="R436" s="11"/>
      <c r="S436" s="11"/>
      <c r="T436" s="11"/>
    </row>
    <row r="437" spans="1:20" x14ac:dyDescent="0.25">
      <c r="A437" s="72">
        <f t="shared" si="112"/>
        <v>293</v>
      </c>
      <c r="B437" s="784">
        <f t="shared" si="100"/>
        <v>7839104.8460869528</v>
      </c>
      <c r="C437" s="604">
        <f t="shared" si="101"/>
        <v>131757.33473632587</v>
      </c>
      <c r="D437" s="784">
        <f t="shared" si="102"/>
        <v>28350.955171915626</v>
      </c>
      <c r="E437" s="785">
        <f t="shared" si="103"/>
        <v>103406.37956441024</v>
      </c>
      <c r="F437" s="72">
        <f t="shared" si="113"/>
        <v>293</v>
      </c>
      <c r="G437" s="784">
        <f t="shared" si="104"/>
        <v>4276428.1555529125</v>
      </c>
      <c r="H437" s="604">
        <f t="shared" si="105"/>
        <v>68372.658190401169</v>
      </c>
      <c r="I437" s="784">
        <f t="shared" si="106"/>
        <v>8881.7986261456099</v>
      </c>
      <c r="J437" s="785">
        <f t="shared" si="107"/>
        <v>59490.859564255559</v>
      </c>
      <c r="K437" s="72">
        <f t="shared" si="114"/>
        <v>293</v>
      </c>
      <c r="L437" s="784">
        <f t="shared" si="108"/>
        <v>12115533.001639865</v>
      </c>
      <c r="M437" s="604">
        <f t="shared" si="109"/>
        <v>200129.99292672705</v>
      </c>
      <c r="N437" s="784">
        <f t="shared" si="110"/>
        <v>37232.75379806124</v>
      </c>
      <c r="O437" s="785">
        <f t="shared" si="111"/>
        <v>162897.23912866579</v>
      </c>
      <c r="P437" s="11"/>
      <c r="Q437" s="11"/>
      <c r="R437" s="11"/>
      <c r="S437" s="11"/>
      <c r="T437" s="11"/>
    </row>
    <row r="438" spans="1:20" x14ac:dyDescent="0.25">
      <c r="A438" s="72">
        <f t="shared" si="112"/>
        <v>294</v>
      </c>
      <c r="B438" s="784">
        <f t="shared" si="100"/>
        <v>7735329.3553499887</v>
      </c>
      <c r="C438" s="604">
        <f t="shared" si="101"/>
        <v>131757.33473632587</v>
      </c>
      <c r="D438" s="784">
        <f t="shared" si="102"/>
        <v>27981.84399936198</v>
      </c>
      <c r="E438" s="785">
        <f t="shared" si="103"/>
        <v>103775.49073696388</v>
      </c>
      <c r="F438" s="72">
        <f t="shared" si="113"/>
        <v>294</v>
      </c>
      <c r="G438" s="784">
        <f t="shared" si="104"/>
        <v>4216815.4335108511</v>
      </c>
      <c r="H438" s="604">
        <f t="shared" si="105"/>
        <v>68372.658190401169</v>
      </c>
      <c r="I438" s="784">
        <f t="shared" si="106"/>
        <v>8759.936148340139</v>
      </c>
      <c r="J438" s="785">
        <f t="shared" si="107"/>
        <v>59612.722042061032</v>
      </c>
      <c r="K438" s="72">
        <f t="shared" si="114"/>
        <v>294</v>
      </c>
      <c r="L438" s="784">
        <f t="shared" si="108"/>
        <v>11952144.788860839</v>
      </c>
      <c r="M438" s="604">
        <f t="shared" si="109"/>
        <v>200129.99292672705</v>
      </c>
      <c r="N438" s="784">
        <f t="shared" si="110"/>
        <v>36741.78014770212</v>
      </c>
      <c r="O438" s="785">
        <f t="shared" si="111"/>
        <v>163388.21277902491</v>
      </c>
      <c r="P438" s="11"/>
      <c r="Q438" s="11"/>
      <c r="R438" s="11"/>
      <c r="S438" s="11"/>
      <c r="T438" s="11"/>
    </row>
    <row r="439" spans="1:20" x14ac:dyDescent="0.25">
      <c r="A439" s="72">
        <f t="shared" si="112"/>
        <v>295</v>
      </c>
      <c r="B439" s="784">
        <f t="shared" si="100"/>
        <v>7631183.435890642</v>
      </c>
      <c r="C439" s="604">
        <f t="shared" si="101"/>
        <v>131757.33473632587</v>
      </c>
      <c r="D439" s="784">
        <f t="shared" si="102"/>
        <v>27611.415276979413</v>
      </c>
      <c r="E439" s="785">
        <f t="shared" si="103"/>
        <v>104145.91945934645</v>
      </c>
      <c r="F439" s="72">
        <f t="shared" si="113"/>
        <v>295</v>
      </c>
      <c r="G439" s="784">
        <f t="shared" si="104"/>
        <v>4157080.599365015</v>
      </c>
      <c r="H439" s="604">
        <f t="shared" si="105"/>
        <v>68372.658190401169</v>
      </c>
      <c r="I439" s="784">
        <f t="shared" si="106"/>
        <v>8637.8240445651409</v>
      </c>
      <c r="J439" s="785">
        <f t="shared" si="107"/>
        <v>59734.83414583603</v>
      </c>
      <c r="K439" s="72">
        <f t="shared" si="114"/>
        <v>295</v>
      </c>
      <c r="L439" s="784">
        <f t="shared" si="108"/>
        <v>11788264.035255658</v>
      </c>
      <c r="M439" s="604">
        <f t="shared" si="109"/>
        <v>200129.99292672705</v>
      </c>
      <c r="N439" s="784">
        <f t="shared" si="110"/>
        <v>36249.239321544555</v>
      </c>
      <c r="O439" s="785">
        <f t="shared" si="111"/>
        <v>163880.75360518249</v>
      </c>
      <c r="P439" s="11"/>
      <c r="Q439" s="11"/>
      <c r="R439" s="11"/>
      <c r="S439" s="11"/>
      <c r="T439" s="11"/>
    </row>
    <row r="440" spans="1:20" x14ac:dyDescent="0.25">
      <c r="A440" s="72">
        <f t="shared" si="112"/>
        <v>296</v>
      </c>
      <c r="B440" s="784">
        <f t="shared" si="100"/>
        <v>7526665.7654560627</v>
      </c>
      <c r="C440" s="604">
        <f t="shared" si="101"/>
        <v>131757.33473632587</v>
      </c>
      <c r="D440" s="784">
        <f t="shared" si="102"/>
        <v>27239.664301747052</v>
      </c>
      <c r="E440" s="785">
        <f t="shared" si="103"/>
        <v>104517.67043457882</v>
      </c>
      <c r="F440" s="72">
        <f t="shared" si="113"/>
        <v>296</v>
      </c>
      <c r="G440" s="784">
        <f t="shared" si="104"/>
        <v>4097223.4029780948</v>
      </c>
      <c r="H440" s="604">
        <f t="shared" si="105"/>
        <v>68372.658190401169</v>
      </c>
      <c r="I440" s="784">
        <f t="shared" si="106"/>
        <v>8515.4618034808973</v>
      </c>
      <c r="J440" s="785">
        <f t="shared" si="107"/>
        <v>59857.196386920274</v>
      </c>
      <c r="K440" s="72">
        <f t="shared" si="114"/>
        <v>296</v>
      </c>
      <c r="L440" s="784">
        <f t="shared" si="108"/>
        <v>11623889.168434158</v>
      </c>
      <c r="M440" s="604">
        <f t="shared" si="109"/>
        <v>200129.99292672705</v>
      </c>
      <c r="N440" s="784">
        <f t="shared" si="110"/>
        <v>35755.126105227951</v>
      </c>
      <c r="O440" s="785">
        <f t="shared" si="111"/>
        <v>164374.86682149908</v>
      </c>
      <c r="P440" s="11"/>
      <c r="Q440" s="11"/>
      <c r="R440" s="11"/>
      <c r="S440" s="11"/>
      <c r="T440" s="11"/>
    </row>
    <row r="441" spans="1:20" x14ac:dyDescent="0.25">
      <c r="A441" s="72">
        <f t="shared" si="112"/>
        <v>297</v>
      </c>
      <c r="B441" s="784">
        <f t="shared" si="100"/>
        <v>7421775.0170735931</v>
      </c>
      <c r="C441" s="604">
        <f t="shared" si="101"/>
        <v>131757.33473632587</v>
      </c>
      <c r="D441" s="784">
        <f t="shared" si="102"/>
        <v>26866.586353856484</v>
      </c>
      <c r="E441" s="785">
        <f t="shared" si="103"/>
        <v>104890.74838246938</v>
      </c>
      <c r="F441" s="72">
        <f t="shared" si="113"/>
        <v>297</v>
      </c>
      <c r="G441" s="784">
        <f t="shared" si="104"/>
        <v>4037243.593700394</v>
      </c>
      <c r="H441" s="604">
        <f t="shared" si="105"/>
        <v>68372.658190401169</v>
      </c>
      <c r="I441" s="784">
        <f t="shared" si="106"/>
        <v>8392.848912700254</v>
      </c>
      <c r="J441" s="785">
        <f t="shared" si="107"/>
        <v>59979.809277700915</v>
      </c>
      <c r="K441" s="72">
        <f t="shared" si="114"/>
        <v>297</v>
      </c>
      <c r="L441" s="784">
        <f t="shared" si="108"/>
        <v>11459018.610773988</v>
      </c>
      <c r="M441" s="604">
        <f t="shared" si="109"/>
        <v>200129.99292672705</v>
      </c>
      <c r="N441" s="784">
        <f t="shared" si="110"/>
        <v>35259.435266556742</v>
      </c>
      <c r="O441" s="785">
        <f t="shared" si="111"/>
        <v>164870.55766017031</v>
      </c>
      <c r="P441" s="11"/>
      <c r="Q441" s="11"/>
      <c r="R441" s="11"/>
      <c r="S441" s="11"/>
      <c r="T441" s="11"/>
    </row>
    <row r="442" spans="1:20" x14ac:dyDescent="0.25">
      <c r="A442" s="72">
        <f t="shared" si="112"/>
        <v>298</v>
      </c>
      <c r="B442" s="784">
        <f t="shared" si="100"/>
        <v>7316509.8590339189</v>
      </c>
      <c r="C442" s="604">
        <f t="shared" si="101"/>
        <v>131757.33473632587</v>
      </c>
      <c r="D442" s="784">
        <f t="shared" si="102"/>
        <v>26492.176696651852</v>
      </c>
      <c r="E442" s="785">
        <f t="shared" si="103"/>
        <v>105265.15803967402</v>
      </c>
      <c r="F442" s="72">
        <f t="shared" si="113"/>
        <v>298</v>
      </c>
      <c r="G442" s="784">
        <f t="shared" si="104"/>
        <v>3977140.9203687795</v>
      </c>
      <c r="H442" s="604">
        <f t="shared" si="105"/>
        <v>68372.658190401169</v>
      </c>
      <c r="I442" s="784">
        <f t="shared" si="106"/>
        <v>8269.984858786469</v>
      </c>
      <c r="J442" s="785">
        <f t="shared" si="107"/>
        <v>60102.6733316147</v>
      </c>
      <c r="K442" s="72">
        <f t="shared" si="114"/>
        <v>298</v>
      </c>
      <c r="L442" s="784">
        <f t="shared" si="108"/>
        <v>11293650.779402699</v>
      </c>
      <c r="M442" s="604">
        <f t="shared" si="109"/>
        <v>200129.99292672705</v>
      </c>
      <c r="N442" s="784">
        <f t="shared" si="110"/>
        <v>34762.161555438317</v>
      </c>
      <c r="O442" s="785">
        <f t="shared" si="111"/>
        <v>165367.83137128872</v>
      </c>
      <c r="P442" s="11"/>
      <c r="Q442" s="11"/>
      <c r="R442" s="11"/>
      <c r="S442" s="11"/>
      <c r="T442" s="11"/>
    </row>
    <row r="443" spans="1:20" x14ac:dyDescent="0.25">
      <c r="A443" s="72">
        <f t="shared" si="112"/>
        <v>299</v>
      </c>
      <c r="B443" s="784">
        <f t="shared" si="100"/>
        <v>7210868.9548741626</v>
      </c>
      <c r="C443" s="604">
        <f t="shared" si="101"/>
        <v>131757.33473632587</v>
      </c>
      <c r="D443" s="784">
        <f t="shared" si="102"/>
        <v>26116.430576569703</v>
      </c>
      <c r="E443" s="785">
        <f t="shared" si="103"/>
        <v>105640.90415975616</v>
      </c>
      <c r="F443" s="72">
        <f t="shared" si="113"/>
        <v>299</v>
      </c>
      <c r="G443" s="784">
        <f t="shared" si="104"/>
        <v>3916915.1313056294</v>
      </c>
      <c r="H443" s="604">
        <f t="shared" si="105"/>
        <v>68372.658190401169</v>
      </c>
      <c r="I443" s="784">
        <f t="shared" si="106"/>
        <v>8146.8691272510669</v>
      </c>
      <c r="J443" s="785">
        <f t="shared" si="107"/>
        <v>60225.7890631501</v>
      </c>
      <c r="K443" s="72">
        <f t="shared" si="114"/>
        <v>299</v>
      </c>
      <c r="L443" s="784">
        <f t="shared" si="108"/>
        <v>11127784.086179793</v>
      </c>
      <c r="M443" s="604">
        <f t="shared" si="109"/>
        <v>200129.99292672705</v>
      </c>
      <c r="N443" s="784">
        <f t="shared" si="110"/>
        <v>34263.299703820769</v>
      </c>
      <c r="O443" s="785">
        <f t="shared" si="111"/>
        <v>165866.69322290627</v>
      </c>
      <c r="P443" s="11"/>
      <c r="Q443" s="11"/>
      <c r="R443" s="11"/>
      <c r="S443" s="11"/>
      <c r="T443" s="11"/>
    </row>
    <row r="444" spans="1:20" x14ac:dyDescent="0.25">
      <c r="A444" s="72">
        <f t="shared" si="112"/>
        <v>300</v>
      </c>
      <c r="B444" s="784">
        <f t="shared" si="100"/>
        <v>7104850.963360915</v>
      </c>
      <c r="C444" s="604">
        <f t="shared" si="101"/>
        <v>131757.33473632587</v>
      </c>
      <c r="D444" s="784">
        <f t="shared" si="102"/>
        <v>25739.343223078646</v>
      </c>
      <c r="E444" s="785">
        <f t="shared" si="103"/>
        <v>106017.99151324722</v>
      </c>
      <c r="F444" s="72">
        <f t="shared" si="113"/>
        <v>300</v>
      </c>
      <c r="G444" s="784">
        <f t="shared" si="104"/>
        <v>3856565.9743177798</v>
      </c>
      <c r="H444" s="604">
        <f t="shared" si="105"/>
        <v>68372.658190401169</v>
      </c>
      <c r="I444" s="784">
        <f t="shared" si="106"/>
        <v>8023.501202551678</v>
      </c>
      <c r="J444" s="785">
        <f t="shared" si="107"/>
        <v>60349.156987849492</v>
      </c>
      <c r="K444" s="72">
        <f t="shared" si="114"/>
        <v>300</v>
      </c>
      <c r="L444" s="784">
        <f t="shared" si="108"/>
        <v>10961416.937678695</v>
      </c>
      <c r="M444" s="604">
        <f t="shared" si="109"/>
        <v>200129.99292672705</v>
      </c>
      <c r="N444" s="784">
        <f t="shared" si="110"/>
        <v>33762.844425630326</v>
      </c>
      <c r="O444" s="785">
        <f t="shared" si="111"/>
        <v>166367.1485010967</v>
      </c>
      <c r="P444" s="11"/>
      <c r="Q444" s="11"/>
      <c r="R444" s="11"/>
      <c r="S444" s="11"/>
      <c r="T444" s="11"/>
    </row>
    <row r="445" spans="1:20" x14ac:dyDescent="0.25">
      <c r="A445" s="72">
        <f t="shared" si="112"/>
        <v>301</v>
      </c>
      <c r="B445" s="784">
        <f t="shared" si="100"/>
        <v>6998454.5384732075</v>
      </c>
      <c r="C445" s="604">
        <f t="shared" si="101"/>
        <v>131757.33473632587</v>
      </c>
      <c r="D445" s="784">
        <f t="shared" si="102"/>
        <v>25360.90984861878</v>
      </c>
      <c r="E445" s="785">
        <f t="shared" si="103"/>
        <v>106396.42488770708</v>
      </c>
      <c r="F445" s="72">
        <f t="shared" si="113"/>
        <v>301</v>
      </c>
      <c r="G445" s="784">
        <f t="shared" si="104"/>
        <v>3796093.1966954684</v>
      </c>
      <c r="H445" s="604">
        <f t="shared" si="105"/>
        <v>68372.658190401169</v>
      </c>
      <c r="I445" s="784">
        <f t="shared" si="106"/>
        <v>7899.8805680898868</v>
      </c>
      <c r="J445" s="785">
        <f t="shared" si="107"/>
        <v>60472.777622311281</v>
      </c>
      <c r="K445" s="72">
        <f t="shared" si="114"/>
        <v>301</v>
      </c>
      <c r="L445" s="784">
        <f t="shared" si="108"/>
        <v>10794547.735168677</v>
      </c>
      <c r="M445" s="604">
        <f t="shared" si="109"/>
        <v>200129.99292672705</v>
      </c>
      <c r="N445" s="784">
        <f t="shared" si="110"/>
        <v>33260.790416708667</v>
      </c>
      <c r="O445" s="785">
        <f t="shared" si="111"/>
        <v>166869.20251001837</v>
      </c>
      <c r="P445" s="11"/>
      <c r="Q445" s="11"/>
      <c r="R445" s="11"/>
      <c r="S445" s="11"/>
      <c r="T445" s="11"/>
    </row>
    <row r="446" spans="1:20" x14ac:dyDescent="0.25">
      <c r="A446" s="72">
        <f t="shared" si="112"/>
        <v>302</v>
      </c>
      <c r="B446" s="784">
        <f t="shared" si="100"/>
        <v>6891678.3293854222</v>
      </c>
      <c r="C446" s="604">
        <f t="shared" si="101"/>
        <v>131757.33473632587</v>
      </c>
      <c r="D446" s="784">
        <f t="shared" si="102"/>
        <v>24981.12564854091</v>
      </c>
      <c r="E446" s="785">
        <f t="shared" si="103"/>
        <v>106776.20908778496</v>
      </c>
      <c r="F446" s="72">
        <f t="shared" si="113"/>
        <v>302</v>
      </c>
      <c r="G446" s="784">
        <f t="shared" si="104"/>
        <v>3735496.5452112765</v>
      </c>
      <c r="H446" s="604">
        <f t="shared" si="105"/>
        <v>68372.658190401169</v>
      </c>
      <c r="I446" s="784">
        <f t="shared" si="106"/>
        <v>7776.0067062090648</v>
      </c>
      <c r="J446" s="785">
        <f t="shared" si="107"/>
        <v>60596.651484192102</v>
      </c>
      <c r="K446" s="72">
        <f t="shared" si="114"/>
        <v>302</v>
      </c>
      <c r="L446" s="784">
        <f t="shared" si="108"/>
        <v>10627174.874596698</v>
      </c>
      <c r="M446" s="604">
        <f t="shared" si="109"/>
        <v>200129.99292672705</v>
      </c>
      <c r="N446" s="784">
        <f t="shared" si="110"/>
        <v>32757.132354749974</v>
      </c>
      <c r="O446" s="785">
        <f t="shared" si="111"/>
        <v>167372.86057197704</v>
      </c>
      <c r="P446" s="11"/>
      <c r="Q446" s="11"/>
      <c r="R446" s="11"/>
      <c r="S446" s="11"/>
      <c r="T446" s="11"/>
    </row>
    <row r="447" spans="1:20" x14ac:dyDescent="0.25">
      <c r="A447" s="72">
        <f t="shared" si="112"/>
        <v>303</v>
      </c>
      <c r="B447" s="784">
        <f t="shared" si="100"/>
        <v>6784520.9804501422</v>
      </c>
      <c r="C447" s="604">
        <f t="shared" si="101"/>
        <v>131757.33473632587</v>
      </c>
      <c r="D447" s="784">
        <f t="shared" si="102"/>
        <v>24599.985801045557</v>
      </c>
      <c r="E447" s="785">
        <f t="shared" si="103"/>
        <v>107157.34893528032</v>
      </c>
      <c r="F447" s="72">
        <f t="shared" si="113"/>
        <v>303</v>
      </c>
      <c r="G447" s="784">
        <f t="shared" si="104"/>
        <v>3674775.7661190676</v>
      </c>
      <c r="H447" s="604">
        <f t="shared" si="105"/>
        <v>68372.658190401169</v>
      </c>
      <c r="I447" s="784">
        <f t="shared" si="106"/>
        <v>7651.8790981922039</v>
      </c>
      <c r="J447" s="785">
        <f t="shared" si="107"/>
        <v>60720.779092208963</v>
      </c>
      <c r="K447" s="72">
        <f t="shared" si="114"/>
        <v>303</v>
      </c>
      <c r="L447" s="784">
        <f t="shared" si="108"/>
        <v>10459296.746569209</v>
      </c>
      <c r="M447" s="604">
        <f t="shared" si="109"/>
        <v>200129.99292672705</v>
      </c>
      <c r="N447" s="784">
        <f t="shared" si="110"/>
        <v>32251.86489923776</v>
      </c>
      <c r="O447" s="785">
        <f t="shared" si="111"/>
        <v>167878.12802748929</v>
      </c>
      <c r="P447" s="11"/>
      <c r="Q447" s="11"/>
      <c r="R447" s="11"/>
      <c r="S447" s="11"/>
      <c r="T447" s="11"/>
    </row>
    <row r="448" spans="1:20" x14ac:dyDescent="0.25">
      <c r="A448" s="72">
        <f t="shared" si="112"/>
        <v>304</v>
      </c>
      <c r="B448" s="784">
        <f t="shared" si="100"/>
        <v>6676981.1311809383</v>
      </c>
      <c r="C448" s="604">
        <f t="shared" si="101"/>
        <v>131757.33473632587</v>
      </c>
      <c r="D448" s="784">
        <f t="shared" si="102"/>
        <v>24217.485467121725</v>
      </c>
      <c r="E448" s="785">
        <f t="shared" si="103"/>
        <v>107539.84926920413</v>
      </c>
      <c r="F448" s="72">
        <f t="shared" si="113"/>
        <v>304</v>
      </c>
      <c r="G448" s="784">
        <f t="shared" si="104"/>
        <v>3613930.6051529259</v>
      </c>
      <c r="H448" s="604">
        <f t="shared" si="105"/>
        <v>68372.658190401169</v>
      </c>
      <c r="I448" s="784">
        <f t="shared" si="106"/>
        <v>7527.4972242597405</v>
      </c>
      <c r="J448" s="785">
        <f t="shared" si="107"/>
        <v>60845.160966141426</v>
      </c>
      <c r="K448" s="72">
        <f t="shared" si="114"/>
        <v>304</v>
      </c>
      <c r="L448" s="784">
        <f t="shared" si="108"/>
        <v>10290911.736333864</v>
      </c>
      <c r="M448" s="604">
        <f t="shared" si="109"/>
        <v>200129.99292672705</v>
      </c>
      <c r="N448" s="784">
        <f t="shared" si="110"/>
        <v>31744.982691381465</v>
      </c>
      <c r="O448" s="785">
        <f t="shared" si="111"/>
        <v>168385.01023534557</v>
      </c>
      <c r="P448" s="11"/>
      <c r="Q448" s="11"/>
      <c r="R448" s="11"/>
      <c r="S448" s="11"/>
      <c r="T448" s="11"/>
    </row>
    <row r="449" spans="1:20" x14ac:dyDescent="0.25">
      <c r="A449" s="72">
        <f t="shared" si="112"/>
        <v>305</v>
      </c>
      <c r="B449" s="784">
        <f t="shared" si="100"/>
        <v>6569057.4162350977</v>
      </c>
      <c r="C449" s="604">
        <f t="shared" si="101"/>
        <v>131757.33473632587</v>
      </c>
      <c r="D449" s="784">
        <f t="shared" si="102"/>
        <v>23833.619790485463</v>
      </c>
      <c r="E449" s="785">
        <f t="shared" si="103"/>
        <v>107923.7149458404</v>
      </c>
      <c r="F449" s="72">
        <f t="shared" si="113"/>
        <v>305</v>
      </c>
      <c r="G449" s="784">
        <f t="shared" si="104"/>
        <v>3552960.807526092</v>
      </c>
      <c r="H449" s="604">
        <f t="shared" si="105"/>
        <v>68372.658190401169</v>
      </c>
      <c r="I449" s="784">
        <f t="shared" si="106"/>
        <v>7402.8605635673866</v>
      </c>
      <c r="J449" s="785">
        <f t="shared" si="107"/>
        <v>60969.797626833781</v>
      </c>
      <c r="K449" s="72">
        <f t="shared" si="114"/>
        <v>305</v>
      </c>
      <c r="L449" s="784">
        <f t="shared" si="108"/>
        <v>10122018.22376119</v>
      </c>
      <c r="M449" s="604">
        <f t="shared" si="109"/>
        <v>200129.99292672705</v>
      </c>
      <c r="N449" s="784">
        <f t="shared" si="110"/>
        <v>31236.480354052852</v>
      </c>
      <c r="O449" s="785">
        <f t="shared" si="111"/>
        <v>168893.5125726742</v>
      </c>
      <c r="P449" s="11"/>
      <c r="Q449" s="11"/>
      <c r="R449" s="11"/>
      <c r="S449" s="11"/>
      <c r="T449" s="11"/>
    </row>
    <row r="450" spans="1:20" x14ac:dyDescent="0.25">
      <c r="A450" s="72">
        <f t="shared" si="112"/>
        <v>306</v>
      </c>
      <c r="B450" s="784">
        <f t="shared" si="100"/>
        <v>6460748.4653962897</v>
      </c>
      <c r="C450" s="604">
        <f t="shared" si="101"/>
        <v>131757.33473632587</v>
      </c>
      <c r="D450" s="784">
        <f t="shared" si="102"/>
        <v>23448.383897518223</v>
      </c>
      <c r="E450" s="785">
        <f t="shared" si="103"/>
        <v>108308.95083880765</v>
      </c>
      <c r="F450" s="72">
        <f t="shared" si="113"/>
        <v>306</v>
      </c>
      <c r="G450" s="784">
        <f t="shared" si="104"/>
        <v>3491866.1179298949</v>
      </c>
      <c r="H450" s="604">
        <f t="shared" si="105"/>
        <v>68372.658190401169</v>
      </c>
      <c r="I450" s="784">
        <f t="shared" si="106"/>
        <v>7277.9685942039423</v>
      </c>
      <c r="J450" s="785">
        <f t="shared" si="107"/>
        <v>61094.689596197226</v>
      </c>
      <c r="K450" s="72">
        <f t="shared" si="114"/>
        <v>306</v>
      </c>
      <c r="L450" s="784">
        <f t="shared" si="108"/>
        <v>9952614.5833261851</v>
      </c>
      <c r="M450" s="604">
        <f t="shared" si="109"/>
        <v>200129.99292672705</v>
      </c>
      <c r="N450" s="784">
        <f t="shared" si="110"/>
        <v>30726.352491722166</v>
      </c>
      <c r="O450" s="785">
        <f t="shared" si="111"/>
        <v>169403.64043500487</v>
      </c>
      <c r="P450" s="11"/>
      <c r="Q450" s="11"/>
      <c r="R450" s="11"/>
      <c r="S450" s="11"/>
      <c r="T450" s="11"/>
    </row>
    <row r="451" spans="1:20" x14ac:dyDescent="0.25">
      <c r="A451" s="72">
        <f t="shared" si="112"/>
        <v>307</v>
      </c>
      <c r="B451" s="784">
        <f t="shared" si="100"/>
        <v>6352052.9035571693</v>
      </c>
      <c r="C451" s="604">
        <f t="shared" si="101"/>
        <v>131757.33473632587</v>
      </c>
      <c r="D451" s="784">
        <f t="shared" si="102"/>
        <v>23061.772897204977</v>
      </c>
      <c r="E451" s="785">
        <f t="shared" si="103"/>
        <v>108695.56183912088</v>
      </c>
      <c r="F451" s="72">
        <f t="shared" si="113"/>
        <v>307</v>
      </c>
      <c r="G451" s="784">
        <f t="shared" si="104"/>
        <v>3430646.2805326828</v>
      </c>
      <c r="H451" s="604">
        <f t="shared" si="105"/>
        <v>68372.658190401169</v>
      </c>
      <c r="I451" s="784">
        <f t="shared" si="106"/>
        <v>7152.8207931891129</v>
      </c>
      <c r="J451" s="785">
        <f t="shared" si="107"/>
        <v>61219.837397212053</v>
      </c>
      <c r="K451" s="72">
        <f t="shared" si="114"/>
        <v>307</v>
      </c>
      <c r="L451" s="784">
        <f t="shared" si="108"/>
        <v>9782699.1840898525</v>
      </c>
      <c r="M451" s="604">
        <f t="shared" si="109"/>
        <v>200129.99292672705</v>
      </c>
      <c r="N451" s="784">
        <f t="shared" si="110"/>
        <v>30214.593690394089</v>
      </c>
      <c r="O451" s="785">
        <f t="shared" si="111"/>
        <v>169915.39923633295</v>
      </c>
      <c r="P451" s="11"/>
      <c r="Q451" s="11"/>
      <c r="R451" s="11"/>
      <c r="S451" s="11"/>
      <c r="T451" s="11"/>
    </row>
    <row r="452" spans="1:20" x14ac:dyDescent="0.25">
      <c r="A452" s="72">
        <f t="shared" si="112"/>
        <v>308</v>
      </c>
      <c r="B452" s="784">
        <f t="shared" si="100"/>
        <v>6242969.3507019151</v>
      </c>
      <c r="C452" s="604">
        <f t="shared" si="101"/>
        <v>131757.33473632587</v>
      </c>
      <c r="D452" s="784">
        <f t="shared" si="102"/>
        <v>22673.781881072122</v>
      </c>
      <c r="E452" s="785">
        <f t="shared" si="103"/>
        <v>109083.55285525374</v>
      </c>
      <c r="F452" s="72">
        <f t="shared" si="113"/>
        <v>308</v>
      </c>
      <c r="G452" s="784">
        <f t="shared" si="104"/>
        <v>3369301.0389787531</v>
      </c>
      <c r="H452" s="604">
        <f t="shared" si="105"/>
        <v>68372.658190401169</v>
      </c>
      <c r="I452" s="784">
        <f t="shared" si="106"/>
        <v>7027.4166364713192</v>
      </c>
      <c r="J452" s="785">
        <f t="shared" si="107"/>
        <v>61345.241553929853</v>
      </c>
      <c r="K452" s="72">
        <f t="shared" si="114"/>
        <v>308</v>
      </c>
      <c r="L452" s="784">
        <f t="shared" si="108"/>
        <v>9612270.3896806687</v>
      </c>
      <c r="M452" s="604">
        <f t="shared" si="109"/>
        <v>200129.99292672705</v>
      </c>
      <c r="N452" s="784">
        <f t="shared" si="110"/>
        <v>29701.198517543442</v>
      </c>
      <c r="O452" s="785">
        <f t="shared" si="111"/>
        <v>170428.79440918361</v>
      </c>
      <c r="P452" s="11"/>
      <c r="Q452" s="11"/>
      <c r="R452" s="11"/>
      <c r="S452" s="11"/>
      <c r="T452" s="11"/>
    </row>
    <row r="453" spans="1:20" x14ac:dyDescent="0.25">
      <c r="A453" s="72">
        <f t="shared" si="112"/>
        <v>309</v>
      </c>
      <c r="B453" s="784">
        <f t="shared" si="100"/>
        <v>6133496.4218887147</v>
      </c>
      <c r="C453" s="604">
        <f t="shared" si="101"/>
        <v>131757.33473632587</v>
      </c>
      <c r="D453" s="784">
        <f t="shared" si="102"/>
        <v>22284.405923125145</v>
      </c>
      <c r="E453" s="785">
        <f t="shared" si="103"/>
        <v>109472.92881320072</v>
      </c>
      <c r="F453" s="72">
        <f t="shared" si="113"/>
        <v>309</v>
      </c>
      <c r="G453" s="784">
        <f t="shared" si="104"/>
        <v>3307830.1363872774</v>
      </c>
      <c r="H453" s="604">
        <f t="shared" si="105"/>
        <v>68372.658190401169</v>
      </c>
      <c r="I453" s="784">
        <f t="shared" si="106"/>
        <v>6901.7555989255015</v>
      </c>
      <c r="J453" s="785">
        <f t="shared" si="107"/>
        <v>61470.902591475664</v>
      </c>
      <c r="K453" s="72">
        <f t="shared" si="114"/>
        <v>309</v>
      </c>
      <c r="L453" s="784">
        <f t="shared" si="108"/>
        <v>9441326.5582759921</v>
      </c>
      <c r="M453" s="604">
        <f t="shared" si="109"/>
        <v>200129.99292672705</v>
      </c>
      <c r="N453" s="784">
        <f t="shared" si="110"/>
        <v>29186.161522050646</v>
      </c>
      <c r="O453" s="785">
        <f t="shared" si="111"/>
        <v>170943.83140467637</v>
      </c>
      <c r="P453" s="11"/>
      <c r="Q453" s="11"/>
      <c r="R453" s="11"/>
      <c r="S453" s="11"/>
      <c r="T453" s="11"/>
    </row>
    <row r="454" spans="1:20" x14ac:dyDescent="0.25">
      <c r="A454" s="72">
        <f t="shared" si="112"/>
        <v>310</v>
      </c>
      <c r="B454" s="784">
        <f t="shared" si="100"/>
        <v>6023632.7272321749</v>
      </c>
      <c r="C454" s="604">
        <f t="shared" si="101"/>
        <v>131757.33473632587</v>
      </c>
      <c r="D454" s="784">
        <f t="shared" si="102"/>
        <v>21893.640079786117</v>
      </c>
      <c r="E454" s="785">
        <f t="shared" si="103"/>
        <v>109863.69465653975</v>
      </c>
      <c r="F454" s="72">
        <f t="shared" si="113"/>
        <v>310</v>
      </c>
      <c r="G454" s="784">
        <f t="shared" si="104"/>
        <v>3246233.3153512273</v>
      </c>
      <c r="H454" s="604">
        <f t="shared" si="105"/>
        <v>68372.658190401169</v>
      </c>
      <c r="I454" s="784">
        <f t="shared" si="106"/>
        <v>6775.8371543509211</v>
      </c>
      <c r="J454" s="785">
        <f t="shared" si="107"/>
        <v>61596.821036050249</v>
      </c>
      <c r="K454" s="72">
        <f t="shared" si="114"/>
        <v>310</v>
      </c>
      <c r="L454" s="784">
        <f t="shared" si="108"/>
        <v>9269866.0425834022</v>
      </c>
      <c r="M454" s="604">
        <f t="shared" si="109"/>
        <v>200129.99292672705</v>
      </c>
      <c r="N454" s="784">
        <f t="shared" si="110"/>
        <v>28669.477234137037</v>
      </c>
      <c r="O454" s="785">
        <f t="shared" si="111"/>
        <v>171460.51569259001</v>
      </c>
      <c r="P454" s="11"/>
      <c r="Q454" s="11"/>
      <c r="R454" s="11"/>
      <c r="S454" s="11"/>
      <c r="T454" s="11"/>
    </row>
    <row r="455" spans="1:20" x14ac:dyDescent="0.25">
      <c r="A455" s="72">
        <f t="shared" si="112"/>
        <v>311</v>
      </c>
      <c r="B455" s="784">
        <f t="shared" si="100"/>
        <v>5913376.8718856797</v>
      </c>
      <c r="C455" s="604">
        <f t="shared" si="101"/>
        <v>131757.33473632587</v>
      </c>
      <c r="D455" s="784">
        <f t="shared" si="102"/>
        <v>21501.479389830889</v>
      </c>
      <c r="E455" s="785">
        <f t="shared" si="103"/>
        <v>110255.85534649498</v>
      </c>
      <c r="F455" s="72">
        <f t="shared" si="113"/>
        <v>311</v>
      </c>
      <c r="G455" s="784">
        <f t="shared" si="104"/>
        <v>3184510.3179362952</v>
      </c>
      <c r="H455" s="604">
        <f t="shared" si="105"/>
        <v>68372.658190401169</v>
      </c>
      <c r="I455" s="784">
        <f t="shared" si="106"/>
        <v>6649.6607754689594</v>
      </c>
      <c r="J455" s="785">
        <f t="shared" si="107"/>
        <v>61722.997414932208</v>
      </c>
      <c r="K455" s="72">
        <f t="shared" si="114"/>
        <v>311</v>
      </c>
      <c r="L455" s="784">
        <f t="shared" si="108"/>
        <v>9097887.1898219753</v>
      </c>
      <c r="M455" s="604">
        <f t="shared" si="109"/>
        <v>200129.99292672705</v>
      </c>
      <c r="N455" s="784">
        <f t="shared" si="110"/>
        <v>28151.140165299847</v>
      </c>
      <c r="O455" s="785">
        <f t="shared" si="111"/>
        <v>171978.85276142717</v>
      </c>
      <c r="P455" s="11"/>
      <c r="Q455" s="11"/>
      <c r="R455" s="11"/>
      <c r="S455" s="11"/>
      <c r="T455" s="11"/>
    </row>
    <row r="456" spans="1:20" x14ac:dyDescent="0.25">
      <c r="A456" s="72">
        <f t="shared" si="112"/>
        <v>312</v>
      </c>
      <c r="B456" s="784">
        <f t="shared" si="100"/>
        <v>5802727.45602368</v>
      </c>
      <c r="C456" s="604">
        <f t="shared" si="101"/>
        <v>131757.33473632587</v>
      </c>
      <c r="D456" s="784">
        <f t="shared" si="102"/>
        <v>21107.918874326129</v>
      </c>
      <c r="E456" s="785">
        <f t="shared" si="103"/>
        <v>110649.41586199973</v>
      </c>
      <c r="F456" s="72">
        <f t="shared" si="113"/>
        <v>312</v>
      </c>
      <c r="G456" s="784">
        <f t="shared" si="104"/>
        <v>3122660.885679815</v>
      </c>
      <c r="H456" s="604">
        <f t="shared" si="105"/>
        <v>68372.658190401169</v>
      </c>
      <c r="I456" s="784">
        <f t="shared" si="106"/>
        <v>6523.2259339209058</v>
      </c>
      <c r="J456" s="785">
        <f t="shared" si="107"/>
        <v>61849.432256480264</v>
      </c>
      <c r="K456" s="72">
        <f t="shared" si="114"/>
        <v>312</v>
      </c>
      <c r="L456" s="784">
        <f t="shared" si="108"/>
        <v>8925388.341703495</v>
      </c>
      <c r="M456" s="604">
        <f t="shared" si="109"/>
        <v>200129.99292672705</v>
      </c>
      <c r="N456" s="784">
        <f t="shared" si="110"/>
        <v>27631.144808247034</v>
      </c>
      <c r="O456" s="785">
        <f t="shared" si="111"/>
        <v>172498.84811848</v>
      </c>
      <c r="P456" s="11"/>
      <c r="Q456" s="11"/>
      <c r="R456" s="11"/>
      <c r="S456" s="11"/>
      <c r="T456" s="11"/>
    </row>
    <row r="457" spans="1:20" x14ac:dyDescent="0.25">
      <c r="A457" s="72">
        <f t="shared" si="112"/>
        <v>313</v>
      </c>
      <c r="B457" s="784">
        <f t="shared" si="100"/>
        <v>5691683.0748239206</v>
      </c>
      <c r="C457" s="604">
        <f t="shared" si="101"/>
        <v>131757.33473632587</v>
      </c>
      <c r="D457" s="784">
        <f t="shared" si="102"/>
        <v>20712.9535365661</v>
      </c>
      <c r="E457" s="785">
        <f t="shared" si="103"/>
        <v>111044.38119975977</v>
      </c>
      <c r="F457" s="72">
        <f t="shared" si="113"/>
        <v>313</v>
      </c>
      <c r="G457" s="784">
        <f t="shared" si="104"/>
        <v>3060684.7595896795</v>
      </c>
      <c r="H457" s="604">
        <f t="shared" si="105"/>
        <v>68372.658190401169</v>
      </c>
      <c r="I457" s="784">
        <f t="shared" si="106"/>
        <v>6396.5321002657474</v>
      </c>
      <c r="J457" s="785">
        <f t="shared" si="107"/>
        <v>61976.126090135425</v>
      </c>
      <c r="K457" s="72">
        <f t="shared" si="114"/>
        <v>313</v>
      </c>
      <c r="L457" s="784">
        <f t="shared" si="108"/>
        <v>8752367.8344135992</v>
      </c>
      <c r="M457" s="604">
        <f t="shared" si="109"/>
        <v>200129.99292672705</v>
      </c>
      <c r="N457" s="784">
        <f t="shared" si="110"/>
        <v>27109.485636831847</v>
      </c>
      <c r="O457" s="785">
        <f t="shared" si="111"/>
        <v>173020.50728989521</v>
      </c>
      <c r="P457" s="11"/>
      <c r="Q457" s="11"/>
      <c r="R457" s="11"/>
      <c r="S457" s="11"/>
      <c r="T457" s="11"/>
    </row>
    <row r="458" spans="1:20" x14ac:dyDescent="0.25">
      <c r="A458" s="72">
        <f t="shared" si="112"/>
        <v>314</v>
      </c>
      <c r="B458" s="784">
        <f t="shared" si="100"/>
        <v>5580242.3184496043</v>
      </c>
      <c r="C458" s="604">
        <f t="shared" si="101"/>
        <v>131757.33473632587</v>
      </c>
      <c r="D458" s="784">
        <f t="shared" si="102"/>
        <v>20316.578362009226</v>
      </c>
      <c r="E458" s="785">
        <f t="shared" si="103"/>
        <v>111440.75637431664</v>
      </c>
      <c r="F458" s="72">
        <f t="shared" si="113"/>
        <v>314</v>
      </c>
      <c r="G458" s="784">
        <f t="shared" si="104"/>
        <v>2998581.6801432562</v>
      </c>
      <c r="H458" s="604">
        <f t="shared" si="105"/>
        <v>68372.658190401169</v>
      </c>
      <c r="I458" s="784">
        <f t="shared" si="106"/>
        <v>6269.5787439779533</v>
      </c>
      <c r="J458" s="785">
        <f t="shared" si="107"/>
        <v>62103.079446423217</v>
      </c>
      <c r="K458" s="72">
        <f t="shared" si="114"/>
        <v>314</v>
      </c>
      <c r="L458" s="784">
        <f t="shared" si="108"/>
        <v>8578823.998592861</v>
      </c>
      <c r="M458" s="604">
        <f t="shared" si="109"/>
        <v>200129.99292672705</v>
      </c>
      <c r="N458" s="784">
        <f t="shared" si="110"/>
        <v>26586.157105987179</v>
      </c>
      <c r="O458" s="785">
        <f t="shared" si="111"/>
        <v>173543.83582073986</v>
      </c>
      <c r="P458" s="11"/>
      <c r="Q458" s="11"/>
      <c r="R458" s="11"/>
      <c r="S458" s="11"/>
      <c r="T458" s="11"/>
    </row>
    <row r="459" spans="1:20" x14ac:dyDescent="0.25">
      <c r="A459" s="72">
        <f t="shared" si="112"/>
        <v>315</v>
      </c>
      <c r="B459" s="784">
        <f t="shared" si="100"/>
        <v>5468403.7720314926</v>
      </c>
      <c r="C459" s="604">
        <f t="shared" si="101"/>
        <v>131757.33473632587</v>
      </c>
      <c r="D459" s="784">
        <f t="shared" si="102"/>
        <v>19918.788318214418</v>
      </c>
      <c r="E459" s="785">
        <f t="shared" si="103"/>
        <v>111838.54641811145</v>
      </c>
      <c r="F459" s="72">
        <f t="shared" si="113"/>
        <v>315</v>
      </c>
      <c r="G459" s="784">
        <f t="shared" si="104"/>
        <v>2936351.3872863003</v>
      </c>
      <c r="H459" s="604">
        <f t="shared" si="105"/>
        <v>68372.658190401169</v>
      </c>
      <c r="I459" s="784">
        <f t="shared" si="106"/>
        <v>6142.3653334452501</v>
      </c>
      <c r="J459" s="785">
        <f t="shared" si="107"/>
        <v>62230.292856955915</v>
      </c>
      <c r="K459" s="72">
        <f t="shared" si="114"/>
        <v>315</v>
      </c>
      <c r="L459" s="784">
        <f t="shared" si="108"/>
        <v>8404755.1593177933</v>
      </c>
      <c r="M459" s="604">
        <f t="shared" si="109"/>
        <v>200129.99292672705</v>
      </c>
      <c r="N459" s="784">
        <f t="shared" si="110"/>
        <v>26061.153651659668</v>
      </c>
      <c r="O459" s="785">
        <f t="shared" si="111"/>
        <v>174068.83927506738</v>
      </c>
      <c r="P459" s="11"/>
      <c r="Q459" s="11"/>
      <c r="R459" s="11"/>
      <c r="S459" s="11"/>
      <c r="T459" s="11"/>
    </row>
    <row r="460" spans="1:20" x14ac:dyDescent="0.25">
      <c r="A460" s="72">
        <f t="shared" si="112"/>
        <v>316</v>
      </c>
      <c r="B460" s="784">
        <f t="shared" si="100"/>
        <v>5356166.0156499436</v>
      </c>
      <c r="C460" s="604">
        <f t="shared" si="101"/>
        <v>131757.33473632587</v>
      </c>
      <c r="D460" s="784">
        <f t="shared" si="102"/>
        <v>19519.578354777186</v>
      </c>
      <c r="E460" s="785">
        <f t="shared" si="103"/>
        <v>112237.75638154868</v>
      </c>
      <c r="F460" s="72">
        <f t="shared" si="113"/>
        <v>316</v>
      </c>
      <c r="G460" s="784">
        <f t="shared" si="104"/>
        <v>2873993.6204318656</v>
      </c>
      <c r="H460" s="604">
        <f t="shared" si="105"/>
        <v>68372.658190401169</v>
      </c>
      <c r="I460" s="784">
        <f t="shared" si="106"/>
        <v>6014.8913359663984</v>
      </c>
      <c r="J460" s="785">
        <f t="shared" si="107"/>
        <v>62357.766854434769</v>
      </c>
      <c r="K460" s="72">
        <f t="shared" si="114"/>
        <v>316</v>
      </c>
      <c r="L460" s="784">
        <f t="shared" si="108"/>
        <v>8230159.6360818092</v>
      </c>
      <c r="M460" s="604">
        <f t="shared" si="109"/>
        <v>200129.99292672705</v>
      </c>
      <c r="N460" s="784">
        <f t="shared" si="110"/>
        <v>25534.469690743586</v>
      </c>
      <c r="O460" s="785">
        <f t="shared" si="111"/>
        <v>174595.52323598345</v>
      </c>
      <c r="P460" s="11"/>
      <c r="Q460" s="11"/>
      <c r="R460" s="11"/>
      <c r="S460" s="11"/>
      <c r="T460" s="11"/>
    </row>
    <row r="461" spans="1:20" x14ac:dyDescent="0.25">
      <c r="A461" s="72">
        <f t="shared" si="112"/>
        <v>317</v>
      </c>
      <c r="B461" s="784">
        <f t="shared" si="100"/>
        <v>5243527.6243168833</v>
      </c>
      <c r="C461" s="604">
        <f t="shared" si="101"/>
        <v>131757.33473632587</v>
      </c>
      <c r="D461" s="784">
        <f t="shared" si="102"/>
        <v>19118.943403265523</v>
      </c>
      <c r="E461" s="785">
        <f t="shared" si="103"/>
        <v>112638.39133306034</v>
      </c>
      <c r="F461" s="72">
        <f t="shared" si="113"/>
        <v>317</v>
      </c>
      <c r="G461" s="784">
        <f t="shared" si="104"/>
        <v>2811508.1184592135</v>
      </c>
      <c r="H461" s="604">
        <f t="shared" si="105"/>
        <v>68372.658190401169</v>
      </c>
      <c r="I461" s="784">
        <f t="shared" si="106"/>
        <v>5887.1562177489614</v>
      </c>
      <c r="J461" s="785">
        <f t="shared" si="107"/>
        <v>62485.501972652208</v>
      </c>
      <c r="K461" s="72">
        <f t="shared" si="114"/>
        <v>317</v>
      </c>
      <c r="L461" s="784">
        <f t="shared" si="108"/>
        <v>8055035.7427760968</v>
      </c>
      <c r="M461" s="604">
        <f t="shared" si="109"/>
        <v>200129.99292672705</v>
      </c>
      <c r="N461" s="784">
        <f t="shared" si="110"/>
        <v>25006.099621014484</v>
      </c>
      <c r="O461" s="785">
        <f t="shared" si="111"/>
        <v>175123.89330571255</v>
      </c>
      <c r="P461" s="11"/>
      <c r="Q461" s="11"/>
      <c r="R461" s="11"/>
      <c r="S461" s="11"/>
      <c r="T461" s="11"/>
    </row>
    <row r="462" spans="1:20" x14ac:dyDescent="0.25">
      <c r="A462" s="72">
        <f t="shared" si="112"/>
        <v>318</v>
      </c>
      <c r="B462" s="784">
        <f t="shared" si="100"/>
        <v>5130487.1679577129</v>
      </c>
      <c r="C462" s="604">
        <f t="shared" si="101"/>
        <v>131757.33473632587</v>
      </c>
      <c r="D462" s="784">
        <f t="shared" si="102"/>
        <v>18716.878377155546</v>
      </c>
      <c r="E462" s="785">
        <f t="shared" si="103"/>
        <v>113040.45635917032</v>
      </c>
      <c r="F462" s="72">
        <f t="shared" si="113"/>
        <v>318</v>
      </c>
      <c r="G462" s="784">
        <f t="shared" si="104"/>
        <v>2748894.6197127192</v>
      </c>
      <c r="H462" s="604">
        <f t="shared" si="105"/>
        <v>68372.658190401169</v>
      </c>
      <c r="I462" s="784">
        <f t="shared" si="106"/>
        <v>5759.1594439070668</v>
      </c>
      <c r="J462" s="785">
        <f t="shared" si="107"/>
        <v>62613.4987464941</v>
      </c>
      <c r="K462" s="72">
        <f t="shared" si="114"/>
        <v>318</v>
      </c>
      <c r="L462" s="784">
        <f t="shared" si="108"/>
        <v>7879381.7876704317</v>
      </c>
      <c r="M462" s="604">
        <f t="shared" si="109"/>
        <v>200129.99292672705</v>
      </c>
      <c r="N462" s="784">
        <f t="shared" si="110"/>
        <v>24476.037821062615</v>
      </c>
      <c r="O462" s="785">
        <f t="shared" si="111"/>
        <v>175653.95510566441</v>
      </c>
      <c r="P462" s="11"/>
      <c r="Q462" s="11"/>
      <c r="R462" s="11"/>
      <c r="S462" s="11"/>
      <c r="T462" s="11"/>
    </row>
    <row r="463" spans="1:20" x14ac:dyDescent="0.25">
      <c r="A463" s="72">
        <f t="shared" si="112"/>
        <v>319</v>
      </c>
      <c r="B463" s="784">
        <f t="shared" si="100"/>
        <v>5017043.2113931542</v>
      </c>
      <c r="C463" s="604">
        <f t="shared" si="101"/>
        <v>131757.33473632587</v>
      </c>
      <c r="D463" s="784">
        <f t="shared" si="102"/>
        <v>18313.37817176693</v>
      </c>
      <c r="E463" s="785">
        <f t="shared" si="103"/>
        <v>113443.95656455893</v>
      </c>
      <c r="F463" s="72">
        <f t="shared" si="113"/>
        <v>319</v>
      </c>
      <c r="G463" s="784">
        <f t="shared" si="104"/>
        <v>2686152.8620007774</v>
      </c>
      <c r="H463" s="604">
        <f t="shared" si="105"/>
        <v>68372.658190401169</v>
      </c>
      <c r="I463" s="784">
        <f t="shared" si="106"/>
        <v>5630.9004784591725</v>
      </c>
      <c r="J463" s="785">
        <f t="shared" si="107"/>
        <v>62741.757711941995</v>
      </c>
      <c r="K463" s="72">
        <f t="shared" si="114"/>
        <v>319</v>
      </c>
      <c r="L463" s="784">
        <f t="shared" si="108"/>
        <v>7703196.0733939316</v>
      </c>
      <c r="M463" s="604">
        <f t="shared" si="109"/>
        <v>200129.99292672705</v>
      </c>
      <c r="N463" s="784">
        <f t="shared" si="110"/>
        <v>23944.278650226101</v>
      </c>
      <c r="O463" s="785">
        <f t="shared" si="111"/>
        <v>176185.71427650092</v>
      </c>
      <c r="P463" s="11"/>
      <c r="Q463" s="11"/>
      <c r="R463" s="11"/>
      <c r="S463" s="11"/>
      <c r="T463" s="11"/>
    </row>
    <row r="464" spans="1:20" x14ac:dyDescent="0.25">
      <c r="A464" s="72">
        <f t="shared" si="112"/>
        <v>320</v>
      </c>
      <c r="B464" s="784">
        <f t="shared" si="100"/>
        <v>4903194.3143210262</v>
      </c>
      <c r="C464" s="604">
        <f t="shared" si="101"/>
        <v>131757.33473632587</v>
      </c>
      <c r="D464" s="784">
        <f t="shared" si="102"/>
        <v>17908.437664198082</v>
      </c>
      <c r="E464" s="785">
        <f t="shared" si="103"/>
        <v>113848.89707212779</v>
      </c>
      <c r="F464" s="72">
        <f t="shared" si="113"/>
        <v>320</v>
      </c>
      <c r="G464" s="784">
        <f t="shared" si="104"/>
        <v>2623282.582594702</v>
      </c>
      <c r="H464" s="604">
        <f t="shared" si="105"/>
        <v>68372.658190401169</v>
      </c>
      <c r="I464" s="784">
        <f t="shared" si="106"/>
        <v>5502.3787843258178</v>
      </c>
      <c r="J464" s="785">
        <f t="shared" si="107"/>
        <v>62870.279406075351</v>
      </c>
      <c r="K464" s="72">
        <f t="shared" si="114"/>
        <v>320</v>
      </c>
      <c r="L464" s="784">
        <f t="shared" si="108"/>
        <v>7526476.8969157282</v>
      </c>
      <c r="M464" s="604">
        <f t="shared" si="109"/>
        <v>200129.99292672705</v>
      </c>
      <c r="N464" s="784">
        <f t="shared" si="110"/>
        <v>23410.816448523899</v>
      </c>
      <c r="O464" s="785">
        <f t="shared" si="111"/>
        <v>176719.17647820315</v>
      </c>
      <c r="P464" s="11"/>
      <c r="Q464" s="11"/>
      <c r="R464" s="11"/>
      <c r="S464" s="11"/>
      <c r="T464" s="11"/>
    </row>
    <row r="465" spans="1:20" x14ac:dyDescent="0.25">
      <c r="A465" s="72">
        <f t="shared" si="112"/>
        <v>321</v>
      </c>
      <c r="B465" s="784">
        <f t="shared" ref="B465:B504" si="115">B464-E465</f>
        <v>4788939.0312979612</v>
      </c>
      <c r="C465" s="604">
        <f t="shared" ref="C465:C504" si="116">-$H$59/12</f>
        <v>131757.33473632587</v>
      </c>
      <c r="D465" s="784">
        <f t="shared" ref="D465:D504" si="117">$H$57/12*B464</f>
        <v>17502.051713261106</v>
      </c>
      <c r="E465" s="785">
        <f t="shared" ref="E465:E504" si="118">C465-D465</f>
        <v>114255.28302306475</v>
      </c>
      <c r="F465" s="72">
        <f t="shared" si="113"/>
        <v>321</v>
      </c>
      <c r="G465" s="784">
        <f t="shared" ref="G465:G504" si="119">G464-J465</f>
        <v>2560283.5182276284</v>
      </c>
      <c r="H465" s="604">
        <f t="shared" ref="H465:H504" si="120">-$H$64/12</f>
        <v>68372.658190401169</v>
      </c>
      <c r="I465" s="784">
        <f t="shared" ref="I465:I504" si="121">$H$62/12*G464</f>
        <v>5373.5938233273746</v>
      </c>
      <c r="J465" s="785">
        <f t="shared" ref="J465:J504" si="122">H465-I465</f>
        <v>62999.064367073792</v>
      </c>
      <c r="K465" s="72">
        <f t="shared" si="114"/>
        <v>321</v>
      </c>
      <c r="L465" s="784">
        <f t="shared" ref="L465:L504" si="123">G465+B465</f>
        <v>7349222.5495255897</v>
      </c>
      <c r="M465" s="604">
        <f t="shared" ref="M465:M504" si="124">H465+C465</f>
        <v>200129.99292672705</v>
      </c>
      <c r="N465" s="784">
        <f t="shared" ref="N465:N504" si="125">I465+D465</f>
        <v>22875.645536588479</v>
      </c>
      <c r="O465" s="785">
        <f t="shared" ref="O465:O504" si="126">J465+E465</f>
        <v>177254.34739013854</v>
      </c>
      <c r="P465" s="11"/>
      <c r="Q465" s="11"/>
      <c r="R465" s="11"/>
      <c r="S465" s="11"/>
      <c r="T465" s="11"/>
    </row>
    <row r="466" spans="1:20" x14ac:dyDescent="0.25">
      <c r="A466" s="72">
        <f t="shared" ref="A466:A504" si="127">A465+1</f>
        <v>322</v>
      </c>
      <c r="B466" s="784">
        <f t="shared" si="115"/>
        <v>4674275.9117210517</v>
      </c>
      <c r="C466" s="604">
        <f t="shared" si="116"/>
        <v>131757.33473632587</v>
      </c>
      <c r="D466" s="784">
        <f t="shared" si="117"/>
        <v>17094.215159416537</v>
      </c>
      <c r="E466" s="785">
        <f t="shared" si="118"/>
        <v>114663.11957690933</v>
      </c>
      <c r="F466" s="72">
        <f t="shared" ref="F466:F504" si="128">F465+1</f>
        <v>322</v>
      </c>
      <c r="G466" s="784">
        <f t="shared" si="119"/>
        <v>2497155.4050934091</v>
      </c>
      <c r="H466" s="604">
        <f t="shared" si="120"/>
        <v>68372.658190401169</v>
      </c>
      <c r="I466" s="784">
        <f t="shared" si="121"/>
        <v>5244.5450561817979</v>
      </c>
      <c r="J466" s="785">
        <f t="shared" si="122"/>
        <v>63128.113134219369</v>
      </c>
      <c r="K466" s="72">
        <f t="shared" ref="K466:K504" si="129">K465+1</f>
        <v>322</v>
      </c>
      <c r="L466" s="784">
        <f t="shared" si="123"/>
        <v>7171431.3168144608</v>
      </c>
      <c r="M466" s="604">
        <f t="shared" si="124"/>
        <v>200129.99292672705</v>
      </c>
      <c r="N466" s="784">
        <f t="shared" si="125"/>
        <v>22338.760215598333</v>
      </c>
      <c r="O466" s="785">
        <f t="shared" si="126"/>
        <v>177791.23271112872</v>
      </c>
      <c r="P466" s="11"/>
      <c r="Q466" s="11"/>
      <c r="R466" s="11"/>
      <c r="S466" s="11"/>
      <c r="T466" s="11"/>
    </row>
    <row r="467" spans="1:20" x14ac:dyDescent="0.25">
      <c r="A467" s="72">
        <f t="shared" si="127"/>
        <v>323</v>
      </c>
      <c r="B467" s="784">
        <f t="shared" si="115"/>
        <v>4559203.4998094337</v>
      </c>
      <c r="C467" s="604">
        <f t="shared" si="116"/>
        <v>131757.33473632587</v>
      </c>
      <c r="D467" s="784">
        <f t="shared" si="117"/>
        <v>16684.922824707828</v>
      </c>
      <c r="E467" s="785">
        <f t="shared" si="118"/>
        <v>115072.41191161804</v>
      </c>
      <c r="F467" s="72">
        <f t="shared" si="128"/>
        <v>323</v>
      </c>
      <c r="G467" s="784">
        <f t="shared" si="119"/>
        <v>2433897.9788455102</v>
      </c>
      <c r="H467" s="604">
        <f t="shared" si="120"/>
        <v>68372.658190401169</v>
      </c>
      <c r="I467" s="784">
        <f t="shared" si="121"/>
        <v>5115.2319425023625</v>
      </c>
      <c r="J467" s="785">
        <f t="shared" si="122"/>
        <v>63257.426247898809</v>
      </c>
      <c r="K467" s="72">
        <f t="shared" si="129"/>
        <v>323</v>
      </c>
      <c r="L467" s="784">
        <f t="shared" si="123"/>
        <v>6993101.4786549434</v>
      </c>
      <c r="M467" s="604">
        <f t="shared" si="124"/>
        <v>200129.99292672705</v>
      </c>
      <c r="N467" s="784">
        <f t="shared" si="125"/>
        <v>21800.154767210191</v>
      </c>
      <c r="O467" s="785">
        <f t="shared" si="126"/>
        <v>178329.83815951686</v>
      </c>
      <c r="P467" s="11"/>
      <c r="Q467" s="11"/>
      <c r="R467" s="11"/>
      <c r="S467" s="11"/>
      <c r="T467" s="11"/>
    </row>
    <row r="468" spans="1:20" x14ac:dyDescent="0.25">
      <c r="A468" s="72">
        <f t="shared" si="127"/>
        <v>324</v>
      </c>
      <c r="B468" s="784">
        <f t="shared" si="115"/>
        <v>4443720.3345858036</v>
      </c>
      <c r="C468" s="604">
        <f t="shared" si="116"/>
        <v>131757.33473632587</v>
      </c>
      <c r="D468" s="784">
        <f t="shared" si="117"/>
        <v>16274.169512695615</v>
      </c>
      <c r="E468" s="785">
        <f t="shared" si="118"/>
        <v>115483.16522363025</v>
      </c>
      <c r="F468" s="72">
        <f t="shared" si="128"/>
        <v>324</v>
      </c>
      <c r="G468" s="784">
        <f t="shared" si="119"/>
        <v>2370510.9745959044</v>
      </c>
      <c r="H468" s="604">
        <f t="shared" si="120"/>
        <v>68372.658190401169</v>
      </c>
      <c r="I468" s="784">
        <f t="shared" si="121"/>
        <v>4985.6539407954015</v>
      </c>
      <c r="J468" s="785">
        <f t="shared" si="122"/>
        <v>63387.004249605765</v>
      </c>
      <c r="K468" s="72">
        <f t="shared" si="129"/>
        <v>324</v>
      </c>
      <c r="L468" s="784">
        <f t="shared" si="123"/>
        <v>6814231.3091817079</v>
      </c>
      <c r="M468" s="604">
        <f t="shared" si="124"/>
        <v>200129.99292672705</v>
      </c>
      <c r="N468" s="784">
        <f t="shared" si="125"/>
        <v>21259.823453491015</v>
      </c>
      <c r="O468" s="785">
        <f t="shared" si="126"/>
        <v>178870.16947323602</v>
      </c>
      <c r="P468" s="11"/>
      <c r="Q468" s="11"/>
      <c r="R468" s="11"/>
      <c r="S468" s="11"/>
      <c r="T468" s="11"/>
    </row>
    <row r="469" spans="1:20" x14ac:dyDescent="0.25">
      <c r="A469" s="72">
        <f t="shared" si="127"/>
        <v>325</v>
      </c>
      <c r="B469" s="784">
        <f t="shared" si="115"/>
        <v>4327824.9498578692</v>
      </c>
      <c r="C469" s="604">
        <f t="shared" si="116"/>
        <v>131757.33473632587</v>
      </c>
      <c r="D469" s="784">
        <f t="shared" si="117"/>
        <v>15861.950008391726</v>
      </c>
      <c r="E469" s="785">
        <f t="shared" si="118"/>
        <v>115895.38472793414</v>
      </c>
      <c r="F469" s="72">
        <f t="shared" si="128"/>
        <v>325</v>
      </c>
      <c r="G469" s="784">
        <f t="shared" si="119"/>
        <v>2306994.126913961</v>
      </c>
      <c r="H469" s="604">
        <f t="shared" si="120"/>
        <v>68372.658190401169</v>
      </c>
      <c r="I469" s="784">
        <f t="shared" si="121"/>
        <v>4855.8105084580429</v>
      </c>
      <c r="J469" s="785">
        <f t="shared" si="122"/>
        <v>63516.847681943123</v>
      </c>
      <c r="K469" s="72">
        <f t="shared" si="129"/>
        <v>325</v>
      </c>
      <c r="L469" s="784">
        <f t="shared" si="123"/>
        <v>6634819.0767718302</v>
      </c>
      <c r="M469" s="604">
        <f t="shared" si="124"/>
        <v>200129.99292672705</v>
      </c>
      <c r="N469" s="784">
        <f t="shared" si="125"/>
        <v>20717.760516849768</v>
      </c>
      <c r="O469" s="785">
        <f t="shared" si="126"/>
        <v>179412.23240987727</v>
      </c>
      <c r="P469" s="11"/>
      <c r="Q469" s="11"/>
      <c r="R469" s="11"/>
      <c r="S469" s="11"/>
      <c r="T469" s="11"/>
    </row>
    <row r="470" spans="1:20" x14ac:dyDescent="0.25">
      <c r="A470" s="72">
        <f t="shared" si="127"/>
        <v>326</v>
      </c>
      <c r="B470" s="784">
        <f t="shared" si="115"/>
        <v>4211515.8741997359</v>
      </c>
      <c r="C470" s="604">
        <f t="shared" si="116"/>
        <v>131757.33473632587</v>
      </c>
      <c r="D470" s="784">
        <f t="shared" si="117"/>
        <v>15448.259078192996</v>
      </c>
      <c r="E470" s="785">
        <f t="shared" si="118"/>
        <v>116309.07565813288</v>
      </c>
      <c r="F470" s="72">
        <f t="shared" si="128"/>
        <v>326</v>
      </c>
      <c r="G470" s="784">
        <f t="shared" si="119"/>
        <v>2243347.169825336</v>
      </c>
      <c r="H470" s="604">
        <f t="shared" si="120"/>
        <v>68372.658190401169</v>
      </c>
      <c r="I470" s="784">
        <f t="shared" si="121"/>
        <v>4725.7011017759305</v>
      </c>
      <c r="J470" s="785">
        <f t="shared" si="122"/>
        <v>63646.95708862524</v>
      </c>
      <c r="K470" s="72">
        <f t="shared" si="129"/>
        <v>326</v>
      </c>
      <c r="L470" s="784">
        <f t="shared" si="123"/>
        <v>6454863.0440250719</v>
      </c>
      <c r="M470" s="604">
        <f t="shared" si="124"/>
        <v>200129.99292672705</v>
      </c>
      <c r="N470" s="784">
        <f t="shared" si="125"/>
        <v>20173.960179968926</v>
      </c>
      <c r="O470" s="785">
        <f t="shared" si="126"/>
        <v>179956.03274675811</v>
      </c>
      <c r="P470" s="11"/>
      <c r="Q470" s="11"/>
      <c r="R470" s="11"/>
      <c r="S470" s="11"/>
      <c r="T470" s="11"/>
    </row>
    <row r="471" spans="1:20" x14ac:dyDescent="0.25">
      <c r="A471" s="72">
        <f t="shared" si="127"/>
        <v>327</v>
      </c>
      <c r="B471" s="784">
        <f t="shared" si="115"/>
        <v>4094791.6309332247</v>
      </c>
      <c r="C471" s="604">
        <f t="shared" si="116"/>
        <v>131757.33473632587</v>
      </c>
      <c r="D471" s="784">
        <f t="shared" si="117"/>
        <v>15033.091469814795</v>
      </c>
      <c r="E471" s="785">
        <f t="shared" si="118"/>
        <v>116724.24326651107</v>
      </c>
      <c r="F471" s="72">
        <f t="shared" si="128"/>
        <v>327</v>
      </c>
      <c r="G471" s="784">
        <f t="shared" si="119"/>
        <v>2179569.8368108557</v>
      </c>
      <c r="H471" s="604">
        <f t="shared" si="120"/>
        <v>68372.658190401169</v>
      </c>
      <c r="I471" s="784">
        <f t="shared" si="121"/>
        <v>4595.3251759209534</v>
      </c>
      <c r="J471" s="785">
        <f t="shared" si="122"/>
        <v>63777.333014480217</v>
      </c>
      <c r="K471" s="72">
        <f t="shared" si="129"/>
        <v>327</v>
      </c>
      <c r="L471" s="784">
        <f t="shared" si="123"/>
        <v>6274361.4677440803</v>
      </c>
      <c r="M471" s="604">
        <f t="shared" si="124"/>
        <v>200129.99292672705</v>
      </c>
      <c r="N471" s="784">
        <f t="shared" si="125"/>
        <v>19628.41664573575</v>
      </c>
      <c r="O471" s="785">
        <f t="shared" si="126"/>
        <v>180501.57628099128</v>
      </c>
      <c r="P471" s="11"/>
      <c r="Q471" s="11"/>
      <c r="R471" s="11"/>
      <c r="S471" s="11"/>
      <c r="T471" s="11"/>
    </row>
    <row r="472" spans="1:20" x14ac:dyDescent="0.25">
      <c r="A472" s="72">
        <f t="shared" si="127"/>
        <v>328</v>
      </c>
      <c r="B472" s="784">
        <f t="shared" si="115"/>
        <v>3977650.738109123</v>
      </c>
      <c r="C472" s="604">
        <f t="shared" si="116"/>
        <v>131757.33473632587</v>
      </c>
      <c r="D472" s="784">
        <f t="shared" si="117"/>
        <v>14616.441912224369</v>
      </c>
      <c r="E472" s="785">
        <f t="shared" si="118"/>
        <v>117140.89282410149</v>
      </c>
      <c r="F472" s="72">
        <f t="shared" si="128"/>
        <v>328</v>
      </c>
      <c r="G472" s="784">
        <f t="shared" si="119"/>
        <v>2115661.8608054034</v>
      </c>
      <c r="H472" s="604">
        <f t="shared" si="120"/>
        <v>68372.658190401169</v>
      </c>
      <c r="I472" s="784">
        <f t="shared" si="121"/>
        <v>4464.6821849489615</v>
      </c>
      <c r="J472" s="785">
        <f t="shared" si="122"/>
        <v>63907.976005452205</v>
      </c>
      <c r="K472" s="72">
        <f t="shared" si="129"/>
        <v>328</v>
      </c>
      <c r="L472" s="784">
        <f t="shared" si="123"/>
        <v>6093312.5989145264</v>
      </c>
      <c r="M472" s="604">
        <f t="shared" si="124"/>
        <v>200129.99292672705</v>
      </c>
      <c r="N472" s="784">
        <f t="shared" si="125"/>
        <v>19081.124097173331</v>
      </c>
      <c r="O472" s="785">
        <f t="shared" si="126"/>
        <v>181048.86882955371</v>
      </c>
      <c r="P472" s="11"/>
      <c r="Q472" s="11"/>
      <c r="R472" s="11"/>
      <c r="S472" s="11"/>
      <c r="T472" s="11"/>
    </row>
    <row r="473" spans="1:20" x14ac:dyDescent="0.25">
      <c r="A473" s="72">
        <f t="shared" si="127"/>
        <v>329</v>
      </c>
      <c r="B473" s="784">
        <f t="shared" si="115"/>
        <v>3860091.7084883712</v>
      </c>
      <c r="C473" s="604">
        <f t="shared" si="116"/>
        <v>131757.33473632587</v>
      </c>
      <c r="D473" s="784">
        <f t="shared" si="117"/>
        <v>14198.305115573898</v>
      </c>
      <c r="E473" s="785">
        <f t="shared" si="118"/>
        <v>117559.02962075197</v>
      </c>
      <c r="F473" s="72">
        <f t="shared" si="128"/>
        <v>329</v>
      </c>
      <c r="G473" s="784">
        <f t="shared" si="119"/>
        <v>2051622.9741967998</v>
      </c>
      <c r="H473" s="604">
        <f t="shared" si="120"/>
        <v>68372.658190401169</v>
      </c>
      <c r="I473" s="784">
        <f t="shared" si="121"/>
        <v>4333.7715817974786</v>
      </c>
      <c r="J473" s="785">
        <f t="shared" si="122"/>
        <v>64038.886608603687</v>
      </c>
      <c r="K473" s="72">
        <f t="shared" si="129"/>
        <v>329</v>
      </c>
      <c r="L473" s="784">
        <f t="shared" si="123"/>
        <v>5911714.6826851713</v>
      </c>
      <c r="M473" s="604">
        <f t="shared" si="124"/>
        <v>200129.99292672705</v>
      </c>
      <c r="N473" s="784">
        <f t="shared" si="125"/>
        <v>18532.076697371376</v>
      </c>
      <c r="O473" s="785">
        <f t="shared" si="126"/>
        <v>181597.91622935567</v>
      </c>
      <c r="P473" s="11"/>
      <c r="Q473" s="11"/>
      <c r="R473" s="11"/>
      <c r="S473" s="11"/>
      <c r="T473" s="11"/>
    </row>
    <row r="474" spans="1:20" x14ac:dyDescent="0.25">
      <c r="A474" s="72">
        <f t="shared" si="127"/>
        <v>330</v>
      </c>
      <c r="B474" s="784">
        <f t="shared" si="115"/>
        <v>3742113.0495231785</v>
      </c>
      <c r="C474" s="604">
        <f t="shared" si="116"/>
        <v>131757.33473632587</v>
      </c>
      <c r="D474" s="784">
        <f t="shared" si="117"/>
        <v>13778.675771133341</v>
      </c>
      <c r="E474" s="785">
        <f t="shared" si="118"/>
        <v>117978.65896519253</v>
      </c>
      <c r="F474" s="72">
        <f t="shared" si="128"/>
        <v>330</v>
      </c>
      <c r="G474" s="784">
        <f t="shared" si="119"/>
        <v>1987452.908824682</v>
      </c>
      <c r="H474" s="604">
        <f t="shared" si="120"/>
        <v>68372.658190401169</v>
      </c>
      <c r="I474" s="784">
        <f t="shared" si="121"/>
        <v>4202.5928182834141</v>
      </c>
      <c r="J474" s="785">
        <f t="shared" si="122"/>
        <v>64170.065372117751</v>
      </c>
      <c r="K474" s="72">
        <f t="shared" si="129"/>
        <v>330</v>
      </c>
      <c r="L474" s="784">
        <f t="shared" si="123"/>
        <v>5729565.9583478607</v>
      </c>
      <c r="M474" s="604">
        <f t="shared" si="124"/>
        <v>200129.99292672705</v>
      </c>
      <c r="N474" s="784">
        <f t="shared" si="125"/>
        <v>17981.268589416755</v>
      </c>
      <c r="O474" s="785">
        <f t="shared" si="126"/>
        <v>182148.7243373103</v>
      </c>
      <c r="P474" s="11"/>
      <c r="Q474" s="11"/>
      <c r="R474" s="11"/>
      <c r="S474" s="11"/>
      <c r="T474" s="11"/>
    </row>
    <row r="475" spans="1:20" x14ac:dyDescent="0.25">
      <c r="A475" s="72">
        <f t="shared" si="127"/>
        <v>331</v>
      </c>
      <c r="B475" s="784">
        <f t="shared" si="115"/>
        <v>3623713.2633380755</v>
      </c>
      <c r="C475" s="604">
        <f t="shared" si="116"/>
        <v>131757.33473632587</v>
      </c>
      <c r="D475" s="784">
        <f t="shared" si="117"/>
        <v>13357.548551223043</v>
      </c>
      <c r="E475" s="785">
        <f t="shared" si="118"/>
        <v>118399.78618510283</v>
      </c>
      <c r="F475" s="72">
        <f t="shared" si="128"/>
        <v>331</v>
      </c>
      <c r="G475" s="784">
        <f t="shared" si="119"/>
        <v>1923151.3959793816</v>
      </c>
      <c r="H475" s="604">
        <f t="shared" si="120"/>
        <v>68372.658190401169</v>
      </c>
      <c r="I475" s="784">
        <f t="shared" si="121"/>
        <v>4071.1453451007656</v>
      </c>
      <c r="J475" s="785">
        <f t="shared" si="122"/>
        <v>64301.5128453004</v>
      </c>
      <c r="K475" s="72">
        <f t="shared" si="129"/>
        <v>331</v>
      </c>
      <c r="L475" s="784">
        <f t="shared" si="123"/>
        <v>5546864.6593174571</v>
      </c>
      <c r="M475" s="604">
        <f t="shared" si="124"/>
        <v>200129.99292672705</v>
      </c>
      <c r="N475" s="784">
        <f t="shared" si="125"/>
        <v>17428.693896323806</v>
      </c>
      <c r="O475" s="785">
        <f t="shared" si="126"/>
        <v>182701.29903040323</v>
      </c>
      <c r="P475" s="11"/>
      <c r="Q475" s="11"/>
      <c r="R475" s="11"/>
      <c r="S475" s="11"/>
      <c r="T475" s="11"/>
    </row>
    <row r="476" spans="1:20" x14ac:dyDescent="0.25">
      <c r="A476" s="72">
        <f t="shared" si="127"/>
        <v>332</v>
      </c>
      <c r="B476" s="784">
        <f t="shared" si="115"/>
        <v>3504890.8467108957</v>
      </c>
      <c r="C476" s="604">
        <f t="shared" si="116"/>
        <v>131757.33473632587</v>
      </c>
      <c r="D476" s="784">
        <f t="shared" si="117"/>
        <v>12934.918109146083</v>
      </c>
      <c r="E476" s="785">
        <f t="shared" si="118"/>
        <v>118822.41662717979</v>
      </c>
      <c r="F476" s="72">
        <f t="shared" si="128"/>
        <v>332</v>
      </c>
      <c r="G476" s="784">
        <f t="shared" si="119"/>
        <v>1858718.1664007988</v>
      </c>
      <c r="H476" s="604">
        <f t="shared" si="120"/>
        <v>68372.658190401169</v>
      </c>
      <c r="I476" s="784">
        <f t="shared" si="121"/>
        <v>3939.4286118183195</v>
      </c>
      <c r="J476" s="785">
        <f t="shared" si="122"/>
        <v>64433.229578582846</v>
      </c>
      <c r="K476" s="72">
        <f t="shared" si="129"/>
        <v>332</v>
      </c>
      <c r="L476" s="784">
        <f t="shared" si="123"/>
        <v>5363609.0131116947</v>
      </c>
      <c r="M476" s="604">
        <f t="shared" si="124"/>
        <v>200129.99292672705</v>
      </c>
      <c r="N476" s="784">
        <f t="shared" si="125"/>
        <v>16874.346720964404</v>
      </c>
      <c r="O476" s="785">
        <f t="shared" si="126"/>
        <v>183255.64620576263</v>
      </c>
      <c r="P476" s="11"/>
      <c r="Q476" s="11"/>
      <c r="R476" s="11"/>
      <c r="S476" s="11"/>
      <c r="T476" s="11"/>
    </row>
    <row r="477" spans="1:20" x14ac:dyDescent="0.25">
      <c r="A477" s="72">
        <f t="shared" si="127"/>
        <v>333</v>
      </c>
      <c r="B477" s="784">
        <f t="shared" si="115"/>
        <v>3385644.29105369</v>
      </c>
      <c r="C477" s="604">
        <f t="shared" si="116"/>
        <v>131757.33473632587</v>
      </c>
      <c r="D477" s="784">
        <f t="shared" si="117"/>
        <v>12510.779079120401</v>
      </c>
      <c r="E477" s="785">
        <f t="shared" si="118"/>
        <v>119246.55565720546</v>
      </c>
      <c r="F477" s="72">
        <f t="shared" si="128"/>
        <v>333</v>
      </c>
      <c r="G477" s="784">
        <f t="shared" si="119"/>
        <v>1794152.9502772749</v>
      </c>
      <c r="H477" s="604">
        <f t="shared" si="120"/>
        <v>68372.658190401169</v>
      </c>
      <c r="I477" s="784">
        <f t="shared" si="121"/>
        <v>3807.4420668773469</v>
      </c>
      <c r="J477" s="785">
        <f t="shared" si="122"/>
        <v>64565.216123523824</v>
      </c>
      <c r="K477" s="72">
        <f t="shared" si="129"/>
        <v>333</v>
      </c>
      <c r="L477" s="784">
        <f t="shared" si="123"/>
        <v>5179797.2413309645</v>
      </c>
      <c r="M477" s="604">
        <f t="shared" si="124"/>
        <v>200129.99292672705</v>
      </c>
      <c r="N477" s="784">
        <f t="shared" si="125"/>
        <v>16318.221145997748</v>
      </c>
      <c r="O477" s="785">
        <f t="shared" si="126"/>
        <v>183811.77178072929</v>
      </c>
      <c r="P477" s="11"/>
      <c r="Q477" s="11"/>
      <c r="R477" s="11"/>
      <c r="S477" s="11"/>
      <c r="T477" s="11"/>
    </row>
    <row r="478" spans="1:20" x14ac:dyDescent="0.25">
      <c r="A478" s="72">
        <f t="shared" si="127"/>
        <v>334</v>
      </c>
      <c r="B478" s="784">
        <f t="shared" si="115"/>
        <v>3265972.082393575</v>
      </c>
      <c r="C478" s="604">
        <f t="shared" si="116"/>
        <v>131757.33473632587</v>
      </c>
      <c r="D478" s="784">
        <f t="shared" si="117"/>
        <v>12085.126076210667</v>
      </c>
      <c r="E478" s="785">
        <f t="shared" si="118"/>
        <v>119672.2086601152</v>
      </c>
      <c r="F478" s="72">
        <f t="shared" si="128"/>
        <v>334</v>
      </c>
      <c r="G478" s="784">
        <f t="shared" si="119"/>
        <v>1729455.4772444631</v>
      </c>
      <c r="H478" s="604">
        <f t="shared" si="120"/>
        <v>68372.658190401169</v>
      </c>
      <c r="I478" s="784">
        <f t="shared" si="121"/>
        <v>3675.1851575892906</v>
      </c>
      <c r="J478" s="785">
        <f t="shared" si="122"/>
        <v>64697.473032811875</v>
      </c>
      <c r="K478" s="72">
        <f t="shared" si="129"/>
        <v>334</v>
      </c>
      <c r="L478" s="784">
        <f t="shared" si="123"/>
        <v>4995427.5596380383</v>
      </c>
      <c r="M478" s="604">
        <f t="shared" si="124"/>
        <v>200129.99292672705</v>
      </c>
      <c r="N478" s="784">
        <f t="shared" si="125"/>
        <v>15760.311233799957</v>
      </c>
      <c r="O478" s="785">
        <f t="shared" si="126"/>
        <v>184369.68169292709</v>
      </c>
      <c r="P478" s="11"/>
      <c r="Q478" s="11"/>
      <c r="R478" s="11"/>
      <c r="S478" s="11"/>
      <c r="T478" s="11"/>
    </row>
    <row r="479" spans="1:20" x14ac:dyDescent="0.25">
      <c r="A479" s="72">
        <f t="shared" si="127"/>
        <v>335</v>
      </c>
      <c r="B479" s="784">
        <f t="shared" si="115"/>
        <v>3145872.701353509</v>
      </c>
      <c r="C479" s="604">
        <f t="shared" si="116"/>
        <v>131757.33473632587</v>
      </c>
      <c r="D479" s="784">
        <f t="shared" si="117"/>
        <v>11657.953696259914</v>
      </c>
      <c r="E479" s="785">
        <f t="shared" si="118"/>
        <v>120099.38104006596</v>
      </c>
      <c r="F479" s="72">
        <f t="shared" si="128"/>
        <v>335</v>
      </c>
      <c r="G479" s="784">
        <f t="shared" si="119"/>
        <v>1664625.4763841953</v>
      </c>
      <c r="H479" s="604">
        <f t="shared" si="120"/>
        <v>68372.658190401169</v>
      </c>
      <c r="I479" s="784">
        <f t="shared" si="121"/>
        <v>3542.6573301334561</v>
      </c>
      <c r="J479" s="785">
        <f t="shared" si="122"/>
        <v>64830.000860267712</v>
      </c>
      <c r="K479" s="72">
        <f t="shared" si="129"/>
        <v>335</v>
      </c>
      <c r="L479" s="784">
        <f t="shared" si="123"/>
        <v>4810498.1777377045</v>
      </c>
      <c r="M479" s="604">
        <f t="shared" si="124"/>
        <v>200129.99292672705</v>
      </c>
      <c r="N479" s="784">
        <f t="shared" si="125"/>
        <v>15200.61102639337</v>
      </c>
      <c r="O479" s="785">
        <f t="shared" si="126"/>
        <v>184929.38190033368</v>
      </c>
      <c r="P479" s="11"/>
      <c r="Q479" s="11"/>
      <c r="R479" s="11"/>
      <c r="S479" s="11"/>
      <c r="T479" s="11"/>
    </row>
    <row r="480" spans="1:20" x14ac:dyDescent="0.25">
      <c r="A480" s="72">
        <f t="shared" si="127"/>
        <v>336</v>
      </c>
      <c r="B480" s="784">
        <f t="shared" si="115"/>
        <v>3025344.6231330042</v>
      </c>
      <c r="C480" s="604">
        <f t="shared" si="116"/>
        <v>131757.33473632587</v>
      </c>
      <c r="D480" s="784">
        <f t="shared" si="117"/>
        <v>11229.256515820929</v>
      </c>
      <c r="E480" s="785">
        <f t="shared" si="118"/>
        <v>120528.07822050493</v>
      </c>
      <c r="F480" s="72">
        <f t="shared" si="128"/>
        <v>336</v>
      </c>
      <c r="G480" s="784">
        <f t="shared" si="119"/>
        <v>1599662.6762233488</v>
      </c>
      <c r="H480" s="604">
        <f t="shared" si="120"/>
        <v>68372.658190401169</v>
      </c>
      <c r="I480" s="784">
        <f t="shared" si="121"/>
        <v>3409.8580295546867</v>
      </c>
      <c r="J480" s="785">
        <f t="shared" si="122"/>
        <v>64962.800160846484</v>
      </c>
      <c r="K480" s="72">
        <f t="shared" si="129"/>
        <v>336</v>
      </c>
      <c r="L480" s="784">
        <f t="shared" si="123"/>
        <v>4625007.2993563525</v>
      </c>
      <c r="M480" s="604">
        <f t="shared" si="124"/>
        <v>200129.99292672705</v>
      </c>
      <c r="N480" s="784">
        <f t="shared" si="125"/>
        <v>14639.114545375616</v>
      </c>
      <c r="O480" s="785">
        <f t="shared" si="126"/>
        <v>185490.87838135142</v>
      </c>
      <c r="P480" s="11"/>
      <c r="Q480" s="11"/>
      <c r="R480" s="11"/>
      <c r="S480" s="11"/>
      <c r="T480" s="11"/>
    </row>
    <row r="481" spans="1:20" x14ac:dyDescent="0.25">
      <c r="A481" s="72">
        <f t="shared" si="127"/>
        <v>337</v>
      </c>
      <c r="B481" s="784">
        <f t="shared" si="115"/>
        <v>2904386.3174887658</v>
      </c>
      <c r="C481" s="604">
        <f t="shared" si="116"/>
        <v>131757.33473632587</v>
      </c>
      <c r="D481" s="784">
        <f t="shared" si="117"/>
        <v>10799.029092087394</v>
      </c>
      <c r="E481" s="785">
        <f t="shared" si="118"/>
        <v>120958.30564423847</v>
      </c>
      <c r="F481" s="72">
        <f t="shared" si="128"/>
        <v>337</v>
      </c>
      <c r="G481" s="784">
        <f t="shared" si="119"/>
        <v>1534566.8047327087</v>
      </c>
      <c r="H481" s="604">
        <f t="shared" si="120"/>
        <v>68372.658190401169</v>
      </c>
      <c r="I481" s="784">
        <f t="shared" si="121"/>
        <v>3276.7866997610454</v>
      </c>
      <c r="J481" s="785">
        <f t="shared" si="122"/>
        <v>65095.871490640122</v>
      </c>
      <c r="K481" s="72">
        <f t="shared" si="129"/>
        <v>337</v>
      </c>
      <c r="L481" s="784">
        <f t="shared" si="123"/>
        <v>4438953.1222214745</v>
      </c>
      <c r="M481" s="604">
        <f t="shared" si="124"/>
        <v>200129.99292672705</v>
      </c>
      <c r="N481" s="784">
        <f t="shared" si="125"/>
        <v>14075.815791848439</v>
      </c>
      <c r="O481" s="785">
        <f t="shared" si="126"/>
        <v>186054.17713487858</v>
      </c>
      <c r="P481" s="11"/>
      <c r="Q481" s="11"/>
      <c r="R481" s="11"/>
      <c r="S481" s="11"/>
      <c r="T481" s="11"/>
    </row>
    <row r="482" spans="1:20" x14ac:dyDescent="0.25">
      <c r="A482" s="72">
        <f t="shared" si="127"/>
        <v>338</v>
      </c>
      <c r="B482" s="784">
        <f t="shared" si="115"/>
        <v>2782996.2487152647</v>
      </c>
      <c r="C482" s="604">
        <f t="shared" si="116"/>
        <v>131757.33473632587</v>
      </c>
      <c r="D482" s="784">
        <f t="shared" si="117"/>
        <v>10367.26596282478</v>
      </c>
      <c r="E482" s="785">
        <f t="shared" si="118"/>
        <v>121390.06877350109</v>
      </c>
      <c r="F482" s="72">
        <f t="shared" si="128"/>
        <v>338</v>
      </c>
      <c r="G482" s="784">
        <f t="shared" si="119"/>
        <v>1469337.5893258289</v>
      </c>
      <c r="H482" s="604">
        <f t="shared" si="120"/>
        <v>68372.658190401169</v>
      </c>
      <c r="I482" s="784">
        <f t="shared" si="121"/>
        <v>3143.442783521481</v>
      </c>
      <c r="J482" s="785">
        <f t="shared" si="122"/>
        <v>65229.215406879688</v>
      </c>
      <c r="K482" s="72">
        <f t="shared" si="129"/>
        <v>338</v>
      </c>
      <c r="L482" s="784">
        <f t="shared" si="123"/>
        <v>4252333.8380410932</v>
      </c>
      <c r="M482" s="604">
        <f t="shared" si="124"/>
        <v>200129.99292672705</v>
      </c>
      <c r="N482" s="784">
        <f t="shared" si="125"/>
        <v>13510.708746346261</v>
      </c>
      <c r="O482" s="785">
        <f t="shared" si="126"/>
        <v>186619.28418038078</v>
      </c>
      <c r="P482" s="11"/>
      <c r="Q482" s="11"/>
      <c r="R482" s="11"/>
      <c r="S482" s="11"/>
      <c r="T482" s="11"/>
    </row>
    <row r="483" spans="1:20" x14ac:dyDescent="0.25">
      <c r="A483" s="72">
        <f t="shared" si="127"/>
        <v>339</v>
      </c>
      <c r="B483" s="784">
        <f t="shared" si="115"/>
        <v>2661172.8756252397</v>
      </c>
      <c r="C483" s="604">
        <f t="shared" si="116"/>
        <v>131757.33473632587</v>
      </c>
      <c r="D483" s="784">
        <f t="shared" si="117"/>
        <v>9933.9616463010043</v>
      </c>
      <c r="E483" s="785">
        <f t="shared" si="118"/>
        <v>121823.37309002486</v>
      </c>
      <c r="F483" s="72">
        <f t="shared" si="128"/>
        <v>339</v>
      </c>
      <c r="G483" s="784">
        <f t="shared" si="119"/>
        <v>1403974.7568578913</v>
      </c>
      <c r="H483" s="604">
        <f t="shared" si="120"/>
        <v>68372.658190401169</v>
      </c>
      <c r="I483" s="784">
        <f t="shared" si="121"/>
        <v>3009.8257224634976</v>
      </c>
      <c r="J483" s="785">
        <f t="shared" si="122"/>
        <v>65362.832467937675</v>
      </c>
      <c r="K483" s="72">
        <f t="shared" si="129"/>
        <v>339</v>
      </c>
      <c r="L483" s="784">
        <f t="shared" si="123"/>
        <v>4065147.6324831313</v>
      </c>
      <c r="M483" s="604">
        <f t="shared" si="124"/>
        <v>200129.99292672705</v>
      </c>
      <c r="N483" s="784">
        <f t="shared" si="125"/>
        <v>12943.787368764502</v>
      </c>
      <c r="O483" s="785">
        <f t="shared" si="126"/>
        <v>187186.20555796253</v>
      </c>
      <c r="P483" s="11"/>
      <c r="Q483" s="11"/>
      <c r="R483" s="11"/>
      <c r="S483" s="11"/>
      <c r="T483" s="11"/>
    </row>
    <row r="484" spans="1:20" x14ac:dyDescent="0.25">
      <c r="A484" s="72">
        <f t="shared" si="127"/>
        <v>340</v>
      </c>
      <c r="B484" s="784">
        <f t="shared" si="115"/>
        <v>2538914.6515301308</v>
      </c>
      <c r="C484" s="604">
        <f t="shared" si="116"/>
        <v>131757.33473632587</v>
      </c>
      <c r="D484" s="784">
        <f t="shared" si="117"/>
        <v>9499.1106412168283</v>
      </c>
      <c r="E484" s="785">
        <f t="shared" si="118"/>
        <v>122258.22409510904</v>
      </c>
      <c r="F484" s="72">
        <f t="shared" si="128"/>
        <v>340</v>
      </c>
      <c r="G484" s="784">
        <f t="shared" si="119"/>
        <v>1338478.033624561</v>
      </c>
      <c r="H484" s="604">
        <f t="shared" si="120"/>
        <v>68372.658190401169</v>
      </c>
      <c r="I484" s="784">
        <f t="shared" si="121"/>
        <v>2875.9349570708177</v>
      </c>
      <c r="J484" s="785">
        <f t="shared" si="122"/>
        <v>65496.723233330355</v>
      </c>
      <c r="K484" s="72">
        <f t="shared" si="129"/>
        <v>340</v>
      </c>
      <c r="L484" s="784">
        <f t="shared" si="123"/>
        <v>3877392.6851546918</v>
      </c>
      <c r="M484" s="604">
        <f t="shared" si="124"/>
        <v>200129.99292672705</v>
      </c>
      <c r="N484" s="784">
        <f t="shared" si="125"/>
        <v>12375.045598287646</v>
      </c>
      <c r="O484" s="785">
        <f t="shared" si="126"/>
        <v>187754.94732843939</v>
      </c>
      <c r="P484" s="11"/>
      <c r="Q484" s="11"/>
      <c r="R484" s="11"/>
      <c r="S484" s="11"/>
      <c r="T484" s="11"/>
    </row>
    <row r="485" spans="1:20" x14ac:dyDescent="0.25">
      <c r="A485" s="72">
        <f t="shared" si="127"/>
        <v>341</v>
      </c>
      <c r="B485" s="784">
        <f t="shared" si="115"/>
        <v>2416220.024220441</v>
      </c>
      <c r="C485" s="604">
        <f t="shared" si="116"/>
        <v>131757.33473632587</v>
      </c>
      <c r="D485" s="784">
        <f t="shared" si="117"/>
        <v>9062.7074266360141</v>
      </c>
      <c r="E485" s="785">
        <f t="shared" si="118"/>
        <v>122694.62730968985</v>
      </c>
      <c r="F485" s="72">
        <f t="shared" si="128"/>
        <v>341</v>
      </c>
      <c r="G485" s="784">
        <f t="shared" si="119"/>
        <v>1272847.145360841</v>
      </c>
      <c r="H485" s="604">
        <f t="shared" si="120"/>
        <v>68372.658190401169</v>
      </c>
      <c r="I485" s="784">
        <f t="shared" si="121"/>
        <v>2741.7699266810346</v>
      </c>
      <c r="J485" s="785">
        <f t="shared" si="122"/>
        <v>65630.888263720131</v>
      </c>
      <c r="K485" s="72">
        <f t="shared" si="129"/>
        <v>341</v>
      </c>
      <c r="L485" s="784">
        <f t="shared" si="123"/>
        <v>3689067.169581282</v>
      </c>
      <c r="M485" s="604">
        <f t="shared" si="124"/>
        <v>200129.99292672705</v>
      </c>
      <c r="N485" s="784">
        <f t="shared" si="125"/>
        <v>11804.477353317048</v>
      </c>
      <c r="O485" s="785">
        <f t="shared" si="126"/>
        <v>188325.51557340997</v>
      </c>
      <c r="P485" s="11"/>
      <c r="Q485" s="11"/>
      <c r="R485" s="11"/>
      <c r="S485" s="11"/>
      <c r="T485" s="11"/>
    </row>
    <row r="486" spans="1:20" x14ac:dyDescent="0.25">
      <c r="A486" s="72">
        <f t="shared" si="127"/>
        <v>342</v>
      </c>
      <c r="B486" s="784">
        <f t="shared" si="115"/>
        <v>2293087.4359460305</v>
      </c>
      <c r="C486" s="604">
        <f t="shared" si="116"/>
        <v>131757.33473632587</v>
      </c>
      <c r="D486" s="784">
        <f t="shared" si="117"/>
        <v>8624.7464619152324</v>
      </c>
      <c r="E486" s="785">
        <f t="shared" si="118"/>
        <v>123132.58827441063</v>
      </c>
      <c r="F486" s="72">
        <f t="shared" si="128"/>
        <v>342</v>
      </c>
      <c r="G486" s="784">
        <f t="shared" si="119"/>
        <v>1207081.8172399229</v>
      </c>
      <c r="H486" s="604">
        <f t="shared" si="120"/>
        <v>68372.658190401169</v>
      </c>
      <c r="I486" s="784">
        <f t="shared" si="121"/>
        <v>2607.3300694832701</v>
      </c>
      <c r="J486" s="785">
        <f t="shared" si="122"/>
        <v>65765.328120917897</v>
      </c>
      <c r="K486" s="72">
        <f t="shared" si="129"/>
        <v>342</v>
      </c>
      <c r="L486" s="784">
        <f t="shared" si="123"/>
        <v>3500169.2531859535</v>
      </c>
      <c r="M486" s="604">
        <f t="shared" si="124"/>
        <v>200129.99292672705</v>
      </c>
      <c r="N486" s="784">
        <f t="shared" si="125"/>
        <v>11232.076531398503</v>
      </c>
      <c r="O486" s="785">
        <f t="shared" si="126"/>
        <v>188897.91639532853</v>
      </c>
      <c r="P486" s="11"/>
      <c r="Q486" s="11"/>
      <c r="R486" s="11"/>
      <c r="S486" s="11"/>
      <c r="T486" s="11"/>
    </row>
    <row r="487" spans="1:20" x14ac:dyDescent="0.25">
      <c r="A487" s="72">
        <f t="shared" si="127"/>
        <v>343</v>
      </c>
      <c r="B487" s="784">
        <f t="shared" si="115"/>
        <v>2169515.3233963381</v>
      </c>
      <c r="C487" s="604">
        <f t="shared" si="116"/>
        <v>131757.33473632587</v>
      </c>
      <c r="D487" s="784">
        <f t="shared" si="117"/>
        <v>8185.2221866337122</v>
      </c>
      <c r="E487" s="785">
        <f t="shared" si="118"/>
        <v>123572.11254969216</v>
      </c>
      <c r="F487" s="72">
        <f t="shared" si="128"/>
        <v>343</v>
      </c>
      <c r="G487" s="784">
        <f t="shared" si="119"/>
        <v>1141181.7738720377</v>
      </c>
      <c r="H487" s="604">
        <f t="shared" si="120"/>
        <v>68372.658190401169</v>
      </c>
      <c r="I487" s="784">
        <f t="shared" si="121"/>
        <v>2472.6148225158167</v>
      </c>
      <c r="J487" s="785">
        <f t="shared" si="122"/>
        <v>65900.043367885359</v>
      </c>
      <c r="K487" s="72">
        <f t="shared" si="129"/>
        <v>343</v>
      </c>
      <c r="L487" s="784">
        <f t="shared" si="123"/>
        <v>3310697.0972683756</v>
      </c>
      <c r="M487" s="604">
        <f t="shared" si="124"/>
        <v>200129.99292672705</v>
      </c>
      <c r="N487" s="784">
        <f t="shared" si="125"/>
        <v>10657.837009149529</v>
      </c>
      <c r="O487" s="785">
        <f t="shared" si="126"/>
        <v>189472.1559175775</v>
      </c>
      <c r="P487" s="11"/>
      <c r="Q487" s="11"/>
      <c r="R487" s="11"/>
      <c r="S487" s="11"/>
      <c r="T487" s="11"/>
    </row>
    <row r="488" spans="1:20" x14ac:dyDescent="0.25">
      <c r="A488" s="72">
        <f t="shared" si="127"/>
        <v>344</v>
      </c>
      <c r="B488" s="784">
        <f t="shared" si="115"/>
        <v>2045502.117680535</v>
      </c>
      <c r="C488" s="604">
        <f t="shared" si="116"/>
        <v>131757.33473632587</v>
      </c>
      <c r="D488" s="784">
        <f t="shared" si="117"/>
        <v>7744.1290205226469</v>
      </c>
      <c r="E488" s="785">
        <f t="shared" si="118"/>
        <v>124013.20571580323</v>
      </c>
      <c r="F488" s="72">
        <f t="shared" si="128"/>
        <v>344</v>
      </c>
      <c r="G488" s="784">
        <f t="shared" si="119"/>
        <v>1075146.7393033002</v>
      </c>
      <c r="H488" s="604">
        <f t="shared" si="120"/>
        <v>68372.658190401169</v>
      </c>
      <c r="I488" s="784">
        <f t="shared" si="121"/>
        <v>2337.6236216637867</v>
      </c>
      <c r="J488" s="785">
        <f t="shared" si="122"/>
        <v>66035.034568737377</v>
      </c>
      <c r="K488" s="72">
        <f t="shared" si="129"/>
        <v>344</v>
      </c>
      <c r="L488" s="784">
        <f t="shared" si="123"/>
        <v>3120648.8569838349</v>
      </c>
      <c r="M488" s="604">
        <f t="shared" si="124"/>
        <v>200129.99292672705</v>
      </c>
      <c r="N488" s="784">
        <f t="shared" si="125"/>
        <v>10081.752642186433</v>
      </c>
      <c r="O488" s="785">
        <f t="shared" si="126"/>
        <v>190048.2402845406</v>
      </c>
      <c r="P488" s="11"/>
      <c r="Q488" s="11"/>
      <c r="R488" s="11"/>
      <c r="S488" s="11"/>
      <c r="T488" s="11"/>
    </row>
    <row r="489" spans="1:20" x14ac:dyDescent="0.25">
      <c r="A489" s="72">
        <f t="shared" si="127"/>
        <v>345</v>
      </c>
      <c r="B489" s="784">
        <f t="shared" si="115"/>
        <v>1921046.2443076035</v>
      </c>
      <c r="C489" s="604">
        <f t="shared" si="116"/>
        <v>131757.33473632587</v>
      </c>
      <c r="D489" s="784">
        <f t="shared" si="117"/>
        <v>7301.46136339435</v>
      </c>
      <c r="E489" s="785">
        <f t="shared" si="118"/>
        <v>124455.87337293151</v>
      </c>
      <c r="F489" s="72">
        <f t="shared" si="128"/>
        <v>345</v>
      </c>
      <c r="G489" s="784">
        <f t="shared" si="119"/>
        <v>1008976.4370145558</v>
      </c>
      <c r="H489" s="604">
        <f t="shared" si="120"/>
        <v>68372.658190401169</v>
      </c>
      <c r="I489" s="784">
        <f t="shared" si="121"/>
        <v>2202.3559016567419</v>
      </c>
      <c r="J489" s="785">
        <f t="shared" si="122"/>
        <v>66170.302288744424</v>
      </c>
      <c r="K489" s="72">
        <f t="shared" si="129"/>
        <v>345</v>
      </c>
      <c r="L489" s="784">
        <f t="shared" si="123"/>
        <v>2930022.6813221592</v>
      </c>
      <c r="M489" s="604">
        <f t="shared" si="124"/>
        <v>200129.99292672705</v>
      </c>
      <c r="N489" s="784">
        <f t="shared" si="125"/>
        <v>9503.8172650510915</v>
      </c>
      <c r="O489" s="785">
        <f t="shared" si="126"/>
        <v>190626.17566167592</v>
      </c>
      <c r="P489" s="11"/>
      <c r="Q489" s="11"/>
      <c r="R489" s="11"/>
      <c r="S489" s="11"/>
      <c r="T489" s="11"/>
    </row>
    <row r="490" spans="1:20" x14ac:dyDescent="0.25">
      <c r="A490" s="72">
        <f t="shared" si="127"/>
        <v>346</v>
      </c>
      <c r="B490" s="784">
        <f t="shared" si="115"/>
        <v>1796146.1231663488</v>
      </c>
      <c r="C490" s="604">
        <f t="shared" si="116"/>
        <v>131757.33473632587</v>
      </c>
      <c r="D490" s="784">
        <f t="shared" si="117"/>
        <v>6857.213595071149</v>
      </c>
      <c r="E490" s="785">
        <f t="shared" si="118"/>
        <v>124900.12114125471</v>
      </c>
      <c r="F490" s="72">
        <f t="shared" si="128"/>
        <v>346</v>
      </c>
      <c r="G490" s="784">
        <f t="shared" si="119"/>
        <v>942670.5899202209</v>
      </c>
      <c r="H490" s="604">
        <f t="shared" si="120"/>
        <v>68372.658190401169</v>
      </c>
      <c r="I490" s="784">
        <f t="shared" si="121"/>
        <v>2066.8110960663339</v>
      </c>
      <c r="J490" s="785">
        <f t="shared" si="122"/>
        <v>66305.847094334837</v>
      </c>
      <c r="K490" s="72">
        <f t="shared" si="129"/>
        <v>346</v>
      </c>
      <c r="L490" s="784">
        <f t="shared" si="123"/>
        <v>2738816.7130865697</v>
      </c>
      <c r="M490" s="604">
        <f t="shared" si="124"/>
        <v>200129.99292672705</v>
      </c>
      <c r="N490" s="784">
        <f t="shared" si="125"/>
        <v>8924.0246911374834</v>
      </c>
      <c r="O490" s="785">
        <f t="shared" si="126"/>
        <v>191205.96823558956</v>
      </c>
      <c r="P490" s="11"/>
      <c r="Q490" s="11"/>
      <c r="R490" s="11"/>
      <c r="S490" s="11"/>
      <c r="T490" s="11"/>
    </row>
    <row r="491" spans="1:20" x14ac:dyDescent="0.25">
      <c r="A491" s="72">
        <f t="shared" si="127"/>
        <v>347</v>
      </c>
      <c r="B491" s="784">
        <f t="shared" si="115"/>
        <v>1670800.1685053369</v>
      </c>
      <c r="C491" s="604">
        <f t="shared" si="116"/>
        <v>131757.33473632587</v>
      </c>
      <c r="D491" s="784">
        <f t="shared" si="117"/>
        <v>6411.380075314034</v>
      </c>
      <c r="E491" s="785">
        <f t="shared" si="118"/>
        <v>125345.95466101183</v>
      </c>
      <c r="F491" s="72">
        <f t="shared" si="128"/>
        <v>347</v>
      </c>
      <c r="G491" s="784">
        <f t="shared" si="119"/>
        <v>876228.92036712368</v>
      </c>
      <c r="H491" s="604">
        <f t="shared" si="120"/>
        <v>68372.658190401169</v>
      </c>
      <c r="I491" s="784">
        <f t="shared" si="121"/>
        <v>1930.9886373039276</v>
      </c>
      <c r="J491" s="785">
        <f t="shared" si="122"/>
        <v>66441.669553097236</v>
      </c>
      <c r="K491" s="72">
        <f t="shared" si="129"/>
        <v>347</v>
      </c>
      <c r="L491" s="784">
        <f t="shared" si="123"/>
        <v>2547029.0888724606</v>
      </c>
      <c r="M491" s="604">
        <f t="shared" si="124"/>
        <v>200129.99292672705</v>
      </c>
      <c r="N491" s="784">
        <f t="shared" si="125"/>
        <v>8342.3687126179611</v>
      </c>
      <c r="O491" s="785">
        <f t="shared" si="126"/>
        <v>191787.62421410906</v>
      </c>
      <c r="P491" s="11"/>
      <c r="Q491" s="11"/>
      <c r="R491" s="11"/>
      <c r="S491" s="11"/>
      <c r="T491" s="11"/>
    </row>
    <row r="492" spans="1:20" x14ac:dyDescent="0.25">
      <c r="A492" s="72">
        <f t="shared" si="127"/>
        <v>348</v>
      </c>
      <c r="B492" s="784">
        <f t="shared" si="115"/>
        <v>1545006.788912762</v>
      </c>
      <c r="C492" s="604">
        <f t="shared" si="116"/>
        <v>131757.33473632587</v>
      </c>
      <c r="D492" s="784">
        <f t="shared" si="117"/>
        <v>5963.9551437510472</v>
      </c>
      <c r="E492" s="785">
        <f t="shared" si="118"/>
        <v>125793.37959257481</v>
      </c>
      <c r="F492" s="72">
        <f t="shared" si="128"/>
        <v>348</v>
      </c>
      <c r="G492" s="784">
        <f t="shared" si="119"/>
        <v>809651.15013334074</v>
      </c>
      <c r="H492" s="604">
        <f t="shared" si="120"/>
        <v>68372.658190401169</v>
      </c>
      <c r="I492" s="784">
        <f t="shared" si="121"/>
        <v>1794.887956618227</v>
      </c>
      <c r="J492" s="785">
        <f t="shared" si="122"/>
        <v>66577.77023378294</v>
      </c>
      <c r="K492" s="72">
        <f t="shared" si="129"/>
        <v>348</v>
      </c>
      <c r="L492" s="784">
        <f t="shared" si="123"/>
        <v>2354657.9390461026</v>
      </c>
      <c r="M492" s="604">
        <f t="shared" si="124"/>
        <v>200129.99292672705</v>
      </c>
      <c r="N492" s="784">
        <f t="shared" si="125"/>
        <v>7758.843100369274</v>
      </c>
      <c r="O492" s="785">
        <f t="shared" si="126"/>
        <v>192371.14982635775</v>
      </c>
      <c r="P492" s="11"/>
      <c r="Q492" s="11"/>
      <c r="R492" s="11"/>
      <c r="S492" s="11"/>
      <c r="T492" s="11"/>
    </row>
    <row r="493" spans="1:20" x14ac:dyDescent="0.25">
      <c r="A493" s="72">
        <f t="shared" si="127"/>
        <v>349</v>
      </c>
      <c r="B493" s="784">
        <f t="shared" si="115"/>
        <v>1418764.3872962415</v>
      </c>
      <c r="C493" s="604">
        <f t="shared" si="116"/>
        <v>131757.33473632587</v>
      </c>
      <c r="D493" s="784">
        <f t="shared" si="117"/>
        <v>5514.9331198054178</v>
      </c>
      <c r="E493" s="785">
        <f t="shared" si="118"/>
        <v>126242.40161652045</v>
      </c>
      <c r="F493" s="72">
        <f t="shared" si="128"/>
        <v>349</v>
      </c>
      <c r="G493" s="784">
        <f t="shared" si="119"/>
        <v>742937.00042703247</v>
      </c>
      <c r="H493" s="604">
        <f t="shared" si="120"/>
        <v>68372.658190401169</v>
      </c>
      <c r="I493" s="784">
        <f t="shared" si="121"/>
        <v>1658.5084840928916</v>
      </c>
      <c r="J493" s="785">
        <f t="shared" si="122"/>
        <v>66714.149706308279</v>
      </c>
      <c r="K493" s="72">
        <f t="shared" si="129"/>
        <v>349</v>
      </c>
      <c r="L493" s="784">
        <f t="shared" si="123"/>
        <v>2161701.3877232741</v>
      </c>
      <c r="M493" s="604">
        <f t="shared" si="124"/>
        <v>200129.99292672705</v>
      </c>
      <c r="N493" s="784">
        <f t="shared" si="125"/>
        <v>7173.441603898309</v>
      </c>
      <c r="O493" s="785">
        <f t="shared" si="126"/>
        <v>192956.55132282875</v>
      </c>
      <c r="P493" s="11"/>
      <c r="Q493" s="11"/>
      <c r="R493" s="11"/>
      <c r="S493" s="11"/>
      <c r="T493" s="11"/>
    </row>
    <row r="494" spans="1:20" x14ac:dyDescent="0.25">
      <c r="A494" s="72">
        <f t="shared" si="127"/>
        <v>350</v>
      </c>
      <c r="B494" s="784">
        <f t="shared" si="115"/>
        <v>1292071.3608625391</v>
      </c>
      <c r="C494" s="604">
        <f t="shared" si="116"/>
        <v>131757.33473632587</v>
      </c>
      <c r="D494" s="784">
        <f t="shared" si="117"/>
        <v>5064.3083026234408</v>
      </c>
      <c r="E494" s="785">
        <f t="shared" si="118"/>
        <v>126693.02643370243</v>
      </c>
      <c r="F494" s="72">
        <f t="shared" si="128"/>
        <v>350</v>
      </c>
      <c r="G494" s="784">
        <f t="shared" si="119"/>
        <v>676086.19188527542</v>
      </c>
      <c r="H494" s="604">
        <f t="shared" si="120"/>
        <v>68372.658190401169</v>
      </c>
      <c r="I494" s="784">
        <f t="shared" si="121"/>
        <v>1521.8496486441513</v>
      </c>
      <c r="J494" s="785">
        <f t="shared" si="122"/>
        <v>66850.808541757011</v>
      </c>
      <c r="K494" s="72">
        <f t="shared" si="129"/>
        <v>350</v>
      </c>
      <c r="L494" s="784">
        <f t="shared" si="123"/>
        <v>1968157.5527478145</v>
      </c>
      <c r="M494" s="604">
        <f t="shared" si="124"/>
        <v>200129.99292672705</v>
      </c>
      <c r="N494" s="784">
        <f t="shared" si="125"/>
        <v>6586.1579512675926</v>
      </c>
      <c r="O494" s="785">
        <f t="shared" si="126"/>
        <v>193543.83497545944</v>
      </c>
      <c r="P494" s="11"/>
      <c r="Q494" s="11"/>
      <c r="R494" s="11"/>
      <c r="S494" s="11"/>
      <c r="T494" s="11"/>
    </row>
    <row r="495" spans="1:20" x14ac:dyDescent="0.25">
      <c r="A495" s="72">
        <f t="shared" si="127"/>
        <v>351</v>
      </c>
      <c r="B495" s="784">
        <f t="shared" si="115"/>
        <v>1164926.1010972154</v>
      </c>
      <c r="C495" s="604">
        <f t="shared" si="116"/>
        <v>131757.33473632587</v>
      </c>
      <c r="D495" s="784">
        <f t="shared" si="117"/>
        <v>4612.0749710021</v>
      </c>
      <c r="E495" s="785">
        <f t="shared" si="118"/>
        <v>127145.25976532376</v>
      </c>
      <c r="F495" s="72">
        <f t="shared" si="128"/>
        <v>351</v>
      </c>
      <c r="G495" s="784">
        <f t="shared" si="119"/>
        <v>609098.44457289262</v>
      </c>
      <c r="H495" s="604">
        <f t="shared" si="120"/>
        <v>68372.658190401169</v>
      </c>
      <c r="I495" s="784">
        <f t="shared" si="121"/>
        <v>1384.9108780184145</v>
      </c>
      <c r="J495" s="785">
        <f t="shared" si="122"/>
        <v>66987.747312382751</v>
      </c>
      <c r="K495" s="72">
        <f t="shared" si="129"/>
        <v>351</v>
      </c>
      <c r="L495" s="784">
        <f t="shared" si="123"/>
        <v>1774024.5456701079</v>
      </c>
      <c r="M495" s="604">
        <f t="shared" si="124"/>
        <v>200129.99292672705</v>
      </c>
      <c r="N495" s="784">
        <f t="shared" si="125"/>
        <v>5996.9858490205143</v>
      </c>
      <c r="O495" s="785">
        <f t="shared" si="126"/>
        <v>194133.00707770651</v>
      </c>
      <c r="P495" s="11"/>
      <c r="Q495" s="11"/>
      <c r="R495" s="11"/>
      <c r="S495" s="11"/>
      <c r="T495" s="11"/>
    </row>
    <row r="496" spans="1:20" x14ac:dyDescent="0.25">
      <c r="A496" s="72">
        <f t="shared" si="127"/>
        <v>352</v>
      </c>
      <c r="B496" s="784">
        <f t="shared" si="115"/>
        <v>1037326.993744206</v>
      </c>
      <c r="C496" s="604">
        <f t="shared" si="116"/>
        <v>131757.33473632587</v>
      </c>
      <c r="D496" s="784">
        <f t="shared" si="117"/>
        <v>4158.2273833164254</v>
      </c>
      <c r="E496" s="785">
        <f t="shared" si="118"/>
        <v>127599.10735300944</v>
      </c>
      <c r="F496" s="72">
        <f t="shared" si="128"/>
        <v>352</v>
      </c>
      <c r="G496" s="784">
        <f t="shared" si="119"/>
        <v>541973.47798128135</v>
      </c>
      <c r="H496" s="604">
        <f t="shared" si="120"/>
        <v>68372.658190401169</v>
      </c>
      <c r="I496" s="784">
        <f t="shared" si="121"/>
        <v>1247.6915987898717</v>
      </c>
      <c r="J496" s="785">
        <f t="shared" si="122"/>
        <v>67124.966591611301</v>
      </c>
      <c r="K496" s="72">
        <f t="shared" si="129"/>
        <v>352</v>
      </c>
      <c r="L496" s="784">
        <f t="shared" si="123"/>
        <v>1579300.4717254874</v>
      </c>
      <c r="M496" s="604">
        <f t="shared" si="124"/>
        <v>200129.99292672705</v>
      </c>
      <c r="N496" s="784">
        <f t="shared" si="125"/>
        <v>5405.9189821062973</v>
      </c>
      <c r="O496" s="785">
        <f t="shared" si="126"/>
        <v>194724.07394462073</v>
      </c>
      <c r="P496" s="11"/>
      <c r="Q496" s="11"/>
      <c r="R496" s="11"/>
      <c r="S496" s="11"/>
      <c r="T496" s="11"/>
    </row>
    <row r="497" spans="1:20" x14ac:dyDescent="0.25">
      <c r="A497" s="72">
        <f t="shared" si="127"/>
        <v>353</v>
      </c>
      <c r="B497" s="784">
        <f t="shared" si="115"/>
        <v>909272.41878532676</v>
      </c>
      <c r="C497" s="604">
        <f t="shared" si="116"/>
        <v>131757.33473632587</v>
      </c>
      <c r="D497" s="784">
        <f t="shared" si="117"/>
        <v>3702.759777446603</v>
      </c>
      <c r="E497" s="785">
        <f t="shared" si="118"/>
        <v>128054.57495887927</v>
      </c>
      <c r="F497" s="72">
        <f t="shared" si="128"/>
        <v>353</v>
      </c>
      <c r="G497" s="784">
        <f t="shared" si="119"/>
        <v>474711.01102723827</v>
      </c>
      <c r="H497" s="604">
        <f t="shared" si="120"/>
        <v>68372.658190401169</v>
      </c>
      <c r="I497" s="784">
        <f t="shared" si="121"/>
        <v>1110.191236358095</v>
      </c>
      <c r="J497" s="785">
        <f t="shared" si="122"/>
        <v>67262.466954043077</v>
      </c>
      <c r="K497" s="72">
        <f t="shared" si="129"/>
        <v>353</v>
      </c>
      <c r="L497" s="784">
        <f t="shared" si="123"/>
        <v>1383983.429812565</v>
      </c>
      <c r="M497" s="604">
        <f t="shared" si="124"/>
        <v>200129.99292672705</v>
      </c>
      <c r="N497" s="784">
        <f t="shared" si="125"/>
        <v>4812.9510138046981</v>
      </c>
      <c r="O497" s="785">
        <f t="shared" si="126"/>
        <v>195317.04191292234</v>
      </c>
      <c r="P497" s="11"/>
      <c r="Q497" s="11"/>
      <c r="R497" s="11"/>
      <c r="S497" s="11"/>
      <c r="T497" s="11"/>
    </row>
    <row r="498" spans="1:20" x14ac:dyDescent="0.25">
      <c r="A498" s="72">
        <f t="shared" si="127"/>
        <v>354</v>
      </c>
      <c r="B498" s="784">
        <f t="shared" si="115"/>
        <v>780760.75041970576</v>
      </c>
      <c r="C498" s="604">
        <f t="shared" si="116"/>
        <v>131757.33473632587</v>
      </c>
      <c r="D498" s="784">
        <f t="shared" si="117"/>
        <v>3245.6663707048124</v>
      </c>
      <c r="E498" s="785">
        <f t="shared" si="118"/>
        <v>128511.66836562105</v>
      </c>
      <c r="F498" s="72">
        <f t="shared" si="128"/>
        <v>354</v>
      </c>
      <c r="G498" s="784">
        <f t="shared" si="119"/>
        <v>407310.76205178275</v>
      </c>
      <c r="H498" s="604">
        <f t="shared" si="120"/>
        <v>68372.658190401169</v>
      </c>
      <c r="I498" s="784">
        <f t="shared" si="121"/>
        <v>972.40921494563077</v>
      </c>
      <c r="J498" s="785">
        <f t="shared" si="122"/>
        <v>67400.248975455543</v>
      </c>
      <c r="K498" s="72">
        <f t="shared" si="129"/>
        <v>354</v>
      </c>
      <c r="L498" s="784">
        <f t="shared" si="123"/>
        <v>1188071.5124714884</v>
      </c>
      <c r="M498" s="604">
        <f t="shared" si="124"/>
        <v>200129.99292672705</v>
      </c>
      <c r="N498" s="784">
        <f t="shared" si="125"/>
        <v>4218.0755856504429</v>
      </c>
      <c r="O498" s="785">
        <f t="shared" si="126"/>
        <v>195911.91734107659</v>
      </c>
      <c r="P498" s="11"/>
      <c r="Q498" s="11"/>
      <c r="R498" s="11"/>
      <c r="S498" s="11"/>
      <c r="T498" s="11"/>
    </row>
    <row r="499" spans="1:20" x14ac:dyDescent="0.25">
      <c r="A499" s="72">
        <f t="shared" si="127"/>
        <v>355</v>
      </c>
      <c r="B499" s="784">
        <f t="shared" si="115"/>
        <v>651790.35704314173</v>
      </c>
      <c r="C499" s="604">
        <f t="shared" si="116"/>
        <v>131757.33473632587</v>
      </c>
      <c r="D499" s="784">
        <f t="shared" si="117"/>
        <v>2786.9413597618141</v>
      </c>
      <c r="E499" s="785">
        <f t="shared" si="118"/>
        <v>128970.39337656405</v>
      </c>
      <c r="F499" s="72">
        <f t="shared" si="128"/>
        <v>355</v>
      </c>
      <c r="G499" s="784">
        <f t="shared" si="119"/>
        <v>339772.44881897717</v>
      </c>
      <c r="H499" s="604">
        <f t="shared" si="120"/>
        <v>68372.658190401169</v>
      </c>
      <c r="I499" s="784">
        <f t="shared" si="121"/>
        <v>834.34495759558979</v>
      </c>
      <c r="J499" s="785">
        <f t="shared" si="122"/>
        <v>67538.31323280558</v>
      </c>
      <c r="K499" s="72">
        <f t="shared" si="129"/>
        <v>355</v>
      </c>
      <c r="L499" s="784">
        <f t="shared" si="123"/>
        <v>991562.80586211896</v>
      </c>
      <c r="M499" s="604">
        <f t="shared" si="124"/>
        <v>200129.99292672705</v>
      </c>
      <c r="N499" s="784">
        <f t="shared" si="125"/>
        <v>3621.2863173574037</v>
      </c>
      <c r="O499" s="785">
        <f t="shared" si="126"/>
        <v>196508.70660936963</v>
      </c>
      <c r="P499" s="11"/>
      <c r="Q499" s="11"/>
      <c r="R499" s="11"/>
      <c r="S499" s="11"/>
      <c r="T499" s="11"/>
    </row>
    <row r="500" spans="1:20" x14ac:dyDescent="0.25">
      <c r="A500" s="72">
        <f t="shared" si="127"/>
        <v>356</v>
      </c>
      <c r="B500" s="784">
        <f t="shared" si="115"/>
        <v>522359.60122738912</v>
      </c>
      <c r="C500" s="604">
        <f t="shared" si="116"/>
        <v>131757.33473632587</v>
      </c>
      <c r="D500" s="784">
        <f t="shared" si="117"/>
        <v>2326.5789205732653</v>
      </c>
      <c r="E500" s="785">
        <f t="shared" si="118"/>
        <v>129430.75581575261</v>
      </c>
      <c r="F500" s="72">
        <f t="shared" si="128"/>
        <v>356</v>
      </c>
      <c r="G500" s="784">
        <f t="shared" si="119"/>
        <v>272095.78851474525</v>
      </c>
      <c r="H500" s="604">
        <f t="shared" si="120"/>
        <v>68372.658190401169</v>
      </c>
      <c r="I500" s="784">
        <f t="shared" si="121"/>
        <v>695.99788616923047</v>
      </c>
      <c r="J500" s="785">
        <f t="shared" si="122"/>
        <v>67676.660304231933</v>
      </c>
      <c r="K500" s="72">
        <f t="shared" si="129"/>
        <v>356</v>
      </c>
      <c r="L500" s="784">
        <f t="shared" si="123"/>
        <v>794455.38974213437</v>
      </c>
      <c r="M500" s="604">
        <f t="shared" si="124"/>
        <v>200129.99292672705</v>
      </c>
      <c r="N500" s="784">
        <f t="shared" si="125"/>
        <v>3022.576806742496</v>
      </c>
      <c r="O500" s="785">
        <f t="shared" si="126"/>
        <v>197107.41611998453</v>
      </c>
      <c r="P500" s="11"/>
      <c r="Q500" s="11"/>
      <c r="R500" s="11"/>
      <c r="S500" s="11"/>
      <c r="T500" s="11"/>
    </row>
    <row r="501" spans="1:20" x14ac:dyDescent="0.25">
      <c r="A501" s="72">
        <f t="shared" si="127"/>
        <v>357</v>
      </c>
      <c r="B501" s="784">
        <f t="shared" si="115"/>
        <v>392466.83969936904</v>
      </c>
      <c r="C501" s="604">
        <f t="shared" si="116"/>
        <v>131757.33473632587</v>
      </c>
      <c r="D501" s="784">
        <f t="shared" si="117"/>
        <v>1864.5732083057796</v>
      </c>
      <c r="E501" s="785">
        <f t="shared" si="118"/>
        <v>129892.76152802008</v>
      </c>
      <c r="F501" s="72">
        <f t="shared" si="128"/>
        <v>357</v>
      </c>
      <c r="G501" s="784">
        <f t="shared" si="119"/>
        <v>204280.49774568761</v>
      </c>
      <c r="H501" s="604">
        <f t="shared" si="120"/>
        <v>68372.658190401169</v>
      </c>
      <c r="I501" s="784">
        <f t="shared" si="121"/>
        <v>557.36742134353835</v>
      </c>
      <c r="J501" s="785">
        <f t="shared" si="122"/>
        <v>67815.290769057625</v>
      </c>
      <c r="K501" s="72">
        <f t="shared" si="129"/>
        <v>357</v>
      </c>
      <c r="L501" s="784">
        <f t="shared" si="123"/>
        <v>596747.33744505665</v>
      </c>
      <c r="M501" s="604">
        <f t="shared" si="124"/>
        <v>200129.99292672705</v>
      </c>
      <c r="N501" s="784">
        <f t="shared" si="125"/>
        <v>2421.940629649318</v>
      </c>
      <c r="O501" s="785">
        <f t="shared" si="126"/>
        <v>197708.05229707772</v>
      </c>
      <c r="P501" s="11"/>
      <c r="Q501" s="11"/>
      <c r="R501" s="11"/>
      <c r="S501" s="11"/>
      <c r="T501" s="11"/>
    </row>
    <row r="502" spans="1:20" x14ac:dyDescent="0.25">
      <c r="A502" s="72">
        <f t="shared" si="127"/>
        <v>358</v>
      </c>
      <c r="B502" s="784">
        <f t="shared" si="115"/>
        <v>262110.42332030588</v>
      </c>
      <c r="C502" s="604">
        <f t="shared" si="116"/>
        <v>131757.33473632587</v>
      </c>
      <c r="D502" s="784">
        <f t="shared" si="117"/>
        <v>1400.9183572627185</v>
      </c>
      <c r="E502" s="785">
        <f t="shared" si="118"/>
        <v>130356.41637906314</v>
      </c>
      <c r="F502" s="72">
        <f t="shared" si="128"/>
        <v>358</v>
      </c>
      <c r="G502" s="784">
        <f t="shared" si="119"/>
        <v>136326.29253789524</v>
      </c>
      <c r="H502" s="604">
        <f t="shared" si="120"/>
        <v>68372.658190401169</v>
      </c>
      <c r="I502" s="784">
        <f t="shared" si="121"/>
        <v>418.45298260879997</v>
      </c>
      <c r="J502" s="785">
        <f t="shared" si="122"/>
        <v>67954.205207792373</v>
      </c>
      <c r="K502" s="72">
        <f t="shared" si="129"/>
        <v>358</v>
      </c>
      <c r="L502" s="784">
        <f t="shared" si="123"/>
        <v>398436.71585820115</v>
      </c>
      <c r="M502" s="604">
        <f t="shared" si="124"/>
        <v>200129.99292672705</v>
      </c>
      <c r="N502" s="784">
        <f t="shared" si="125"/>
        <v>1819.3713398715186</v>
      </c>
      <c r="O502" s="785">
        <f t="shared" si="126"/>
        <v>198310.6215868555</v>
      </c>
      <c r="P502" s="11"/>
      <c r="Q502" s="11"/>
      <c r="R502" s="11"/>
      <c r="S502" s="11"/>
      <c r="T502" s="11"/>
    </row>
    <row r="503" spans="1:20" x14ac:dyDescent="0.25">
      <c r="A503" s="72">
        <f t="shared" si="127"/>
        <v>359</v>
      </c>
      <c r="B503" s="784">
        <f t="shared" si="115"/>
        <v>131288.69706478974</v>
      </c>
      <c r="C503" s="604">
        <f t="shared" si="116"/>
        <v>131757.33473632587</v>
      </c>
      <c r="D503" s="784">
        <f t="shared" si="117"/>
        <v>935.60848080972016</v>
      </c>
      <c r="E503" s="785">
        <f t="shared" si="118"/>
        <v>130821.72625551614</v>
      </c>
      <c r="F503" s="72">
        <f t="shared" si="128"/>
        <v>359</v>
      </c>
      <c r="G503" s="784">
        <f t="shared" si="119"/>
        <v>68232.888335760232</v>
      </c>
      <c r="H503" s="604">
        <f t="shared" si="120"/>
        <v>68372.658190401169</v>
      </c>
      <c r="I503" s="784">
        <f t="shared" si="121"/>
        <v>279.25398826617214</v>
      </c>
      <c r="J503" s="785">
        <f t="shared" si="122"/>
        <v>68093.404202135003</v>
      </c>
      <c r="K503" s="72">
        <f t="shared" si="129"/>
        <v>359</v>
      </c>
      <c r="L503" s="784">
        <f t="shared" si="123"/>
        <v>199521.58540054999</v>
      </c>
      <c r="M503" s="604">
        <f t="shared" si="124"/>
        <v>200129.99292672705</v>
      </c>
      <c r="N503" s="784">
        <f t="shared" si="125"/>
        <v>1214.8624690758922</v>
      </c>
      <c r="O503" s="785">
        <f t="shared" si="126"/>
        <v>198915.13045765116</v>
      </c>
      <c r="P503" s="11"/>
      <c r="Q503" s="11"/>
      <c r="R503" s="11"/>
      <c r="S503" s="11"/>
      <c r="T503" s="11"/>
    </row>
    <row r="504" spans="1:20" ht="16.5" thickBot="1" x14ac:dyDescent="0.3">
      <c r="A504" s="73">
        <f t="shared" si="127"/>
        <v>360</v>
      </c>
      <c r="B504" s="798">
        <f t="shared" si="115"/>
        <v>-2.36177584156394E-7</v>
      </c>
      <c r="C504" s="800">
        <f t="shared" si="116"/>
        <v>131757.33473632587</v>
      </c>
      <c r="D504" s="798">
        <f t="shared" si="117"/>
        <v>468.63767129996234</v>
      </c>
      <c r="E504" s="801">
        <f t="shared" si="118"/>
        <v>131288.69706502592</v>
      </c>
      <c r="F504" s="73">
        <f t="shared" si="128"/>
        <v>360</v>
      </c>
      <c r="G504" s="798">
        <f t="shared" si="119"/>
        <v>7.8430457506328821E-7</v>
      </c>
      <c r="H504" s="800">
        <f t="shared" si="120"/>
        <v>68372.658190401169</v>
      </c>
      <c r="I504" s="798">
        <f t="shared" si="121"/>
        <v>139.76985542524608</v>
      </c>
      <c r="J504" s="801">
        <f t="shared" si="122"/>
        <v>68232.888334975927</v>
      </c>
      <c r="K504" s="73">
        <f t="shared" si="129"/>
        <v>360</v>
      </c>
      <c r="L504" s="798">
        <f t="shared" si="123"/>
        <v>5.4812699090689421E-7</v>
      </c>
      <c r="M504" s="800">
        <f t="shared" si="124"/>
        <v>200129.99292672705</v>
      </c>
      <c r="N504" s="798">
        <f t="shared" si="125"/>
        <v>608.40752672520841</v>
      </c>
      <c r="O504" s="801">
        <f t="shared" si="126"/>
        <v>199521.58540000184</v>
      </c>
      <c r="P504" s="11"/>
      <c r="Q504" s="11"/>
      <c r="R504" s="11"/>
      <c r="S504" s="11"/>
      <c r="T504" s="11"/>
    </row>
  </sheetData>
  <mergeCells count="10">
    <mergeCell ref="I25:K25"/>
    <mergeCell ref="A3:T3"/>
    <mergeCell ref="J4:K4"/>
    <mergeCell ref="B4:C4"/>
    <mergeCell ref="D4:E4"/>
    <mergeCell ref="F4:G4"/>
    <mergeCell ref="H4:I4"/>
    <mergeCell ref="L4:M4"/>
    <mergeCell ref="N4:S4"/>
    <mergeCell ref="I22:K2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V159"/>
  <sheetViews>
    <sheetView workbookViewId="0">
      <selection activeCell="J159" sqref="J159"/>
    </sheetView>
  </sheetViews>
  <sheetFormatPr defaultColWidth="8.85546875" defaultRowHeight="12.75" x14ac:dyDescent="0.2"/>
  <sheetData>
    <row r="1" spans="1:256" x14ac:dyDescent="0.2">
      <c r="A1">
        <f>IF('Quick Start Guide'!1:1,"Vi9bc32mhwA=",0)</f>
        <v>0</v>
      </c>
      <c r="B1" t="e">
        <f>AND('Quick Start Guide'!A1,"Vi9bc32mhwE=")</f>
        <v>#VALUE!</v>
      </c>
      <c r="C1" t="e">
        <f>AND('Quick Start Guide'!#REF!,"Vi9bc32mhwI=")</f>
        <v>#REF!</v>
      </c>
      <c r="D1" t="e">
        <f>AND('Quick Start Guide'!#REF!,"Vi9bc32mhwM=")</f>
        <v>#REF!</v>
      </c>
      <c r="E1" t="e">
        <f>AND('Quick Start Guide'!#REF!,"Vi9bc32mhwQ=")</f>
        <v>#REF!</v>
      </c>
      <c r="F1" t="e">
        <f>AND('Quick Start Guide'!#REF!,"Vi9bc32mhwU=")</f>
        <v>#REF!</v>
      </c>
      <c r="G1" t="e">
        <f>AND('Quick Start Guide'!#REF!,"Vi9bc32mhwY=")</f>
        <v>#REF!</v>
      </c>
      <c r="H1" t="e">
        <f>AND('Quick Start Guide'!#REF!,"Vi9bc32mhwc=")</f>
        <v>#REF!</v>
      </c>
      <c r="I1" t="e">
        <f>AND('Quick Start Guide'!#REF!,"Vi9bc32mhwg=")</f>
        <v>#REF!</v>
      </c>
      <c r="J1" t="e">
        <f>AND('Quick Start Guide'!#REF!,"Vi9bc32mhwk=")</f>
        <v>#REF!</v>
      </c>
      <c r="K1" t="e">
        <f>AND('Quick Start Guide'!#REF!,"Vi9bc32mhwo=")</f>
        <v>#REF!</v>
      </c>
      <c r="L1" t="e">
        <f>AND('Quick Start Guide'!#REF!,"Vi9bc32mhws=")</f>
        <v>#REF!</v>
      </c>
      <c r="M1" t="e">
        <f>AND('Quick Start Guide'!B1,"Vi9bc32mhww=")</f>
        <v>#VALUE!</v>
      </c>
      <c r="N1" t="e">
        <f>AND('Quick Start Guide'!C1,"Vi9bc32mhw0=")</f>
        <v>#VALUE!</v>
      </c>
      <c r="O1" t="e">
        <f>AND('Quick Start Guide'!D1,"Vi9bc32mhw4=")</f>
        <v>#VALUE!</v>
      </c>
      <c r="P1" t="e">
        <f>AND('Quick Start Guide'!E1,"Vi9bc32mhw8=")</f>
        <v>#VALUE!</v>
      </c>
      <c r="Q1">
        <f>IF('Quick Start Guide'!2:2,"Vi9bc32mhxA=",0)</f>
        <v>0</v>
      </c>
      <c r="R1" t="e">
        <f>AND('Quick Start Guide'!A2,"Vi9bc32mhxE=")</f>
        <v>#VALUE!</v>
      </c>
      <c r="S1" t="e">
        <f>AND('Quick Start Guide'!#REF!,"Vi9bc32mhxI=")</f>
        <v>#REF!</v>
      </c>
      <c r="T1" t="e">
        <f>AND('Quick Start Guide'!#REF!,"Vi9bc32mhxM=")</f>
        <v>#REF!</v>
      </c>
      <c r="U1" t="e">
        <f>AND('Quick Start Guide'!#REF!,"Vi9bc32mhxQ=")</f>
        <v>#REF!</v>
      </c>
      <c r="V1" t="e">
        <f>AND('Quick Start Guide'!#REF!,"Vi9bc32mhxU=")</f>
        <v>#REF!</v>
      </c>
      <c r="W1" t="e">
        <f>AND('Quick Start Guide'!#REF!,"Vi9bc32mhxY=")</f>
        <v>#REF!</v>
      </c>
      <c r="X1" t="e">
        <f>AND('Quick Start Guide'!#REF!,"Vi9bc32mhxc=")</f>
        <v>#REF!</v>
      </c>
      <c r="Y1" t="e">
        <f>AND('Quick Start Guide'!#REF!,"Vi9bc32mhxg=")</f>
        <v>#REF!</v>
      </c>
      <c r="Z1" t="e">
        <f>AND('Quick Start Guide'!#REF!,"Vi9bc32mhxk=")</f>
        <v>#REF!</v>
      </c>
      <c r="AA1" t="e">
        <f>AND('Quick Start Guide'!#REF!,"Vi9bc32mhxo=")</f>
        <v>#REF!</v>
      </c>
      <c r="AB1" t="e">
        <f>AND('Quick Start Guide'!#REF!,"Vi9bc32mhxs=")</f>
        <v>#REF!</v>
      </c>
      <c r="AC1" t="e">
        <f>AND('Quick Start Guide'!B2,"Vi9bc32mhxw=")</f>
        <v>#VALUE!</v>
      </c>
      <c r="AD1" t="e">
        <f>AND('Quick Start Guide'!C2,"Vi9bc32mhx0=")</f>
        <v>#VALUE!</v>
      </c>
      <c r="AE1" t="e">
        <f>AND('Quick Start Guide'!D2,"Vi9bc32mhx4=")</f>
        <v>#VALUE!</v>
      </c>
      <c r="AF1" t="e">
        <f>AND('Quick Start Guide'!E2,"Vi9bc32mhx8=")</f>
        <v>#VALUE!</v>
      </c>
      <c r="AG1">
        <f>IF('Quick Start Guide'!3:3,"Vi9bc32mhyA=",0)</f>
        <v>0</v>
      </c>
      <c r="AH1" t="e">
        <f>AND('Quick Start Guide'!A3,"Vi9bc32mhyE=")</f>
        <v>#VALUE!</v>
      </c>
      <c r="AI1" t="e">
        <f>AND('Quick Start Guide'!#REF!,"Vi9bc32mhyI=")</f>
        <v>#REF!</v>
      </c>
      <c r="AJ1" t="e">
        <f>AND('Quick Start Guide'!#REF!,"Vi9bc32mhyM=")</f>
        <v>#REF!</v>
      </c>
      <c r="AK1" t="e">
        <f>AND('Quick Start Guide'!#REF!,"Vi9bc32mhyQ=")</f>
        <v>#REF!</v>
      </c>
      <c r="AL1" t="e">
        <f>AND('Quick Start Guide'!#REF!,"Vi9bc32mhyU=")</f>
        <v>#REF!</v>
      </c>
      <c r="AM1" t="e">
        <f>AND('Quick Start Guide'!#REF!,"Vi9bc32mhyY=")</f>
        <v>#REF!</v>
      </c>
      <c r="AN1" t="e">
        <f>AND('Quick Start Guide'!#REF!,"Vi9bc32mhyc=")</f>
        <v>#REF!</v>
      </c>
      <c r="AO1" t="e">
        <f>AND('Quick Start Guide'!#REF!,"Vi9bc32mhyg=")</f>
        <v>#REF!</v>
      </c>
      <c r="AP1" t="e">
        <f>AND('Quick Start Guide'!#REF!,"Vi9bc32mhyk=")</f>
        <v>#REF!</v>
      </c>
      <c r="AQ1" t="e">
        <f>AND('Quick Start Guide'!#REF!,"Vi9bc32mhyo=")</f>
        <v>#REF!</v>
      </c>
      <c r="AR1" t="e">
        <f>AND('Quick Start Guide'!#REF!,"Vi9bc32mhys=")</f>
        <v>#REF!</v>
      </c>
      <c r="AS1" t="e">
        <f>AND('Quick Start Guide'!B3,"Vi9bc32mhyw=")</f>
        <v>#VALUE!</v>
      </c>
      <c r="AT1" t="e">
        <f>AND('Quick Start Guide'!C3,"Vi9bc32mhy0=")</f>
        <v>#VALUE!</v>
      </c>
      <c r="AU1" t="e">
        <f>AND('Quick Start Guide'!D3,"Vi9bc32mhy4=")</f>
        <v>#VALUE!</v>
      </c>
      <c r="AV1" t="e">
        <f>AND('Quick Start Guide'!E3,"Vi9bc32mhy8=")</f>
        <v>#VALUE!</v>
      </c>
      <c r="AW1">
        <f>IF('Quick Start Guide'!4:4,"Vi9bc32mhzA=",0)</f>
        <v>0</v>
      </c>
      <c r="AX1" t="e">
        <f>AND('Quick Start Guide'!A4,"Vi9bc32mhzE=")</f>
        <v>#VALUE!</v>
      </c>
      <c r="AY1" t="e">
        <f>AND('Quick Start Guide'!#REF!,"Vi9bc32mhzI=")</f>
        <v>#REF!</v>
      </c>
      <c r="AZ1" t="e">
        <f>AND('Quick Start Guide'!#REF!,"Vi9bc32mhzM=")</f>
        <v>#REF!</v>
      </c>
      <c r="BA1" t="e">
        <f>AND('Quick Start Guide'!#REF!,"Vi9bc32mhzQ=")</f>
        <v>#REF!</v>
      </c>
      <c r="BB1" t="e">
        <f>AND('Quick Start Guide'!#REF!,"Vi9bc32mhzU=")</f>
        <v>#REF!</v>
      </c>
      <c r="BC1" t="e">
        <f>AND('Quick Start Guide'!#REF!,"Vi9bc32mhzY=")</f>
        <v>#REF!</v>
      </c>
      <c r="BD1" t="e">
        <f>AND('Quick Start Guide'!#REF!,"Vi9bc32mhzc=")</f>
        <v>#REF!</v>
      </c>
      <c r="BE1" t="e">
        <f>AND('Quick Start Guide'!#REF!,"Vi9bc32mhzg=")</f>
        <v>#REF!</v>
      </c>
      <c r="BF1" t="e">
        <f>AND('Quick Start Guide'!#REF!,"Vi9bc32mhzk=")</f>
        <v>#REF!</v>
      </c>
      <c r="BG1" t="e">
        <f>AND('Quick Start Guide'!#REF!,"Vi9bc32mhzo=")</f>
        <v>#REF!</v>
      </c>
      <c r="BH1" t="e">
        <f>AND('Quick Start Guide'!#REF!,"Vi9bc32mhzs=")</f>
        <v>#REF!</v>
      </c>
      <c r="BI1" t="e">
        <f>AND('Quick Start Guide'!B4,"Vi9bc32mhzw=")</f>
        <v>#VALUE!</v>
      </c>
      <c r="BJ1" t="e">
        <f>AND('Quick Start Guide'!C4,"Vi9bc32mhz0=")</f>
        <v>#VALUE!</v>
      </c>
      <c r="BK1" t="e">
        <f>AND('Quick Start Guide'!D4,"Vi9bc32mhz4=")</f>
        <v>#VALUE!</v>
      </c>
      <c r="BL1" t="e">
        <f>AND('Quick Start Guide'!E4,"Vi9bc32mhz8=")</f>
        <v>#VALUE!</v>
      </c>
      <c r="BM1">
        <f>IF('Quick Start Guide'!5:5,"Vi9bc32mh0A=",0)</f>
        <v>0</v>
      </c>
      <c r="BN1" t="e">
        <f>AND('Quick Start Guide'!A5,"Vi9bc32mh0E=")</f>
        <v>#VALUE!</v>
      </c>
      <c r="BO1" t="e">
        <f>AND('Quick Start Guide'!#REF!,"Vi9bc32mh0I=")</f>
        <v>#REF!</v>
      </c>
      <c r="BP1" t="e">
        <f>AND('Quick Start Guide'!#REF!,"Vi9bc32mh0M=")</f>
        <v>#REF!</v>
      </c>
      <c r="BQ1" t="e">
        <f>AND('Quick Start Guide'!#REF!,"Vi9bc32mh0Q=")</f>
        <v>#REF!</v>
      </c>
      <c r="BR1" t="e">
        <f>AND('Quick Start Guide'!#REF!,"Vi9bc32mh0U=")</f>
        <v>#REF!</v>
      </c>
      <c r="BS1" t="e">
        <f>AND('Quick Start Guide'!#REF!,"Vi9bc32mh0Y=")</f>
        <v>#REF!</v>
      </c>
      <c r="BT1" t="e">
        <f>AND('Quick Start Guide'!#REF!,"Vi9bc32mh0c=")</f>
        <v>#REF!</v>
      </c>
      <c r="BU1" t="e">
        <f>AND('Quick Start Guide'!#REF!,"Vi9bc32mh0g=")</f>
        <v>#REF!</v>
      </c>
      <c r="BV1" t="e">
        <f>AND('Quick Start Guide'!#REF!,"Vi9bc32mh0k=")</f>
        <v>#REF!</v>
      </c>
      <c r="BW1" t="e">
        <f>AND('Quick Start Guide'!#REF!,"Vi9bc32mh0o=")</f>
        <v>#REF!</v>
      </c>
      <c r="BX1" t="e">
        <f>AND('Quick Start Guide'!#REF!,"Vi9bc32mh0s=")</f>
        <v>#REF!</v>
      </c>
      <c r="BY1" t="e">
        <f>AND('Quick Start Guide'!B5,"Vi9bc32mh0w=")</f>
        <v>#VALUE!</v>
      </c>
      <c r="BZ1" t="e">
        <f>AND('Quick Start Guide'!C5,"Vi9bc32mh00=")</f>
        <v>#VALUE!</v>
      </c>
      <c r="CA1" t="e">
        <f>AND('Quick Start Guide'!D5,"Vi9bc32mh04=")</f>
        <v>#VALUE!</v>
      </c>
      <c r="CB1" t="e">
        <f>AND('Quick Start Guide'!E5,"Vi9bc32mh08=")</f>
        <v>#VALUE!</v>
      </c>
      <c r="CC1">
        <f>IF('Quick Start Guide'!6:6,"Vi9bc32mh1A=",0)</f>
        <v>0</v>
      </c>
      <c r="CD1" t="e">
        <f>AND('Quick Start Guide'!A6,"Vi9bc32mh1E=")</f>
        <v>#VALUE!</v>
      </c>
      <c r="CE1" t="e">
        <f>AND('Quick Start Guide'!#REF!,"Vi9bc32mh1I=")</f>
        <v>#REF!</v>
      </c>
      <c r="CF1" t="e">
        <f>AND('Quick Start Guide'!#REF!,"Vi9bc32mh1M=")</f>
        <v>#REF!</v>
      </c>
      <c r="CG1" t="e">
        <f>AND('Quick Start Guide'!#REF!,"Vi9bc32mh1Q=")</f>
        <v>#REF!</v>
      </c>
      <c r="CH1" t="e">
        <f>AND('Quick Start Guide'!#REF!,"Vi9bc32mh1U=")</f>
        <v>#REF!</v>
      </c>
      <c r="CI1" t="e">
        <f>AND('Quick Start Guide'!#REF!,"Vi9bc32mh1Y=")</f>
        <v>#REF!</v>
      </c>
      <c r="CJ1" t="e">
        <f>AND('Quick Start Guide'!#REF!,"Vi9bc32mh1c=")</f>
        <v>#REF!</v>
      </c>
      <c r="CK1" t="e">
        <f>AND('Quick Start Guide'!#REF!,"Vi9bc32mh1g=")</f>
        <v>#REF!</v>
      </c>
      <c r="CL1" t="e">
        <f>AND('Quick Start Guide'!#REF!,"Vi9bc32mh1k=")</f>
        <v>#REF!</v>
      </c>
      <c r="CM1" t="e">
        <f>AND('Quick Start Guide'!#REF!,"Vi9bc32mh1o=")</f>
        <v>#REF!</v>
      </c>
      <c r="CN1" t="e">
        <f>AND('Quick Start Guide'!#REF!,"Vi9bc32mh1s=")</f>
        <v>#REF!</v>
      </c>
      <c r="CO1" t="e">
        <f>AND('Quick Start Guide'!B6,"Vi9bc32mh1w=")</f>
        <v>#VALUE!</v>
      </c>
      <c r="CP1" t="e">
        <f>AND('Quick Start Guide'!C6,"Vi9bc32mh10=")</f>
        <v>#VALUE!</v>
      </c>
      <c r="CQ1" t="e">
        <f>AND('Quick Start Guide'!D6,"Vi9bc32mh14=")</f>
        <v>#VALUE!</v>
      </c>
      <c r="CR1" t="e">
        <f>AND('Quick Start Guide'!E6,"Vi9bc32mh18=")</f>
        <v>#VALUE!</v>
      </c>
      <c r="CS1">
        <f>IF('Quick Start Guide'!7:7,"Vi9bc32mh2A=",0)</f>
        <v>0</v>
      </c>
      <c r="CT1" t="e">
        <f>AND('Quick Start Guide'!A7,"Vi9bc32mh2E=")</f>
        <v>#VALUE!</v>
      </c>
      <c r="CU1" t="e">
        <f>AND('Quick Start Guide'!#REF!,"Vi9bc32mh2I=")</f>
        <v>#REF!</v>
      </c>
      <c r="CV1" t="e">
        <f>AND('Quick Start Guide'!#REF!,"Vi9bc32mh2M=")</f>
        <v>#REF!</v>
      </c>
      <c r="CW1" t="e">
        <f>AND('Quick Start Guide'!#REF!,"Vi9bc32mh2Q=")</f>
        <v>#REF!</v>
      </c>
      <c r="CX1" t="e">
        <f>AND('Quick Start Guide'!#REF!,"Vi9bc32mh2U=")</f>
        <v>#REF!</v>
      </c>
      <c r="CY1" t="e">
        <f>AND('Quick Start Guide'!#REF!,"Vi9bc32mh2Y=")</f>
        <v>#REF!</v>
      </c>
      <c r="CZ1" t="e">
        <f>AND('Quick Start Guide'!#REF!,"Vi9bc32mh2c=")</f>
        <v>#REF!</v>
      </c>
      <c r="DA1" t="e">
        <f>AND('Quick Start Guide'!#REF!,"Vi9bc32mh2g=")</f>
        <v>#REF!</v>
      </c>
      <c r="DB1" t="e">
        <f>AND('Quick Start Guide'!#REF!,"Vi9bc32mh2k=")</f>
        <v>#REF!</v>
      </c>
      <c r="DC1" t="e">
        <f>AND('Quick Start Guide'!#REF!,"Vi9bc32mh2o=")</f>
        <v>#REF!</v>
      </c>
      <c r="DD1" t="e">
        <f>AND('Quick Start Guide'!#REF!,"Vi9bc32mh2s=")</f>
        <v>#REF!</v>
      </c>
      <c r="DE1" t="e">
        <f>AND('Quick Start Guide'!B7,"Vi9bc32mh2w=")</f>
        <v>#VALUE!</v>
      </c>
      <c r="DF1" t="e">
        <f>AND('Quick Start Guide'!C7,"Vi9bc32mh20=")</f>
        <v>#VALUE!</v>
      </c>
      <c r="DG1" t="e">
        <f>AND('Quick Start Guide'!D7,"Vi9bc32mh24=")</f>
        <v>#VALUE!</v>
      </c>
      <c r="DH1" t="e">
        <f>AND('Quick Start Guide'!E7,"Vi9bc32mh28=")</f>
        <v>#VALUE!</v>
      </c>
      <c r="DI1">
        <f>IF('Quick Start Guide'!8:8,"Vi9bc32mh3A=",0)</f>
        <v>0</v>
      </c>
      <c r="DJ1" t="e">
        <f>AND('Quick Start Guide'!A8,"Vi9bc32mh3E=")</f>
        <v>#VALUE!</v>
      </c>
      <c r="DK1" t="e">
        <f>AND('Quick Start Guide'!#REF!,"Vi9bc32mh3I=")</f>
        <v>#REF!</v>
      </c>
      <c r="DL1" t="e">
        <f>AND('Quick Start Guide'!#REF!,"Vi9bc32mh3M=")</f>
        <v>#REF!</v>
      </c>
      <c r="DM1" t="e">
        <f>AND('Quick Start Guide'!#REF!,"Vi9bc32mh3Q=")</f>
        <v>#REF!</v>
      </c>
      <c r="DN1" t="e">
        <f>AND('Quick Start Guide'!#REF!,"Vi9bc32mh3U=")</f>
        <v>#REF!</v>
      </c>
      <c r="DO1" t="e">
        <f>AND('Quick Start Guide'!#REF!,"Vi9bc32mh3Y=")</f>
        <v>#REF!</v>
      </c>
      <c r="DP1" t="e">
        <f>AND('Quick Start Guide'!#REF!,"Vi9bc32mh3c=")</f>
        <v>#REF!</v>
      </c>
      <c r="DQ1" t="e">
        <f>AND('Quick Start Guide'!#REF!,"Vi9bc32mh3g=")</f>
        <v>#REF!</v>
      </c>
      <c r="DR1" t="e">
        <f>AND('Quick Start Guide'!#REF!,"Vi9bc32mh3k=")</f>
        <v>#REF!</v>
      </c>
      <c r="DS1" t="e">
        <f>AND('Quick Start Guide'!#REF!,"Vi9bc32mh3o=")</f>
        <v>#REF!</v>
      </c>
      <c r="DT1" t="e">
        <f>AND('Quick Start Guide'!#REF!,"Vi9bc32mh3s=")</f>
        <v>#REF!</v>
      </c>
      <c r="DU1" t="e">
        <f>AND('Quick Start Guide'!B8,"Vi9bc32mh3w=")</f>
        <v>#VALUE!</v>
      </c>
      <c r="DV1" t="e">
        <f>AND('Quick Start Guide'!C8,"Vi9bc32mh30=")</f>
        <v>#VALUE!</v>
      </c>
      <c r="DW1" t="e">
        <f>AND('Quick Start Guide'!D8,"Vi9bc32mh34=")</f>
        <v>#VALUE!</v>
      </c>
      <c r="DX1" t="e">
        <f>AND('Quick Start Guide'!E8,"Vi9bc32mh38=")</f>
        <v>#VALUE!</v>
      </c>
      <c r="DY1">
        <f>IF('Quick Start Guide'!9:9,"Vi9bc32mh4A=",0)</f>
        <v>0</v>
      </c>
      <c r="DZ1" t="e">
        <f>AND('Quick Start Guide'!A9,"Vi9bc32mh4E=")</f>
        <v>#VALUE!</v>
      </c>
      <c r="EA1" t="e">
        <f>AND('Quick Start Guide'!#REF!,"Vi9bc32mh4I=")</f>
        <v>#REF!</v>
      </c>
      <c r="EB1" t="e">
        <f>AND('Quick Start Guide'!#REF!,"Vi9bc32mh4M=")</f>
        <v>#REF!</v>
      </c>
      <c r="EC1" t="e">
        <f>AND('Quick Start Guide'!#REF!,"Vi9bc32mh4Q=")</f>
        <v>#REF!</v>
      </c>
      <c r="ED1" t="e">
        <f>AND('Quick Start Guide'!#REF!,"Vi9bc32mh4U=")</f>
        <v>#REF!</v>
      </c>
      <c r="EE1" t="e">
        <f>AND('Quick Start Guide'!#REF!,"Vi9bc32mh4Y=")</f>
        <v>#REF!</v>
      </c>
      <c r="EF1" t="e">
        <f>AND('Quick Start Guide'!#REF!,"Vi9bc32mh4c=")</f>
        <v>#REF!</v>
      </c>
      <c r="EG1" t="e">
        <f>AND('Quick Start Guide'!#REF!,"Vi9bc32mh4g=")</f>
        <v>#REF!</v>
      </c>
      <c r="EH1" t="e">
        <f>AND('Quick Start Guide'!#REF!,"Vi9bc32mh4k=")</f>
        <v>#REF!</v>
      </c>
      <c r="EI1" t="e">
        <f>AND('Quick Start Guide'!#REF!,"Vi9bc32mh4o=")</f>
        <v>#REF!</v>
      </c>
      <c r="EJ1" t="e">
        <f>AND('Quick Start Guide'!#REF!,"Vi9bc32mh4s=")</f>
        <v>#REF!</v>
      </c>
      <c r="EK1" t="e">
        <f>AND('Quick Start Guide'!B9,"Vi9bc32mh4w=")</f>
        <v>#VALUE!</v>
      </c>
      <c r="EL1" t="e">
        <f>AND('Quick Start Guide'!C9,"Vi9bc32mh40=")</f>
        <v>#VALUE!</v>
      </c>
      <c r="EM1" t="e">
        <f>AND('Quick Start Guide'!D9,"Vi9bc32mh44=")</f>
        <v>#VALUE!</v>
      </c>
      <c r="EN1" t="e">
        <f>AND('Quick Start Guide'!E9,"Vi9bc32mh48=")</f>
        <v>#VALUE!</v>
      </c>
      <c r="EO1">
        <f>IF('Quick Start Guide'!10:10,"Vi9bc32mh5A=",0)</f>
        <v>0</v>
      </c>
      <c r="EP1" t="e">
        <f>AND('Quick Start Guide'!A10,"Vi9bc32mh5E=")</f>
        <v>#VALUE!</v>
      </c>
      <c r="EQ1" t="e">
        <f>AND('Quick Start Guide'!#REF!,"Vi9bc32mh5I=")</f>
        <v>#REF!</v>
      </c>
      <c r="ER1" t="e">
        <f>AND('Quick Start Guide'!#REF!,"Vi9bc32mh5M=")</f>
        <v>#REF!</v>
      </c>
      <c r="ES1" t="e">
        <f>AND('Quick Start Guide'!#REF!,"Vi9bc32mh5Q=")</f>
        <v>#REF!</v>
      </c>
      <c r="ET1" t="e">
        <f>AND('Quick Start Guide'!#REF!,"Vi9bc32mh5U=")</f>
        <v>#REF!</v>
      </c>
      <c r="EU1" t="e">
        <f>AND('Quick Start Guide'!#REF!,"Vi9bc32mh5Y=")</f>
        <v>#REF!</v>
      </c>
      <c r="EV1" t="e">
        <f>AND('Quick Start Guide'!#REF!,"Vi9bc32mh5c=")</f>
        <v>#REF!</v>
      </c>
      <c r="EW1" t="e">
        <f>AND('Quick Start Guide'!#REF!,"Vi9bc32mh5g=")</f>
        <v>#REF!</v>
      </c>
      <c r="EX1" t="e">
        <f>AND('Quick Start Guide'!#REF!,"Vi9bc32mh5k=")</f>
        <v>#REF!</v>
      </c>
      <c r="EY1" t="e">
        <f>AND('Quick Start Guide'!#REF!,"Vi9bc32mh5o=")</f>
        <v>#REF!</v>
      </c>
      <c r="EZ1" t="e">
        <f>AND('Quick Start Guide'!#REF!,"Vi9bc32mh5s=")</f>
        <v>#REF!</v>
      </c>
      <c r="FA1" t="e">
        <f>AND('Quick Start Guide'!B10,"Vi9bc32mh5w=")</f>
        <v>#VALUE!</v>
      </c>
      <c r="FB1" t="e">
        <f>AND('Quick Start Guide'!C10,"Vi9bc32mh50=")</f>
        <v>#VALUE!</v>
      </c>
      <c r="FC1" t="e">
        <f>AND('Quick Start Guide'!D10,"Vi9bc32mh54=")</f>
        <v>#VALUE!</v>
      </c>
      <c r="FD1" t="e">
        <f>AND('Quick Start Guide'!E10,"Vi9bc32mh58=")</f>
        <v>#VALUE!</v>
      </c>
      <c r="FE1" t="e">
        <f>IF('Quick Start Guide'!#REF!,"Vi9bc32mh6A=",0)</f>
        <v>#REF!</v>
      </c>
      <c r="FF1" t="e">
        <f>AND('Quick Start Guide'!#REF!,"Vi9bc32mh6E=")</f>
        <v>#REF!</v>
      </c>
      <c r="FG1" t="e">
        <f>AND('Quick Start Guide'!#REF!,"Vi9bc32mh6I=")</f>
        <v>#REF!</v>
      </c>
      <c r="FH1" t="e">
        <f>AND('Quick Start Guide'!#REF!,"Vi9bc32mh6M=")</f>
        <v>#REF!</v>
      </c>
      <c r="FI1" t="e">
        <f>AND('Quick Start Guide'!#REF!,"Vi9bc32mh6Q=")</f>
        <v>#REF!</v>
      </c>
      <c r="FJ1" t="e">
        <f>AND('Quick Start Guide'!#REF!,"Vi9bc32mh6U=")</f>
        <v>#REF!</v>
      </c>
      <c r="FK1" t="e">
        <f>AND('Quick Start Guide'!#REF!,"Vi9bc32mh6Y=")</f>
        <v>#REF!</v>
      </c>
      <c r="FL1" t="e">
        <f>AND('Quick Start Guide'!#REF!,"Vi9bc32mh6c=")</f>
        <v>#REF!</v>
      </c>
      <c r="FM1" t="e">
        <f>AND('Quick Start Guide'!#REF!,"Vi9bc32mh6g=")</f>
        <v>#REF!</v>
      </c>
      <c r="FN1" t="e">
        <f>AND('Quick Start Guide'!#REF!,"Vi9bc32mh6k=")</f>
        <v>#REF!</v>
      </c>
      <c r="FO1" t="e">
        <f>AND('Quick Start Guide'!#REF!,"Vi9bc32mh6o=")</f>
        <v>#REF!</v>
      </c>
      <c r="FP1" t="e">
        <f>AND('Quick Start Guide'!#REF!,"Vi9bc32mh6s=")</f>
        <v>#REF!</v>
      </c>
      <c r="FQ1" t="e">
        <f>AND('Quick Start Guide'!#REF!,"Vi9bc32mh6w=")</f>
        <v>#REF!</v>
      </c>
      <c r="FR1" t="e">
        <f>AND('Quick Start Guide'!#REF!,"Vi9bc32mh60=")</f>
        <v>#REF!</v>
      </c>
      <c r="FS1" t="e">
        <f>AND('Quick Start Guide'!#REF!,"Vi9bc32mh64=")</f>
        <v>#REF!</v>
      </c>
      <c r="FT1" t="e">
        <f>AND('Quick Start Guide'!#REF!,"Vi9bc32mh68=")</f>
        <v>#REF!</v>
      </c>
      <c r="FU1">
        <f>IF('Quick Start Guide'!11:11,"Vi9bc32mh7A=",0)</f>
        <v>0</v>
      </c>
      <c r="FV1" t="e">
        <f>AND('Quick Start Guide'!A11,"Vi9bc32mh7E=")</f>
        <v>#VALUE!</v>
      </c>
      <c r="FW1" t="e">
        <f>AND('Quick Start Guide'!#REF!,"Vi9bc32mh7I=")</f>
        <v>#REF!</v>
      </c>
      <c r="FX1" t="e">
        <f>AND('Quick Start Guide'!#REF!,"Vi9bc32mh7M=")</f>
        <v>#REF!</v>
      </c>
      <c r="FY1" t="e">
        <f>AND('Quick Start Guide'!#REF!,"Vi9bc32mh7Q=")</f>
        <v>#REF!</v>
      </c>
      <c r="FZ1" t="e">
        <f>AND('Quick Start Guide'!#REF!,"Vi9bc32mh7U=")</f>
        <v>#REF!</v>
      </c>
      <c r="GA1" t="e">
        <f>AND('Quick Start Guide'!#REF!,"Vi9bc32mh7Y=")</f>
        <v>#REF!</v>
      </c>
      <c r="GB1" t="e">
        <f>AND('Quick Start Guide'!#REF!,"Vi9bc32mh7c=")</f>
        <v>#REF!</v>
      </c>
      <c r="GC1" t="e">
        <f>AND('Quick Start Guide'!#REF!,"Vi9bc32mh7g=")</f>
        <v>#REF!</v>
      </c>
      <c r="GD1" t="e">
        <f>AND('Quick Start Guide'!#REF!,"Vi9bc32mh7k=")</f>
        <v>#REF!</v>
      </c>
      <c r="GE1" t="e">
        <f>AND('Quick Start Guide'!#REF!,"Vi9bc32mh7o=")</f>
        <v>#REF!</v>
      </c>
      <c r="GF1" t="e">
        <f>AND('Quick Start Guide'!#REF!,"Vi9bc32mh7s=")</f>
        <v>#REF!</v>
      </c>
      <c r="GG1" t="e">
        <f>AND('Quick Start Guide'!B11,"Vi9bc32mh7w=")</f>
        <v>#VALUE!</v>
      </c>
      <c r="GH1" t="e">
        <f>AND('Quick Start Guide'!C11,"Vi9bc32mh70=")</f>
        <v>#VALUE!</v>
      </c>
      <c r="GI1" t="e">
        <f>AND('Quick Start Guide'!D11,"Vi9bc32mh74=")</f>
        <v>#VALUE!</v>
      </c>
      <c r="GJ1" t="e">
        <f>AND('Quick Start Guide'!E11,"Vi9bc32mh78=")</f>
        <v>#VALUE!</v>
      </c>
      <c r="GK1">
        <f>IF('Quick Start Guide'!12:12,"Vi9bc32mh8A=",0)</f>
        <v>0</v>
      </c>
      <c r="GL1" t="e">
        <f>AND('Quick Start Guide'!A12,"Vi9bc32mh8E=")</f>
        <v>#VALUE!</v>
      </c>
      <c r="GM1" t="e">
        <f>AND('Quick Start Guide'!#REF!,"Vi9bc32mh8I=")</f>
        <v>#REF!</v>
      </c>
      <c r="GN1" t="e">
        <f>AND('Quick Start Guide'!#REF!,"Vi9bc32mh8M=")</f>
        <v>#REF!</v>
      </c>
      <c r="GO1" t="e">
        <f>AND('Quick Start Guide'!#REF!,"Vi9bc32mh8Q=")</f>
        <v>#REF!</v>
      </c>
      <c r="GP1" t="e">
        <f>AND('Quick Start Guide'!#REF!,"Vi9bc32mh8U=")</f>
        <v>#REF!</v>
      </c>
      <c r="GQ1" t="e">
        <f>AND('Quick Start Guide'!#REF!,"Vi9bc32mh8Y=")</f>
        <v>#REF!</v>
      </c>
      <c r="GR1" t="e">
        <f>AND('Quick Start Guide'!#REF!,"Vi9bc32mh8c=")</f>
        <v>#REF!</v>
      </c>
      <c r="GS1" t="e">
        <f>AND('Quick Start Guide'!#REF!,"Vi9bc32mh8g=")</f>
        <v>#REF!</v>
      </c>
      <c r="GT1" t="e">
        <f>AND('Quick Start Guide'!#REF!,"Vi9bc32mh8k=")</f>
        <v>#REF!</v>
      </c>
      <c r="GU1" t="e">
        <f>AND('Quick Start Guide'!#REF!,"Vi9bc32mh8o=")</f>
        <v>#REF!</v>
      </c>
      <c r="GV1" t="e">
        <f>AND('Quick Start Guide'!#REF!,"Vi9bc32mh8s=")</f>
        <v>#REF!</v>
      </c>
      <c r="GW1" t="e">
        <f>AND('Quick Start Guide'!B12,"Vi9bc32mh8w=")</f>
        <v>#VALUE!</v>
      </c>
      <c r="GX1" t="e">
        <f>AND('Quick Start Guide'!C12,"Vi9bc32mh80=")</f>
        <v>#VALUE!</v>
      </c>
      <c r="GY1" t="e">
        <f>AND('Quick Start Guide'!D12,"Vi9bc32mh84=")</f>
        <v>#VALUE!</v>
      </c>
      <c r="GZ1" t="e">
        <f>AND('Quick Start Guide'!E12,"Vi9bc32mh88=")</f>
        <v>#VALUE!</v>
      </c>
      <c r="HA1">
        <f>IF('Quick Start Guide'!13:13,"Vi9bc32mh9A=",0)</f>
        <v>0</v>
      </c>
      <c r="HB1" t="e">
        <f>AND('Quick Start Guide'!A13,"Vi9bc32mh9E=")</f>
        <v>#VALUE!</v>
      </c>
      <c r="HC1" t="e">
        <f>AND('Quick Start Guide'!#REF!,"Vi9bc32mh9I=")</f>
        <v>#REF!</v>
      </c>
      <c r="HD1" t="e">
        <f>AND('Quick Start Guide'!#REF!,"Vi9bc32mh9M=")</f>
        <v>#REF!</v>
      </c>
      <c r="HE1" t="e">
        <f>AND('Quick Start Guide'!#REF!,"Vi9bc32mh9Q=")</f>
        <v>#REF!</v>
      </c>
      <c r="HF1" t="e">
        <f>AND('Quick Start Guide'!#REF!,"Vi9bc32mh9U=")</f>
        <v>#REF!</v>
      </c>
      <c r="HG1" t="e">
        <f>AND('Quick Start Guide'!#REF!,"Vi9bc32mh9Y=")</f>
        <v>#REF!</v>
      </c>
      <c r="HH1" t="e">
        <f>AND('Quick Start Guide'!#REF!,"Vi9bc32mh9c=")</f>
        <v>#REF!</v>
      </c>
      <c r="HI1" t="e">
        <f>AND('Quick Start Guide'!#REF!,"Vi9bc32mh9g=")</f>
        <v>#REF!</v>
      </c>
      <c r="HJ1" t="e">
        <f>AND('Quick Start Guide'!#REF!,"Vi9bc32mh9k=")</f>
        <v>#REF!</v>
      </c>
      <c r="HK1" t="e">
        <f>AND('Quick Start Guide'!#REF!,"Vi9bc32mh9o=")</f>
        <v>#REF!</v>
      </c>
      <c r="HL1" t="e">
        <f>AND('Quick Start Guide'!#REF!,"Vi9bc32mh9s=")</f>
        <v>#REF!</v>
      </c>
      <c r="HM1" t="e">
        <f>AND('Quick Start Guide'!B13,"Vi9bc32mh9w=")</f>
        <v>#VALUE!</v>
      </c>
      <c r="HN1" t="e">
        <f>AND('Quick Start Guide'!C13,"Vi9bc32mh90=")</f>
        <v>#VALUE!</v>
      </c>
      <c r="HO1" t="e">
        <f>AND('Quick Start Guide'!D13,"Vi9bc32mh94=")</f>
        <v>#VALUE!</v>
      </c>
      <c r="HP1" t="e">
        <f>AND('Quick Start Guide'!E13,"Vi9bc32mh98=")</f>
        <v>#VALUE!</v>
      </c>
      <c r="HQ1">
        <f>IF('Quick Start Guide'!14:14,"Vi9bc32mh+A=",0)</f>
        <v>0</v>
      </c>
      <c r="HR1" t="e">
        <f>AND('Quick Start Guide'!A14,"Vi9bc32mh+E=")</f>
        <v>#VALUE!</v>
      </c>
      <c r="HS1" t="e">
        <f>AND('Quick Start Guide'!#REF!,"Vi9bc32mh+I=")</f>
        <v>#REF!</v>
      </c>
      <c r="HT1" t="e">
        <f>AND('Quick Start Guide'!#REF!,"Vi9bc32mh+M=")</f>
        <v>#REF!</v>
      </c>
      <c r="HU1" t="e">
        <f>AND('Quick Start Guide'!#REF!,"Vi9bc32mh+Q=")</f>
        <v>#REF!</v>
      </c>
      <c r="HV1" t="e">
        <f>AND('Quick Start Guide'!#REF!,"Vi9bc32mh+U=")</f>
        <v>#REF!</v>
      </c>
      <c r="HW1" t="e">
        <f>AND('Quick Start Guide'!#REF!,"Vi9bc32mh+Y=")</f>
        <v>#REF!</v>
      </c>
      <c r="HX1" t="e">
        <f>AND('Quick Start Guide'!#REF!,"Vi9bc32mh+c=")</f>
        <v>#REF!</v>
      </c>
      <c r="HY1" t="e">
        <f>AND('Quick Start Guide'!#REF!,"Vi9bc32mh+g=")</f>
        <v>#REF!</v>
      </c>
      <c r="HZ1" t="e">
        <f>AND('Quick Start Guide'!#REF!,"Vi9bc32mh+k=")</f>
        <v>#REF!</v>
      </c>
      <c r="IA1" t="e">
        <f>AND('Quick Start Guide'!#REF!,"Vi9bc32mh+o=")</f>
        <v>#REF!</v>
      </c>
      <c r="IB1" t="e">
        <f>AND('Quick Start Guide'!#REF!,"Vi9bc32mh+s=")</f>
        <v>#REF!</v>
      </c>
      <c r="IC1" t="e">
        <f>AND('Quick Start Guide'!B14,"Vi9bc32mh+w=")</f>
        <v>#VALUE!</v>
      </c>
      <c r="ID1" t="e">
        <f>AND('Quick Start Guide'!C14,"Vi9bc32mh+0=")</f>
        <v>#VALUE!</v>
      </c>
      <c r="IE1" t="e">
        <f>AND('Quick Start Guide'!D14,"Vi9bc32mh+4=")</f>
        <v>#VALUE!</v>
      </c>
      <c r="IF1" t="e">
        <f>AND('Quick Start Guide'!E14,"Vi9bc32mh+8=")</f>
        <v>#VALUE!</v>
      </c>
      <c r="IG1">
        <f>IF('Quick Start Guide'!15:15,"Vi9bc32mh/A=",0)</f>
        <v>0</v>
      </c>
      <c r="IH1" t="e">
        <f>AND('Quick Start Guide'!A15,"Vi9bc32mh/E=")</f>
        <v>#VALUE!</v>
      </c>
      <c r="II1" t="e">
        <f>AND('Quick Start Guide'!#REF!,"Vi9bc32mh/I=")</f>
        <v>#REF!</v>
      </c>
      <c r="IJ1" t="e">
        <f>AND('Quick Start Guide'!#REF!,"Vi9bc32mh/M=")</f>
        <v>#REF!</v>
      </c>
      <c r="IK1" t="e">
        <f>AND('Quick Start Guide'!#REF!,"Vi9bc32mh/Q=")</f>
        <v>#REF!</v>
      </c>
      <c r="IL1" t="e">
        <f>AND('Quick Start Guide'!#REF!,"Vi9bc32mh/U=")</f>
        <v>#REF!</v>
      </c>
      <c r="IM1" t="e">
        <f>AND('Quick Start Guide'!#REF!,"Vi9bc32mh/Y=")</f>
        <v>#REF!</v>
      </c>
      <c r="IN1" t="e">
        <f>AND('Quick Start Guide'!#REF!,"Vi9bc32mh/c=")</f>
        <v>#REF!</v>
      </c>
      <c r="IO1" t="e">
        <f>AND('Quick Start Guide'!#REF!,"Vi9bc32mh/g=")</f>
        <v>#REF!</v>
      </c>
      <c r="IP1" t="e">
        <f>AND('Quick Start Guide'!#REF!,"Vi9bc32mh/k=")</f>
        <v>#REF!</v>
      </c>
      <c r="IQ1" t="e">
        <f>AND('Quick Start Guide'!#REF!,"Vi9bc32mh/o=")</f>
        <v>#REF!</v>
      </c>
      <c r="IR1" t="e">
        <f>AND('Quick Start Guide'!#REF!,"Vi9bc32mh/s=")</f>
        <v>#REF!</v>
      </c>
      <c r="IS1" t="e">
        <f>AND('Quick Start Guide'!B15,"Vi9bc32mh/w=")</f>
        <v>#VALUE!</v>
      </c>
      <c r="IT1" t="e">
        <f>AND('Quick Start Guide'!C15,"Vi9bc32mh/0=")</f>
        <v>#VALUE!</v>
      </c>
      <c r="IU1" t="e">
        <f>AND('Quick Start Guide'!D15,"Vi9bc32mh/4=")</f>
        <v>#VALUE!</v>
      </c>
      <c r="IV1" t="e">
        <f>AND('Quick Start Guide'!E15,"Vi9bc32mh/8=")</f>
        <v>#VALUE!</v>
      </c>
    </row>
    <row r="2" spans="1:256" x14ac:dyDescent="0.2">
      <c r="A2" t="e">
        <f>IF('Quick Start Guide'!16:16,"Xj7tfHFSWwA=",0)</f>
        <v>#VALUE!</v>
      </c>
      <c r="B2" t="e">
        <f>AND('Quick Start Guide'!A16,"Xj7tfHFSWwE=")</f>
        <v>#VALUE!</v>
      </c>
      <c r="C2" t="e">
        <f>AND('Quick Start Guide'!#REF!,"Xj7tfHFSWwI=")</f>
        <v>#REF!</v>
      </c>
      <c r="D2" t="e">
        <f>AND('Quick Start Guide'!#REF!,"Xj7tfHFSWwM=")</f>
        <v>#REF!</v>
      </c>
      <c r="E2" t="e">
        <f>AND('Quick Start Guide'!#REF!,"Xj7tfHFSWwQ=")</f>
        <v>#REF!</v>
      </c>
      <c r="F2" t="e">
        <f>AND('Quick Start Guide'!#REF!,"Xj7tfHFSWwU=")</f>
        <v>#REF!</v>
      </c>
      <c r="G2" t="e">
        <f>AND('Quick Start Guide'!#REF!,"Xj7tfHFSWwY=")</f>
        <v>#REF!</v>
      </c>
      <c r="H2" t="e">
        <f>AND('Quick Start Guide'!#REF!,"Xj7tfHFSWwc=")</f>
        <v>#REF!</v>
      </c>
      <c r="I2" t="e">
        <f>AND('Quick Start Guide'!#REF!,"Xj7tfHFSWwg=")</f>
        <v>#REF!</v>
      </c>
      <c r="J2" t="e">
        <f>AND('Quick Start Guide'!#REF!,"Xj7tfHFSWwk=")</f>
        <v>#REF!</v>
      </c>
      <c r="K2" t="e">
        <f>AND('Quick Start Guide'!#REF!,"Xj7tfHFSWwo=")</f>
        <v>#REF!</v>
      </c>
      <c r="L2" t="e">
        <f>AND('Quick Start Guide'!#REF!,"Xj7tfHFSWws=")</f>
        <v>#REF!</v>
      </c>
      <c r="M2" t="e">
        <f>AND('Quick Start Guide'!B16,"Xj7tfHFSWww=")</f>
        <v>#VALUE!</v>
      </c>
      <c r="N2" t="e">
        <f>AND('Quick Start Guide'!C16,"Xj7tfHFSWw0=")</f>
        <v>#VALUE!</v>
      </c>
      <c r="O2" t="e">
        <f>AND('Quick Start Guide'!D16,"Xj7tfHFSWw4=")</f>
        <v>#VALUE!</v>
      </c>
      <c r="P2" t="e">
        <f>AND('Quick Start Guide'!E16,"Xj7tfHFSWw8=")</f>
        <v>#VALUE!</v>
      </c>
      <c r="Q2">
        <f>IF('Quick Start Guide'!17:17,"Xj7tfHFSWxA=",0)</f>
        <v>0</v>
      </c>
      <c r="R2" t="e">
        <f>AND('Quick Start Guide'!A17,"Xj7tfHFSWxE=")</f>
        <v>#VALUE!</v>
      </c>
      <c r="S2" t="e">
        <f>AND('Quick Start Guide'!#REF!,"Xj7tfHFSWxI=")</f>
        <v>#REF!</v>
      </c>
      <c r="T2" t="e">
        <f>AND('Quick Start Guide'!#REF!,"Xj7tfHFSWxM=")</f>
        <v>#REF!</v>
      </c>
      <c r="U2" t="e">
        <f>AND('Quick Start Guide'!#REF!,"Xj7tfHFSWxQ=")</f>
        <v>#REF!</v>
      </c>
      <c r="V2" t="e">
        <f>AND('Quick Start Guide'!#REF!,"Xj7tfHFSWxU=")</f>
        <v>#REF!</v>
      </c>
      <c r="W2" t="e">
        <f>AND('Quick Start Guide'!#REF!,"Xj7tfHFSWxY=")</f>
        <v>#REF!</v>
      </c>
      <c r="X2" t="e">
        <f>AND('Quick Start Guide'!#REF!,"Xj7tfHFSWxc=")</f>
        <v>#REF!</v>
      </c>
      <c r="Y2" t="e">
        <f>AND('Quick Start Guide'!#REF!,"Xj7tfHFSWxg=")</f>
        <v>#REF!</v>
      </c>
      <c r="Z2" t="e">
        <f>AND('Quick Start Guide'!#REF!,"Xj7tfHFSWxk=")</f>
        <v>#REF!</v>
      </c>
      <c r="AA2" t="e">
        <f>AND('Quick Start Guide'!#REF!,"Xj7tfHFSWxo=")</f>
        <v>#REF!</v>
      </c>
      <c r="AB2" t="e">
        <f>AND('Quick Start Guide'!#REF!,"Xj7tfHFSWxs=")</f>
        <v>#REF!</v>
      </c>
      <c r="AC2" t="e">
        <f>AND('Quick Start Guide'!B17,"Xj7tfHFSWxw=")</f>
        <v>#VALUE!</v>
      </c>
      <c r="AD2" t="e">
        <f>AND('Quick Start Guide'!C17,"Xj7tfHFSWx0=")</f>
        <v>#VALUE!</v>
      </c>
      <c r="AE2" t="e">
        <f>AND('Quick Start Guide'!D17,"Xj7tfHFSWx4=")</f>
        <v>#VALUE!</v>
      </c>
      <c r="AF2" t="e">
        <f>AND('Quick Start Guide'!E17,"Xj7tfHFSWx8=")</f>
        <v>#VALUE!</v>
      </c>
      <c r="AG2">
        <f>IF('Quick Start Guide'!18:18,"Xj7tfHFSWyA=",0)</f>
        <v>0</v>
      </c>
      <c r="AH2" t="e">
        <f>AND('Quick Start Guide'!A18,"Xj7tfHFSWyE=")</f>
        <v>#VALUE!</v>
      </c>
      <c r="AI2" t="e">
        <f>AND('Quick Start Guide'!#REF!,"Xj7tfHFSWyI=")</f>
        <v>#REF!</v>
      </c>
      <c r="AJ2" t="e">
        <f>AND('Quick Start Guide'!#REF!,"Xj7tfHFSWyM=")</f>
        <v>#REF!</v>
      </c>
      <c r="AK2" t="e">
        <f>AND('Quick Start Guide'!#REF!,"Xj7tfHFSWyQ=")</f>
        <v>#REF!</v>
      </c>
      <c r="AL2" t="e">
        <f>AND('Quick Start Guide'!#REF!,"Xj7tfHFSWyU=")</f>
        <v>#REF!</v>
      </c>
      <c r="AM2" t="e">
        <f>AND('Quick Start Guide'!#REF!,"Xj7tfHFSWyY=")</f>
        <v>#REF!</v>
      </c>
      <c r="AN2" t="e">
        <f>AND('Quick Start Guide'!#REF!,"Xj7tfHFSWyc=")</f>
        <v>#REF!</v>
      </c>
      <c r="AO2" t="e">
        <f>AND('Quick Start Guide'!#REF!,"Xj7tfHFSWyg=")</f>
        <v>#REF!</v>
      </c>
      <c r="AP2" t="e">
        <f>AND('Quick Start Guide'!#REF!,"Xj7tfHFSWyk=")</f>
        <v>#REF!</v>
      </c>
      <c r="AQ2" t="e">
        <f>AND('Quick Start Guide'!#REF!,"Xj7tfHFSWyo=")</f>
        <v>#REF!</v>
      </c>
      <c r="AR2" t="e">
        <f>AND('Quick Start Guide'!#REF!,"Xj7tfHFSWys=")</f>
        <v>#REF!</v>
      </c>
      <c r="AS2" t="e">
        <f>AND('Quick Start Guide'!B18,"Xj7tfHFSWyw=")</f>
        <v>#VALUE!</v>
      </c>
      <c r="AT2" t="e">
        <f>AND('Quick Start Guide'!C18,"Xj7tfHFSWy0=")</f>
        <v>#VALUE!</v>
      </c>
      <c r="AU2" t="e">
        <f>AND('Quick Start Guide'!D18,"Xj7tfHFSWy4=")</f>
        <v>#VALUE!</v>
      </c>
      <c r="AV2" t="e">
        <f>AND('Quick Start Guide'!E18,"Xj7tfHFSWy8=")</f>
        <v>#VALUE!</v>
      </c>
      <c r="AW2">
        <f>IF('Quick Start Guide'!19:19,"Xj7tfHFSWzA=",0)</f>
        <v>0</v>
      </c>
      <c r="AX2" t="e">
        <f>AND('Quick Start Guide'!A19,"Xj7tfHFSWzE=")</f>
        <v>#VALUE!</v>
      </c>
      <c r="AY2" t="e">
        <f>AND('Quick Start Guide'!#REF!,"Xj7tfHFSWzI=")</f>
        <v>#REF!</v>
      </c>
      <c r="AZ2" t="e">
        <f>AND('Quick Start Guide'!#REF!,"Xj7tfHFSWzM=")</f>
        <v>#REF!</v>
      </c>
      <c r="BA2" t="e">
        <f>AND('Quick Start Guide'!#REF!,"Xj7tfHFSWzQ=")</f>
        <v>#REF!</v>
      </c>
      <c r="BB2" t="e">
        <f>AND('Quick Start Guide'!#REF!,"Xj7tfHFSWzU=")</f>
        <v>#REF!</v>
      </c>
      <c r="BC2" t="e">
        <f>AND('Quick Start Guide'!#REF!,"Xj7tfHFSWzY=")</f>
        <v>#REF!</v>
      </c>
      <c r="BD2" t="e">
        <f>AND('Quick Start Guide'!#REF!,"Xj7tfHFSWzc=")</f>
        <v>#REF!</v>
      </c>
      <c r="BE2" t="e">
        <f>AND('Quick Start Guide'!#REF!,"Xj7tfHFSWzg=")</f>
        <v>#REF!</v>
      </c>
      <c r="BF2" t="e">
        <f>AND('Quick Start Guide'!#REF!,"Xj7tfHFSWzk=")</f>
        <v>#REF!</v>
      </c>
      <c r="BG2" t="e">
        <f>AND('Quick Start Guide'!#REF!,"Xj7tfHFSWzo=")</f>
        <v>#REF!</v>
      </c>
      <c r="BH2" t="e">
        <f>AND('Quick Start Guide'!#REF!,"Xj7tfHFSWzs=")</f>
        <v>#REF!</v>
      </c>
      <c r="BI2" t="e">
        <f>AND('Quick Start Guide'!B19,"Xj7tfHFSWzw=")</f>
        <v>#VALUE!</v>
      </c>
      <c r="BJ2" t="e">
        <f>AND('Quick Start Guide'!C19,"Xj7tfHFSWz0=")</f>
        <v>#VALUE!</v>
      </c>
      <c r="BK2" t="e">
        <f>AND('Quick Start Guide'!D19,"Xj7tfHFSWz4=")</f>
        <v>#VALUE!</v>
      </c>
      <c r="BL2" t="e">
        <f>AND('Quick Start Guide'!E19,"Xj7tfHFSWz8=")</f>
        <v>#VALUE!</v>
      </c>
      <c r="BM2">
        <f>IF('Quick Start Guide'!20:20,"Xj7tfHFSW0A=",0)</f>
        <v>0</v>
      </c>
      <c r="BN2" t="e">
        <f>AND('Quick Start Guide'!A20,"Xj7tfHFSW0E=")</f>
        <v>#VALUE!</v>
      </c>
      <c r="BO2" t="e">
        <f>AND('Quick Start Guide'!#REF!,"Xj7tfHFSW0I=")</f>
        <v>#REF!</v>
      </c>
      <c r="BP2" t="e">
        <f>AND('Quick Start Guide'!#REF!,"Xj7tfHFSW0M=")</f>
        <v>#REF!</v>
      </c>
      <c r="BQ2" t="e">
        <f>AND('Quick Start Guide'!#REF!,"Xj7tfHFSW0Q=")</f>
        <v>#REF!</v>
      </c>
      <c r="BR2" t="e">
        <f>AND('Quick Start Guide'!#REF!,"Xj7tfHFSW0U=")</f>
        <v>#REF!</v>
      </c>
      <c r="BS2" t="e">
        <f>AND('Quick Start Guide'!#REF!,"Xj7tfHFSW0Y=")</f>
        <v>#REF!</v>
      </c>
      <c r="BT2" t="e">
        <f>AND('Quick Start Guide'!#REF!,"Xj7tfHFSW0c=")</f>
        <v>#REF!</v>
      </c>
      <c r="BU2" t="e">
        <f>AND('Quick Start Guide'!#REF!,"Xj7tfHFSW0g=")</f>
        <v>#REF!</v>
      </c>
      <c r="BV2" t="e">
        <f>AND('Quick Start Guide'!#REF!,"Xj7tfHFSW0k=")</f>
        <v>#REF!</v>
      </c>
      <c r="BW2" t="e">
        <f>AND('Quick Start Guide'!#REF!,"Xj7tfHFSW0o=")</f>
        <v>#REF!</v>
      </c>
      <c r="BX2" t="e">
        <f>AND('Quick Start Guide'!#REF!,"Xj7tfHFSW0s=")</f>
        <v>#REF!</v>
      </c>
      <c r="BY2" t="e">
        <f>AND('Quick Start Guide'!B20,"Xj7tfHFSW0w=")</f>
        <v>#VALUE!</v>
      </c>
      <c r="BZ2" t="e">
        <f>AND('Quick Start Guide'!C20,"Xj7tfHFSW00=")</f>
        <v>#VALUE!</v>
      </c>
      <c r="CA2" t="e">
        <f>AND('Quick Start Guide'!D20,"Xj7tfHFSW04=")</f>
        <v>#VALUE!</v>
      </c>
      <c r="CB2" t="e">
        <f>AND('Quick Start Guide'!E20,"Xj7tfHFSW08=")</f>
        <v>#VALUE!</v>
      </c>
      <c r="CC2">
        <f>IF('Quick Start Guide'!21:21,"Xj7tfHFSW1A=",0)</f>
        <v>0</v>
      </c>
      <c r="CD2" t="e">
        <f>AND('Quick Start Guide'!A21,"Xj7tfHFSW1E=")</f>
        <v>#VALUE!</v>
      </c>
      <c r="CE2" t="e">
        <f>AND('Quick Start Guide'!#REF!,"Xj7tfHFSW1I=")</f>
        <v>#REF!</v>
      </c>
      <c r="CF2" t="e">
        <f>AND('Quick Start Guide'!#REF!,"Xj7tfHFSW1M=")</f>
        <v>#REF!</v>
      </c>
      <c r="CG2" t="e">
        <f>AND('Quick Start Guide'!#REF!,"Xj7tfHFSW1Q=")</f>
        <v>#REF!</v>
      </c>
      <c r="CH2" t="e">
        <f>AND('Quick Start Guide'!#REF!,"Xj7tfHFSW1U=")</f>
        <v>#REF!</v>
      </c>
      <c r="CI2" t="e">
        <f>AND('Quick Start Guide'!#REF!,"Xj7tfHFSW1Y=")</f>
        <v>#REF!</v>
      </c>
      <c r="CJ2" t="e">
        <f>AND('Quick Start Guide'!#REF!,"Xj7tfHFSW1c=")</f>
        <v>#REF!</v>
      </c>
      <c r="CK2" t="e">
        <f>AND('Quick Start Guide'!#REF!,"Xj7tfHFSW1g=")</f>
        <v>#REF!</v>
      </c>
      <c r="CL2" t="e">
        <f>AND('Quick Start Guide'!#REF!,"Xj7tfHFSW1k=")</f>
        <v>#REF!</v>
      </c>
      <c r="CM2" t="e">
        <f>AND('Quick Start Guide'!#REF!,"Xj7tfHFSW1o=")</f>
        <v>#REF!</v>
      </c>
      <c r="CN2" t="e">
        <f>AND('Quick Start Guide'!#REF!,"Xj7tfHFSW1s=")</f>
        <v>#REF!</v>
      </c>
      <c r="CO2" t="e">
        <f>AND('Quick Start Guide'!B21,"Xj7tfHFSW1w=")</f>
        <v>#VALUE!</v>
      </c>
      <c r="CP2" t="e">
        <f>AND('Quick Start Guide'!C21,"Xj7tfHFSW10=")</f>
        <v>#VALUE!</v>
      </c>
      <c r="CQ2" t="e">
        <f>AND('Quick Start Guide'!D21,"Xj7tfHFSW14=")</f>
        <v>#VALUE!</v>
      </c>
      <c r="CR2" t="e">
        <f>AND('Quick Start Guide'!E21,"Xj7tfHFSW18=")</f>
        <v>#VALUE!</v>
      </c>
      <c r="CS2">
        <f>IF('Quick Start Guide'!22:22,"Xj7tfHFSW2A=",0)</f>
        <v>0</v>
      </c>
      <c r="CT2" t="e">
        <f>AND('Quick Start Guide'!A22,"Xj7tfHFSW2E=")</f>
        <v>#VALUE!</v>
      </c>
      <c r="CU2" t="e">
        <f>AND('Quick Start Guide'!#REF!,"Xj7tfHFSW2I=")</f>
        <v>#REF!</v>
      </c>
      <c r="CV2" t="e">
        <f>AND('Quick Start Guide'!#REF!,"Xj7tfHFSW2M=")</f>
        <v>#REF!</v>
      </c>
      <c r="CW2" t="e">
        <f>AND('Quick Start Guide'!#REF!,"Xj7tfHFSW2Q=")</f>
        <v>#REF!</v>
      </c>
      <c r="CX2" t="e">
        <f>AND('Quick Start Guide'!#REF!,"Xj7tfHFSW2U=")</f>
        <v>#REF!</v>
      </c>
      <c r="CY2" t="e">
        <f>AND('Quick Start Guide'!#REF!,"Xj7tfHFSW2Y=")</f>
        <v>#REF!</v>
      </c>
      <c r="CZ2" t="e">
        <f>AND('Quick Start Guide'!#REF!,"Xj7tfHFSW2c=")</f>
        <v>#REF!</v>
      </c>
      <c r="DA2" t="e">
        <f>AND('Quick Start Guide'!#REF!,"Xj7tfHFSW2g=")</f>
        <v>#REF!</v>
      </c>
      <c r="DB2" t="e">
        <f>AND('Quick Start Guide'!#REF!,"Xj7tfHFSW2k=")</f>
        <v>#REF!</v>
      </c>
      <c r="DC2" t="e">
        <f>AND('Quick Start Guide'!#REF!,"Xj7tfHFSW2o=")</f>
        <v>#REF!</v>
      </c>
      <c r="DD2" t="e">
        <f>AND('Quick Start Guide'!#REF!,"Xj7tfHFSW2s=")</f>
        <v>#REF!</v>
      </c>
      <c r="DE2" t="e">
        <f>AND('Quick Start Guide'!B22,"Xj7tfHFSW2w=")</f>
        <v>#VALUE!</v>
      </c>
      <c r="DF2" t="e">
        <f>AND('Quick Start Guide'!C22,"Xj7tfHFSW20=")</f>
        <v>#VALUE!</v>
      </c>
      <c r="DG2" t="e">
        <f>AND('Quick Start Guide'!D22,"Xj7tfHFSW24=")</f>
        <v>#VALUE!</v>
      </c>
      <c r="DH2" t="e">
        <f>AND('Quick Start Guide'!E22,"Xj7tfHFSW28=")</f>
        <v>#VALUE!</v>
      </c>
      <c r="DI2">
        <f>IF('Quick Start Guide'!23:23,"Xj7tfHFSW3A=",0)</f>
        <v>0</v>
      </c>
      <c r="DJ2" t="e">
        <f>AND('Quick Start Guide'!A23,"Xj7tfHFSW3E=")</f>
        <v>#VALUE!</v>
      </c>
      <c r="DK2" t="e">
        <f>AND('Quick Start Guide'!#REF!,"Xj7tfHFSW3I=")</f>
        <v>#REF!</v>
      </c>
      <c r="DL2" t="e">
        <f>AND('Quick Start Guide'!#REF!,"Xj7tfHFSW3M=")</f>
        <v>#REF!</v>
      </c>
      <c r="DM2" t="e">
        <f>AND('Quick Start Guide'!#REF!,"Xj7tfHFSW3Q=")</f>
        <v>#REF!</v>
      </c>
      <c r="DN2" t="e">
        <f>AND('Quick Start Guide'!#REF!,"Xj7tfHFSW3U=")</f>
        <v>#REF!</v>
      </c>
      <c r="DO2" t="e">
        <f>AND('Quick Start Guide'!#REF!,"Xj7tfHFSW3Y=")</f>
        <v>#REF!</v>
      </c>
      <c r="DP2" t="e">
        <f>AND('Quick Start Guide'!#REF!,"Xj7tfHFSW3c=")</f>
        <v>#REF!</v>
      </c>
      <c r="DQ2" t="e">
        <f>AND('Quick Start Guide'!#REF!,"Xj7tfHFSW3g=")</f>
        <v>#REF!</v>
      </c>
      <c r="DR2" t="e">
        <f>AND('Quick Start Guide'!#REF!,"Xj7tfHFSW3k=")</f>
        <v>#REF!</v>
      </c>
      <c r="DS2" t="e">
        <f>AND('Quick Start Guide'!#REF!,"Xj7tfHFSW3o=")</f>
        <v>#REF!</v>
      </c>
      <c r="DT2" t="e">
        <f>AND('Quick Start Guide'!#REF!,"Xj7tfHFSW3s=")</f>
        <v>#REF!</v>
      </c>
      <c r="DU2" t="e">
        <f>AND('Quick Start Guide'!B23,"Xj7tfHFSW3w=")</f>
        <v>#VALUE!</v>
      </c>
      <c r="DV2" t="e">
        <f>AND('Quick Start Guide'!C23,"Xj7tfHFSW30=")</f>
        <v>#VALUE!</v>
      </c>
      <c r="DW2" t="e">
        <f>AND('Quick Start Guide'!D23,"Xj7tfHFSW34=")</f>
        <v>#VALUE!</v>
      </c>
      <c r="DX2" t="e">
        <f>AND('Quick Start Guide'!E23,"Xj7tfHFSW38=")</f>
        <v>#VALUE!</v>
      </c>
      <c r="DY2">
        <f>IF('Quick Start Guide'!24:24,"Xj7tfHFSW4A=",0)</f>
        <v>0</v>
      </c>
      <c r="DZ2" t="e">
        <f>AND('Quick Start Guide'!A24,"Xj7tfHFSW4E=")</f>
        <v>#VALUE!</v>
      </c>
      <c r="EA2" t="e">
        <f>AND('Quick Start Guide'!#REF!,"Xj7tfHFSW4I=")</f>
        <v>#REF!</v>
      </c>
      <c r="EB2" t="e">
        <f>AND('Quick Start Guide'!#REF!,"Xj7tfHFSW4M=")</f>
        <v>#REF!</v>
      </c>
      <c r="EC2" t="e">
        <f>AND('Quick Start Guide'!#REF!,"Xj7tfHFSW4Q=")</f>
        <v>#REF!</v>
      </c>
      <c r="ED2" t="e">
        <f>AND('Quick Start Guide'!#REF!,"Xj7tfHFSW4U=")</f>
        <v>#REF!</v>
      </c>
      <c r="EE2" t="e">
        <f>AND('Quick Start Guide'!#REF!,"Xj7tfHFSW4Y=")</f>
        <v>#REF!</v>
      </c>
      <c r="EF2" t="e">
        <f>AND('Quick Start Guide'!#REF!,"Xj7tfHFSW4c=")</f>
        <v>#REF!</v>
      </c>
      <c r="EG2" t="e">
        <f>AND('Quick Start Guide'!#REF!,"Xj7tfHFSW4g=")</f>
        <v>#REF!</v>
      </c>
      <c r="EH2" t="e">
        <f>AND('Quick Start Guide'!#REF!,"Xj7tfHFSW4k=")</f>
        <v>#REF!</v>
      </c>
      <c r="EI2" t="e">
        <f>AND('Quick Start Guide'!#REF!,"Xj7tfHFSW4o=")</f>
        <v>#REF!</v>
      </c>
      <c r="EJ2" t="e">
        <f>AND('Quick Start Guide'!#REF!,"Xj7tfHFSW4s=")</f>
        <v>#REF!</v>
      </c>
      <c r="EK2" t="e">
        <f>AND('Quick Start Guide'!B24,"Xj7tfHFSW4w=")</f>
        <v>#VALUE!</v>
      </c>
      <c r="EL2" t="e">
        <f>AND('Quick Start Guide'!C24,"Xj7tfHFSW40=")</f>
        <v>#VALUE!</v>
      </c>
      <c r="EM2" t="e">
        <f>AND('Quick Start Guide'!D24,"Xj7tfHFSW44=")</f>
        <v>#VALUE!</v>
      </c>
      <c r="EN2" t="e">
        <f>AND('Quick Start Guide'!E24,"Xj7tfHFSW48=")</f>
        <v>#VALUE!</v>
      </c>
      <c r="EO2">
        <f>IF('Quick Start Guide'!25:25,"Xj7tfHFSW5A=",0)</f>
        <v>0</v>
      </c>
      <c r="EP2" t="e">
        <f>AND('Quick Start Guide'!A25,"Xj7tfHFSW5E=")</f>
        <v>#VALUE!</v>
      </c>
      <c r="EQ2" t="e">
        <f>AND('Quick Start Guide'!#REF!,"Xj7tfHFSW5I=")</f>
        <v>#REF!</v>
      </c>
      <c r="ER2" t="e">
        <f>AND('Quick Start Guide'!#REF!,"Xj7tfHFSW5M=")</f>
        <v>#REF!</v>
      </c>
      <c r="ES2" t="e">
        <f>AND('Quick Start Guide'!#REF!,"Xj7tfHFSW5Q=")</f>
        <v>#REF!</v>
      </c>
      <c r="ET2" t="e">
        <f>AND('Quick Start Guide'!#REF!,"Xj7tfHFSW5U=")</f>
        <v>#REF!</v>
      </c>
      <c r="EU2" t="e">
        <f>AND('Quick Start Guide'!#REF!,"Xj7tfHFSW5Y=")</f>
        <v>#REF!</v>
      </c>
      <c r="EV2" t="e">
        <f>AND('Quick Start Guide'!#REF!,"Xj7tfHFSW5c=")</f>
        <v>#REF!</v>
      </c>
      <c r="EW2" t="e">
        <f>AND('Quick Start Guide'!#REF!,"Xj7tfHFSW5g=")</f>
        <v>#REF!</v>
      </c>
      <c r="EX2" t="e">
        <f>AND('Quick Start Guide'!#REF!,"Xj7tfHFSW5k=")</f>
        <v>#REF!</v>
      </c>
      <c r="EY2" t="e">
        <f>AND('Quick Start Guide'!#REF!,"Xj7tfHFSW5o=")</f>
        <v>#REF!</v>
      </c>
      <c r="EZ2" t="e">
        <f>AND('Quick Start Guide'!#REF!,"Xj7tfHFSW5s=")</f>
        <v>#REF!</v>
      </c>
      <c r="FA2" t="e">
        <f>AND('Quick Start Guide'!B25,"Xj7tfHFSW5w=")</f>
        <v>#VALUE!</v>
      </c>
      <c r="FB2" t="e">
        <f>AND('Quick Start Guide'!C25,"Xj7tfHFSW50=")</f>
        <v>#VALUE!</v>
      </c>
      <c r="FC2" t="e">
        <f>AND('Quick Start Guide'!D25,"Xj7tfHFSW54=")</f>
        <v>#VALUE!</v>
      </c>
      <c r="FD2" t="e">
        <f>AND('Quick Start Guide'!E25,"Xj7tfHFSW58=")</f>
        <v>#VALUE!</v>
      </c>
      <c r="FE2">
        <f>IF('Quick Start Guide'!26:26,"Xj7tfHFSW6A=",0)</f>
        <v>0</v>
      </c>
      <c r="FF2" t="e">
        <f>AND('Quick Start Guide'!A26,"Xj7tfHFSW6E=")</f>
        <v>#VALUE!</v>
      </c>
      <c r="FG2" t="e">
        <f>AND('Quick Start Guide'!#REF!,"Xj7tfHFSW6I=")</f>
        <v>#REF!</v>
      </c>
      <c r="FH2" t="e">
        <f>AND('Quick Start Guide'!#REF!,"Xj7tfHFSW6M=")</f>
        <v>#REF!</v>
      </c>
      <c r="FI2" t="e">
        <f>AND('Quick Start Guide'!#REF!,"Xj7tfHFSW6Q=")</f>
        <v>#REF!</v>
      </c>
      <c r="FJ2" t="e">
        <f>AND('Quick Start Guide'!#REF!,"Xj7tfHFSW6U=")</f>
        <v>#REF!</v>
      </c>
      <c r="FK2" t="e">
        <f>AND('Quick Start Guide'!#REF!,"Xj7tfHFSW6Y=")</f>
        <v>#REF!</v>
      </c>
      <c r="FL2" t="e">
        <f>AND('Quick Start Guide'!#REF!,"Xj7tfHFSW6c=")</f>
        <v>#REF!</v>
      </c>
      <c r="FM2" t="e">
        <f>AND('Quick Start Guide'!#REF!,"Xj7tfHFSW6g=")</f>
        <v>#REF!</v>
      </c>
      <c r="FN2" t="e">
        <f>AND('Quick Start Guide'!#REF!,"Xj7tfHFSW6k=")</f>
        <v>#REF!</v>
      </c>
      <c r="FO2" t="e">
        <f>AND('Quick Start Guide'!#REF!,"Xj7tfHFSW6o=")</f>
        <v>#REF!</v>
      </c>
      <c r="FP2" t="e">
        <f>AND('Quick Start Guide'!#REF!,"Xj7tfHFSW6s=")</f>
        <v>#REF!</v>
      </c>
      <c r="FQ2" t="e">
        <f>AND('Quick Start Guide'!B26,"Xj7tfHFSW6w=")</f>
        <v>#VALUE!</v>
      </c>
      <c r="FR2" t="e">
        <f>AND('Quick Start Guide'!C26,"Xj7tfHFSW60=")</f>
        <v>#VALUE!</v>
      </c>
      <c r="FS2" t="e">
        <f>AND('Quick Start Guide'!D26,"Xj7tfHFSW64=")</f>
        <v>#VALUE!</v>
      </c>
      <c r="FT2" t="e">
        <f>AND('Quick Start Guide'!E26,"Xj7tfHFSW68=")</f>
        <v>#VALUE!</v>
      </c>
      <c r="FU2">
        <f>IF('Quick Start Guide'!27:27,"Xj7tfHFSW7A=",0)</f>
        <v>0</v>
      </c>
      <c r="FV2" t="e">
        <f>AND('Quick Start Guide'!A27,"Xj7tfHFSW7E=")</f>
        <v>#VALUE!</v>
      </c>
      <c r="FW2" t="e">
        <f>AND('Quick Start Guide'!#REF!,"Xj7tfHFSW7I=")</f>
        <v>#REF!</v>
      </c>
      <c r="FX2" t="e">
        <f>AND('Quick Start Guide'!#REF!,"Xj7tfHFSW7M=")</f>
        <v>#REF!</v>
      </c>
      <c r="FY2" t="e">
        <f>AND('Quick Start Guide'!#REF!,"Xj7tfHFSW7Q=")</f>
        <v>#REF!</v>
      </c>
      <c r="FZ2" t="e">
        <f>AND('Quick Start Guide'!#REF!,"Xj7tfHFSW7U=")</f>
        <v>#REF!</v>
      </c>
      <c r="GA2" t="e">
        <f>AND('Quick Start Guide'!#REF!,"Xj7tfHFSW7Y=")</f>
        <v>#REF!</v>
      </c>
      <c r="GB2" t="e">
        <f>AND('Quick Start Guide'!#REF!,"Xj7tfHFSW7c=")</f>
        <v>#REF!</v>
      </c>
      <c r="GC2" t="e">
        <f>AND('Quick Start Guide'!#REF!,"Xj7tfHFSW7g=")</f>
        <v>#REF!</v>
      </c>
      <c r="GD2" t="e">
        <f>AND('Quick Start Guide'!#REF!,"Xj7tfHFSW7k=")</f>
        <v>#REF!</v>
      </c>
      <c r="GE2" t="e">
        <f>AND('Quick Start Guide'!#REF!,"Xj7tfHFSW7o=")</f>
        <v>#REF!</v>
      </c>
      <c r="GF2" t="e">
        <f>AND('Quick Start Guide'!#REF!,"Xj7tfHFSW7s=")</f>
        <v>#REF!</v>
      </c>
      <c r="GG2" t="e">
        <f>AND('Quick Start Guide'!B27,"Xj7tfHFSW7w=")</f>
        <v>#VALUE!</v>
      </c>
      <c r="GH2" t="e">
        <f>AND('Quick Start Guide'!C27,"Xj7tfHFSW70=")</f>
        <v>#VALUE!</v>
      </c>
      <c r="GI2" t="e">
        <f>AND('Quick Start Guide'!D27,"Xj7tfHFSW74=")</f>
        <v>#VALUE!</v>
      </c>
      <c r="GJ2" t="e">
        <f>AND('Quick Start Guide'!E27,"Xj7tfHFSW78=")</f>
        <v>#VALUE!</v>
      </c>
      <c r="GK2">
        <f>IF('Quick Start Guide'!28:28,"Xj7tfHFSW8A=",0)</f>
        <v>0</v>
      </c>
      <c r="GL2" t="e">
        <f>AND('Quick Start Guide'!A28,"Xj7tfHFSW8E=")</f>
        <v>#VALUE!</v>
      </c>
      <c r="GM2" t="e">
        <f>AND('Quick Start Guide'!#REF!,"Xj7tfHFSW8I=")</f>
        <v>#REF!</v>
      </c>
      <c r="GN2" t="e">
        <f>AND('Quick Start Guide'!#REF!,"Xj7tfHFSW8M=")</f>
        <v>#REF!</v>
      </c>
      <c r="GO2" t="e">
        <f>AND('Quick Start Guide'!#REF!,"Xj7tfHFSW8Q=")</f>
        <v>#REF!</v>
      </c>
      <c r="GP2" t="e">
        <f>AND('Quick Start Guide'!#REF!,"Xj7tfHFSW8U=")</f>
        <v>#REF!</v>
      </c>
      <c r="GQ2" t="e">
        <f>AND('Quick Start Guide'!#REF!,"Xj7tfHFSW8Y=")</f>
        <v>#REF!</v>
      </c>
      <c r="GR2" t="e">
        <f>AND('Quick Start Guide'!#REF!,"Xj7tfHFSW8c=")</f>
        <v>#REF!</v>
      </c>
      <c r="GS2" t="e">
        <f>AND('Quick Start Guide'!#REF!,"Xj7tfHFSW8g=")</f>
        <v>#REF!</v>
      </c>
      <c r="GT2" t="e">
        <f>AND('Quick Start Guide'!#REF!,"Xj7tfHFSW8k=")</f>
        <v>#REF!</v>
      </c>
      <c r="GU2" t="e">
        <f>AND('Quick Start Guide'!#REF!,"Xj7tfHFSW8o=")</f>
        <v>#REF!</v>
      </c>
      <c r="GV2" t="e">
        <f>AND('Quick Start Guide'!#REF!,"Xj7tfHFSW8s=")</f>
        <v>#REF!</v>
      </c>
      <c r="GW2" t="e">
        <f>AND('Quick Start Guide'!B28,"Xj7tfHFSW8w=")</f>
        <v>#VALUE!</v>
      </c>
      <c r="GX2" t="e">
        <f>AND('Quick Start Guide'!C28,"Xj7tfHFSW80=")</f>
        <v>#VALUE!</v>
      </c>
      <c r="GY2" t="e">
        <f>AND('Quick Start Guide'!D28,"Xj7tfHFSW84=")</f>
        <v>#VALUE!</v>
      </c>
      <c r="GZ2" t="e">
        <f>AND('Quick Start Guide'!E28,"Xj7tfHFSW88=")</f>
        <v>#VALUE!</v>
      </c>
      <c r="HA2" t="e">
        <f>IF('Quick Start Guide'!#REF!,"Xj7tfHFSW9A=",0)</f>
        <v>#REF!</v>
      </c>
      <c r="HB2" t="e">
        <f>AND('Quick Start Guide'!#REF!,"Xj7tfHFSW9E=")</f>
        <v>#REF!</v>
      </c>
      <c r="HC2" t="e">
        <f>AND('Quick Start Guide'!#REF!,"Xj7tfHFSW9I=")</f>
        <v>#REF!</v>
      </c>
      <c r="HD2" t="e">
        <f>AND('Quick Start Guide'!#REF!,"Xj7tfHFSW9M=")</f>
        <v>#REF!</v>
      </c>
      <c r="HE2" t="e">
        <f>AND('Quick Start Guide'!#REF!,"Xj7tfHFSW9Q=")</f>
        <v>#REF!</v>
      </c>
      <c r="HF2" t="e">
        <f>AND('Quick Start Guide'!#REF!,"Xj7tfHFSW9U=")</f>
        <v>#REF!</v>
      </c>
      <c r="HG2" t="e">
        <f>AND('Quick Start Guide'!#REF!,"Xj7tfHFSW9Y=")</f>
        <v>#REF!</v>
      </c>
      <c r="HH2" t="e">
        <f>AND('Quick Start Guide'!#REF!,"Xj7tfHFSW9c=")</f>
        <v>#REF!</v>
      </c>
      <c r="HI2" t="e">
        <f>AND('Quick Start Guide'!#REF!,"Xj7tfHFSW9g=")</f>
        <v>#REF!</v>
      </c>
      <c r="HJ2" t="e">
        <f>AND('Quick Start Guide'!#REF!,"Xj7tfHFSW9k=")</f>
        <v>#REF!</v>
      </c>
      <c r="HK2" t="e">
        <f>AND('Quick Start Guide'!#REF!,"Xj7tfHFSW9o=")</f>
        <v>#REF!</v>
      </c>
      <c r="HL2" t="e">
        <f>AND('Quick Start Guide'!#REF!,"Xj7tfHFSW9s=")</f>
        <v>#REF!</v>
      </c>
      <c r="HM2" t="e">
        <f>AND('Quick Start Guide'!#REF!,"Xj7tfHFSW9w=")</f>
        <v>#REF!</v>
      </c>
      <c r="HN2" t="e">
        <f>AND('Quick Start Guide'!#REF!,"Xj7tfHFSW90=")</f>
        <v>#REF!</v>
      </c>
      <c r="HO2" t="e">
        <f>AND('Quick Start Guide'!#REF!,"Xj7tfHFSW94=")</f>
        <v>#REF!</v>
      </c>
      <c r="HP2" t="e">
        <f>AND('Quick Start Guide'!#REF!,"Xj7tfHFSW98=")</f>
        <v>#REF!</v>
      </c>
      <c r="HQ2">
        <f>IF('Quick Start Guide'!39:39,"Xj7tfHFSW+A=",0)</f>
        <v>0</v>
      </c>
      <c r="HR2" t="e">
        <f>AND('Quick Start Guide'!A39,"Xj7tfHFSW+E=")</f>
        <v>#VALUE!</v>
      </c>
      <c r="HS2" t="e">
        <f>AND('Quick Start Guide'!#REF!,"Xj7tfHFSW+I=")</f>
        <v>#REF!</v>
      </c>
      <c r="HT2" t="e">
        <f>AND('Quick Start Guide'!#REF!,"Xj7tfHFSW+M=")</f>
        <v>#REF!</v>
      </c>
      <c r="HU2" t="e">
        <f>AND('Quick Start Guide'!#REF!,"Xj7tfHFSW+Q=")</f>
        <v>#REF!</v>
      </c>
      <c r="HV2" t="e">
        <f>AND('Quick Start Guide'!#REF!,"Xj7tfHFSW+U=")</f>
        <v>#REF!</v>
      </c>
      <c r="HW2" t="e">
        <f>AND('Quick Start Guide'!#REF!,"Xj7tfHFSW+Y=")</f>
        <v>#REF!</v>
      </c>
      <c r="HX2" t="e">
        <f>AND('Quick Start Guide'!#REF!,"Xj7tfHFSW+c=")</f>
        <v>#REF!</v>
      </c>
      <c r="HY2" t="e">
        <f>AND('Quick Start Guide'!#REF!,"Xj7tfHFSW+g=")</f>
        <v>#REF!</v>
      </c>
      <c r="HZ2" t="e">
        <f>AND('Quick Start Guide'!#REF!,"Xj7tfHFSW+k=")</f>
        <v>#REF!</v>
      </c>
      <c r="IA2" t="e">
        <f>AND('Quick Start Guide'!#REF!,"Xj7tfHFSW+o=")</f>
        <v>#REF!</v>
      </c>
      <c r="IB2" t="e">
        <f>AND('Quick Start Guide'!#REF!,"Xj7tfHFSW+s=")</f>
        <v>#REF!</v>
      </c>
      <c r="IC2" t="e">
        <f>AND('Quick Start Guide'!B39,"Xj7tfHFSW+w=")</f>
        <v>#VALUE!</v>
      </c>
      <c r="ID2" t="e">
        <f>AND('Quick Start Guide'!C39,"Xj7tfHFSW+0=")</f>
        <v>#VALUE!</v>
      </c>
      <c r="IE2" t="e">
        <f>AND('Quick Start Guide'!D39,"Xj7tfHFSW+4=")</f>
        <v>#VALUE!</v>
      </c>
      <c r="IF2" t="e">
        <f>AND('Quick Start Guide'!E39,"Xj7tfHFSW+8=")</f>
        <v>#VALUE!</v>
      </c>
      <c r="IG2">
        <f>IF('Quick Start Guide'!40:40,"Xj7tfHFSW/A=",0)</f>
        <v>0</v>
      </c>
      <c r="IH2" t="e">
        <f>AND('Quick Start Guide'!A40,"Xj7tfHFSW/E=")</f>
        <v>#VALUE!</v>
      </c>
      <c r="II2" t="e">
        <f>AND('Quick Start Guide'!#REF!,"Xj7tfHFSW/I=")</f>
        <v>#REF!</v>
      </c>
      <c r="IJ2" t="e">
        <f>AND('Quick Start Guide'!#REF!,"Xj7tfHFSW/M=")</f>
        <v>#REF!</v>
      </c>
      <c r="IK2" t="e">
        <f>AND('Quick Start Guide'!#REF!,"Xj7tfHFSW/Q=")</f>
        <v>#REF!</v>
      </c>
      <c r="IL2" t="e">
        <f>AND('Quick Start Guide'!#REF!,"Xj7tfHFSW/U=")</f>
        <v>#REF!</v>
      </c>
      <c r="IM2" t="e">
        <f>AND('Quick Start Guide'!#REF!,"Xj7tfHFSW/Y=")</f>
        <v>#REF!</v>
      </c>
      <c r="IN2" t="e">
        <f>AND('Quick Start Guide'!#REF!,"Xj7tfHFSW/c=")</f>
        <v>#REF!</v>
      </c>
      <c r="IO2" t="e">
        <f>AND('Quick Start Guide'!#REF!,"Xj7tfHFSW/g=")</f>
        <v>#REF!</v>
      </c>
      <c r="IP2" t="e">
        <f>AND('Quick Start Guide'!#REF!,"Xj7tfHFSW/k=")</f>
        <v>#REF!</v>
      </c>
      <c r="IQ2" t="e">
        <f>AND('Quick Start Guide'!#REF!,"Xj7tfHFSW/o=")</f>
        <v>#REF!</v>
      </c>
      <c r="IR2" t="e">
        <f>AND('Quick Start Guide'!#REF!,"Xj7tfHFSW/s=")</f>
        <v>#REF!</v>
      </c>
      <c r="IS2" t="e">
        <f>AND('Quick Start Guide'!B40,"Xj7tfHFSW/w=")</f>
        <v>#VALUE!</v>
      </c>
      <c r="IT2" t="e">
        <f>AND('Quick Start Guide'!C40,"Xj7tfHFSW/0=")</f>
        <v>#VALUE!</v>
      </c>
      <c r="IU2" t="e">
        <f>AND('Quick Start Guide'!D40,"Xj7tfHFSW/4=")</f>
        <v>#VALUE!</v>
      </c>
      <c r="IV2" t="e">
        <f>AND('Quick Start Guide'!E40,"Xj7tfHFSW/8=")</f>
        <v>#VALUE!</v>
      </c>
    </row>
    <row r="3" spans="1:256" x14ac:dyDescent="0.2">
      <c r="A3">
        <f>IF('Quick Start Guide'!41:41,"Qr+hlzh+CgA=",0)</f>
        <v>0</v>
      </c>
      <c r="B3" t="e">
        <f>AND('Quick Start Guide'!#REF!,"Qr+hlzh+CgE=")</f>
        <v>#REF!</v>
      </c>
      <c r="C3" t="e">
        <f>IF('Quick Start Guide'!#REF!,"Qr+hlzh+CgI=",0)</f>
        <v>#REF!</v>
      </c>
      <c r="D3">
        <f>IF('Quick Start Guide'!42:42,"Qr+hlzh+CgM=",0)</f>
        <v>0</v>
      </c>
      <c r="E3">
        <f>IF('Quick Start Guide'!44:44,"Qr+hlzh+CgQ=",0)</f>
        <v>0</v>
      </c>
      <c r="F3">
        <f>IF('Quick Start Guide'!45:45,"Qr+hlzh+CgU=",0)</f>
        <v>0</v>
      </c>
      <c r="G3" t="e">
        <f>IF('Quick Start Guide'!#REF!,"Qr+hlzh+CgY=",0)</f>
        <v>#REF!</v>
      </c>
      <c r="H3" t="e">
        <f>IF('Quick Start Guide'!#REF!,"Qr+hlzh+Cgc=",0)</f>
        <v>#REF!</v>
      </c>
      <c r="I3" t="e">
        <f>IF('Quick Start Guide'!#REF!,"Qr+hlzh+Cgg=",0)</f>
        <v>#REF!</v>
      </c>
      <c r="J3" t="e">
        <f>IF('Quick Start Guide'!#REF!,"Qr+hlzh+Cgk=",0)</f>
        <v>#REF!</v>
      </c>
      <c r="K3" t="e">
        <f>IF('Quick Start Guide'!#REF!,"Qr+hlzh+Cgo=",0)</f>
        <v>#REF!</v>
      </c>
      <c r="L3" t="e">
        <f>IF('Quick Start Guide'!#REF!,"Qr+hlzh+Cgs=",0)</f>
        <v>#REF!</v>
      </c>
      <c r="M3" t="e">
        <f>IF('Quick Start Guide'!#REF!,"Qr+hlzh+Cgw=",0)</f>
        <v>#REF!</v>
      </c>
      <c r="N3" t="e">
        <f>IF('Quick Start Guide'!#REF!,"Qr+hlzh+Cg0=",0)</f>
        <v>#REF!</v>
      </c>
      <c r="O3" t="e">
        <f>IF('Quick Start Guide'!#REF!,"Qr+hlzh+Cg4=",0)</f>
        <v>#REF!</v>
      </c>
      <c r="P3" t="e">
        <f>IF('Quick Start Guide'!#REF!,"Qr+hlzh+Cg8=",0)</f>
        <v>#REF!</v>
      </c>
      <c r="Q3" t="e">
        <f>IF('Quick Start Guide'!A:A,"Qr+hlzh+ChA=",0)</f>
        <v>#VALUE!</v>
      </c>
      <c r="R3" t="e">
        <f>IF('Quick Start Guide'!#REF!,"Qr+hlzh+ChE=",0)</f>
        <v>#REF!</v>
      </c>
      <c r="S3" t="e">
        <f>IF('Quick Start Guide'!#REF!,"Qr+hlzh+ChI=",0)</f>
        <v>#REF!</v>
      </c>
      <c r="T3" t="e">
        <f>IF('Quick Start Guide'!#REF!,"Qr+hlzh+ChM=",0)</f>
        <v>#REF!</v>
      </c>
      <c r="U3" t="e">
        <f>IF('Quick Start Guide'!#REF!,"Qr+hlzh+ChQ=",0)</f>
        <v>#REF!</v>
      </c>
      <c r="V3" t="e">
        <f>IF('Quick Start Guide'!#REF!,"Qr+hlzh+ChU=",0)</f>
        <v>#REF!</v>
      </c>
      <c r="W3" t="e">
        <f>IF('Quick Start Guide'!#REF!,"Qr+hlzh+ChY=",0)</f>
        <v>#REF!</v>
      </c>
      <c r="X3" t="e">
        <f>IF('Quick Start Guide'!#REF!,"Qr+hlzh+Chc=",0)</f>
        <v>#REF!</v>
      </c>
      <c r="Y3" t="e">
        <f>IF('Quick Start Guide'!#REF!,"Qr+hlzh+Chg=",0)</f>
        <v>#REF!</v>
      </c>
      <c r="Z3" t="e">
        <f>IF('Quick Start Guide'!#REF!,"Qr+hlzh+Chk=",0)</f>
        <v>#REF!</v>
      </c>
      <c r="AA3" t="e">
        <f>IF('Quick Start Guide'!#REF!,"Qr+hlzh+Cho=",0)</f>
        <v>#REF!</v>
      </c>
      <c r="AB3">
        <f>IF('Quick Start Guide'!B:B,"Qr+hlzh+Chs=",0)</f>
        <v>0</v>
      </c>
      <c r="AC3">
        <f>IF('Quick Start Guide'!C:C,"Qr+hlzh+Chw=",0)</f>
        <v>0</v>
      </c>
      <c r="AD3">
        <f>IF('Quick Start Guide'!D:D,"Qr+hlzh+Ch0=",0)</f>
        <v>0</v>
      </c>
      <c r="AE3">
        <f>IF('Quick Start Guide'!E:E,"Qr+hlzh+Ch4=",0)</f>
        <v>0</v>
      </c>
      <c r="AF3" t="e">
        <f>IF(#REF!,"Qr+hlzh+Ch8=",0)</f>
        <v>#REF!</v>
      </c>
      <c r="AG3" t="e">
        <f>AND(#REF!,"Qr+hlzh+CiA=")</f>
        <v>#REF!</v>
      </c>
      <c r="AH3" t="e">
        <f>AND(#REF!,"Qr+hlzh+CiE=")</f>
        <v>#REF!</v>
      </c>
      <c r="AI3" t="e">
        <f>AND(#REF!,"Qr+hlzh+CiI=")</f>
        <v>#REF!</v>
      </c>
      <c r="AJ3" t="e">
        <f>AND(#REF!,"Qr+hlzh+CiM=")</f>
        <v>#REF!</v>
      </c>
      <c r="AK3" t="e">
        <f>AND(#REF!,"Qr+hlzh+CiQ=")</f>
        <v>#REF!</v>
      </c>
      <c r="AL3" t="e">
        <f>AND(#REF!,"Qr+hlzh+CiU=")</f>
        <v>#REF!</v>
      </c>
      <c r="AM3" t="e">
        <f>AND(#REF!,"Qr+hlzh+CiY=")</f>
        <v>#REF!</v>
      </c>
      <c r="AN3" t="e">
        <f>AND(#REF!,"Qr+hlzh+Cic=")</f>
        <v>#REF!</v>
      </c>
      <c r="AO3" t="e">
        <f>AND(#REF!,"Qr+hlzh+Cig=")</f>
        <v>#REF!</v>
      </c>
      <c r="AP3" t="e">
        <f>AND(#REF!,"Qr+hlzh+Cik=")</f>
        <v>#REF!</v>
      </c>
      <c r="AQ3" t="e">
        <f>AND(#REF!,"Qr+hlzh+Cio=")</f>
        <v>#REF!</v>
      </c>
      <c r="AR3" t="e">
        <f>AND(#REF!,"Qr+hlzh+Cis=")</f>
        <v>#REF!</v>
      </c>
      <c r="AS3" t="e">
        <f>AND(#REF!,"Qr+hlzh+Ciw=")</f>
        <v>#REF!</v>
      </c>
      <c r="AT3" t="e">
        <f>AND(#REF!,"Qr+hlzh+Ci0=")</f>
        <v>#REF!</v>
      </c>
      <c r="AU3" t="e">
        <f>AND(#REF!,"Qr+hlzh+Ci4=")</f>
        <v>#REF!</v>
      </c>
      <c r="AV3" t="e">
        <f>AND(#REF!,"Qr+hlzh+Ci8=")</f>
        <v>#REF!</v>
      </c>
      <c r="AW3" t="e">
        <f>AND(#REF!,"Qr+hlzh+CjA=")</f>
        <v>#REF!</v>
      </c>
      <c r="AX3" t="e">
        <f>AND(#REF!,"Qr+hlzh+CjE=")</f>
        <v>#REF!</v>
      </c>
      <c r="AY3" t="e">
        <f>AND(#REF!,"Qr+hlzh+CjI=")</f>
        <v>#REF!</v>
      </c>
      <c r="AZ3" t="e">
        <f>AND(#REF!,"Qr+hlzh+CjM=")</f>
        <v>#REF!</v>
      </c>
      <c r="BA3" t="e">
        <f>AND(#REF!,"Qr+hlzh+CjQ=")</f>
        <v>#REF!</v>
      </c>
      <c r="BB3" t="e">
        <f>AND(#REF!,"Qr+hlzh+CjU=")</f>
        <v>#REF!</v>
      </c>
      <c r="BC3" t="e">
        <f>IF(#REF!,"Qr+hlzh+CjY=",0)</f>
        <v>#REF!</v>
      </c>
      <c r="BD3" t="e">
        <f>AND(#REF!,"Qr+hlzh+Cjc=")</f>
        <v>#REF!</v>
      </c>
      <c r="BE3" t="e">
        <f>AND(#REF!,"Qr+hlzh+Cjg=")</f>
        <v>#REF!</v>
      </c>
      <c r="BF3" t="e">
        <f>AND(#REF!,"Qr+hlzh+Cjk=")</f>
        <v>#REF!</v>
      </c>
      <c r="BG3" t="e">
        <f>AND(#REF!,"Qr+hlzh+Cjo=")</f>
        <v>#REF!</v>
      </c>
      <c r="BH3" t="e">
        <f>AND(#REF!,"Qr+hlzh+Cjs=")</f>
        <v>#REF!</v>
      </c>
      <c r="BI3" t="e">
        <f>AND(#REF!,"Qr+hlzh+Cjw=")</f>
        <v>#REF!</v>
      </c>
      <c r="BJ3" t="e">
        <f>AND(#REF!,"Qr+hlzh+Cj0=")</f>
        <v>#REF!</v>
      </c>
      <c r="BK3" t="e">
        <f>AND(#REF!,"Qr+hlzh+Cj4=")</f>
        <v>#REF!</v>
      </c>
      <c r="BL3" t="e">
        <f>AND(#REF!,"Qr+hlzh+Cj8=")</f>
        <v>#REF!</v>
      </c>
      <c r="BM3" t="e">
        <f>AND(#REF!,"Qr+hlzh+CkA=")</f>
        <v>#REF!</v>
      </c>
      <c r="BN3" t="e">
        <f>AND(#REF!,"Qr+hlzh+CkE=")</f>
        <v>#REF!</v>
      </c>
      <c r="BO3" t="e">
        <f>AND(#REF!,"Qr+hlzh+CkI=")</f>
        <v>#REF!</v>
      </c>
      <c r="BP3" t="e">
        <f>AND(#REF!,"Qr+hlzh+CkM=")</f>
        <v>#REF!</v>
      </c>
      <c r="BQ3" t="e">
        <f>AND(#REF!,"Qr+hlzh+CkQ=")</f>
        <v>#REF!</v>
      </c>
      <c r="BR3" t="e">
        <f>AND(#REF!,"Qr+hlzh+CkU=")</f>
        <v>#REF!</v>
      </c>
      <c r="BS3" t="e">
        <f>AND(#REF!,"Qr+hlzh+CkY=")</f>
        <v>#REF!</v>
      </c>
      <c r="BT3" t="e">
        <f>AND(#REF!,"Qr+hlzh+Ckc=")</f>
        <v>#REF!</v>
      </c>
      <c r="BU3" t="e">
        <f>AND(#REF!,"Qr+hlzh+Ckg=")</f>
        <v>#REF!</v>
      </c>
      <c r="BV3" t="e">
        <f>AND(#REF!,"Qr+hlzh+Ckk=")</f>
        <v>#REF!</v>
      </c>
      <c r="BW3" t="e">
        <f>AND(#REF!,"Qr+hlzh+Cko=")</f>
        <v>#REF!</v>
      </c>
      <c r="BX3" t="e">
        <f>AND(#REF!,"Qr+hlzh+Cks=")</f>
        <v>#REF!</v>
      </c>
      <c r="BY3" t="e">
        <f>AND(#REF!,"Qr+hlzh+Ckw=")</f>
        <v>#REF!</v>
      </c>
      <c r="BZ3" t="e">
        <f>IF(#REF!,"Qr+hlzh+Ck0=",0)</f>
        <v>#REF!</v>
      </c>
      <c r="CA3" t="e">
        <f>AND(#REF!,"Qr+hlzh+Ck4=")</f>
        <v>#REF!</v>
      </c>
      <c r="CB3" t="e">
        <f>AND(#REF!,"Qr+hlzh+Ck8=")</f>
        <v>#REF!</v>
      </c>
      <c r="CC3" t="e">
        <f>AND(#REF!,"Qr+hlzh+ClA=")</f>
        <v>#REF!</v>
      </c>
      <c r="CD3" t="e">
        <f>AND(#REF!,"Qr+hlzh+ClE=")</f>
        <v>#REF!</v>
      </c>
      <c r="CE3" t="e">
        <f>AND(#REF!,"Qr+hlzh+ClI=")</f>
        <v>#REF!</v>
      </c>
      <c r="CF3" t="e">
        <f>AND(#REF!,"Qr+hlzh+ClM=")</f>
        <v>#REF!</v>
      </c>
      <c r="CG3" t="e">
        <f>AND(#REF!,"Qr+hlzh+ClQ=")</f>
        <v>#REF!</v>
      </c>
      <c r="CH3" t="e">
        <f>AND(#REF!,"Qr+hlzh+ClU=")</f>
        <v>#REF!</v>
      </c>
      <c r="CI3" t="e">
        <f>AND(#REF!,"Qr+hlzh+ClY=")</f>
        <v>#REF!</v>
      </c>
      <c r="CJ3" t="e">
        <f>AND(#REF!,"Qr+hlzh+Clc=")</f>
        <v>#REF!</v>
      </c>
      <c r="CK3" t="e">
        <f>AND(#REF!,"Qr+hlzh+Clg=")</f>
        <v>#REF!</v>
      </c>
      <c r="CL3" t="e">
        <f>AND(#REF!,"Qr+hlzh+Clk=")</f>
        <v>#REF!</v>
      </c>
      <c r="CM3" t="e">
        <f>AND(#REF!,"Qr+hlzh+Clo=")</f>
        <v>#REF!</v>
      </c>
      <c r="CN3" t="e">
        <f>AND(#REF!,"Qr+hlzh+Cls=")</f>
        <v>#REF!</v>
      </c>
      <c r="CO3" t="e">
        <f>AND(#REF!,"Qr+hlzh+Clw=")</f>
        <v>#REF!</v>
      </c>
      <c r="CP3" t="e">
        <f>AND(#REF!,"Qr+hlzh+Cl0=")</f>
        <v>#REF!</v>
      </c>
      <c r="CQ3" t="e">
        <f>AND(#REF!,"Qr+hlzh+Cl4=")</f>
        <v>#REF!</v>
      </c>
      <c r="CR3" t="e">
        <f>AND(#REF!,"Qr+hlzh+Cl8=")</f>
        <v>#REF!</v>
      </c>
      <c r="CS3" t="e">
        <f>AND(#REF!,"Qr+hlzh+CmA=")</f>
        <v>#REF!</v>
      </c>
      <c r="CT3" t="e">
        <f>AND(#REF!,"Qr+hlzh+CmE=")</f>
        <v>#REF!</v>
      </c>
      <c r="CU3" t="e">
        <f>AND(#REF!,"Qr+hlzh+CmI=")</f>
        <v>#REF!</v>
      </c>
      <c r="CV3" t="e">
        <f>AND(#REF!,"Qr+hlzh+CmM=")</f>
        <v>#REF!</v>
      </c>
      <c r="CW3" t="e">
        <f>IF(#REF!,"Qr+hlzh+CmQ=",0)</f>
        <v>#REF!</v>
      </c>
      <c r="CX3" t="e">
        <f>AND(#REF!,"Qr+hlzh+CmU=")</f>
        <v>#REF!</v>
      </c>
      <c r="CY3" t="e">
        <f>AND(#REF!,"Qr+hlzh+CmY=")</f>
        <v>#REF!</v>
      </c>
      <c r="CZ3" t="e">
        <f>AND(#REF!,"Qr+hlzh+Cmc=")</f>
        <v>#REF!</v>
      </c>
      <c r="DA3" t="e">
        <f>AND(#REF!,"Qr+hlzh+Cmg=")</f>
        <v>#REF!</v>
      </c>
      <c r="DB3" t="e">
        <f>AND(#REF!,"Qr+hlzh+Cmk=")</f>
        <v>#REF!</v>
      </c>
      <c r="DC3" t="e">
        <f>AND(#REF!,"Qr+hlzh+Cmo=")</f>
        <v>#REF!</v>
      </c>
      <c r="DD3" t="e">
        <f>AND(#REF!,"Qr+hlzh+Cms=")</f>
        <v>#REF!</v>
      </c>
      <c r="DE3" t="e">
        <f>AND(#REF!,"Qr+hlzh+Cmw=")</f>
        <v>#REF!</v>
      </c>
      <c r="DF3" t="e">
        <f>AND(#REF!,"Qr+hlzh+Cm0=")</f>
        <v>#REF!</v>
      </c>
      <c r="DG3" t="e">
        <f>AND(#REF!,"Qr+hlzh+Cm4=")</f>
        <v>#REF!</v>
      </c>
      <c r="DH3" t="e">
        <f>AND(#REF!,"Qr+hlzh+Cm8=")</f>
        <v>#REF!</v>
      </c>
      <c r="DI3" t="e">
        <f>AND(#REF!,"Qr+hlzh+CnA=")</f>
        <v>#REF!</v>
      </c>
      <c r="DJ3" t="e">
        <f>AND(#REF!,"Qr+hlzh+CnE=")</f>
        <v>#REF!</v>
      </c>
      <c r="DK3" t="e">
        <f>AND(#REF!,"Qr+hlzh+CnI=")</f>
        <v>#REF!</v>
      </c>
      <c r="DL3" t="e">
        <f>AND(#REF!,"Qr+hlzh+CnM=")</f>
        <v>#REF!</v>
      </c>
      <c r="DM3" t="e">
        <f>AND(#REF!,"Qr+hlzh+CnQ=")</f>
        <v>#REF!</v>
      </c>
      <c r="DN3" t="e">
        <f>AND(#REF!,"Qr+hlzh+CnU=")</f>
        <v>#REF!</v>
      </c>
      <c r="DO3" t="e">
        <f>AND(#REF!,"Qr+hlzh+CnY=")</f>
        <v>#REF!</v>
      </c>
      <c r="DP3" t="e">
        <f>AND(#REF!,"Qr+hlzh+Cnc=")</f>
        <v>#REF!</v>
      </c>
      <c r="DQ3" t="e">
        <f>AND(#REF!,"Qr+hlzh+Cng=")</f>
        <v>#REF!</v>
      </c>
      <c r="DR3" t="e">
        <f>AND(#REF!,"Qr+hlzh+Cnk=")</f>
        <v>#REF!</v>
      </c>
      <c r="DS3" t="e">
        <f>AND(#REF!,"Qr+hlzh+Cno=")</f>
        <v>#REF!</v>
      </c>
      <c r="DT3" t="e">
        <f>IF(#REF!,"Qr+hlzh+Cns=",0)</f>
        <v>#REF!</v>
      </c>
      <c r="DU3" t="e">
        <f>AND(#REF!,"Qr+hlzh+Cnw=")</f>
        <v>#REF!</v>
      </c>
      <c r="DV3" t="e">
        <f>AND(#REF!,"Qr+hlzh+Cn0=")</f>
        <v>#REF!</v>
      </c>
      <c r="DW3" t="e">
        <f>AND(#REF!,"Qr+hlzh+Cn4=")</f>
        <v>#REF!</v>
      </c>
      <c r="DX3" t="e">
        <f>AND(#REF!,"Qr+hlzh+Cn8=")</f>
        <v>#REF!</v>
      </c>
      <c r="DY3" t="e">
        <f>AND(#REF!,"Qr+hlzh+CoA=")</f>
        <v>#REF!</v>
      </c>
      <c r="DZ3" t="e">
        <f>AND(#REF!,"Qr+hlzh+CoE=")</f>
        <v>#REF!</v>
      </c>
      <c r="EA3" t="e">
        <f>AND(#REF!,"Qr+hlzh+CoI=")</f>
        <v>#REF!</v>
      </c>
      <c r="EB3" t="e">
        <f>AND(#REF!,"Qr+hlzh+CoM=")</f>
        <v>#REF!</v>
      </c>
      <c r="EC3" t="e">
        <f>AND(#REF!,"Qr+hlzh+CoQ=")</f>
        <v>#REF!</v>
      </c>
      <c r="ED3" t="e">
        <f>AND(#REF!,"Qr+hlzh+CoU=")</f>
        <v>#REF!</v>
      </c>
      <c r="EE3" t="e">
        <f>AND(#REF!,"Qr+hlzh+CoY=")</f>
        <v>#REF!</v>
      </c>
      <c r="EF3" t="e">
        <f>AND(#REF!,"Qr+hlzh+Coc=")</f>
        <v>#REF!</v>
      </c>
      <c r="EG3" t="e">
        <f>AND(#REF!,"Qr+hlzh+Cog=")</f>
        <v>#REF!</v>
      </c>
      <c r="EH3" t="e">
        <f>AND(#REF!,"Qr+hlzh+Cok=")</f>
        <v>#REF!</v>
      </c>
      <c r="EI3" t="e">
        <f>AND(#REF!,"Qr+hlzh+Coo=")</f>
        <v>#REF!</v>
      </c>
      <c r="EJ3" t="e">
        <f>AND(#REF!,"Qr+hlzh+Cos=")</f>
        <v>#REF!</v>
      </c>
      <c r="EK3" t="e">
        <f>AND(#REF!,"Qr+hlzh+Cow=")</f>
        <v>#REF!</v>
      </c>
      <c r="EL3" t="e">
        <f>AND(#REF!,"Qr+hlzh+Co0=")</f>
        <v>#REF!</v>
      </c>
      <c r="EM3" t="e">
        <f>AND(#REF!,"Qr+hlzh+Co4=")</f>
        <v>#REF!</v>
      </c>
      <c r="EN3" t="e">
        <f>AND(#REF!,"Qr+hlzh+Co8=")</f>
        <v>#REF!</v>
      </c>
      <c r="EO3" t="e">
        <f>AND(#REF!,"Qr+hlzh+CpA=")</f>
        <v>#REF!</v>
      </c>
      <c r="EP3" t="e">
        <f>AND(#REF!,"Qr+hlzh+CpE=")</f>
        <v>#REF!</v>
      </c>
      <c r="EQ3" t="e">
        <f>IF(#REF!,"Qr+hlzh+CpI=",0)</f>
        <v>#REF!</v>
      </c>
      <c r="ER3" t="e">
        <f>AND(#REF!,"Qr+hlzh+CpM=")</f>
        <v>#REF!</v>
      </c>
      <c r="ES3" t="e">
        <f>AND(#REF!,"Qr+hlzh+CpQ=")</f>
        <v>#REF!</v>
      </c>
      <c r="ET3" t="e">
        <f>AND(#REF!,"Qr+hlzh+CpU=")</f>
        <v>#REF!</v>
      </c>
      <c r="EU3" t="e">
        <f>AND(#REF!,"Qr+hlzh+CpY=")</f>
        <v>#REF!</v>
      </c>
      <c r="EV3" t="e">
        <f>AND(#REF!,"Qr+hlzh+Cpc=")</f>
        <v>#REF!</v>
      </c>
      <c r="EW3" t="e">
        <f>AND(#REF!,"Qr+hlzh+Cpg=")</f>
        <v>#REF!</v>
      </c>
      <c r="EX3" t="e">
        <f>AND(#REF!,"Qr+hlzh+Cpk=")</f>
        <v>#REF!</v>
      </c>
      <c r="EY3" t="e">
        <f>AND(#REF!,"Qr+hlzh+Cpo=")</f>
        <v>#REF!</v>
      </c>
      <c r="EZ3" t="e">
        <f>AND(#REF!,"Qr+hlzh+Cps=")</f>
        <v>#REF!</v>
      </c>
      <c r="FA3" t="e">
        <f>AND(#REF!,"Qr+hlzh+Cpw=")</f>
        <v>#REF!</v>
      </c>
      <c r="FB3" t="e">
        <f>AND(#REF!,"Qr+hlzh+Cp0=")</f>
        <v>#REF!</v>
      </c>
      <c r="FC3" t="e">
        <f>AND(#REF!,"Qr+hlzh+Cp4=")</f>
        <v>#REF!</v>
      </c>
      <c r="FD3" t="e">
        <f>AND(#REF!,"Qr+hlzh+Cp8=")</f>
        <v>#REF!</v>
      </c>
      <c r="FE3" t="e">
        <f>AND(#REF!,"Qr+hlzh+CqA=")</f>
        <v>#REF!</v>
      </c>
      <c r="FF3" t="e">
        <f>AND(#REF!,"Qr+hlzh+CqE=")</f>
        <v>#REF!</v>
      </c>
      <c r="FG3" t="e">
        <f>AND(#REF!,"Qr+hlzh+CqI=")</f>
        <v>#REF!</v>
      </c>
      <c r="FH3" t="e">
        <f>AND(#REF!,"Qr+hlzh+CqM=")</f>
        <v>#REF!</v>
      </c>
      <c r="FI3" t="e">
        <f>AND(#REF!,"Qr+hlzh+CqQ=")</f>
        <v>#REF!</v>
      </c>
      <c r="FJ3" t="e">
        <f>AND(#REF!,"Qr+hlzh+CqU=")</f>
        <v>#REF!</v>
      </c>
      <c r="FK3" t="e">
        <f>AND(#REF!,"Qr+hlzh+CqY=")</f>
        <v>#REF!</v>
      </c>
      <c r="FL3" t="e">
        <f>AND(#REF!,"Qr+hlzh+Cqc=")</f>
        <v>#REF!</v>
      </c>
      <c r="FM3" t="e">
        <f>AND(#REF!,"Qr+hlzh+Cqg=")</f>
        <v>#REF!</v>
      </c>
      <c r="FN3" t="e">
        <f>IF(#REF!,"Qr+hlzh+Cqk=",0)</f>
        <v>#REF!</v>
      </c>
      <c r="FO3" t="e">
        <f>AND(#REF!,"Qr+hlzh+Cqo=")</f>
        <v>#REF!</v>
      </c>
      <c r="FP3" t="e">
        <f>AND(#REF!,"Qr+hlzh+Cqs=")</f>
        <v>#REF!</v>
      </c>
      <c r="FQ3" t="e">
        <f>AND(#REF!,"Qr+hlzh+Cqw=")</f>
        <v>#REF!</v>
      </c>
      <c r="FR3" t="e">
        <f>AND(#REF!,"Qr+hlzh+Cq0=")</f>
        <v>#REF!</v>
      </c>
      <c r="FS3" t="e">
        <f>AND(#REF!,"Qr+hlzh+Cq4=")</f>
        <v>#REF!</v>
      </c>
      <c r="FT3" t="e">
        <f>AND(#REF!,"Qr+hlzh+Cq8=")</f>
        <v>#REF!</v>
      </c>
      <c r="FU3" t="e">
        <f>AND(#REF!,"Qr+hlzh+CrA=")</f>
        <v>#REF!</v>
      </c>
      <c r="FV3" t="e">
        <f>AND(#REF!,"Qr+hlzh+CrE=")</f>
        <v>#REF!</v>
      </c>
      <c r="FW3" t="e">
        <f>AND(#REF!,"Qr+hlzh+CrI=")</f>
        <v>#REF!</v>
      </c>
      <c r="FX3" t="e">
        <f>AND(#REF!,"Qr+hlzh+CrM=")</f>
        <v>#REF!</v>
      </c>
      <c r="FY3" t="e">
        <f>AND(#REF!,"Qr+hlzh+CrQ=")</f>
        <v>#REF!</v>
      </c>
      <c r="FZ3" t="e">
        <f>AND(#REF!,"Qr+hlzh+CrU=")</f>
        <v>#REF!</v>
      </c>
      <c r="GA3" t="e">
        <f>AND(#REF!,"Qr+hlzh+CrY=")</f>
        <v>#REF!</v>
      </c>
      <c r="GB3" t="e">
        <f>AND(#REF!,"Qr+hlzh+Crc=")</f>
        <v>#REF!</v>
      </c>
      <c r="GC3" t="e">
        <f>AND(#REF!,"Qr+hlzh+Crg=")</f>
        <v>#REF!</v>
      </c>
      <c r="GD3" t="e">
        <f>AND(#REF!,"Qr+hlzh+Crk=")</f>
        <v>#REF!</v>
      </c>
      <c r="GE3" t="e">
        <f>AND(#REF!,"Qr+hlzh+Cro=")</f>
        <v>#REF!</v>
      </c>
      <c r="GF3" t="e">
        <f>AND(#REF!,"Qr+hlzh+Crs=")</f>
        <v>#REF!</v>
      </c>
      <c r="GG3" t="e">
        <f>AND(#REF!,"Qr+hlzh+Crw=")</f>
        <v>#REF!</v>
      </c>
      <c r="GH3" t="e">
        <f>AND(#REF!,"Qr+hlzh+Cr0=")</f>
        <v>#REF!</v>
      </c>
      <c r="GI3" t="e">
        <f>AND(#REF!,"Qr+hlzh+Cr4=")</f>
        <v>#REF!</v>
      </c>
      <c r="GJ3" t="e">
        <f>AND(#REF!,"Qr+hlzh+Cr8=")</f>
        <v>#REF!</v>
      </c>
      <c r="GK3" t="e">
        <f>IF(#REF!,"Qr+hlzh+CsA=",0)</f>
        <v>#REF!</v>
      </c>
      <c r="GL3" t="e">
        <f>AND(#REF!,"Qr+hlzh+CsE=")</f>
        <v>#REF!</v>
      </c>
      <c r="GM3" t="e">
        <f>AND(#REF!,"Qr+hlzh+CsI=")</f>
        <v>#REF!</v>
      </c>
      <c r="GN3" t="e">
        <f>AND(#REF!,"Qr+hlzh+CsM=")</f>
        <v>#REF!</v>
      </c>
      <c r="GO3" t="e">
        <f>AND(#REF!,"Qr+hlzh+CsQ=")</f>
        <v>#REF!</v>
      </c>
      <c r="GP3" t="e">
        <f>AND(#REF!,"Qr+hlzh+CsU=")</f>
        <v>#REF!</v>
      </c>
      <c r="GQ3" t="e">
        <f>AND(#REF!,"Qr+hlzh+CsY=")</f>
        <v>#REF!</v>
      </c>
      <c r="GR3" t="e">
        <f>AND(#REF!,"Qr+hlzh+Csc=")</f>
        <v>#REF!</v>
      </c>
      <c r="GS3" t="e">
        <f>AND(#REF!,"Qr+hlzh+Csg=")</f>
        <v>#REF!</v>
      </c>
      <c r="GT3" t="e">
        <f>AND(#REF!,"Qr+hlzh+Csk=")</f>
        <v>#REF!</v>
      </c>
      <c r="GU3" t="e">
        <f>AND(#REF!,"Qr+hlzh+Cso=")</f>
        <v>#REF!</v>
      </c>
      <c r="GV3" t="e">
        <f>AND(#REF!,"Qr+hlzh+Css=")</f>
        <v>#REF!</v>
      </c>
      <c r="GW3" t="e">
        <f>AND(#REF!,"Qr+hlzh+Csw=")</f>
        <v>#REF!</v>
      </c>
      <c r="GX3" t="e">
        <f>AND(#REF!,"Qr+hlzh+Cs0=")</f>
        <v>#REF!</v>
      </c>
      <c r="GY3" t="e">
        <f>AND(#REF!,"Qr+hlzh+Cs4=")</f>
        <v>#REF!</v>
      </c>
      <c r="GZ3" t="e">
        <f>AND(#REF!,"Qr+hlzh+Cs8=")</f>
        <v>#REF!</v>
      </c>
      <c r="HA3" t="e">
        <f>AND(#REF!,"Qr+hlzh+CtA=")</f>
        <v>#REF!</v>
      </c>
      <c r="HB3" t="e">
        <f>AND(#REF!,"Qr+hlzh+CtE=")</f>
        <v>#REF!</v>
      </c>
      <c r="HC3" t="e">
        <f>AND(#REF!,"Qr+hlzh+CtI=")</f>
        <v>#REF!</v>
      </c>
      <c r="HD3" t="e">
        <f>AND(#REF!,"Qr+hlzh+CtM=")</f>
        <v>#REF!</v>
      </c>
      <c r="HE3" t="e">
        <f>AND(#REF!,"Qr+hlzh+CtQ=")</f>
        <v>#REF!</v>
      </c>
      <c r="HF3" t="e">
        <f>AND(#REF!,"Qr+hlzh+CtU=")</f>
        <v>#REF!</v>
      </c>
      <c r="HG3" t="e">
        <f>AND(#REF!,"Qr+hlzh+CtY=")</f>
        <v>#REF!</v>
      </c>
      <c r="HH3" t="e">
        <f>IF(#REF!,"Qr+hlzh+Ctc=",0)</f>
        <v>#REF!</v>
      </c>
      <c r="HI3" t="e">
        <f>AND(#REF!,"Qr+hlzh+Ctg=")</f>
        <v>#REF!</v>
      </c>
      <c r="HJ3" t="e">
        <f>AND(#REF!,"Qr+hlzh+Ctk=")</f>
        <v>#REF!</v>
      </c>
      <c r="HK3" t="e">
        <f>AND(#REF!,"Qr+hlzh+Cto=")</f>
        <v>#REF!</v>
      </c>
      <c r="HL3" t="e">
        <f>AND(#REF!,"Qr+hlzh+Cts=")</f>
        <v>#REF!</v>
      </c>
      <c r="HM3" t="e">
        <f>AND(#REF!,"Qr+hlzh+Ctw=")</f>
        <v>#REF!</v>
      </c>
      <c r="HN3" t="e">
        <f>AND(#REF!,"Qr+hlzh+Ct0=")</f>
        <v>#REF!</v>
      </c>
      <c r="HO3" t="e">
        <f>AND(#REF!,"Qr+hlzh+Ct4=")</f>
        <v>#REF!</v>
      </c>
      <c r="HP3" t="e">
        <f>AND(#REF!,"Qr+hlzh+Ct8=")</f>
        <v>#REF!</v>
      </c>
      <c r="HQ3" t="e">
        <f>AND(#REF!,"Qr+hlzh+CuA=")</f>
        <v>#REF!</v>
      </c>
      <c r="HR3" t="e">
        <f>AND(#REF!,"Qr+hlzh+CuE=")</f>
        <v>#REF!</v>
      </c>
      <c r="HS3" t="e">
        <f>AND(#REF!,"Qr+hlzh+CuI=")</f>
        <v>#REF!</v>
      </c>
      <c r="HT3" t="e">
        <f>AND(#REF!,"Qr+hlzh+CuM=")</f>
        <v>#REF!</v>
      </c>
      <c r="HU3" t="e">
        <f>AND(#REF!,"Qr+hlzh+CuQ=")</f>
        <v>#REF!</v>
      </c>
      <c r="HV3" t="e">
        <f>AND(#REF!,"Qr+hlzh+CuU=")</f>
        <v>#REF!</v>
      </c>
      <c r="HW3" t="e">
        <f>AND(#REF!,"Qr+hlzh+CuY=")</f>
        <v>#REF!</v>
      </c>
      <c r="HX3" t="e">
        <f>AND(#REF!,"Qr+hlzh+Cuc=")</f>
        <v>#REF!</v>
      </c>
      <c r="HY3" t="e">
        <f>AND(#REF!,"Qr+hlzh+Cug=")</f>
        <v>#REF!</v>
      </c>
      <c r="HZ3" t="e">
        <f>AND(#REF!,"Qr+hlzh+Cuk=")</f>
        <v>#REF!</v>
      </c>
      <c r="IA3" t="e">
        <f>AND(#REF!,"Qr+hlzh+Cuo=")</f>
        <v>#REF!</v>
      </c>
      <c r="IB3" t="e">
        <f>AND(#REF!,"Qr+hlzh+Cus=")</f>
        <v>#REF!</v>
      </c>
      <c r="IC3" t="e">
        <f>AND(#REF!,"Qr+hlzh+Cuw=")</f>
        <v>#REF!</v>
      </c>
      <c r="ID3" t="e">
        <f>AND(#REF!,"Qr+hlzh+Cu0=")</f>
        <v>#REF!</v>
      </c>
      <c r="IE3" t="e">
        <f>IF(#REF!,"Qr+hlzh+Cu4=",0)</f>
        <v>#REF!</v>
      </c>
      <c r="IF3" t="e">
        <f>AND(#REF!,"Qr+hlzh+Cu8=")</f>
        <v>#REF!</v>
      </c>
      <c r="IG3" t="e">
        <f>AND(#REF!,"Qr+hlzh+CvA=")</f>
        <v>#REF!</v>
      </c>
      <c r="IH3" t="e">
        <f>AND(#REF!,"Qr+hlzh+CvE=")</f>
        <v>#REF!</v>
      </c>
      <c r="II3" t="e">
        <f>AND(#REF!,"Qr+hlzh+CvI=")</f>
        <v>#REF!</v>
      </c>
      <c r="IJ3" t="e">
        <f>AND(#REF!,"Qr+hlzh+CvM=")</f>
        <v>#REF!</v>
      </c>
      <c r="IK3" t="e">
        <f>AND(#REF!,"Qr+hlzh+CvQ=")</f>
        <v>#REF!</v>
      </c>
      <c r="IL3" t="e">
        <f>AND(#REF!,"Qr+hlzh+CvU=")</f>
        <v>#REF!</v>
      </c>
      <c r="IM3" t="e">
        <f>AND(#REF!,"Qr+hlzh+CvY=")</f>
        <v>#REF!</v>
      </c>
      <c r="IN3" t="e">
        <f>AND(#REF!,"Qr+hlzh+Cvc=")</f>
        <v>#REF!</v>
      </c>
      <c r="IO3" t="e">
        <f>AND(#REF!,"Qr+hlzh+Cvg=")</f>
        <v>#REF!</v>
      </c>
      <c r="IP3" t="e">
        <f>AND(#REF!,"Qr+hlzh+Cvk=")</f>
        <v>#REF!</v>
      </c>
      <c r="IQ3" t="e">
        <f>AND(#REF!,"Qr+hlzh+Cvo=")</f>
        <v>#REF!</v>
      </c>
      <c r="IR3" t="e">
        <f>AND(#REF!,"Qr+hlzh+Cvs=")</f>
        <v>#REF!</v>
      </c>
      <c r="IS3" t="e">
        <f>AND(#REF!,"Qr+hlzh+Cvw=")</f>
        <v>#REF!</v>
      </c>
      <c r="IT3" t="e">
        <f>AND(#REF!,"Qr+hlzh+Cv0=")</f>
        <v>#REF!</v>
      </c>
      <c r="IU3" t="e">
        <f>AND(#REF!,"Qr+hlzh+Cv4=")</f>
        <v>#REF!</v>
      </c>
      <c r="IV3" t="e">
        <f>AND(#REF!,"Qr+hlzh+Cv8=")</f>
        <v>#REF!</v>
      </c>
    </row>
    <row r="4" spans="1:256" x14ac:dyDescent="0.2">
      <c r="A4" t="e">
        <f>AND(#REF!,"fVWUhS6oHgA=")</f>
        <v>#REF!</v>
      </c>
      <c r="B4" t="e">
        <f>AND(#REF!,"fVWUhS6oHgE=")</f>
        <v>#REF!</v>
      </c>
      <c r="C4" t="e">
        <f>AND(#REF!,"fVWUhS6oHgI=")</f>
        <v>#REF!</v>
      </c>
      <c r="D4" t="e">
        <f>AND(#REF!,"fVWUhS6oHgM=")</f>
        <v>#REF!</v>
      </c>
      <c r="E4" t="e">
        <f>AND(#REF!,"fVWUhS6oHgQ=")</f>
        <v>#REF!</v>
      </c>
      <c r="F4" t="e">
        <f>IF(#REF!,"fVWUhS6oHgU=",0)</f>
        <v>#REF!</v>
      </c>
      <c r="G4" t="e">
        <f>AND(#REF!,"fVWUhS6oHgY=")</f>
        <v>#REF!</v>
      </c>
      <c r="H4" t="e">
        <f>AND(#REF!,"fVWUhS6oHgc=")</f>
        <v>#REF!</v>
      </c>
      <c r="I4" t="e">
        <f>AND(#REF!,"fVWUhS6oHgg=")</f>
        <v>#REF!</v>
      </c>
      <c r="J4" t="e">
        <f>AND(#REF!,"fVWUhS6oHgk=")</f>
        <v>#REF!</v>
      </c>
      <c r="K4" t="e">
        <f>AND(#REF!,"fVWUhS6oHgo=")</f>
        <v>#REF!</v>
      </c>
      <c r="L4" t="e">
        <f>AND(#REF!,"fVWUhS6oHgs=")</f>
        <v>#REF!</v>
      </c>
      <c r="M4" t="e">
        <f>AND(#REF!,"fVWUhS6oHgw=")</f>
        <v>#REF!</v>
      </c>
      <c r="N4" t="e">
        <f>AND(#REF!,"fVWUhS6oHg0=")</f>
        <v>#REF!</v>
      </c>
      <c r="O4" t="e">
        <f>AND(#REF!,"fVWUhS6oHg4=")</f>
        <v>#REF!</v>
      </c>
      <c r="P4" t="e">
        <f>AND(#REF!,"fVWUhS6oHg8=")</f>
        <v>#REF!</v>
      </c>
      <c r="Q4" t="e">
        <f>AND(#REF!,"fVWUhS6oHhA=")</f>
        <v>#REF!</v>
      </c>
      <c r="R4" t="e">
        <f>AND(#REF!,"fVWUhS6oHhE=")</f>
        <v>#REF!</v>
      </c>
      <c r="S4" t="e">
        <f>AND(#REF!,"fVWUhS6oHhI=")</f>
        <v>#REF!</v>
      </c>
      <c r="T4" t="e">
        <f>AND(#REF!,"fVWUhS6oHhM=")</f>
        <v>#REF!</v>
      </c>
      <c r="U4" t="e">
        <f>AND(#REF!,"fVWUhS6oHhQ=")</f>
        <v>#REF!</v>
      </c>
      <c r="V4" t="e">
        <f>AND(#REF!,"fVWUhS6oHhU=")</f>
        <v>#REF!</v>
      </c>
      <c r="W4" t="e">
        <f>AND(#REF!,"fVWUhS6oHhY=")</f>
        <v>#REF!</v>
      </c>
      <c r="X4" t="e">
        <f>AND(#REF!,"fVWUhS6oHhc=")</f>
        <v>#REF!</v>
      </c>
      <c r="Y4" t="e">
        <f>AND(#REF!,"fVWUhS6oHhg=")</f>
        <v>#REF!</v>
      </c>
      <c r="Z4" t="e">
        <f>AND(#REF!,"fVWUhS6oHhk=")</f>
        <v>#REF!</v>
      </c>
      <c r="AA4" t="e">
        <f>AND(#REF!,"fVWUhS6oHho=")</f>
        <v>#REF!</v>
      </c>
      <c r="AB4" t="e">
        <f>AND(#REF!,"fVWUhS6oHhs=")</f>
        <v>#REF!</v>
      </c>
      <c r="AC4" t="e">
        <f>IF(#REF!,"fVWUhS6oHhw=",0)</f>
        <v>#REF!</v>
      </c>
      <c r="AD4" t="e">
        <f>AND(#REF!,"fVWUhS6oHh0=")</f>
        <v>#REF!</v>
      </c>
      <c r="AE4" t="e">
        <f>AND(#REF!,"fVWUhS6oHh4=")</f>
        <v>#REF!</v>
      </c>
      <c r="AF4" t="e">
        <f>AND(#REF!,"fVWUhS6oHh8=")</f>
        <v>#REF!</v>
      </c>
      <c r="AG4" t="e">
        <f>AND(#REF!,"fVWUhS6oHiA=")</f>
        <v>#REF!</v>
      </c>
      <c r="AH4" t="e">
        <f>AND(#REF!,"fVWUhS6oHiE=")</f>
        <v>#REF!</v>
      </c>
      <c r="AI4" t="e">
        <f>AND(#REF!,"fVWUhS6oHiI=")</f>
        <v>#REF!</v>
      </c>
      <c r="AJ4" t="e">
        <f>AND(#REF!,"fVWUhS6oHiM=")</f>
        <v>#REF!</v>
      </c>
      <c r="AK4" t="e">
        <f>AND(#REF!,"fVWUhS6oHiQ=")</f>
        <v>#REF!</v>
      </c>
      <c r="AL4" t="e">
        <f>AND(#REF!,"fVWUhS6oHiU=")</f>
        <v>#REF!</v>
      </c>
      <c r="AM4" t="e">
        <f>AND(#REF!,"fVWUhS6oHiY=")</f>
        <v>#REF!</v>
      </c>
      <c r="AN4" t="e">
        <f>AND(#REF!,"fVWUhS6oHic=")</f>
        <v>#REF!</v>
      </c>
      <c r="AO4" t="e">
        <f>AND(#REF!,"fVWUhS6oHig=")</f>
        <v>#REF!</v>
      </c>
      <c r="AP4" t="e">
        <f>AND(#REF!,"fVWUhS6oHik=")</f>
        <v>#REF!</v>
      </c>
      <c r="AQ4" t="e">
        <f>AND(#REF!,"fVWUhS6oHio=")</f>
        <v>#REF!</v>
      </c>
      <c r="AR4" t="e">
        <f>AND(#REF!,"fVWUhS6oHis=")</f>
        <v>#REF!</v>
      </c>
      <c r="AS4" t="e">
        <f>AND(#REF!,"fVWUhS6oHiw=")</f>
        <v>#REF!</v>
      </c>
      <c r="AT4" t="e">
        <f>AND(#REF!,"fVWUhS6oHi0=")</f>
        <v>#REF!</v>
      </c>
      <c r="AU4" t="e">
        <f>AND(#REF!,"fVWUhS6oHi4=")</f>
        <v>#REF!</v>
      </c>
      <c r="AV4" t="e">
        <f>AND(#REF!,"fVWUhS6oHi8=")</f>
        <v>#REF!</v>
      </c>
      <c r="AW4" t="e">
        <f>AND(#REF!,"fVWUhS6oHjA=")</f>
        <v>#REF!</v>
      </c>
      <c r="AX4" t="e">
        <f>AND(#REF!,"fVWUhS6oHjE=")</f>
        <v>#REF!</v>
      </c>
      <c r="AY4" t="e">
        <f>AND(#REF!,"fVWUhS6oHjI=")</f>
        <v>#REF!</v>
      </c>
      <c r="AZ4" t="e">
        <f>IF(#REF!,"fVWUhS6oHjM=",0)</f>
        <v>#REF!</v>
      </c>
      <c r="BA4" t="e">
        <f>AND(#REF!,"fVWUhS6oHjQ=")</f>
        <v>#REF!</v>
      </c>
      <c r="BB4" t="e">
        <f>AND(#REF!,"fVWUhS6oHjU=")</f>
        <v>#REF!</v>
      </c>
      <c r="BC4" t="e">
        <f>AND(#REF!,"fVWUhS6oHjY=")</f>
        <v>#REF!</v>
      </c>
      <c r="BD4" t="e">
        <f>AND(#REF!,"fVWUhS6oHjc=")</f>
        <v>#REF!</v>
      </c>
      <c r="BE4" t="e">
        <f>AND(#REF!,"fVWUhS6oHjg=")</f>
        <v>#REF!</v>
      </c>
      <c r="BF4" t="e">
        <f>AND(#REF!,"fVWUhS6oHjk=")</f>
        <v>#REF!</v>
      </c>
      <c r="BG4" t="e">
        <f>AND(#REF!,"fVWUhS6oHjo=")</f>
        <v>#REF!</v>
      </c>
      <c r="BH4" t="e">
        <f>AND(#REF!,"fVWUhS6oHjs=")</f>
        <v>#REF!</v>
      </c>
      <c r="BI4" t="e">
        <f>AND(#REF!,"fVWUhS6oHjw=")</f>
        <v>#REF!</v>
      </c>
      <c r="BJ4" t="e">
        <f>AND(#REF!,"fVWUhS6oHj0=")</f>
        <v>#REF!</v>
      </c>
      <c r="BK4" t="e">
        <f>AND(#REF!,"fVWUhS6oHj4=")</f>
        <v>#REF!</v>
      </c>
      <c r="BL4" t="e">
        <f>AND(#REF!,"fVWUhS6oHj8=")</f>
        <v>#REF!</v>
      </c>
      <c r="BM4" t="e">
        <f>AND(#REF!,"fVWUhS6oHkA=")</f>
        <v>#REF!</v>
      </c>
      <c r="BN4" t="e">
        <f>AND(#REF!,"fVWUhS6oHkE=")</f>
        <v>#REF!</v>
      </c>
      <c r="BO4" t="e">
        <f>AND(#REF!,"fVWUhS6oHkI=")</f>
        <v>#REF!</v>
      </c>
      <c r="BP4" t="e">
        <f>AND(#REF!,"fVWUhS6oHkM=")</f>
        <v>#REF!</v>
      </c>
      <c r="BQ4" t="e">
        <f>AND(#REF!,"fVWUhS6oHkQ=")</f>
        <v>#REF!</v>
      </c>
      <c r="BR4" t="e">
        <f>AND(#REF!,"fVWUhS6oHkU=")</f>
        <v>#REF!</v>
      </c>
      <c r="BS4" t="e">
        <f>AND(#REF!,"fVWUhS6oHkY=")</f>
        <v>#REF!</v>
      </c>
      <c r="BT4" t="e">
        <f>AND(#REF!,"fVWUhS6oHkc=")</f>
        <v>#REF!</v>
      </c>
      <c r="BU4" t="e">
        <f>AND(#REF!,"fVWUhS6oHkg=")</f>
        <v>#REF!</v>
      </c>
      <c r="BV4" t="e">
        <f>AND(#REF!,"fVWUhS6oHkk=")</f>
        <v>#REF!</v>
      </c>
      <c r="BW4" t="e">
        <f>IF(#REF!,"fVWUhS6oHko=",0)</f>
        <v>#REF!</v>
      </c>
      <c r="BX4" t="e">
        <f>AND(#REF!,"fVWUhS6oHks=")</f>
        <v>#REF!</v>
      </c>
      <c r="BY4" t="e">
        <f>AND(#REF!,"fVWUhS6oHkw=")</f>
        <v>#REF!</v>
      </c>
      <c r="BZ4" t="e">
        <f>AND(#REF!,"fVWUhS6oHk0=")</f>
        <v>#REF!</v>
      </c>
      <c r="CA4" t="e">
        <f>AND(#REF!,"fVWUhS6oHk4=")</f>
        <v>#REF!</v>
      </c>
      <c r="CB4" t="e">
        <f>AND(#REF!,"fVWUhS6oHk8=")</f>
        <v>#REF!</v>
      </c>
      <c r="CC4" t="e">
        <f>AND(#REF!,"fVWUhS6oHlA=")</f>
        <v>#REF!</v>
      </c>
      <c r="CD4" t="e">
        <f>AND(#REF!,"fVWUhS6oHlE=")</f>
        <v>#REF!</v>
      </c>
      <c r="CE4" t="e">
        <f>AND(#REF!,"fVWUhS6oHlI=")</f>
        <v>#REF!</v>
      </c>
      <c r="CF4" t="e">
        <f>AND(#REF!,"fVWUhS6oHlM=")</f>
        <v>#REF!</v>
      </c>
      <c r="CG4" t="e">
        <f>AND(#REF!,"fVWUhS6oHlQ=")</f>
        <v>#REF!</v>
      </c>
      <c r="CH4" t="e">
        <f>AND(#REF!,"fVWUhS6oHlU=")</f>
        <v>#REF!</v>
      </c>
      <c r="CI4" t="e">
        <f>AND(#REF!,"fVWUhS6oHlY=")</f>
        <v>#REF!</v>
      </c>
      <c r="CJ4" t="e">
        <f>AND(#REF!,"fVWUhS6oHlc=")</f>
        <v>#REF!</v>
      </c>
      <c r="CK4" t="e">
        <f>AND(#REF!,"fVWUhS6oHlg=")</f>
        <v>#REF!</v>
      </c>
      <c r="CL4" t="e">
        <f>AND(#REF!,"fVWUhS6oHlk=")</f>
        <v>#REF!</v>
      </c>
      <c r="CM4" t="e">
        <f>AND(#REF!,"fVWUhS6oHlo=")</f>
        <v>#REF!</v>
      </c>
      <c r="CN4" t="e">
        <f>AND(#REF!,"fVWUhS6oHls=")</f>
        <v>#REF!</v>
      </c>
      <c r="CO4" t="e">
        <f>AND(#REF!,"fVWUhS6oHlw=")</f>
        <v>#REF!</v>
      </c>
      <c r="CP4" t="e">
        <f>AND(#REF!,"fVWUhS6oHl0=")</f>
        <v>#REF!</v>
      </c>
      <c r="CQ4" t="e">
        <f>AND(#REF!,"fVWUhS6oHl4=")</f>
        <v>#REF!</v>
      </c>
      <c r="CR4" t="e">
        <f>AND(#REF!,"fVWUhS6oHl8=")</f>
        <v>#REF!</v>
      </c>
      <c r="CS4" t="e">
        <f>AND(#REF!,"fVWUhS6oHmA=")</f>
        <v>#REF!</v>
      </c>
      <c r="CT4" t="e">
        <f>IF(#REF!,"fVWUhS6oHmE=",0)</f>
        <v>#REF!</v>
      </c>
      <c r="CU4" t="e">
        <f>AND(#REF!,"fVWUhS6oHmI=")</f>
        <v>#REF!</v>
      </c>
      <c r="CV4" t="e">
        <f>AND(#REF!,"fVWUhS6oHmM=")</f>
        <v>#REF!</v>
      </c>
      <c r="CW4" t="e">
        <f>AND(#REF!,"fVWUhS6oHmQ=")</f>
        <v>#REF!</v>
      </c>
      <c r="CX4" t="e">
        <f>AND(#REF!,"fVWUhS6oHmU=")</f>
        <v>#REF!</v>
      </c>
      <c r="CY4" t="e">
        <f>AND(#REF!,"fVWUhS6oHmY=")</f>
        <v>#REF!</v>
      </c>
      <c r="CZ4" t="e">
        <f>AND(#REF!,"fVWUhS6oHmc=")</f>
        <v>#REF!</v>
      </c>
      <c r="DA4" t="e">
        <f>AND(#REF!,"fVWUhS6oHmg=")</f>
        <v>#REF!</v>
      </c>
      <c r="DB4" t="e">
        <f>AND(#REF!,"fVWUhS6oHmk=")</f>
        <v>#REF!</v>
      </c>
      <c r="DC4" t="e">
        <f>AND(#REF!,"fVWUhS6oHmo=")</f>
        <v>#REF!</v>
      </c>
      <c r="DD4" t="e">
        <f>AND(#REF!,"fVWUhS6oHms=")</f>
        <v>#REF!</v>
      </c>
      <c r="DE4" t="e">
        <f>AND(#REF!,"fVWUhS6oHmw=")</f>
        <v>#REF!</v>
      </c>
      <c r="DF4" t="e">
        <f>AND(#REF!,"fVWUhS6oHm0=")</f>
        <v>#REF!</v>
      </c>
      <c r="DG4" t="e">
        <f>AND(#REF!,"fVWUhS6oHm4=")</f>
        <v>#REF!</v>
      </c>
      <c r="DH4" t="e">
        <f>AND(#REF!,"fVWUhS6oHm8=")</f>
        <v>#REF!</v>
      </c>
      <c r="DI4" t="e">
        <f>AND(#REF!,"fVWUhS6oHnA=")</f>
        <v>#REF!</v>
      </c>
      <c r="DJ4" t="e">
        <f>AND(#REF!,"fVWUhS6oHnE=")</f>
        <v>#REF!</v>
      </c>
      <c r="DK4" t="e">
        <f>AND(#REF!,"fVWUhS6oHnI=")</f>
        <v>#REF!</v>
      </c>
      <c r="DL4" t="e">
        <f>AND(#REF!,"fVWUhS6oHnM=")</f>
        <v>#REF!</v>
      </c>
      <c r="DM4" t="e">
        <f>AND(#REF!,"fVWUhS6oHnQ=")</f>
        <v>#REF!</v>
      </c>
      <c r="DN4" t="e">
        <f>AND(#REF!,"fVWUhS6oHnU=")</f>
        <v>#REF!</v>
      </c>
      <c r="DO4" t="e">
        <f>AND(#REF!,"fVWUhS6oHnY=")</f>
        <v>#REF!</v>
      </c>
      <c r="DP4" t="e">
        <f>AND(#REF!,"fVWUhS6oHnc=")</f>
        <v>#REF!</v>
      </c>
      <c r="DQ4" t="e">
        <f>IF(#REF!,"fVWUhS6oHng=",0)</f>
        <v>#REF!</v>
      </c>
      <c r="DR4" t="e">
        <f>AND(#REF!,"fVWUhS6oHnk=")</f>
        <v>#REF!</v>
      </c>
      <c r="DS4" t="e">
        <f>AND(#REF!,"fVWUhS6oHno=")</f>
        <v>#REF!</v>
      </c>
      <c r="DT4" t="e">
        <f>AND(#REF!,"fVWUhS6oHns=")</f>
        <v>#REF!</v>
      </c>
      <c r="DU4" t="e">
        <f>AND(#REF!,"fVWUhS6oHnw=")</f>
        <v>#REF!</v>
      </c>
      <c r="DV4" t="e">
        <f>AND(#REF!,"fVWUhS6oHn0=")</f>
        <v>#REF!</v>
      </c>
      <c r="DW4" t="e">
        <f>AND(#REF!,"fVWUhS6oHn4=")</f>
        <v>#REF!</v>
      </c>
      <c r="DX4" t="e">
        <f>AND(#REF!,"fVWUhS6oHn8=")</f>
        <v>#REF!</v>
      </c>
      <c r="DY4" t="e">
        <f>AND(#REF!,"fVWUhS6oHoA=")</f>
        <v>#REF!</v>
      </c>
      <c r="DZ4" t="e">
        <f>AND(#REF!,"fVWUhS6oHoE=")</f>
        <v>#REF!</v>
      </c>
      <c r="EA4" t="e">
        <f>AND(#REF!,"fVWUhS6oHoI=")</f>
        <v>#REF!</v>
      </c>
      <c r="EB4" t="e">
        <f>AND(#REF!,"fVWUhS6oHoM=")</f>
        <v>#REF!</v>
      </c>
      <c r="EC4" t="e">
        <f>AND(#REF!,"fVWUhS6oHoQ=")</f>
        <v>#REF!</v>
      </c>
      <c r="ED4" t="e">
        <f>AND(#REF!,"fVWUhS6oHoU=")</f>
        <v>#REF!</v>
      </c>
      <c r="EE4" t="e">
        <f>AND(#REF!,"fVWUhS6oHoY=")</f>
        <v>#REF!</v>
      </c>
      <c r="EF4" t="e">
        <f>AND(#REF!,"fVWUhS6oHoc=")</f>
        <v>#REF!</v>
      </c>
      <c r="EG4" t="e">
        <f>AND(#REF!,"fVWUhS6oHog=")</f>
        <v>#REF!</v>
      </c>
      <c r="EH4" t="e">
        <f>AND(#REF!,"fVWUhS6oHok=")</f>
        <v>#REF!</v>
      </c>
      <c r="EI4" t="e">
        <f>AND(#REF!,"fVWUhS6oHoo=")</f>
        <v>#REF!</v>
      </c>
      <c r="EJ4" t="e">
        <f>AND(#REF!,"fVWUhS6oHos=")</f>
        <v>#REF!</v>
      </c>
      <c r="EK4" t="e">
        <f>AND(#REF!,"fVWUhS6oHow=")</f>
        <v>#REF!</v>
      </c>
      <c r="EL4" t="e">
        <f>AND(#REF!,"fVWUhS6oHo0=")</f>
        <v>#REF!</v>
      </c>
      <c r="EM4" t="e">
        <f>AND(#REF!,"fVWUhS6oHo4=")</f>
        <v>#REF!</v>
      </c>
      <c r="EN4" t="e">
        <f>IF(#REF!,"fVWUhS6oHo8=",0)</f>
        <v>#REF!</v>
      </c>
      <c r="EO4" t="e">
        <f>AND(#REF!,"fVWUhS6oHpA=")</f>
        <v>#REF!</v>
      </c>
      <c r="EP4" t="e">
        <f>AND(#REF!,"fVWUhS6oHpE=")</f>
        <v>#REF!</v>
      </c>
      <c r="EQ4" t="e">
        <f>AND(#REF!,"fVWUhS6oHpI=")</f>
        <v>#REF!</v>
      </c>
      <c r="ER4" t="e">
        <f>AND(#REF!,"fVWUhS6oHpM=")</f>
        <v>#REF!</v>
      </c>
      <c r="ES4" t="e">
        <f>AND(#REF!,"fVWUhS6oHpQ=")</f>
        <v>#REF!</v>
      </c>
      <c r="ET4" t="e">
        <f>AND(#REF!,"fVWUhS6oHpU=")</f>
        <v>#REF!</v>
      </c>
      <c r="EU4" t="e">
        <f>AND(#REF!,"fVWUhS6oHpY=")</f>
        <v>#REF!</v>
      </c>
      <c r="EV4" t="e">
        <f>AND(#REF!,"fVWUhS6oHpc=")</f>
        <v>#REF!</v>
      </c>
      <c r="EW4" t="e">
        <f>AND(#REF!,"fVWUhS6oHpg=")</f>
        <v>#REF!</v>
      </c>
      <c r="EX4" t="e">
        <f>AND(#REF!,"fVWUhS6oHpk=")</f>
        <v>#REF!</v>
      </c>
      <c r="EY4" t="e">
        <f>AND(#REF!,"fVWUhS6oHpo=")</f>
        <v>#REF!</v>
      </c>
      <c r="EZ4" t="e">
        <f>AND(#REF!,"fVWUhS6oHps=")</f>
        <v>#REF!</v>
      </c>
      <c r="FA4" t="e">
        <f>AND(#REF!,"fVWUhS6oHpw=")</f>
        <v>#REF!</v>
      </c>
      <c r="FB4" t="e">
        <f>AND(#REF!,"fVWUhS6oHp0=")</f>
        <v>#REF!</v>
      </c>
      <c r="FC4" t="e">
        <f>AND(#REF!,"fVWUhS6oHp4=")</f>
        <v>#REF!</v>
      </c>
      <c r="FD4" t="e">
        <f>AND(#REF!,"fVWUhS6oHp8=")</f>
        <v>#REF!</v>
      </c>
      <c r="FE4" t="e">
        <f>AND(#REF!,"fVWUhS6oHqA=")</f>
        <v>#REF!</v>
      </c>
      <c r="FF4" t="e">
        <f>AND(#REF!,"fVWUhS6oHqE=")</f>
        <v>#REF!</v>
      </c>
      <c r="FG4" t="e">
        <f>AND(#REF!,"fVWUhS6oHqI=")</f>
        <v>#REF!</v>
      </c>
      <c r="FH4" t="e">
        <f>AND(#REF!,"fVWUhS6oHqM=")</f>
        <v>#REF!</v>
      </c>
      <c r="FI4" t="e">
        <f>AND(#REF!,"fVWUhS6oHqQ=")</f>
        <v>#REF!</v>
      </c>
      <c r="FJ4" t="e">
        <f>AND(#REF!,"fVWUhS6oHqU=")</f>
        <v>#REF!</v>
      </c>
      <c r="FK4" t="e">
        <f>IF(#REF!,"fVWUhS6oHqY=",0)</f>
        <v>#REF!</v>
      </c>
      <c r="FL4" t="e">
        <f>AND(#REF!,"fVWUhS6oHqc=")</f>
        <v>#REF!</v>
      </c>
      <c r="FM4" t="e">
        <f>AND(#REF!,"fVWUhS6oHqg=")</f>
        <v>#REF!</v>
      </c>
      <c r="FN4" t="e">
        <f>AND(#REF!,"fVWUhS6oHqk=")</f>
        <v>#REF!</v>
      </c>
      <c r="FO4" t="e">
        <f>AND(#REF!,"fVWUhS6oHqo=")</f>
        <v>#REF!</v>
      </c>
      <c r="FP4" t="e">
        <f>AND(#REF!,"fVWUhS6oHqs=")</f>
        <v>#REF!</v>
      </c>
      <c r="FQ4" t="e">
        <f>AND(#REF!,"fVWUhS6oHqw=")</f>
        <v>#REF!</v>
      </c>
      <c r="FR4" t="e">
        <f>AND(#REF!,"fVWUhS6oHq0=")</f>
        <v>#REF!</v>
      </c>
      <c r="FS4" t="e">
        <f>AND(#REF!,"fVWUhS6oHq4=")</f>
        <v>#REF!</v>
      </c>
      <c r="FT4" t="e">
        <f>AND(#REF!,"fVWUhS6oHq8=")</f>
        <v>#REF!</v>
      </c>
      <c r="FU4" t="e">
        <f>AND(#REF!,"fVWUhS6oHrA=")</f>
        <v>#REF!</v>
      </c>
      <c r="FV4" t="e">
        <f>AND(#REF!,"fVWUhS6oHrE=")</f>
        <v>#REF!</v>
      </c>
      <c r="FW4" t="e">
        <f>AND(#REF!,"fVWUhS6oHrI=")</f>
        <v>#REF!</v>
      </c>
      <c r="FX4" t="e">
        <f>AND(#REF!,"fVWUhS6oHrM=")</f>
        <v>#REF!</v>
      </c>
      <c r="FY4" t="e">
        <f>AND(#REF!,"fVWUhS6oHrQ=")</f>
        <v>#REF!</v>
      </c>
      <c r="FZ4" t="e">
        <f>AND(#REF!,"fVWUhS6oHrU=")</f>
        <v>#REF!</v>
      </c>
      <c r="GA4" t="e">
        <f>AND(#REF!,"fVWUhS6oHrY=")</f>
        <v>#REF!</v>
      </c>
      <c r="GB4" t="e">
        <f>AND(#REF!,"fVWUhS6oHrc=")</f>
        <v>#REF!</v>
      </c>
      <c r="GC4" t="e">
        <f>AND(#REF!,"fVWUhS6oHrg=")</f>
        <v>#REF!</v>
      </c>
      <c r="GD4" t="e">
        <f>AND(#REF!,"fVWUhS6oHrk=")</f>
        <v>#REF!</v>
      </c>
      <c r="GE4" t="e">
        <f>AND(#REF!,"fVWUhS6oHro=")</f>
        <v>#REF!</v>
      </c>
      <c r="GF4" t="e">
        <f>AND(#REF!,"fVWUhS6oHrs=")</f>
        <v>#REF!</v>
      </c>
      <c r="GG4" t="e">
        <f>AND(#REF!,"fVWUhS6oHrw=")</f>
        <v>#REF!</v>
      </c>
      <c r="GH4" t="e">
        <f>IF(#REF!,"fVWUhS6oHr0=",0)</f>
        <v>#REF!</v>
      </c>
      <c r="GI4" t="e">
        <f>AND(#REF!,"fVWUhS6oHr4=")</f>
        <v>#REF!</v>
      </c>
      <c r="GJ4" t="e">
        <f>AND(#REF!,"fVWUhS6oHr8=")</f>
        <v>#REF!</v>
      </c>
      <c r="GK4" t="e">
        <f>AND(#REF!,"fVWUhS6oHsA=")</f>
        <v>#REF!</v>
      </c>
      <c r="GL4" t="e">
        <f>AND(#REF!,"fVWUhS6oHsE=")</f>
        <v>#REF!</v>
      </c>
      <c r="GM4" t="e">
        <f>AND(#REF!,"fVWUhS6oHsI=")</f>
        <v>#REF!</v>
      </c>
      <c r="GN4" t="e">
        <f>AND(#REF!,"fVWUhS6oHsM=")</f>
        <v>#REF!</v>
      </c>
      <c r="GO4" t="e">
        <f>AND(#REF!,"fVWUhS6oHsQ=")</f>
        <v>#REF!</v>
      </c>
      <c r="GP4" t="e">
        <f>AND(#REF!,"fVWUhS6oHsU=")</f>
        <v>#REF!</v>
      </c>
      <c r="GQ4" t="e">
        <f>AND(#REF!,"fVWUhS6oHsY=")</f>
        <v>#REF!</v>
      </c>
      <c r="GR4" t="e">
        <f>AND(#REF!,"fVWUhS6oHsc=")</f>
        <v>#REF!</v>
      </c>
      <c r="GS4" t="e">
        <f>AND(#REF!,"fVWUhS6oHsg=")</f>
        <v>#REF!</v>
      </c>
      <c r="GT4" t="e">
        <f>AND(#REF!,"fVWUhS6oHsk=")</f>
        <v>#REF!</v>
      </c>
      <c r="GU4" t="e">
        <f>AND(#REF!,"fVWUhS6oHso=")</f>
        <v>#REF!</v>
      </c>
      <c r="GV4" t="e">
        <f>AND(#REF!,"fVWUhS6oHss=")</f>
        <v>#REF!</v>
      </c>
      <c r="GW4" t="e">
        <f>AND(#REF!,"fVWUhS6oHsw=")</f>
        <v>#REF!</v>
      </c>
      <c r="GX4" t="e">
        <f>AND(#REF!,"fVWUhS6oHs0=")</f>
        <v>#REF!</v>
      </c>
      <c r="GY4" t="e">
        <f>AND(#REF!,"fVWUhS6oHs4=")</f>
        <v>#REF!</v>
      </c>
      <c r="GZ4" t="e">
        <f>AND(#REF!,"fVWUhS6oHs8=")</f>
        <v>#REF!</v>
      </c>
      <c r="HA4" t="e">
        <f>AND(#REF!,"fVWUhS6oHtA=")</f>
        <v>#REF!</v>
      </c>
      <c r="HB4" t="e">
        <f>AND(#REF!,"fVWUhS6oHtE=")</f>
        <v>#REF!</v>
      </c>
      <c r="HC4" t="e">
        <f>AND(#REF!,"fVWUhS6oHtI=")</f>
        <v>#REF!</v>
      </c>
      <c r="HD4" t="e">
        <f>AND(#REF!,"fVWUhS6oHtM=")</f>
        <v>#REF!</v>
      </c>
      <c r="HE4" t="e">
        <f>IF(#REF!,"fVWUhS6oHtQ=",0)</f>
        <v>#REF!</v>
      </c>
      <c r="HF4" t="e">
        <f>AND(#REF!,"fVWUhS6oHtU=")</f>
        <v>#REF!</v>
      </c>
      <c r="HG4" t="e">
        <f>AND(#REF!,"fVWUhS6oHtY=")</f>
        <v>#REF!</v>
      </c>
      <c r="HH4" t="e">
        <f>AND(#REF!,"fVWUhS6oHtc=")</f>
        <v>#REF!</v>
      </c>
      <c r="HI4" t="e">
        <f>AND(#REF!,"fVWUhS6oHtg=")</f>
        <v>#REF!</v>
      </c>
      <c r="HJ4" t="e">
        <f>AND(#REF!,"fVWUhS6oHtk=")</f>
        <v>#REF!</v>
      </c>
      <c r="HK4" t="e">
        <f>AND(#REF!,"fVWUhS6oHto=")</f>
        <v>#REF!</v>
      </c>
      <c r="HL4" t="e">
        <f>AND(#REF!,"fVWUhS6oHts=")</f>
        <v>#REF!</v>
      </c>
      <c r="HM4" t="e">
        <f>AND(#REF!,"fVWUhS6oHtw=")</f>
        <v>#REF!</v>
      </c>
      <c r="HN4" t="e">
        <f>AND(#REF!,"fVWUhS6oHt0=")</f>
        <v>#REF!</v>
      </c>
      <c r="HO4" t="e">
        <f>AND(#REF!,"fVWUhS6oHt4=")</f>
        <v>#REF!</v>
      </c>
      <c r="HP4" t="e">
        <f>AND(#REF!,"fVWUhS6oHt8=")</f>
        <v>#REF!</v>
      </c>
      <c r="HQ4" t="e">
        <f>AND(#REF!,"fVWUhS6oHuA=")</f>
        <v>#REF!</v>
      </c>
      <c r="HR4" t="e">
        <f>AND(#REF!,"fVWUhS6oHuE=")</f>
        <v>#REF!</v>
      </c>
      <c r="HS4" t="e">
        <f>AND(#REF!,"fVWUhS6oHuI=")</f>
        <v>#REF!</v>
      </c>
      <c r="HT4" t="e">
        <f>AND(#REF!,"fVWUhS6oHuM=")</f>
        <v>#REF!</v>
      </c>
      <c r="HU4" t="e">
        <f>AND(#REF!,"fVWUhS6oHuQ=")</f>
        <v>#REF!</v>
      </c>
      <c r="HV4" t="e">
        <f>AND(#REF!,"fVWUhS6oHuU=")</f>
        <v>#REF!</v>
      </c>
      <c r="HW4" t="e">
        <f>AND(#REF!,"fVWUhS6oHuY=")</f>
        <v>#REF!</v>
      </c>
      <c r="HX4" t="e">
        <f>AND(#REF!,"fVWUhS6oHuc=")</f>
        <v>#REF!</v>
      </c>
      <c r="HY4" t="e">
        <f>AND(#REF!,"fVWUhS6oHug=")</f>
        <v>#REF!</v>
      </c>
      <c r="HZ4" t="e">
        <f>AND(#REF!,"fVWUhS6oHuk=")</f>
        <v>#REF!</v>
      </c>
      <c r="IA4" t="e">
        <f>AND(#REF!,"fVWUhS6oHuo=")</f>
        <v>#REF!</v>
      </c>
      <c r="IB4" t="e">
        <f>IF(#REF!,"fVWUhS6oHus=",0)</f>
        <v>#REF!</v>
      </c>
      <c r="IC4" t="e">
        <f>AND(#REF!,"fVWUhS6oHuw=")</f>
        <v>#REF!</v>
      </c>
      <c r="ID4" t="e">
        <f>AND(#REF!,"fVWUhS6oHu0=")</f>
        <v>#REF!</v>
      </c>
      <c r="IE4" t="e">
        <f>AND(#REF!,"fVWUhS6oHu4=")</f>
        <v>#REF!</v>
      </c>
      <c r="IF4" t="e">
        <f>AND(#REF!,"fVWUhS6oHu8=")</f>
        <v>#REF!</v>
      </c>
      <c r="IG4" t="e">
        <f>AND(#REF!,"fVWUhS6oHvA=")</f>
        <v>#REF!</v>
      </c>
      <c r="IH4" t="e">
        <f>AND(#REF!,"fVWUhS6oHvE=")</f>
        <v>#REF!</v>
      </c>
      <c r="II4" t="e">
        <f>AND(#REF!,"fVWUhS6oHvI=")</f>
        <v>#REF!</v>
      </c>
      <c r="IJ4" t="e">
        <f>AND(#REF!,"fVWUhS6oHvM=")</f>
        <v>#REF!</v>
      </c>
      <c r="IK4" t="e">
        <f>AND(#REF!,"fVWUhS6oHvQ=")</f>
        <v>#REF!</v>
      </c>
      <c r="IL4" t="e">
        <f>AND(#REF!,"fVWUhS6oHvU=")</f>
        <v>#REF!</v>
      </c>
      <c r="IM4" t="e">
        <f>AND(#REF!,"fVWUhS6oHvY=")</f>
        <v>#REF!</v>
      </c>
      <c r="IN4" t="e">
        <f>AND(#REF!,"fVWUhS6oHvc=")</f>
        <v>#REF!</v>
      </c>
      <c r="IO4" t="e">
        <f>AND(#REF!,"fVWUhS6oHvg=")</f>
        <v>#REF!</v>
      </c>
      <c r="IP4" t="e">
        <f>AND(#REF!,"fVWUhS6oHvk=")</f>
        <v>#REF!</v>
      </c>
      <c r="IQ4" t="e">
        <f>AND(#REF!,"fVWUhS6oHvo=")</f>
        <v>#REF!</v>
      </c>
      <c r="IR4" t="e">
        <f>AND(#REF!,"fVWUhS6oHvs=")</f>
        <v>#REF!</v>
      </c>
      <c r="IS4" t="e">
        <f>AND(#REF!,"fVWUhS6oHvw=")</f>
        <v>#REF!</v>
      </c>
      <c r="IT4" t="e">
        <f>AND(#REF!,"fVWUhS6oHv0=")</f>
        <v>#REF!</v>
      </c>
      <c r="IU4" t="e">
        <f>AND(#REF!,"fVWUhS6oHv4=")</f>
        <v>#REF!</v>
      </c>
      <c r="IV4" t="e">
        <f>AND(#REF!,"fVWUhS6oHv8=")</f>
        <v>#REF!</v>
      </c>
    </row>
    <row r="5" spans="1:256" x14ac:dyDescent="0.2">
      <c r="A5" t="e">
        <f>AND(#REF!,"UpYBtQ76DAA=")</f>
        <v>#REF!</v>
      </c>
      <c r="B5" t="e">
        <f>AND(#REF!,"UpYBtQ76DAE=")</f>
        <v>#REF!</v>
      </c>
      <c r="C5" t="e">
        <f>IF(#REF!,"UpYBtQ76DAI=",0)</f>
        <v>#REF!</v>
      </c>
      <c r="D5" t="e">
        <f>AND(#REF!,"UpYBtQ76DAM=")</f>
        <v>#REF!</v>
      </c>
      <c r="E5" t="e">
        <f>AND(#REF!,"UpYBtQ76DAQ=")</f>
        <v>#REF!</v>
      </c>
      <c r="F5" t="e">
        <f>AND(#REF!,"UpYBtQ76DAU=")</f>
        <v>#REF!</v>
      </c>
      <c r="G5" t="e">
        <f>AND(#REF!,"UpYBtQ76DAY=")</f>
        <v>#REF!</v>
      </c>
      <c r="H5" t="e">
        <f>AND(#REF!,"UpYBtQ76DAc=")</f>
        <v>#REF!</v>
      </c>
      <c r="I5" t="e">
        <f>AND(#REF!,"UpYBtQ76DAg=")</f>
        <v>#REF!</v>
      </c>
      <c r="J5" t="e">
        <f>AND(#REF!,"UpYBtQ76DAk=")</f>
        <v>#REF!</v>
      </c>
      <c r="K5" t="e">
        <f>AND(#REF!,"UpYBtQ76DAo=")</f>
        <v>#REF!</v>
      </c>
      <c r="L5" t="e">
        <f>AND(#REF!,"UpYBtQ76DAs=")</f>
        <v>#REF!</v>
      </c>
      <c r="M5" t="e">
        <f>AND(#REF!,"UpYBtQ76DAw=")</f>
        <v>#REF!</v>
      </c>
      <c r="N5" t="e">
        <f>AND(#REF!,"UpYBtQ76DA0=")</f>
        <v>#REF!</v>
      </c>
      <c r="O5" t="e">
        <f>AND(#REF!,"UpYBtQ76DA4=")</f>
        <v>#REF!</v>
      </c>
      <c r="P5" t="e">
        <f>AND(#REF!,"UpYBtQ76DA8=")</f>
        <v>#REF!</v>
      </c>
      <c r="Q5" t="e">
        <f>AND(#REF!,"UpYBtQ76DBA=")</f>
        <v>#REF!</v>
      </c>
      <c r="R5" t="e">
        <f>AND(#REF!,"UpYBtQ76DBE=")</f>
        <v>#REF!</v>
      </c>
      <c r="S5" t="e">
        <f>AND(#REF!,"UpYBtQ76DBI=")</f>
        <v>#REF!</v>
      </c>
      <c r="T5" t="e">
        <f>AND(#REF!,"UpYBtQ76DBM=")</f>
        <v>#REF!</v>
      </c>
      <c r="U5" t="e">
        <f>AND(#REF!,"UpYBtQ76DBQ=")</f>
        <v>#REF!</v>
      </c>
      <c r="V5" t="e">
        <f>AND(#REF!,"UpYBtQ76DBU=")</f>
        <v>#REF!</v>
      </c>
      <c r="W5" t="e">
        <f>AND(#REF!,"UpYBtQ76DBY=")</f>
        <v>#REF!</v>
      </c>
      <c r="X5" t="e">
        <f>AND(#REF!,"UpYBtQ76DBc=")</f>
        <v>#REF!</v>
      </c>
      <c r="Y5" t="e">
        <f>AND(#REF!,"UpYBtQ76DBg=")</f>
        <v>#REF!</v>
      </c>
      <c r="Z5" t="e">
        <f>IF(#REF!,"UpYBtQ76DBk=",0)</f>
        <v>#REF!</v>
      </c>
      <c r="AA5" t="e">
        <f>AND(#REF!,"UpYBtQ76DBo=")</f>
        <v>#REF!</v>
      </c>
      <c r="AB5" t="e">
        <f>AND(#REF!,"UpYBtQ76DBs=")</f>
        <v>#REF!</v>
      </c>
      <c r="AC5" t="e">
        <f>AND(#REF!,"UpYBtQ76DBw=")</f>
        <v>#REF!</v>
      </c>
      <c r="AD5" t="e">
        <f>AND(#REF!,"UpYBtQ76DB0=")</f>
        <v>#REF!</v>
      </c>
      <c r="AE5" t="e">
        <f>AND(#REF!,"UpYBtQ76DB4=")</f>
        <v>#REF!</v>
      </c>
      <c r="AF5" t="e">
        <f>AND(#REF!,"UpYBtQ76DB8=")</f>
        <v>#REF!</v>
      </c>
      <c r="AG5" t="e">
        <f>AND(#REF!,"UpYBtQ76DCA=")</f>
        <v>#REF!</v>
      </c>
      <c r="AH5" t="e">
        <f>AND(#REF!,"UpYBtQ76DCE=")</f>
        <v>#REF!</v>
      </c>
      <c r="AI5" t="e">
        <f>AND(#REF!,"UpYBtQ76DCI=")</f>
        <v>#REF!</v>
      </c>
      <c r="AJ5" t="e">
        <f>AND(#REF!,"UpYBtQ76DCM=")</f>
        <v>#REF!</v>
      </c>
      <c r="AK5" t="e">
        <f>AND(#REF!,"UpYBtQ76DCQ=")</f>
        <v>#REF!</v>
      </c>
      <c r="AL5" t="e">
        <f>AND(#REF!,"UpYBtQ76DCU=")</f>
        <v>#REF!</v>
      </c>
      <c r="AM5" t="e">
        <f>AND(#REF!,"UpYBtQ76DCY=")</f>
        <v>#REF!</v>
      </c>
      <c r="AN5" t="e">
        <f>AND(#REF!,"UpYBtQ76DCc=")</f>
        <v>#REF!</v>
      </c>
      <c r="AO5" t="e">
        <f>AND(#REF!,"UpYBtQ76DCg=")</f>
        <v>#REF!</v>
      </c>
      <c r="AP5" t="e">
        <f>AND(#REF!,"UpYBtQ76DCk=")</f>
        <v>#REF!</v>
      </c>
      <c r="AQ5" t="e">
        <f>AND(#REF!,"UpYBtQ76DCo=")</f>
        <v>#REF!</v>
      </c>
      <c r="AR5" t="e">
        <f>AND(#REF!,"UpYBtQ76DCs=")</f>
        <v>#REF!</v>
      </c>
      <c r="AS5" t="e">
        <f>AND(#REF!,"UpYBtQ76DCw=")</f>
        <v>#REF!</v>
      </c>
      <c r="AT5" t="e">
        <f>AND(#REF!,"UpYBtQ76DC0=")</f>
        <v>#REF!</v>
      </c>
      <c r="AU5" t="e">
        <f>AND(#REF!,"UpYBtQ76DC4=")</f>
        <v>#REF!</v>
      </c>
      <c r="AV5" t="e">
        <f>AND(#REF!,"UpYBtQ76DC8=")</f>
        <v>#REF!</v>
      </c>
      <c r="AW5" t="e">
        <f>IF(#REF!,"UpYBtQ76DDA=",0)</f>
        <v>#REF!</v>
      </c>
      <c r="AX5" t="e">
        <f>AND(#REF!,"UpYBtQ76DDE=")</f>
        <v>#REF!</v>
      </c>
      <c r="AY5" t="e">
        <f>AND(#REF!,"UpYBtQ76DDI=")</f>
        <v>#REF!</v>
      </c>
      <c r="AZ5" t="e">
        <f>AND(#REF!,"UpYBtQ76DDM=")</f>
        <v>#REF!</v>
      </c>
      <c r="BA5" t="e">
        <f>AND(#REF!,"UpYBtQ76DDQ=")</f>
        <v>#REF!</v>
      </c>
      <c r="BB5" t="e">
        <f>AND(#REF!,"UpYBtQ76DDU=")</f>
        <v>#REF!</v>
      </c>
      <c r="BC5" t="e">
        <f>AND(#REF!,"UpYBtQ76DDY=")</f>
        <v>#REF!</v>
      </c>
      <c r="BD5" t="e">
        <f>AND(#REF!,"UpYBtQ76DDc=")</f>
        <v>#REF!</v>
      </c>
      <c r="BE5" t="e">
        <f>AND(#REF!,"UpYBtQ76DDg=")</f>
        <v>#REF!</v>
      </c>
      <c r="BF5" t="e">
        <f>AND(#REF!,"UpYBtQ76DDk=")</f>
        <v>#REF!</v>
      </c>
      <c r="BG5" t="e">
        <f>AND(#REF!,"UpYBtQ76DDo=")</f>
        <v>#REF!</v>
      </c>
      <c r="BH5" t="e">
        <f>AND(#REF!,"UpYBtQ76DDs=")</f>
        <v>#REF!</v>
      </c>
      <c r="BI5" t="e">
        <f>AND(#REF!,"UpYBtQ76DDw=")</f>
        <v>#REF!</v>
      </c>
      <c r="BJ5" t="e">
        <f>AND(#REF!,"UpYBtQ76DD0=")</f>
        <v>#REF!</v>
      </c>
      <c r="BK5" t="e">
        <f>AND(#REF!,"UpYBtQ76DD4=")</f>
        <v>#REF!</v>
      </c>
      <c r="BL5" t="e">
        <f>AND(#REF!,"UpYBtQ76DD8=")</f>
        <v>#REF!</v>
      </c>
      <c r="BM5" t="e">
        <f>AND(#REF!,"UpYBtQ76DEA=")</f>
        <v>#REF!</v>
      </c>
      <c r="BN5" t="e">
        <f>AND(#REF!,"UpYBtQ76DEE=")</f>
        <v>#REF!</v>
      </c>
      <c r="BO5" t="e">
        <f>AND(#REF!,"UpYBtQ76DEI=")</f>
        <v>#REF!</v>
      </c>
      <c r="BP5" t="e">
        <f>AND(#REF!,"UpYBtQ76DEM=")</f>
        <v>#REF!</v>
      </c>
      <c r="BQ5" t="e">
        <f>AND(#REF!,"UpYBtQ76DEQ=")</f>
        <v>#REF!</v>
      </c>
      <c r="BR5" t="e">
        <f>AND(#REF!,"UpYBtQ76DEU=")</f>
        <v>#REF!</v>
      </c>
      <c r="BS5" t="e">
        <f>AND(#REF!,"UpYBtQ76DEY=")</f>
        <v>#REF!</v>
      </c>
      <c r="BT5" t="e">
        <f>IF(#REF!,"UpYBtQ76DEc=",0)</f>
        <v>#REF!</v>
      </c>
      <c r="BU5" t="e">
        <f>AND(#REF!,"UpYBtQ76DEg=")</f>
        <v>#REF!</v>
      </c>
      <c r="BV5" t="e">
        <f>AND(#REF!,"UpYBtQ76DEk=")</f>
        <v>#REF!</v>
      </c>
      <c r="BW5" t="e">
        <f>AND(#REF!,"UpYBtQ76DEo=")</f>
        <v>#REF!</v>
      </c>
      <c r="BX5" t="e">
        <f>AND(#REF!,"UpYBtQ76DEs=")</f>
        <v>#REF!</v>
      </c>
      <c r="BY5" t="e">
        <f>AND(#REF!,"UpYBtQ76DEw=")</f>
        <v>#REF!</v>
      </c>
      <c r="BZ5" t="e">
        <f>AND(#REF!,"UpYBtQ76DE0=")</f>
        <v>#REF!</v>
      </c>
      <c r="CA5" t="e">
        <f>AND(#REF!,"UpYBtQ76DE4=")</f>
        <v>#REF!</v>
      </c>
      <c r="CB5" t="e">
        <f>AND(#REF!,"UpYBtQ76DE8=")</f>
        <v>#REF!</v>
      </c>
      <c r="CC5" t="e">
        <f>AND(#REF!,"UpYBtQ76DFA=")</f>
        <v>#REF!</v>
      </c>
      <c r="CD5" t="e">
        <f>AND(#REF!,"UpYBtQ76DFE=")</f>
        <v>#REF!</v>
      </c>
      <c r="CE5" t="e">
        <f>AND(#REF!,"UpYBtQ76DFI=")</f>
        <v>#REF!</v>
      </c>
      <c r="CF5" t="e">
        <f>AND(#REF!,"UpYBtQ76DFM=")</f>
        <v>#REF!</v>
      </c>
      <c r="CG5" t="e">
        <f>AND(#REF!,"UpYBtQ76DFQ=")</f>
        <v>#REF!</v>
      </c>
      <c r="CH5" t="e">
        <f>AND(#REF!,"UpYBtQ76DFU=")</f>
        <v>#REF!</v>
      </c>
      <c r="CI5" t="e">
        <f>AND(#REF!,"UpYBtQ76DFY=")</f>
        <v>#REF!</v>
      </c>
      <c r="CJ5" t="e">
        <f>AND(#REF!,"UpYBtQ76DFc=")</f>
        <v>#REF!</v>
      </c>
      <c r="CK5" t="e">
        <f>AND(#REF!,"UpYBtQ76DFg=")</f>
        <v>#REF!</v>
      </c>
      <c r="CL5" t="e">
        <f>AND(#REF!,"UpYBtQ76DFk=")</f>
        <v>#REF!</v>
      </c>
      <c r="CM5" t="e">
        <f>AND(#REF!,"UpYBtQ76DFo=")</f>
        <v>#REF!</v>
      </c>
      <c r="CN5" t="e">
        <f>AND(#REF!,"UpYBtQ76DFs=")</f>
        <v>#REF!</v>
      </c>
      <c r="CO5" t="e">
        <f>AND(#REF!,"UpYBtQ76DFw=")</f>
        <v>#REF!</v>
      </c>
      <c r="CP5" t="e">
        <f>AND(#REF!,"UpYBtQ76DF0=")</f>
        <v>#REF!</v>
      </c>
      <c r="CQ5" t="e">
        <f>IF(#REF!,"UpYBtQ76DF4=",0)</f>
        <v>#REF!</v>
      </c>
      <c r="CR5" t="e">
        <f>AND(#REF!,"UpYBtQ76DF8=")</f>
        <v>#REF!</v>
      </c>
      <c r="CS5" t="e">
        <f>AND(#REF!,"UpYBtQ76DGA=")</f>
        <v>#REF!</v>
      </c>
      <c r="CT5" t="e">
        <f>AND(#REF!,"UpYBtQ76DGE=")</f>
        <v>#REF!</v>
      </c>
      <c r="CU5" t="e">
        <f>AND(#REF!,"UpYBtQ76DGI=")</f>
        <v>#REF!</v>
      </c>
      <c r="CV5" t="e">
        <f>AND(#REF!,"UpYBtQ76DGM=")</f>
        <v>#REF!</v>
      </c>
      <c r="CW5" t="e">
        <f>AND(#REF!,"UpYBtQ76DGQ=")</f>
        <v>#REF!</v>
      </c>
      <c r="CX5" t="e">
        <f>AND(#REF!,"UpYBtQ76DGU=")</f>
        <v>#REF!</v>
      </c>
      <c r="CY5" t="e">
        <f>AND(#REF!,"UpYBtQ76DGY=")</f>
        <v>#REF!</v>
      </c>
      <c r="CZ5" t="e">
        <f>AND(#REF!,"UpYBtQ76DGc=")</f>
        <v>#REF!</v>
      </c>
      <c r="DA5" t="e">
        <f>AND(#REF!,"UpYBtQ76DGg=")</f>
        <v>#REF!</v>
      </c>
      <c r="DB5" t="e">
        <f>AND(#REF!,"UpYBtQ76DGk=")</f>
        <v>#REF!</v>
      </c>
      <c r="DC5" t="e">
        <f>AND(#REF!,"UpYBtQ76DGo=")</f>
        <v>#REF!</v>
      </c>
      <c r="DD5" t="e">
        <f>AND(#REF!,"UpYBtQ76DGs=")</f>
        <v>#REF!</v>
      </c>
      <c r="DE5" t="e">
        <f>AND(#REF!,"UpYBtQ76DGw=")</f>
        <v>#REF!</v>
      </c>
      <c r="DF5" t="e">
        <f>AND(#REF!,"UpYBtQ76DG0=")</f>
        <v>#REF!</v>
      </c>
      <c r="DG5" t="e">
        <f>AND(#REF!,"UpYBtQ76DG4=")</f>
        <v>#REF!</v>
      </c>
      <c r="DH5" t="e">
        <f>AND(#REF!,"UpYBtQ76DG8=")</f>
        <v>#REF!</v>
      </c>
      <c r="DI5" t="e">
        <f>AND(#REF!,"UpYBtQ76DHA=")</f>
        <v>#REF!</v>
      </c>
      <c r="DJ5" t="e">
        <f>AND(#REF!,"UpYBtQ76DHE=")</f>
        <v>#REF!</v>
      </c>
      <c r="DK5" t="e">
        <f>AND(#REF!,"UpYBtQ76DHI=")</f>
        <v>#REF!</v>
      </c>
      <c r="DL5" t="e">
        <f>AND(#REF!,"UpYBtQ76DHM=")</f>
        <v>#REF!</v>
      </c>
      <c r="DM5" t="e">
        <f>AND(#REF!,"UpYBtQ76DHQ=")</f>
        <v>#REF!</v>
      </c>
      <c r="DN5" t="e">
        <f>IF(#REF!,"UpYBtQ76DHU=",0)</f>
        <v>#REF!</v>
      </c>
      <c r="DO5" t="e">
        <f>AND(#REF!,"UpYBtQ76DHY=")</f>
        <v>#REF!</v>
      </c>
      <c r="DP5" t="e">
        <f>AND(#REF!,"UpYBtQ76DHc=")</f>
        <v>#REF!</v>
      </c>
      <c r="DQ5" t="e">
        <f>AND(#REF!,"UpYBtQ76DHg=")</f>
        <v>#REF!</v>
      </c>
      <c r="DR5" t="e">
        <f>AND(#REF!,"UpYBtQ76DHk=")</f>
        <v>#REF!</v>
      </c>
      <c r="DS5" t="e">
        <f>AND(#REF!,"UpYBtQ76DHo=")</f>
        <v>#REF!</v>
      </c>
      <c r="DT5" t="e">
        <f>AND(#REF!,"UpYBtQ76DHs=")</f>
        <v>#REF!</v>
      </c>
      <c r="DU5" t="e">
        <f>AND(#REF!,"UpYBtQ76DHw=")</f>
        <v>#REF!</v>
      </c>
      <c r="DV5" t="e">
        <f>AND(#REF!,"UpYBtQ76DH0=")</f>
        <v>#REF!</v>
      </c>
      <c r="DW5" t="e">
        <f>AND(#REF!,"UpYBtQ76DH4=")</f>
        <v>#REF!</v>
      </c>
      <c r="DX5" t="e">
        <f>AND(#REF!,"UpYBtQ76DH8=")</f>
        <v>#REF!</v>
      </c>
      <c r="DY5" t="e">
        <f>AND(#REF!,"UpYBtQ76DIA=")</f>
        <v>#REF!</v>
      </c>
      <c r="DZ5" t="e">
        <f>AND(#REF!,"UpYBtQ76DIE=")</f>
        <v>#REF!</v>
      </c>
      <c r="EA5" t="e">
        <f>AND(#REF!,"UpYBtQ76DII=")</f>
        <v>#REF!</v>
      </c>
      <c r="EB5" t="e">
        <f>AND(#REF!,"UpYBtQ76DIM=")</f>
        <v>#REF!</v>
      </c>
      <c r="EC5" t="e">
        <f>AND(#REF!,"UpYBtQ76DIQ=")</f>
        <v>#REF!</v>
      </c>
      <c r="ED5" t="e">
        <f>AND(#REF!,"UpYBtQ76DIU=")</f>
        <v>#REF!</v>
      </c>
      <c r="EE5" t="e">
        <f>AND(#REF!,"UpYBtQ76DIY=")</f>
        <v>#REF!</v>
      </c>
      <c r="EF5" t="e">
        <f>AND(#REF!,"UpYBtQ76DIc=")</f>
        <v>#REF!</v>
      </c>
      <c r="EG5" t="e">
        <f>AND(#REF!,"UpYBtQ76DIg=")</f>
        <v>#REF!</v>
      </c>
      <c r="EH5" t="e">
        <f>AND(#REF!,"UpYBtQ76DIk=")</f>
        <v>#REF!</v>
      </c>
      <c r="EI5" t="e">
        <f>AND(#REF!,"UpYBtQ76DIo=")</f>
        <v>#REF!</v>
      </c>
      <c r="EJ5" t="e">
        <f>AND(#REF!,"UpYBtQ76DIs=")</f>
        <v>#REF!</v>
      </c>
      <c r="EK5" t="e">
        <f>IF(#REF!,"UpYBtQ76DIw=",0)</f>
        <v>#REF!</v>
      </c>
      <c r="EL5" t="e">
        <f>AND(#REF!,"UpYBtQ76DI0=")</f>
        <v>#REF!</v>
      </c>
      <c r="EM5" t="e">
        <f>AND(#REF!,"UpYBtQ76DI4=")</f>
        <v>#REF!</v>
      </c>
      <c r="EN5" t="e">
        <f>AND(#REF!,"UpYBtQ76DI8=")</f>
        <v>#REF!</v>
      </c>
      <c r="EO5" t="e">
        <f>AND(#REF!,"UpYBtQ76DJA=")</f>
        <v>#REF!</v>
      </c>
      <c r="EP5" t="e">
        <f>AND(#REF!,"UpYBtQ76DJE=")</f>
        <v>#REF!</v>
      </c>
      <c r="EQ5" t="e">
        <f>AND(#REF!,"UpYBtQ76DJI=")</f>
        <v>#REF!</v>
      </c>
      <c r="ER5" t="e">
        <f>AND(#REF!,"UpYBtQ76DJM=")</f>
        <v>#REF!</v>
      </c>
      <c r="ES5" t="e">
        <f>AND(#REF!,"UpYBtQ76DJQ=")</f>
        <v>#REF!</v>
      </c>
      <c r="ET5" t="e">
        <f>AND(#REF!,"UpYBtQ76DJU=")</f>
        <v>#REF!</v>
      </c>
      <c r="EU5" t="e">
        <f>AND(#REF!,"UpYBtQ76DJY=")</f>
        <v>#REF!</v>
      </c>
      <c r="EV5" t="e">
        <f>AND(#REF!,"UpYBtQ76DJc=")</f>
        <v>#REF!</v>
      </c>
      <c r="EW5" t="e">
        <f>AND(#REF!,"UpYBtQ76DJg=")</f>
        <v>#REF!</v>
      </c>
      <c r="EX5" t="e">
        <f>AND(#REF!,"UpYBtQ76DJk=")</f>
        <v>#REF!</v>
      </c>
      <c r="EY5" t="e">
        <f>AND(#REF!,"UpYBtQ76DJo=")</f>
        <v>#REF!</v>
      </c>
      <c r="EZ5" t="e">
        <f>AND(#REF!,"UpYBtQ76DJs=")</f>
        <v>#REF!</v>
      </c>
      <c r="FA5" t="e">
        <f>AND(#REF!,"UpYBtQ76DJw=")</f>
        <v>#REF!</v>
      </c>
      <c r="FB5" t="e">
        <f>AND(#REF!,"UpYBtQ76DJ0=")</f>
        <v>#REF!</v>
      </c>
      <c r="FC5" t="e">
        <f>AND(#REF!,"UpYBtQ76DJ4=")</f>
        <v>#REF!</v>
      </c>
      <c r="FD5" t="e">
        <f>AND(#REF!,"UpYBtQ76DJ8=")</f>
        <v>#REF!</v>
      </c>
      <c r="FE5" t="e">
        <f>AND(#REF!,"UpYBtQ76DKA=")</f>
        <v>#REF!</v>
      </c>
      <c r="FF5" t="e">
        <f>AND(#REF!,"UpYBtQ76DKE=")</f>
        <v>#REF!</v>
      </c>
      <c r="FG5" t="e">
        <f>AND(#REF!,"UpYBtQ76DKI=")</f>
        <v>#REF!</v>
      </c>
      <c r="FH5" t="e">
        <f>IF(#REF!,"UpYBtQ76DKM=",0)</f>
        <v>#REF!</v>
      </c>
      <c r="FI5" t="e">
        <f>AND(#REF!,"UpYBtQ76DKQ=")</f>
        <v>#REF!</v>
      </c>
      <c r="FJ5" t="e">
        <f>AND(#REF!,"UpYBtQ76DKU=")</f>
        <v>#REF!</v>
      </c>
      <c r="FK5" t="e">
        <f>AND(#REF!,"UpYBtQ76DKY=")</f>
        <v>#REF!</v>
      </c>
      <c r="FL5" t="e">
        <f>AND(#REF!,"UpYBtQ76DKc=")</f>
        <v>#REF!</v>
      </c>
      <c r="FM5" t="e">
        <f>AND(#REF!,"UpYBtQ76DKg=")</f>
        <v>#REF!</v>
      </c>
      <c r="FN5" t="e">
        <f>AND(#REF!,"UpYBtQ76DKk=")</f>
        <v>#REF!</v>
      </c>
      <c r="FO5" t="e">
        <f>AND(#REF!,"UpYBtQ76DKo=")</f>
        <v>#REF!</v>
      </c>
      <c r="FP5" t="e">
        <f>AND(#REF!,"UpYBtQ76DKs=")</f>
        <v>#REF!</v>
      </c>
      <c r="FQ5" t="e">
        <f>AND(#REF!,"UpYBtQ76DKw=")</f>
        <v>#REF!</v>
      </c>
      <c r="FR5" t="e">
        <f>AND(#REF!,"UpYBtQ76DK0=")</f>
        <v>#REF!</v>
      </c>
      <c r="FS5" t="e">
        <f>AND(#REF!,"UpYBtQ76DK4=")</f>
        <v>#REF!</v>
      </c>
      <c r="FT5" t="e">
        <f>AND(#REF!,"UpYBtQ76DK8=")</f>
        <v>#REF!</v>
      </c>
      <c r="FU5" t="e">
        <f>AND(#REF!,"UpYBtQ76DLA=")</f>
        <v>#REF!</v>
      </c>
      <c r="FV5" t="e">
        <f>AND(#REF!,"UpYBtQ76DLE=")</f>
        <v>#REF!</v>
      </c>
      <c r="FW5" t="e">
        <f>AND(#REF!,"UpYBtQ76DLI=")</f>
        <v>#REF!</v>
      </c>
      <c r="FX5" t="e">
        <f>AND(#REF!,"UpYBtQ76DLM=")</f>
        <v>#REF!</v>
      </c>
      <c r="FY5" t="e">
        <f>AND(#REF!,"UpYBtQ76DLQ=")</f>
        <v>#REF!</v>
      </c>
      <c r="FZ5" t="e">
        <f>AND(#REF!,"UpYBtQ76DLU=")</f>
        <v>#REF!</v>
      </c>
      <c r="GA5" t="e">
        <f>AND(#REF!,"UpYBtQ76DLY=")</f>
        <v>#REF!</v>
      </c>
      <c r="GB5" t="e">
        <f>AND(#REF!,"UpYBtQ76DLc=")</f>
        <v>#REF!</v>
      </c>
      <c r="GC5" t="e">
        <f>AND(#REF!,"UpYBtQ76DLg=")</f>
        <v>#REF!</v>
      </c>
      <c r="GD5" t="e">
        <f>AND(#REF!,"UpYBtQ76DLk=")</f>
        <v>#REF!</v>
      </c>
      <c r="GE5" t="e">
        <f>IF(#REF!,"UpYBtQ76DLo=",0)</f>
        <v>#REF!</v>
      </c>
      <c r="GF5" t="e">
        <f>AND(#REF!,"UpYBtQ76DLs=")</f>
        <v>#REF!</v>
      </c>
      <c r="GG5" t="e">
        <f>AND(#REF!,"UpYBtQ76DLw=")</f>
        <v>#REF!</v>
      </c>
      <c r="GH5" t="e">
        <f>AND(#REF!,"UpYBtQ76DL0=")</f>
        <v>#REF!</v>
      </c>
      <c r="GI5" t="e">
        <f>AND(#REF!,"UpYBtQ76DL4=")</f>
        <v>#REF!</v>
      </c>
      <c r="GJ5" t="e">
        <f>AND(#REF!,"UpYBtQ76DL8=")</f>
        <v>#REF!</v>
      </c>
      <c r="GK5" t="e">
        <f>AND(#REF!,"UpYBtQ76DMA=")</f>
        <v>#REF!</v>
      </c>
      <c r="GL5" t="e">
        <f>AND(#REF!,"UpYBtQ76DME=")</f>
        <v>#REF!</v>
      </c>
      <c r="GM5" t="e">
        <f>AND(#REF!,"UpYBtQ76DMI=")</f>
        <v>#REF!</v>
      </c>
      <c r="GN5" t="e">
        <f>AND(#REF!,"UpYBtQ76DMM=")</f>
        <v>#REF!</v>
      </c>
      <c r="GO5" t="e">
        <f>AND(#REF!,"UpYBtQ76DMQ=")</f>
        <v>#REF!</v>
      </c>
      <c r="GP5" t="e">
        <f>AND(#REF!,"UpYBtQ76DMU=")</f>
        <v>#REF!</v>
      </c>
      <c r="GQ5" t="e">
        <f>AND(#REF!,"UpYBtQ76DMY=")</f>
        <v>#REF!</v>
      </c>
      <c r="GR5" t="e">
        <f>AND(#REF!,"UpYBtQ76DMc=")</f>
        <v>#REF!</v>
      </c>
      <c r="GS5" t="e">
        <f>AND(#REF!,"UpYBtQ76DMg=")</f>
        <v>#REF!</v>
      </c>
      <c r="GT5" t="e">
        <f>AND(#REF!,"UpYBtQ76DMk=")</f>
        <v>#REF!</v>
      </c>
      <c r="GU5" t="e">
        <f>AND(#REF!,"UpYBtQ76DMo=")</f>
        <v>#REF!</v>
      </c>
      <c r="GV5" t="e">
        <f>AND(#REF!,"UpYBtQ76DMs=")</f>
        <v>#REF!</v>
      </c>
      <c r="GW5" t="e">
        <f>AND(#REF!,"UpYBtQ76DMw=")</f>
        <v>#REF!</v>
      </c>
      <c r="GX5" t="e">
        <f>AND(#REF!,"UpYBtQ76DM0=")</f>
        <v>#REF!</v>
      </c>
      <c r="GY5" t="e">
        <f>AND(#REF!,"UpYBtQ76DM4=")</f>
        <v>#REF!</v>
      </c>
      <c r="GZ5" t="e">
        <f>AND(#REF!,"UpYBtQ76DM8=")</f>
        <v>#REF!</v>
      </c>
      <c r="HA5" t="e">
        <f>AND(#REF!,"UpYBtQ76DNA=")</f>
        <v>#REF!</v>
      </c>
      <c r="HB5" t="e">
        <f>IF(#REF!,"UpYBtQ76DNE=",0)</f>
        <v>#REF!</v>
      </c>
      <c r="HC5" t="e">
        <f>AND(#REF!,"UpYBtQ76DNI=")</f>
        <v>#REF!</v>
      </c>
      <c r="HD5" t="e">
        <f>AND(#REF!,"UpYBtQ76DNM=")</f>
        <v>#REF!</v>
      </c>
      <c r="HE5" t="e">
        <f>AND(#REF!,"UpYBtQ76DNQ=")</f>
        <v>#REF!</v>
      </c>
      <c r="HF5" t="e">
        <f>AND(#REF!,"UpYBtQ76DNU=")</f>
        <v>#REF!</v>
      </c>
      <c r="HG5" t="e">
        <f>AND(#REF!,"UpYBtQ76DNY=")</f>
        <v>#REF!</v>
      </c>
      <c r="HH5" t="e">
        <f>AND(#REF!,"UpYBtQ76DNc=")</f>
        <v>#REF!</v>
      </c>
      <c r="HI5" t="e">
        <f>AND(#REF!,"UpYBtQ76DNg=")</f>
        <v>#REF!</v>
      </c>
      <c r="HJ5" t="e">
        <f>AND(#REF!,"UpYBtQ76DNk=")</f>
        <v>#REF!</v>
      </c>
      <c r="HK5" t="e">
        <f>AND(#REF!,"UpYBtQ76DNo=")</f>
        <v>#REF!</v>
      </c>
      <c r="HL5" t="e">
        <f>AND(#REF!,"UpYBtQ76DNs=")</f>
        <v>#REF!</v>
      </c>
      <c r="HM5" t="e">
        <f>AND(#REF!,"UpYBtQ76DNw=")</f>
        <v>#REF!</v>
      </c>
      <c r="HN5" t="e">
        <f>AND(#REF!,"UpYBtQ76DN0=")</f>
        <v>#REF!</v>
      </c>
      <c r="HO5" t="e">
        <f>AND(#REF!,"UpYBtQ76DN4=")</f>
        <v>#REF!</v>
      </c>
      <c r="HP5" t="e">
        <f>AND(#REF!,"UpYBtQ76DN8=")</f>
        <v>#REF!</v>
      </c>
      <c r="HQ5" t="e">
        <f>AND(#REF!,"UpYBtQ76DOA=")</f>
        <v>#REF!</v>
      </c>
      <c r="HR5" t="e">
        <f>AND(#REF!,"UpYBtQ76DOE=")</f>
        <v>#REF!</v>
      </c>
      <c r="HS5" t="e">
        <f>AND(#REF!,"UpYBtQ76DOI=")</f>
        <v>#REF!</v>
      </c>
      <c r="HT5" t="e">
        <f>AND(#REF!,"UpYBtQ76DOM=")</f>
        <v>#REF!</v>
      </c>
      <c r="HU5" t="e">
        <f>AND(#REF!,"UpYBtQ76DOQ=")</f>
        <v>#REF!</v>
      </c>
      <c r="HV5" t="e">
        <f>AND(#REF!,"UpYBtQ76DOU=")</f>
        <v>#REF!</v>
      </c>
      <c r="HW5" t="e">
        <f>AND(#REF!,"UpYBtQ76DOY=")</f>
        <v>#REF!</v>
      </c>
      <c r="HX5" t="e">
        <f>AND(#REF!,"UpYBtQ76DOc=")</f>
        <v>#REF!</v>
      </c>
      <c r="HY5" t="e">
        <f>IF(#REF!,"UpYBtQ76DOg=",0)</f>
        <v>#REF!</v>
      </c>
      <c r="HZ5" t="e">
        <f>AND(#REF!,"UpYBtQ76DOk=")</f>
        <v>#REF!</v>
      </c>
      <c r="IA5" t="e">
        <f>AND(#REF!,"UpYBtQ76DOo=")</f>
        <v>#REF!</v>
      </c>
      <c r="IB5" t="e">
        <f>AND(#REF!,"UpYBtQ76DOs=")</f>
        <v>#REF!</v>
      </c>
      <c r="IC5" t="e">
        <f>AND(#REF!,"UpYBtQ76DOw=")</f>
        <v>#REF!</v>
      </c>
      <c r="ID5" t="e">
        <f>AND(#REF!,"UpYBtQ76DO0=")</f>
        <v>#REF!</v>
      </c>
      <c r="IE5" t="e">
        <f>AND(#REF!,"UpYBtQ76DO4=")</f>
        <v>#REF!</v>
      </c>
      <c r="IF5" t="e">
        <f>AND(#REF!,"UpYBtQ76DO8=")</f>
        <v>#REF!</v>
      </c>
      <c r="IG5" t="e">
        <f>AND(#REF!,"UpYBtQ76DPA=")</f>
        <v>#REF!</v>
      </c>
      <c r="IH5" t="e">
        <f>AND(#REF!,"UpYBtQ76DPE=")</f>
        <v>#REF!</v>
      </c>
      <c r="II5" t="e">
        <f>AND(#REF!,"UpYBtQ76DPI=")</f>
        <v>#REF!</v>
      </c>
      <c r="IJ5" t="e">
        <f>AND(#REF!,"UpYBtQ76DPM=")</f>
        <v>#REF!</v>
      </c>
      <c r="IK5" t="e">
        <f>AND(#REF!,"UpYBtQ76DPQ=")</f>
        <v>#REF!</v>
      </c>
      <c r="IL5" t="e">
        <f>AND(#REF!,"UpYBtQ76DPU=")</f>
        <v>#REF!</v>
      </c>
      <c r="IM5" t="e">
        <f>AND(#REF!,"UpYBtQ76DPY=")</f>
        <v>#REF!</v>
      </c>
      <c r="IN5" t="e">
        <f>AND(#REF!,"UpYBtQ76DPc=")</f>
        <v>#REF!</v>
      </c>
      <c r="IO5" t="e">
        <f>AND(#REF!,"UpYBtQ76DPg=")</f>
        <v>#REF!</v>
      </c>
      <c r="IP5" t="e">
        <f>AND(#REF!,"UpYBtQ76DPk=")</f>
        <v>#REF!</v>
      </c>
      <c r="IQ5" t="e">
        <f>AND(#REF!,"UpYBtQ76DPo=")</f>
        <v>#REF!</v>
      </c>
      <c r="IR5" t="e">
        <f>AND(#REF!,"UpYBtQ76DPs=")</f>
        <v>#REF!</v>
      </c>
      <c r="IS5" t="e">
        <f>AND(#REF!,"UpYBtQ76DPw=")</f>
        <v>#REF!</v>
      </c>
      <c r="IT5" t="e">
        <f>AND(#REF!,"UpYBtQ76DP0=")</f>
        <v>#REF!</v>
      </c>
      <c r="IU5" t="e">
        <f>AND(#REF!,"UpYBtQ76DP4=")</f>
        <v>#REF!</v>
      </c>
      <c r="IV5" t="e">
        <f>IF(#REF!,"UpYBtQ76DP8=",0)</f>
        <v>#REF!</v>
      </c>
    </row>
    <row r="6" spans="1:256" x14ac:dyDescent="0.2">
      <c r="A6" t="e">
        <f>AND(#REF!,"e0q11TnSCAA=")</f>
        <v>#REF!</v>
      </c>
      <c r="B6" t="e">
        <f>AND(#REF!,"e0q11TnSCAE=")</f>
        <v>#REF!</v>
      </c>
      <c r="C6" t="e">
        <f>AND(#REF!,"e0q11TnSCAI=")</f>
        <v>#REF!</v>
      </c>
      <c r="D6" t="e">
        <f>AND(#REF!,"e0q11TnSCAM=")</f>
        <v>#REF!</v>
      </c>
      <c r="E6" t="e">
        <f>AND(#REF!,"e0q11TnSCAQ=")</f>
        <v>#REF!</v>
      </c>
      <c r="F6" t="e">
        <f>AND(#REF!,"e0q11TnSCAU=")</f>
        <v>#REF!</v>
      </c>
      <c r="G6" t="e">
        <f>AND(#REF!,"e0q11TnSCAY=")</f>
        <v>#REF!</v>
      </c>
      <c r="H6" t="e">
        <f>AND(#REF!,"e0q11TnSCAc=")</f>
        <v>#REF!</v>
      </c>
      <c r="I6" t="e">
        <f>AND(#REF!,"e0q11TnSCAg=")</f>
        <v>#REF!</v>
      </c>
      <c r="J6" t="e">
        <f>AND(#REF!,"e0q11TnSCAk=")</f>
        <v>#REF!</v>
      </c>
      <c r="K6" t="e">
        <f>AND(#REF!,"e0q11TnSCAo=")</f>
        <v>#REF!</v>
      </c>
      <c r="L6" t="e">
        <f>AND(#REF!,"e0q11TnSCAs=")</f>
        <v>#REF!</v>
      </c>
      <c r="M6" t="e">
        <f>AND(#REF!,"e0q11TnSCAw=")</f>
        <v>#REF!</v>
      </c>
      <c r="N6" t="e">
        <f>AND(#REF!,"e0q11TnSCA0=")</f>
        <v>#REF!</v>
      </c>
      <c r="O6" t="e">
        <f>AND(#REF!,"e0q11TnSCA4=")</f>
        <v>#REF!</v>
      </c>
      <c r="P6" t="e">
        <f>AND(#REF!,"e0q11TnSCA8=")</f>
        <v>#REF!</v>
      </c>
      <c r="Q6" t="e">
        <f>AND(#REF!,"e0q11TnSCBA=")</f>
        <v>#REF!</v>
      </c>
      <c r="R6" t="e">
        <f>AND(#REF!,"e0q11TnSCBE=")</f>
        <v>#REF!</v>
      </c>
      <c r="S6" t="e">
        <f>AND(#REF!,"e0q11TnSCBI=")</f>
        <v>#REF!</v>
      </c>
      <c r="T6" t="e">
        <f>AND(#REF!,"e0q11TnSCBM=")</f>
        <v>#REF!</v>
      </c>
      <c r="U6" t="e">
        <f>AND(#REF!,"e0q11TnSCBQ=")</f>
        <v>#REF!</v>
      </c>
      <c r="V6" t="e">
        <f>AND(#REF!,"e0q11TnSCBU=")</f>
        <v>#REF!</v>
      </c>
      <c r="W6" t="e">
        <f>IF(#REF!,"e0q11TnSCBY=",0)</f>
        <v>#REF!</v>
      </c>
      <c r="X6" t="e">
        <f>AND(#REF!,"e0q11TnSCBc=")</f>
        <v>#REF!</v>
      </c>
      <c r="Y6" t="e">
        <f>AND(#REF!,"e0q11TnSCBg=")</f>
        <v>#REF!</v>
      </c>
      <c r="Z6" t="e">
        <f>AND(#REF!,"e0q11TnSCBk=")</f>
        <v>#REF!</v>
      </c>
      <c r="AA6" t="e">
        <f>AND(#REF!,"e0q11TnSCBo=")</f>
        <v>#REF!</v>
      </c>
      <c r="AB6" t="e">
        <f>AND(#REF!,"e0q11TnSCBs=")</f>
        <v>#REF!</v>
      </c>
      <c r="AC6" t="e">
        <f>AND(#REF!,"e0q11TnSCBw=")</f>
        <v>#REF!</v>
      </c>
      <c r="AD6" t="e">
        <f>AND(#REF!,"e0q11TnSCB0=")</f>
        <v>#REF!</v>
      </c>
      <c r="AE6" t="e">
        <f>AND(#REF!,"e0q11TnSCB4=")</f>
        <v>#REF!</v>
      </c>
      <c r="AF6" t="e">
        <f>AND(#REF!,"e0q11TnSCB8=")</f>
        <v>#REF!</v>
      </c>
      <c r="AG6" t="e">
        <f>AND(#REF!,"e0q11TnSCCA=")</f>
        <v>#REF!</v>
      </c>
      <c r="AH6" t="e">
        <f>AND(#REF!,"e0q11TnSCCE=")</f>
        <v>#REF!</v>
      </c>
      <c r="AI6" t="e">
        <f>AND(#REF!,"e0q11TnSCCI=")</f>
        <v>#REF!</v>
      </c>
      <c r="AJ6" t="e">
        <f>AND(#REF!,"e0q11TnSCCM=")</f>
        <v>#REF!</v>
      </c>
      <c r="AK6" t="e">
        <f>AND(#REF!,"e0q11TnSCCQ=")</f>
        <v>#REF!</v>
      </c>
      <c r="AL6" t="e">
        <f>AND(#REF!,"e0q11TnSCCU=")</f>
        <v>#REF!</v>
      </c>
      <c r="AM6" t="e">
        <f>AND(#REF!,"e0q11TnSCCY=")</f>
        <v>#REF!</v>
      </c>
      <c r="AN6" t="e">
        <f>AND(#REF!,"e0q11TnSCCc=")</f>
        <v>#REF!</v>
      </c>
      <c r="AO6" t="e">
        <f>AND(#REF!,"e0q11TnSCCg=")</f>
        <v>#REF!</v>
      </c>
      <c r="AP6" t="e">
        <f>AND(#REF!,"e0q11TnSCCk=")</f>
        <v>#REF!</v>
      </c>
      <c r="AQ6" t="e">
        <f>AND(#REF!,"e0q11TnSCCo=")</f>
        <v>#REF!</v>
      </c>
      <c r="AR6" t="e">
        <f>AND(#REF!,"e0q11TnSCCs=")</f>
        <v>#REF!</v>
      </c>
      <c r="AS6" t="e">
        <f>AND(#REF!,"e0q11TnSCCw=")</f>
        <v>#REF!</v>
      </c>
      <c r="AT6" t="e">
        <f>IF(#REF!,"e0q11TnSCC0=",0)</f>
        <v>#REF!</v>
      </c>
      <c r="AU6" t="e">
        <f>AND(#REF!,"e0q11TnSCC4=")</f>
        <v>#REF!</v>
      </c>
      <c r="AV6" t="e">
        <f>AND(#REF!,"e0q11TnSCC8=")</f>
        <v>#REF!</v>
      </c>
      <c r="AW6" t="e">
        <f>AND(#REF!,"e0q11TnSCDA=")</f>
        <v>#REF!</v>
      </c>
      <c r="AX6" t="e">
        <f>AND(#REF!,"e0q11TnSCDE=")</f>
        <v>#REF!</v>
      </c>
      <c r="AY6" t="e">
        <f>AND(#REF!,"e0q11TnSCDI=")</f>
        <v>#REF!</v>
      </c>
      <c r="AZ6" t="e">
        <f>AND(#REF!,"e0q11TnSCDM=")</f>
        <v>#REF!</v>
      </c>
      <c r="BA6" t="e">
        <f>AND(#REF!,"e0q11TnSCDQ=")</f>
        <v>#REF!</v>
      </c>
      <c r="BB6" t="e">
        <f>AND(#REF!,"e0q11TnSCDU=")</f>
        <v>#REF!</v>
      </c>
      <c r="BC6" t="e">
        <f>AND(#REF!,"e0q11TnSCDY=")</f>
        <v>#REF!</v>
      </c>
      <c r="BD6" t="e">
        <f>AND(#REF!,"e0q11TnSCDc=")</f>
        <v>#REF!</v>
      </c>
      <c r="BE6" t="e">
        <f>AND(#REF!,"e0q11TnSCDg=")</f>
        <v>#REF!</v>
      </c>
      <c r="BF6" t="e">
        <f>AND(#REF!,"e0q11TnSCDk=")</f>
        <v>#REF!</v>
      </c>
      <c r="BG6" t="e">
        <f>AND(#REF!,"e0q11TnSCDo=")</f>
        <v>#REF!</v>
      </c>
      <c r="BH6" t="e">
        <f>AND(#REF!,"e0q11TnSCDs=")</f>
        <v>#REF!</v>
      </c>
      <c r="BI6" t="e">
        <f>AND(#REF!,"e0q11TnSCDw=")</f>
        <v>#REF!</v>
      </c>
      <c r="BJ6" t="e">
        <f>AND(#REF!,"e0q11TnSCD0=")</f>
        <v>#REF!</v>
      </c>
      <c r="BK6" t="e">
        <f>AND(#REF!,"e0q11TnSCD4=")</f>
        <v>#REF!</v>
      </c>
      <c r="BL6" t="e">
        <f>AND(#REF!,"e0q11TnSCD8=")</f>
        <v>#REF!</v>
      </c>
      <c r="BM6" t="e">
        <f>AND(#REF!,"e0q11TnSCEA=")</f>
        <v>#REF!</v>
      </c>
      <c r="BN6" t="e">
        <f>AND(#REF!,"e0q11TnSCEE=")</f>
        <v>#REF!</v>
      </c>
      <c r="BO6" t="e">
        <f>AND(#REF!,"e0q11TnSCEI=")</f>
        <v>#REF!</v>
      </c>
      <c r="BP6" t="e">
        <f>AND(#REF!,"e0q11TnSCEM=")</f>
        <v>#REF!</v>
      </c>
      <c r="BQ6" t="e">
        <f>IF(#REF!,"e0q11TnSCEQ=",0)</f>
        <v>#REF!</v>
      </c>
      <c r="BR6" t="e">
        <f>AND(#REF!,"e0q11TnSCEU=")</f>
        <v>#REF!</v>
      </c>
      <c r="BS6" t="e">
        <f>AND(#REF!,"e0q11TnSCEY=")</f>
        <v>#REF!</v>
      </c>
      <c r="BT6" t="e">
        <f>AND(#REF!,"e0q11TnSCEc=")</f>
        <v>#REF!</v>
      </c>
      <c r="BU6" t="e">
        <f>AND(#REF!,"e0q11TnSCEg=")</f>
        <v>#REF!</v>
      </c>
      <c r="BV6" t="e">
        <f>AND(#REF!,"e0q11TnSCEk=")</f>
        <v>#REF!</v>
      </c>
      <c r="BW6" t="e">
        <f>AND(#REF!,"e0q11TnSCEo=")</f>
        <v>#REF!</v>
      </c>
      <c r="BX6" t="e">
        <f>AND(#REF!,"e0q11TnSCEs=")</f>
        <v>#REF!</v>
      </c>
      <c r="BY6" t="e">
        <f>AND(#REF!,"e0q11TnSCEw=")</f>
        <v>#REF!</v>
      </c>
      <c r="BZ6" t="e">
        <f>AND(#REF!,"e0q11TnSCE0=")</f>
        <v>#REF!</v>
      </c>
      <c r="CA6" t="e">
        <f>AND(#REF!,"e0q11TnSCE4=")</f>
        <v>#REF!</v>
      </c>
      <c r="CB6" t="e">
        <f>AND(#REF!,"e0q11TnSCE8=")</f>
        <v>#REF!</v>
      </c>
      <c r="CC6" t="e">
        <f>AND(#REF!,"e0q11TnSCFA=")</f>
        <v>#REF!</v>
      </c>
      <c r="CD6" t="e">
        <f>AND(#REF!,"e0q11TnSCFE=")</f>
        <v>#REF!</v>
      </c>
      <c r="CE6" t="e">
        <f>AND(#REF!,"e0q11TnSCFI=")</f>
        <v>#REF!</v>
      </c>
      <c r="CF6" t="e">
        <f>AND(#REF!,"e0q11TnSCFM=")</f>
        <v>#REF!</v>
      </c>
      <c r="CG6" t="e">
        <f>AND(#REF!,"e0q11TnSCFQ=")</f>
        <v>#REF!</v>
      </c>
      <c r="CH6" t="e">
        <f>AND(#REF!,"e0q11TnSCFU=")</f>
        <v>#REF!</v>
      </c>
      <c r="CI6" t="e">
        <f>AND(#REF!,"e0q11TnSCFY=")</f>
        <v>#REF!</v>
      </c>
      <c r="CJ6" t="e">
        <f>AND(#REF!,"e0q11TnSCFc=")</f>
        <v>#REF!</v>
      </c>
      <c r="CK6" t="e">
        <f>AND(#REF!,"e0q11TnSCFg=")</f>
        <v>#REF!</v>
      </c>
      <c r="CL6" t="e">
        <f>AND(#REF!,"e0q11TnSCFk=")</f>
        <v>#REF!</v>
      </c>
      <c r="CM6" t="e">
        <f>AND(#REF!,"e0q11TnSCFo=")</f>
        <v>#REF!</v>
      </c>
      <c r="CN6" t="e">
        <f>IF(#REF!,"e0q11TnSCFs=",0)</f>
        <v>#REF!</v>
      </c>
      <c r="CO6" t="e">
        <f>AND(#REF!,"e0q11TnSCFw=")</f>
        <v>#REF!</v>
      </c>
      <c r="CP6" t="e">
        <f>AND(#REF!,"e0q11TnSCF0=")</f>
        <v>#REF!</v>
      </c>
      <c r="CQ6" t="e">
        <f>AND(#REF!,"e0q11TnSCF4=")</f>
        <v>#REF!</v>
      </c>
      <c r="CR6" t="e">
        <f>AND(#REF!,"e0q11TnSCF8=")</f>
        <v>#REF!</v>
      </c>
      <c r="CS6" t="e">
        <f>AND(#REF!,"e0q11TnSCGA=")</f>
        <v>#REF!</v>
      </c>
      <c r="CT6" t="e">
        <f>AND(#REF!,"e0q11TnSCGE=")</f>
        <v>#REF!</v>
      </c>
      <c r="CU6" t="e">
        <f>AND(#REF!,"e0q11TnSCGI=")</f>
        <v>#REF!</v>
      </c>
      <c r="CV6" t="e">
        <f>AND(#REF!,"e0q11TnSCGM=")</f>
        <v>#REF!</v>
      </c>
      <c r="CW6" t="e">
        <f>AND(#REF!,"e0q11TnSCGQ=")</f>
        <v>#REF!</v>
      </c>
      <c r="CX6" t="e">
        <f>AND(#REF!,"e0q11TnSCGU=")</f>
        <v>#REF!</v>
      </c>
      <c r="CY6" t="e">
        <f>AND(#REF!,"e0q11TnSCGY=")</f>
        <v>#REF!</v>
      </c>
      <c r="CZ6" t="e">
        <f>AND(#REF!,"e0q11TnSCGc=")</f>
        <v>#REF!</v>
      </c>
      <c r="DA6" t="e">
        <f>AND(#REF!,"e0q11TnSCGg=")</f>
        <v>#REF!</v>
      </c>
      <c r="DB6" t="e">
        <f>AND(#REF!,"e0q11TnSCGk=")</f>
        <v>#REF!</v>
      </c>
      <c r="DC6" t="e">
        <f>AND(#REF!,"e0q11TnSCGo=")</f>
        <v>#REF!</v>
      </c>
      <c r="DD6" t="e">
        <f>AND(#REF!,"e0q11TnSCGs=")</f>
        <v>#REF!</v>
      </c>
      <c r="DE6" t="e">
        <f>AND(#REF!,"e0q11TnSCGw=")</f>
        <v>#REF!</v>
      </c>
      <c r="DF6" t="e">
        <f>AND(#REF!,"e0q11TnSCG0=")</f>
        <v>#REF!</v>
      </c>
      <c r="DG6" t="e">
        <f>AND(#REF!,"e0q11TnSCG4=")</f>
        <v>#REF!</v>
      </c>
      <c r="DH6" t="e">
        <f>AND(#REF!,"e0q11TnSCG8=")</f>
        <v>#REF!</v>
      </c>
      <c r="DI6" t="e">
        <f>AND(#REF!,"e0q11TnSCHA=")</f>
        <v>#REF!</v>
      </c>
      <c r="DJ6" t="e">
        <f>AND(#REF!,"e0q11TnSCHE=")</f>
        <v>#REF!</v>
      </c>
      <c r="DK6" t="e">
        <f>IF(#REF!,"e0q11TnSCHI=",0)</f>
        <v>#REF!</v>
      </c>
      <c r="DL6" t="e">
        <f>AND(#REF!,"e0q11TnSCHM=")</f>
        <v>#REF!</v>
      </c>
      <c r="DM6" t="e">
        <f>AND(#REF!,"e0q11TnSCHQ=")</f>
        <v>#REF!</v>
      </c>
      <c r="DN6" t="e">
        <f>AND(#REF!,"e0q11TnSCHU=")</f>
        <v>#REF!</v>
      </c>
      <c r="DO6" t="e">
        <f>AND(#REF!,"e0q11TnSCHY=")</f>
        <v>#REF!</v>
      </c>
      <c r="DP6" t="e">
        <f>AND(#REF!,"e0q11TnSCHc=")</f>
        <v>#REF!</v>
      </c>
      <c r="DQ6" t="e">
        <f>AND(#REF!,"e0q11TnSCHg=")</f>
        <v>#REF!</v>
      </c>
      <c r="DR6" t="e">
        <f>AND(#REF!,"e0q11TnSCHk=")</f>
        <v>#REF!</v>
      </c>
      <c r="DS6" t="e">
        <f>AND(#REF!,"e0q11TnSCHo=")</f>
        <v>#REF!</v>
      </c>
      <c r="DT6" t="e">
        <f>AND(#REF!,"e0q11TnSCHs=")</f>
        <v>#REF!</v>
      </c>
      <c r="DU6" t="e">
        <f>AND(#REF!,"e0q11TnSCHw=")</f>
        <v>#REF!</v>
      </c>
      <c r="DV6" t="e">
        <f>AND(#REF!,"e0q11TnSCH0=")</f>
        <v>#REF!</v>
      </c>
      <c r="DW6" t="e">
        <f>AND(#REF!,"e0q11TnSCH4=")</f>
        <v>#REF!</v>
      </c>
      <c r="DX6" t="e">
        <f>AND(#REF!,"e0q11TnSCH8=")</f>
        <v>#REF!</v>
      </c>
      <c r="DY6" t="e">
        <f>AND(#REF!,"e0q11TnSCIA=")</f>
        <v>#REF!</v>
      </c>
      <c r="DZ6" t="e">
        <f>AND(#REF!,"e0q11TnSCIE=")</f>
        <v>#REF!</v>
      </c>
      <c r="EA6" t="e">
        <f>AND(#REF!,"e0q11TnSCII=")</f>
        <v>#REF!</v>
      </c>
      <c r="EB6" t="e">
        <f>AND(#REF!,"e0q11TnSCIM=")</f>
        <v>#REF!</v>
      </c>
      <c r="EC6" t="e">
        <f>AND(#REF!,"e0q11TnSCIQ=")</f>
        <v>#REF!</v>
      </c>
      <c r="ED6" t="e">
        <f>AND(#REF!,"e0q11TnSCIU=")</f>
        <v>#REF!</v>
      </c>
      <c r="EE6" t="e">
        <f>AND(#REF!,"e0q11TnSCIY=")</f>
        <v>#REF!</v>
      </c>
      <c r="EF6" t="e">
        <f>AND(#REF!,"e0q11TnSCIc=")</f>
        <v>#REF!</v>
      </c>
      <c r="EG6" t="e">
        <f>AND(#REF!,"e0q11TnSCIg=")</f>
        <v>#REF!</v>
      </c>
      <c r="EH6" t="e">
        <f>IF(#REF!,"e0q11TnSCIk=",0)</f>
        <v>#REF!</v>
      </c>
      <c r="EI6" t="e">
        <f>AND(#REF!,"e0q11TnSCIo=")</f>
        <v>#REF!</v>
      </c>
      <c r="EJ6" t="e">
        <f>AND(#REF!,"e0q11TnSCIs=")</f>
        <v>#REF!</v>
      </c>
      <c r="EK6" t="e">
        <f>AND(#REF!,"e0q11TnSCIw=")</f>
        <v>#REF!</v>
      </c>
      <c r="EL6" t="e">
        <f>AND(#REF!,"e0q11TnSCI0=")</f>
        <v>#REF!</v>
      </c>
      <c r="EM6" t="e">
        <f>AND(#REF!,"e0q11TnSCI4=")</f>
        <v>#REF!</v>
      </c>
      <c r="EN6" t="e">
        <f>AND(#REF!,"e0q11TnSCI8=")</f>
        <v>#REF!</v>
      </c>
      <c r="EO6" t="e">
        <f>AND(#REF!,"e0q11TnSCJA=")</f>
        <v>#REF!</v>
      </c>
      <c r="EP6" t="e">
        <f>AND(#REF!,"e0q11TnSCJE=")</f>
        <v>#REF!</v>
      </c>
      <c r="EQ6" t="e">
        <f>AND(#REF!,"e0q11TnSCJI=")</f>
        <v>#REF!</v>
      </c>
      <c r="ER6" t="e">
        <f>AND(#REF!,"e0q11TnSCJM=")</f>
        <v>#REF!</v>
      </c>
      <c r="ES6" t="e">
        <f>AND(#REF!,"e0q11TnSCJQ=")</f>
        <v>#REF!</v>
      </c>
      <c r="ET6" t="e">
        <f>AND(#REF!,"e0q11TnSCJU=")</f>
        <v>#REF!</v>
      </c>
      <c r="EU6" t="e">
        <f>AND(#REF!,"e0q11TnSCJY=")</f>
        <v>#REF!</v>
      </c>
      <c r="EV6" t="e">
        <f>AND(#REF!,"e0q11TnSCJc=")</f>
        <v>#REF!</v>
      </c>
      <c r="EW6" t="e">
        <f>AND(#REF!,"e0q11TnSCJg=")</f>
        <v>#REF!</v>
      </c>
      <c r="EX6" t="e">
        <f>AND(#REF!,"e0q11TnSCJk=")</f>
        <v>#REF!</v>
      </c>
      <c r="EY6" t="e">
        <f>AND(#REF!,"e0q11TnSCJo=")</f>
        <v>#REF!</v>
      </c>
      <c r="EZ6" t="e">
        <f>AND(#REF!,"e0q11TnSCJs=")</f>
        <v>#REF!</v>
      </c>
      <c r="FA6" t="e">
        <f>AND(#REF!,"e0q11TnSCJw=")</f>
        <v>#REF!</v>
      </c>
      <c r="FB6" t="e">
        <f>AND(#REF!,"e0q11TnSCJ0=")</f>
        <v>#REF!</v>
      </c>
      <c r="FC6" t="e">
        <f>AND(#REF!,"e0q11TnSCJ4=")</f>
        <v>#REF!</v>
      </c>
      <c r="FD6" t="e">
        <f>AND(#REF!,"e0q11TnSCJ8=")</f>
        <v>#REF!</v>
      </c>
      <c r="FE6" t="e">
        <f>IF(#REF!,"e0q11TnSCKA=",0)</f>
        <v>#REF!</v>
      </c>
      <c r="FF6" t="e">
        <f>AND(#REF!,"e0q11TnSCKE=")</f>
        <v>#REF!</v>
      </c>
      <c r="FG6" t="e">
        <f>AND(#REF!,"e0q11TnSCKI=")</f>
        <v>#REF!</v>
      </c>
      <c r="FH6" t="e">
        <f>AND(#REF!,"e0q11TnSCKM=")</f>
        <v>#REF!</v>
      </c>
      <c r="FI6" t="e">
        <f>AND(#REF!,"e0q11TnSCKQ=")</f>
        <v>#REF!</v>
      </c>
      <c r="FJ6" t="e">
        <f>AND(#REF!,"e0q11TnSCKU=")</f>
        <v>#REF!</v>
      </c>
      <c r="FK6" t="e">
        <f>AND(#REF!,"e0q11TnSCKY=")</f>
        <v>#REF!</v>
      </c>
      <c r="FL6" t="e">
        <f>AND(#REF!,"e0q11TnSCKc=")</f>
        <v>#REF!</v>
      </c>
      <c r="FM6" t="e">
        <f>AND(#REF!,"e0q11TnSCKg=")</f>
        <v>#REF!</v>
      </c>
      <c r="FN6" t="e">
        <f>AND(#REF!,"e0q11TnSCKk=")</f>
        <v>#REF!</v>
      </c>
      <c r="FO6" t="e">
        <f>AND(#REF!,"e0q11TnSCKo=")</f>
        <v>#REF!</v>
      </c>
      <c r="FP6" t="e">
        <f>AND(#REF!,"e0q11TnSCKs=")</f>
        <v>#REF!</v>
      </c>
      <c r="FQ6" t="e">
        <f>AND(#REF!,"e0q11TnSCKw=")</f>
        <v>#REF!</v>
      </c>
      <c r="FR6" t="e">
        <f>AND(#REF!,"e0q11TnSCK0=")</f>
        <v>#REF!</v>
      </c>
      <c r="FS6" t="e">
        <f>AND(#REF!,"e0q11TnSCK4=")</f>
        <v>#REF!</v>
      </c>
      <c r="FT6" t="e">
        <f>AND(#REF!,"e0q11TnSCK8=")</f>
        <v>#REF!</v>
      </c>
      <c r="FU6" t="e">
        <f>AND(#REF!,"e0q11TnSCLA=")</f>
        <v>#REF!</v>
      </c>
      <c r="FV6" t="e">
        <f>AND(#REF!,"e0q11TnSCLE=")</f>
        <v>#REF!</v>
      </c>
      <c r="FW6" t="e">
        <f>AND(#REF!,"e0q11TnSCLI=")</f>
        <v>#REF!</v>
      </c>
      <c r="FX6" t="e">
        <f>AND(#REF!,"e0q11TnSCLM=")</f>
        <v>#REF!</v>
      </c>
      <c r="FY6" t="e">
        <f>AND(#REF!,"e0q11TnSCLQ=")</f>
        <v>#REF!</v>
      </c>
      <c r="FZ6" t="e">
        <f>AND(#REF!,"e0q11TnSCLU=")</f>
        <v>#REF!</v>
      </c>
      <c r="GA6" t="e">
        <f>AND(#REF!,"e0q11TnSCLY=")</f>
        <v>#REF!</v>
      </c>
      <c r="GB6" t="e">
        <f>IF(#REF!,"e0q11TnSCLc=",0)</f>
        <v>#REF!</v>
      </c>
      <c r="GC6" t="e">
        <f>IF(#REF!,"e0q11TnSCLg=",0)</f>
        <v>#REF!</v>
      </c>
      <c r="GD6" t="e">
        <f>IF(#REF!,"e0q11TnSCLk=",0)</f>
        <v>#REF!</v>
      </c>
      <c r="GE6" t="e">
        <f>IF(#REF!,"e0q11TnSCLo=",0)</f>
        <v>#REF!</v>
      </c>
      <c r="GF6" t="e">
        <f>IF(#REF!,"e0q11TnSCLs=",0)</f>
        <v>#REF!</v>
      </c>
      <c r="GG6" t="e">
        <f>IF(#REF!,"e0q11TnSCLw=",0)</f>
        <v>#REF!</v>
      </c>
      <c r="GH6" t="e">
        <f>IF(#REF!,"e0q11TnSCL0=",0)</f>
        <v>#REF!</v>
      </c>
      <c r="GI6" t="e">
        <f>IF(#REF!,"e0q11TnSCL4=",0)</f>
        <v>#REF!</v>
      </c>
      <c r="GJ6" t="e">
        <f>IF(#REF!,"e0q11TnSCL8=",0)</f>
        <v>#REF!</v>
      </c>
      <c r="GK6" t="e">
        <f>IF(#REF!,"e0q11TnSCMA=",0)</f>
        <v>#REF!</v>
      </c>
      <c r="GL6" t="e">
        <f>IF(#REF!,"e0q11TnSCME=",0)</f>
        <v>#REF!</v>
      </c>
      <c r="GM6" t="e">
        <f>IF(#REF!,"e0q11TnSCMI=",0)</f>
        <v>#REF!</v>
      </c>
      <c r="GN6" t="e">
        <f>IF(#REF!,"e0q11TnSCMM=",0)</f>
        <v>#REF!</v>
      </c>
      <c r="GO6" t="e">
        <f>IF(#REF!,"e0q11TnSCMQ=",0)</f>
        <v>#REF!</v>
      </c>
      <c r="GP6" t="e">
        <f>IF(#REF!,"e0q11TnSCMU=",0)</f>
        <v>#REF!</v>
      </c>
      <c r="GQ6" t="e">
        <f>IF(#REF!,"e0q11TnSCMY=",0)</f>
        <v>#REF!</v>
      </c>
      <c r="GR6" t="e">
        <f>IF(#REF!,"e0q11TnSCMc=",0)</f>
        <v>#REF!</v>
      </c>
      <c r="GS6" t="e">
        <f>IF(#REF!,"e0q11TnSCMg=",0)</f>
        <v>#REF!</v>
      </c>
      <c r="GT6" t="e">
        <f>IF(#REF!,"e0q11TnSCMk=",0)</f>
        <v>#REF!</v>
      </c>
      <c r="GU6" t="e">
        <f>IF(#REF!,"e0q11TnSCMo=",0)</f>
        <v>#REF!</v>
      </c>
      <c r="GV6" t="e">
        <f>IF(#REF!,"e0q11TnSCMs=",0)</f>
        <v>#REF!</v>
      </c>
      <c r="GW6" t="e">
        <f>IF(#REF!,"e0q11TnSCMw=",0)</f>
        <v>#REF!</v>
      </c>
      <c r="GX6" t="e">
        <f>IF(#REF!,"e0q11TnSCM0=",0)</f>
        <v>#REF!</v>
      </c>
      <c r="GY6" t="e">
        <f>IF(#REF!,"e0q11TnSCM4=",0)</f>
        <v>#REF!</v>
      </c>
      <c r="GZ6" t="e">
        <f>IF(#REF!,"e0q11TnSCM8=",0)</f>
        <v>#REF!</v>
      </c>
      <c r="HA6" t="e">
        <f>IF(#REF!,"e0q11TnSCNA=",0)</f>
        <v>#REF!</v>
      </c>
      <c r="HB6" t="e">
        <f>IF(#REF!,"e0q11TnSCNE=",0)</f>
        <v>#REF!</v>
      </c>
      <c r="HC6" t="e">
        <f>IF(#REF!,"e0q11TnSCNI=",0)</f>
        <v>#REF!</v>
      </c>
      <c r="HD6" t="e">
        <f>IF(#REF!,"e0q11TnSCNM=",0)</f>
        <v>#REF!</v>
      </c>
      <c r="HE6" t="e">
        <f>IF(#REF!,"e0q11TnSCNQ=",0)</f>
        <v>#REF!</v>
      </c>
      <c r="HF6" t="e">
        <f>IF(#REF!,"e0q11TnSCNU=",0)</f>
        <v>#REF!</v>
      </c>
      <c r="HG6" t="e">
        <f>IF(#REF!,"e0q11TnSCNY=",0)</f>
        <v>#REF!</v>
      </c>
      <c r="HH6" t="e">
        <f>IF(#REF!,"e0q11TnSCNc=",0)</f>
        <v>#REF!</v>
      </c>
      <c r="HI6" t="e">
        <f>IF(#REF!,"e0q11TnSCNg=",0)</f>
        <v>#REF!</v>
      </c>
      <c r="HJ6" t="e">
        <f>IF(#REF!,"e0q11TnSCNk=",0)</f>
        <v>#REF!</v>
      </c>
      <c r="HK6" t="e">
        <f>IF(#REF!,"e0q11TnSCNo=",0)</f>
        <v>#REF!</v>
      </c>
      <c r="HL6" t="e">
        <f>IF(#REF!,"e0q11TnSCNs=",0)</f>
        <v>#REF!</v>
      </c>
      <c r="HM6" t="e">
        <f>IF(#REF!,"e0q11TnSCNw=",0)</f>
        <v>#REF!</v>
      </c>
      <c r="HN6" t="e">
        <f>IF(#REF!,"e0q11TnSCN0=",0)</f>
        <v>#REF!</v>
      </c>
      <c r="HO6" t="e">
        <f>IF(#REF!,"e0q11TnSCN4=",0)</f>
        <v>#REF!</v>
      </c>
      <c r="HP6" t="e">
        <f>IF(#REF!,"e0q11TnSCN8=",0)</f>
        <v>#REF!</v>
      </c>
      <c r="HQ6" t="e">
        <f>IF(#REF!,"e0q11TnSCOA=",0)</f>
        <v>#REF!</v>
      </c>
      <c r="HR6" t="e">
        <f>IF(#REF!,"e0q11TnSCOE=",0)</f>
        <v>#REF!</v>
      </c>
      <c r="HS6" t="e">
        <f>IF(#REF!,"e0q11TnSCOI=",0)</f>
        <v>#REF!</v>
      </c>
      <c r="HT6" t="e">
        <f>IF(#REF!,"e0q11TnSCOM=",0)</f>
        <v>#REF!</v>
      </c>
      <c r="HU6" t="e">
        <f>IF(#REF!,"e0q11TnSCOQ=",0)</f>
        <v>#REF!</v>
      </c>
      <c r="HV6" t="e">
        <f>IF(#REF!,"e0q11TnSCOU=",0)</f>
        <v>#REF!</v>
      </c>
      <c r="HW6" t="e">
        <f>IF(#REF!,"e0q11TnSCOY=",0)</f>
        <v>#REF!</v>
      </c>
      <c r="HX6" t="e">
        <f>IF(#REF!,"e0q11TnSCOc=",0)</f>
        <v>#REF!</v>
      </c>
      <c r="HY6" t="e">
        <f>IF(#REF!,"e0q11TnSCOg=",0)</f>
        <v>#REF!</v>
      </c>
      <c r="HZ6" t="e">
        <f>IF(#REF!,"e0q11TnSCOk=",0)</f>
        <v>#REF!</v>
      </c>
      <c r="IA6" t="e">
        <f>IF(#REF!,"e0q11TnSCOo=",0)</f>
        <v>#REF!</v>
      </c>
      <c r="IB6" t="e">
        <f>IF(#REF!,"e0q11TnSCOs=",0)</f>
        <v>#REF!</v>
      </c>
      <c r="IC6" t="e">
        <f>IF(#REF!,"e0q11TnSCOw=",0)</f>
        <v>#REF!</v>
      </c>
      <c r="ID6" t="e">
        <f>IF(#REF!,"e0q11TnSCO0=",0)</f>
        <v>#REF!</v>
      </c>
      <c r="IE6" t="e">
        <f>IF(#REF!,"e0q11TnSCO4=",0)</f>
        <v>#REF!</v>
      </c>
      <c r="IF6" t="e">
        <f>IF(#REF!,"e0q11TnSCO8=",0)</f>
        <v>#REF!</v>
      </c>
      <c r="IG6" t="e">
        <f>IF(#REF!,"e0q11TnSCPA=",0)</f>
        <v>#REF!</v>
      </c>
      <c r="IH6" t="e">
        <f>IF(#REF!,"e0q11TnSCPE=",0)</f>
        <v>#REF!</v>
      </c>
      <c r="II6" t="e">
        <f>IF(#REF!,"e0q11TnSCPI=",0)</f>
        <v>#REF!</v>
      </c>
      <c r="IJ6" t="e">
        <f>IF(#REF!,"e0q11TnSCPM=",0)</f>
        <v>#REF!</v>
      </c>
      <c r="IK6" t="e">
        <f>IF(#REF!,"e0q11TnSCPQ=",0)</f>
        <v>#REF!</v>
      </c>
      <c r="IL6" t="e">
        <f>IF(#REF!,"e0q11TnSCPU=",0)</f>
        <v>#REF!</v>
      </c>
      <c r="IM6" t="e">
        <f>IF(#REF!,"e0q11TnSCPY=",0)</f>
        <v>#REF!</v>
      </c>
      <c r="IN6" t="e">
        <f>IF(#REF!,"e0q11TnSCPc=",0)</f>
        <v>#REF!</v>
      </c>
      <c r="IO6" t="e">
        <f>IF(#REF!,"e0q11TnSCPg=",0)</f>
        <v>#REF!</v>
      </c>
      <c r="IP6" t="e">
        <f>IF(#REF!,"e0q11TnSCPk=",0)</f>
        <v>#REF!</v>
      </c>
      <c r="IQ6" t="e">
        <f>IF(#REF!,"e0q11TnSCPo=",0)</f>
        <v>#REF!</v>
      </c>
      <c r="IR6" t="e">
        <f>IF(#REF!,"e0q11TnSCPs=",0)</f>
        <v>#REF!</v>
      </c>
      <c r="IS6" t="e">
        <f>IF(#REF!,"e0q11TnSCPw=",0)</f>
        <v>#REF!</v>
      </c>
      <c r="IT6" t="e">
        <f>IF(#REF!,"e0q11TnSCP0=",0)</f>
        <v>#REF!</v>
      </c>
      <c r="IU6" t="e">
        <f>IF(#REF!,"e0q11TnSCP4=",0)</f>
        <v>#REF!</v>
      </c>
      <c r="IV6" t="e">
        <f>IF(#REF!,"e0q11TnSCP8=",0)</f>
        <v>#REF!</v>
      </c>
    </row>
    <row r="7" spans="1:256" x14ac:dyDescent="0.2">
      <c r="A7" t="e">
        <f>IF(#REF!,"QhW7vQg3EAA=",0)</f>
        <v>#REF!</v>
      </c>
      <c r="B7" t="e">
        <f>IF(#REF!,"QhW7vQg3EAE=",0)</f>
        <v>#REF!</v>
      </c>
      <c r="C7" t="e">
        <f>IF(#REF!,"QhW7vQg3EAI=",0)</f>
        <v>#REF!</v>
      </c>
      <c r="D7" t="e">
        <f>IF(#REF!,"QhW7vQg3EAM=",0)</f>
        <v>#REF!</v>
      </c>
      <c r="E7" t="e">
        <f>IF(#REF!,"QhW7vQg3EAQ=",0)</f>
        <v>#REF!</v>
      </c>
      <c r="F7" t="e">
        <f>IF(#REF!,"QhW7vQg3EAU=",0)</f>
        <v>#REF!</v>
      </c>
      <c r="G7" t="e">
        <f>IF(#REF!,"QhW7vQg3EAY=",0)</f>
        <v>#REF!</v>
      </c>
      <c r="H7" t="e">
        <f>IF(#REF!,"QhW7vQg3EAc=",0)</f>
        <v>#REF!</v>
      </c>
      <c r="I7" t="e">
        <f>IF(#REF!,"QhW7vQg3EAg=",0)</f>
        <v>#REF!</v>
      </c>
      <c r="J7" t="e">
        <f>IF(#REF!,"QhW7vQg3EAk=",0)</f>
        <v>#REF!</v>
      </c>
      <c r="K7" t="e">
        <f>IF(#REF!,"QhW7vQg3EAo=",0)</f>
        <v>#REF!</v>
      </c>
      <c r="L7" t="e">
        <f>IF(#REF!,"QhW7vQg3EAs=",0)</f>
        <v>#REF!</v>
      </c>
      <c r="M7" t="e">
        <f>IF(#REF!,"QhW7vQg3EAw=",0)</f>
        <v>#REF!</v>
      </c>
      <c r="N7" t="e">
        <f>IF(#REF!,"QhW7vQg3EA0=",0)</f>
        <v>#REF!</v>
      </c>
      <c r="O7" t="e">
        <f>IF(#REF!,"QhW7vQg3EA4=",0)</f>
        <v>#REF!</v>
      </c>
      <c r="P7" t="e">
        <f>IF(#REF!,"QhW7vQg3EA8=",0)</f>
        <v>#REF!</v>
      </c>
      <c r="Q7" t="e">
        <f>IF(#REF!,"QhW7vQg3EBA=",0)</f>
        <v>#REF!</v>
      </c>
      <c r="R7" t="e">
        <f>IF(#REF!,"QhW7vQg3EBE=",0)</f>
        <v>#REF!</v>
      </c>
      <c r="S7" t="e">
        <f>IF(#REF!,"QhW7vQg3EBI=",0)</f>
        <v>#REF!</v>
      </c>
      <c r="T7" t="e">
        <f>IF(#REF!,"QhW7vQg3EBM=",0)</f>
        <v>#REF!</v>
      </c>
      <c r="U7" t="e">
        <f>IF(#REF!,"QhW7vQg3EBQ=",0)</f>
        <v>#REF!</v>
      </c>
      <c r="V7" t="e">
        <f>IF(#REF!,"QhW7vQg3EBU=",0)</f>
        <v>#REF!</v>
      </c>
      <c r="W7" t="e">
        <f>IF(#REF!,"QhW7vQg3EBY=",0)</f>
        <v>#REF!</v>
      </c>
      <c r="X7" t="e">
        <f>IF(#REF!,"QhW7vQg3EBc=",0)</f>
        <v>#REF!</v>
      </c>
      <c r="Y7" t="e">
        <f>IF(#REF!,"QhW7vQg3EBg=",0)</f>
        <v>#REF!</v>
      </c>
      <c r="Z7" t="e">
        <f>IF(#REF!,"QhW7vQg3EBk=",0)</f>
        <v>#REF!</v>
      </c>
      <c r="AA7" t="e">
        <f>IF(#REF!,"QhW7vQg3EBo=",0)</f>
        <v>#REF!</v>
      </c>
      <c r="AB7" t="e">
        <f>IF(#REF!,"QhW7vQg3EBs=",0)</f>
        <v>#REF!</v>
      </c>
      <c r="AC7" t="e">
        <f>IF(#REF!,"QhW7vQg3EBw=",0)</f>
        <v>#REF!</v>
      </c>
      <c r="AD7" t="e">
        <f>IF(#REF!,"QhW7vQg3EB0=",0)</f>
        <v>#REF!</v>
      </c>
      <c r="AE7" t="e">
        <f>IF(#REF!,"QhW7vQg3EB4=",0)</f>
        <v>#REF!</v>
      </c>
      <c r="AF7" t="e">
        <f>IF(#REF!,"QhW7vQg3EB8=",0)</f>
        <v>#REF!</v>
      </c>
      <c r="AG7" t="e">
        <f>IF(#REF!,"QhW7vQg3ECA=",0)</f>
        <v>#REF!</v>
      </c>
      <c r="AH7" t="e">
        <f>IF(#REF!,"QhW7vQg3ECE=",0)</f>
        <v>#REF!</v>
      </c>
      <c r="AI7" t="e">
        <f>IF(#REF!,"QhW7vQg3ECI=",0)</f>
        <v>#REF!</v>
      </c>
      <c r="AJ7" t="e">
        <f>IF(#REF!,"QhW7vQg3ECM=",0)</f>
        <v>#REF!</v>
      </c>
      <c r="AK7" t="e">
        <f>IF(#REF!,"QhW7vQg3ECQ=",0)</f>
        <v>#REF!</v>
      </c>
      <c r="AL7" t="e">
        <f>IF(#REF!,"QhW7vQg3ECU=",0)</f>
        <v>#REF!</v>
      </c>
      <c r="AM7" t="e">
        <f>IF(#REF!,"QhW7vQg3ECY=",0)</f>
        <v>#REF!</v>
      </c>
      <c r="AN7" t="e">
        <f>IF(#REF!,"QhW7vQg3ECc=",0)</f>
        <v>#REF!</v>
      </c>
      <c r="AO7" t="e">
        <f>IF(#REF!,"QhW7vQg3ECg=",0)</f>
        <v>#REF!</v>
      </c>
      <c r="AP7" t="e">
        <f>IF(#REF!,"QhW7vQg3ECk=",0)</f>
        <v>#REF!</v>
      </c>
      <c r="AQ7" t="e">
        <f>IF(#REF!,"QhW7vQg3ECo=",0)</f>
        <v>#REF!</v>
      </c>
      <c r="AR7" t="e">
        <f>IF(#REF!,"QhW7vQg3ECs=",0)</f>
        <v>#REF!</v>
      </c>
      <c r="AS7" t="e">
        <f>IF(#REF!,"QhW7vQg3ECw=",0)</f>
        <v>#REF!</v>
      </c>
      <c r="AT7" t="e">
        <f>IF(#REF!,"QhW7vQg3EC0=",0)</f>
        <v>#REF!</v>
      </c>
      <c r="AU7" t="e">
        <f>IF(#REF!,"QhW7vQg3EC4=",0)</f>
        <v>#REF!</v>
      </c>
      <c r="AV7" t="e">
        <f>IF(#REF!,"QhW7vQg3EC8=",0)</f>
        <v>#REF!</v>
      </c>
      <c r="AW7" t="e">
        <f>IF(#REF!,"QhW7vQg3EDA=",0)</f>
        <v>#REF!</v>
      </c>
      <c r="AX7" t="e">
        <f>IF(#REF!,"QhW7vQg3EDE=",0)</f>
        <v>#REF!</v>
      </c>
      <c r="AY7" t="e">
        <f>IF(#REF!,"QhW7vQg3EDI=",0)</f>
        <v>#REF!</v>
      </c>
      <c r="AZ7" t="e">
        <f>IF(#REF!,"QhW7vQg3EDM=",0)</f>
        <v>#REF!</v>
      </c>
      <c r="BA7" t="e">
        <f>IF(#REF!,"QhW7vQg3EDQ=",0)</f>
        <v>#REF!</v>
      </c>
      <c r="BB7" t="e">
        <f>IF(#REF!,"QhW7vQg3EDU=",0)</f>
        <v>#REF!</v>
      </c>
      <c r="BC7" t="e">
        <f>IF(#REF!,"QhW7vQg3EDY=",0)</f>
        <v>#REF!</v>
      </c>
      <c r="BD7" t="e">
        <f>IF(#REF!,"QhW7vQg3EDc=",0)</f>
        <v>#REF!</v>
      </c>
      <c r="BE7" t="e">
        <f>IF(#REF!,"QhW7vQg3EDg=",0)</f>
        <v>#REF!</v>
      </c>
      <c r="BF7" t="e">
        <f>IF(#REF!,"QhW7vQg3EDk=",0)</f>
        <v>#REF!</v>
      </c>
      <c r="BG7" t="e">
        <f>IF(#REF!,"QhW7vQg3EDo=",0)</f>
        <v>#REF!</v>
      </c>
      <c r="BH7" t="e">
        <f>IF(#REF!,"QhW7vQg3EDs=",0)</f>
        <v>#REF!</v>
      </c>
      <c r="BI7" t="e">
        <f>IF(#REF!,"QhW7vQg3EDw=",0)</f>
        <v>#REF!</v>
      </c>
      <c r="BJ7" t="e">
        <f>IF(#REF!,"QhW7vQg3ED0=",0)</f>
        <v>#REF!</v>
      </c>
      <c r="BK7" t="e">
        <f>IF(#REF!,"QhW7vQg3ED4=",0)</f>
        <v>#REF!</v>
      </c>
      <c r="BL7" t="e">
        <f>IF(#REF!,"QhW7vQg3ED8=",0)</f>
        <v>#REF!</v>
      </c>
      <c r="BM7" t="e">
        <f>IF(#REF!,"QhW7vQg3EEA=",0)</f>
        <v>#REF!</v>
      </c>
      <c r="BN7" t="e">
        <f>IF(#REF!,"QhW7vQg3EEE=",0)</f>
        <v>#REF!</v>
      </c>
      <c r="BO7" t="e">
        <f>IF(#REF!,"QhW7vQg3EEI=",0)</f>
        <v>#REF!</v>
      </c>
      <c r="BP7" t="e">
        <f>IF(#REF!,"QhW7vQg3EEM=",0)</f>
        <v>#REF!</v>
      </c>
      <c r="BQ7" t="e">
        <f>IF(#REF!,"QhW7vQg3EEQ=",0)</f>
        <v>#REF!</v>
      </c>
      <c r="BR7" t="e">
        <f>IF(#REF!,"QhW7vQg3EEU=",0)</f>
        <v>#REF!</v>
      </c>
      <c r="BS7" t="e">
        <f>IF(#REF!,"QhW7vQg3EEY=",0)</f>
        <v>#REF!</v>
      </c>
      <c r="BT7" t="e">
        <f>IF(#REF!,"QhW7vQg3EEc=",0)</f>
        <v>#REF!</v>
      </c>
      <c r="BU7" t="e">
        <f>IF(#REF!,"QhW7vQg3EEg=",0)</f>
        <v>#REF!</v>
      </c>
      <c r="BV7" t="e">
        <f>IF(#REF!,"QhW7vQg3EEk=",0)</f>
        <v>#REF!</v>
      </c>
      <c r="BW7" t="e">
        <f>IF(#REF!,"QhW7vQg3EEo=",0)</f>
        <v>#REF!</v>
      </c>
      <c r="BX7" t="e">
        <f>IF(#REF!,"QhW7vQg3EEs=",0)</f>
        <v>#REF!</v>
      </c>
      <c r="BY7" t="e">
        <f>IF(#REF!,"QhW7vQg3EEw=",0)</f>
        <v>#REF!</v>
      </c>
      <c r="BZ7" t="e">
        <f>IF(#REF!,"QhW7vQg3EE0=",0)</f>
        <v>#REF!</v>
      </c>
      <c r="CA7" t="e">
        <f>IF(#REF!,"QhW7vQg3EE4=",0)</f>
        <v>#REF!</v>
      </c>
      <c r="CB7" t="e">
        <f>IF(#REF!,"QhW7vQg3EE8=",0)</f>
        <v>#REF!</v>
      </c>
      <c r="CC7" t="e">
        <f>IF(#REF!,"QhW7vQg3EFA=",0)</f>
        <v>#REF!</v>
      </c>
      <c r="CD7" t="e">
        <f>IF(#REF!,"QhW7vQg3EFE=",0)</f>
        <v>#REF!</v>
      </c>
      <c r="CE7" t="e">
        <f>IF(#REF!,"QhW7vQg3EFI=",0)</f>
        <v>#REF!</v>
      </c>
      <c r="CF7" t="e">
        <f>IF(#REF!,"QhW7vQg3EFM=",0)</f>
        <v>#REF!</v>
      </c>
      <c r="CG7" t="e">
        <f>IF(#REF!,"QhW7vQg3EFQ=",0)</f>
        <v>#REF!</v>
      </c>
      <c r="CH7" t="e">
        <f>IF(#REF!,"QhW7vQg3EFU=",0)</f>
        <v>#REF!</v>
      </c>
      <c r="CI7" t="e">
        <f>IF(#REF!,"QhW7vQg3EFY=",0)</f>
        <v>#REF!</v>
      </c>
      <c r="CJ7" t="e">
        <f>IF(#REF!,"QhW7vQg3EFc=",0)</f>
        <v>#REF!</v>
      </c>
      <c r="CK7" t="e">
        <f>IF(#REF!,"QhW7vQg3EFg=",0)</f>
        <v>#REF!</v>
      </c>
      <c r="CL7" t="e">
        <f>IF(#REF!,"QhW7vQg3EFk=",0)</f>
        <v>#REF!</v>
      </c>
      <c r="CM7" t="e">
        <f>IF(#REF!,"QhW7vQg3EFo=",0)</f>
        <v>#REF!</v>
      </c>
      <c r="CN7" t="e">
        <f>IF(#REF!,"QhW7vQg3EFs=",0)</f>
        <v>#REF!</v>
      </c>
      <c r="CO7" t="e">
        <f>IF(#REF!,"QhW7vQg3EFw=",0)</f>
        <v>#REF!</v>
      </c>
      <c r="CP7" t="e">
        <f>IF(#REF!,"QhW7vQg3EF0=",0)</f>
        <v>#REF!</v>
      </c>
      <c r="CQ7" t="e">
        <f>IF(#REF!,"QhW7vQg3EF4=",0)</f>
        <v>#REF!</v>
      </c>
      <c r="CR7" t="e">
        <f>IF(#REF!,"QhW7vQg3EF8=",0)</f>
        <v>#REF!</v>
      </c>
      <c r="CS7" t="e">
        <f>IF(#REF!,"QhW7vQg3EGA=",0)</f>
        <v>#REF!</v>
      </c>
      <c r="CT7" t="e">
        <f>IF(#REF!,"QhW7vQg3EGE=",0)</f>
        <v>#REF!</v>
      </c>
      <c r="CU7" t="e">
        <f>IF(#REF!,"QhW7vQg3EGI=",0)</f>
        <v>#REF!</v>
      </c>
      <c r="CV7" t="e">
        <f>IF(#REF!,"QhW7vQg3EGM=",0)</f>
        <v>#REF!</v>
      </c>
      <c r="CW7" t="e">
        <f>IF(#REF!,"QhW7vQg3EGQ=",0)</f>
        <v>#REF!</v>
      </c>
      <c r="CX7" t="e">
        <f>IF(#REF!,"QhW7vQg3EGU=",0)</f>
        <v>#REF!</v>
      </c>
      <c r="CY7" t="e">
        <f>IF(#REF!,"QhW7vQg3EGY=",0)</f>
        <v>#REF!</v>
      </c>
      <c r="CZ7" t="e">
        <f>IF(#REF!,"QhW7vQg3EGc=",0)</f>
        <v>#REF!</v>
      </c>
      <c r="DA7" t="e">
        <f>IF(#REF!,"QhW7vQg3EGg=",0)</f>
        <v>#REF!</v>
      </c>
      <c r="DB7" t="e">
        <f>IF(#REF!,"QhW7vQg3EGk=",0)</f>
        <v>#REF!</v>
      </c>
      <c r="DC7" t="e">
        <f>IF(#REF!,"QhW7vQg3EGo=",0)</f>
        <v>#REF!</v>
      </c>
      <c r="DD7" t="e">
        <f>IF(#REF!,"QhW7vQg3EGs=",0)</f>
        <v>#REF!</v>
      </c>
      <c r="DE7" t="e">
        <f>IF(#REF!,"QhW7vQg3EGw=",0)</f>
        <v>#REF!</v>
      </c>
      <c r="DF7" t="e">
        <f>IF(#REF!,"QhW7vQg3EG0=",0)</f>
        <v>#REF!</v>
      </c>
      <c r="DG7" t="e">
        <f>IF(#REF!,"QhW7vQg3EG4=",0)</f>
        <v>#REF!</v>
      </c>
      <c r="DH7" t="e">
        <f>IF(#REF!,"QhW7vQg3EG8=",0)</f>
        <v>#REF!</v>
      </c>
      <c r="DI7" t="e">
        <f>IF(#REF!,"QhW7vQg3EHA=",0)</f>
        <v>#REF!</v>
      </c>
      <c r="DJ7" t="e">
        <f>IF(#REF!,"QhW7vQg3EHE=",0)</f>
        <v>#REF!</v>
      </c>
      <c r="DK7" t="e">
        <f>IF(#REF!,"QhW7vQg3EHI=",0)</f>
        <v>#REF!</v>
      </c>
      <c r="DL7" t="e">
        <f>IF(#REF!,"QhW7vQg3EHM=",0)</f>
        <v>#REF!</v>
      </c>
      <c r="DM7" t="e">
        <f>IF(#REF!,"QhW7vQg3EHQ=",0)</f>
        <v>#REF!</v>
      </c>
      <c r="DN7" t="e">
        <f>IF(#REF!,"QhW7vQg3EHU=",0)</f>
        <v>#REF!</v>
      </c>
      <c r="DO7" t="e">
        <f>IF(#REF!,"QhW7vQg3EHY=",0)</f>
        <v>#REF!</v>
      </c>
      <c r="DP7" t="e">
        <f>IF(#REF!,"QhW7vQg3EHc=",0)</f>
        <v>#REF!</v>
      </c>
      <c r="DQ7" t="e">
        <f>IF(#REF!,"QhW7vQg3EHg=",0)</f>
        <v>#REF!</v>
      </c>
      <c r="DR7" t="e">
        <f>IF(#REF!,"QhW7vQg3EHk=",0)</f>
        <v>#REF!</v>
      </c>
      <c r="DS7" t="e">
        <f>IF(#REF!,"QhW7vQg3EHo=",0)</f>
        <v>#REF!</v>
      </c>
      <c r="DT7" t="e">
        <f>IF(#REF!,"QhW7vQg3EHs=",0)</f>
        <v>#REF!</v>
      </c>
      <c r="DU7" t="e">
        <f>IF(#REF!,"QhW7vQg3EHw=",0)</f>
        <v>#REF!</v>
      </c>
      <c r="DV7" t="e">
        <f>IF(#REF!,"QhW7vQg3EH0=",0)</f>
        <v>#REF!</v>
      </c>
      <c r="DW7" t="e">
        <f>IF(#REF!,"QhW7vQg3EH4=",0)</f>
        <v>#REF!</v>
      </c>
      <c r="DX7" t="e">
        <f>IF(#REF!,"QhW7vQg3EH8=",0)</f>
        <v>#REF!</v>
      </c>
      <c r="DY7" t="e">
        <f>IF(#REF!,"QhW7vQg3EIA=",0)</f>
        <v>#REF!</v>
      </c>
      <c r="DZ7" t="e">
        <f>IF(#REF!,"QhW7vQg3EIE=",0)</f>
        <v>#REF!</v>
      </c>
      <c r="EA7" t="e">
        <f>IF(#REF!,"QhW7vQg3EII=",0)</f>
        <v>#REF!</v>
      </c>
      <c r="EB7" t="e">
        <f>IF(#REF!,"QhW7vQg3EIM=",0)</f>
        <v>#REF!</v>
      </c>
      <c r="EC7" t="e">
        <f>IF(#REF!,"QhW7vQg3EIQ=",0)</f>
        <v>#REF!</v>
      </c>
      <c r="ED7" t="e">
        <f>IF(#REF!,"QhW7vQg3EIU=",0)</f>
        <v>#REF!</v>
      </c>
      <c r="EE7" t="e">
        <f>IF(#REF!,"QhW7vQg3EIY=",0)</f>
        <v>#REF!</v>
      </c>
      <c r="EF7" t="e">
        <f>IF(#REF!,"QhW7vQg3EIc=",0)</f>
        <v>#REF!</v>
      </c>
      <c r="EG7" t="e">
        <f>IF(#REF!,"QhW7vQg3EIg=",0)</f>
        <v>#REF!</v>
      </c>
      <c r="EH7" t="e">
        <f>IF(#REF!,"QhW7vQg3EIk=",0)</f>
        <v>#REF!</v>
      </c>
      <c r="EI7" t="e">
        <f>IF(#REF!,"QhW7vQg3EIo=",0)</f>
        <v>#REF!</v>
      </c>
      <c r="EJ7" t="e">
        <f>IF(#REF!,"QhW7vQg3EIs=",0)</f>
        <v>#REF!</v>
      </c>
      <c r="EK7" t="e">
        <f>IF(#REF!,"QhW7vQg3EIw=",0)</f>
        <v>#REF!</v>
      </c>
      <c r="EL7" t="e">
        <f>IF(#REF!,"QhW7vQg3EI0=",0)</f>
        <v>#REF!</v>
      </c>
      <c r="EM7" t="e">
        <f>IF(#REF!,"QhW7vQg3EI4=",0)</f>
        <v>#REF!</v>
      </c>
      <c r="EN7" t="e">
        <f>IF(#REF!,"QhW7vQg3EI8=",0)</f>
        <v>#REF!</v>
      </c>
      <c r="EO7" t="e">
        <f>IF(#REF!,"QhW7vQg3EJA=",0)</f>
        <v>#REF!</v>
      </c>
      <c r="EP7" t="e">
        <f>IF(#REF!,"QhW7vQg3EJE=",0)</f>
        <v>#REF!</v>
      </c>
      <c r="EQ7" t="e">
        <f>IF(#REF!,"QhW7vQg3EJI=",0)</f>
        <v>#REF!</v>
      </c>
      <c r="ER7" t="e">
        <f>IF(#REF!,"QhW7vQg3EJM=",0)</f>
        <v>#REF!</v>
      </c>
      <c r="ES7" t="e">
        <f>IF(#REF!,"QhW7vQg3EJQ=",0)</f>
        <v>#REF!</v>
      </c>
      <c r="ET7" t="e">
        <f>IF(#REF!,"QhW7vQg3EJU=",0)</f>
        <v>#REF!</v>
      </c>
      <c r="EU7" t="e">
        <f>IF(#REF!,"QhW7vQg3EJY=",0)</f>
        <v>#REF!</v>
      </c>
      <c r="EV7" t="e">
        <f>IF(#REF!,"QhW7vQg3EJc=",0)</f>
        <v>#REF!</v>
      </c>
      <c r="EW7" t="e">
        <f>IF(#REF!,"QhW7vQg3EJg=",0)</f>
        <v>#REF!</v>
      </c>
      <c r="EX7" t="e">
        <f>IF(#REF!,"QhW7vQg3EJk=",0)</f>
        <v>#REF!</v>
      </c>
      <c r="EY7" t="e">
        <f>IF(#REF!,"QhW7vQg3EJo=",0)</f>
        <v>#REF!</v>
      </c>
      <c r="EZ7" t="e">
        <f>IF(#REF!,"QhW7vQg3EJs=",0)</f>
        <v>#REF!</v>
      </c>
      <c r="FA7" t="e">
        <f>IF(#REF!,"QhW7vQg3EJw=",0)</f>
        <v>#REF!</v>
      </c>
      <c r="FB7" t="e">
        <f>IF(#REF!,"QhW7vQg3EJ0=",0)</f>
        <v>#REF!</v>
      </c>
      <c r="FC7" t="e">
        <f>IF(#REF!,"QhW7vQg3EJ4=",0)</f>
        <v>#REF!</v>
      </c>
      <c r="FD7" t="e">
        <f>IF(#REF!,"QhW7vQg3EJ8=",0)</f>
        <v>#REF!</v>
      </c>
      <c r="FE7" t="e">
        <f>IF(#REF!,"QhW7vQg3EKA=",0)</f>
        <v>#REF!</v>
      </c>
      <c r="FF7" t="e">
        <f>IF(#REF!,"QhW7vQg3EKE=",0)</f>
        <v>#REF!</v>
      </c>
      <c r="FG7" t="e">
        <f>IF(#REF!,"QhW7vQg3EKI=",0)</f>
        <v>#REF!</v>
      </c>
      <c r="FH7" t="e">
        <f>IF(#REF!,"QhW7vQg3EKM=",0)</f>
        <v>#REF!</v>
      </c>
      <c r="FI7" t="e">
        <f>IF(#REF!,"QhW7vQg3EKQ=",0)</f>
        <v>#REF!</v>
      </c>
      <c r="FJ7" t="e">
        <f>IF(#REF!,"QhW7vQg3EKU=",0)</f>
        <v>#REF!</v>
      </c>
      <c r="FK7" t="e">
        <f>IF(#REF!,"QhW7vQg3EKY=",0)</f>
        <v>#REF!</v>
      </c>
      <c r="FL7" t="e">
        <f>IF(#REF!,"QhW7vQg3EKc=",0)</f>
        <v>#REF!</v>
      </c>
      <c r="FM7" t="e">
        <f>IF(#REF!,"QhW7vQg3EKg=",0)</f>
        <v>#REF!</v>
      </c>
      <c r="FN7" t="e">
        <f>IF(#REF!,"QhW7vQg3EKk=",0)</f>
        <v>#REF!</v>
      </c>
      <c r="FO7" t="e">
        <f>IF(#REF!,"QhW7vQg3EKo=",0)</f>
        <v>#REF!</v>
      </c>
      <c r="FP7" t="e">
        <f>IF(#REF!,"QhW7vQg3EKs=",0)</f>
        <v>#REF!</v>
      </c>
      <c r="FQ7" t="e">
        <f>IF(#REF!,"QhW7vQg3EKw=",0)</f>
        <v>#REF!</v>
      </c>
      <c r="FR7" t="e">
        <f>IF(#REF!,"QhW7vQg3EK0=",0)</f>
        <v>#REF!</v>
      </c>
      <c r="FS7" t="e">
        <f>IF(#REF!,"QhW7vQg3EK4=",0)</f>
        <v>#REF!</v>
      </c>
      <c r="FT7" t="e">
        <f>IF(#REF!,"QhW7vQg3EK8=",0)</f>
        <v>#REF!</v>
      </c>
      <c r="FU7" t="e">
        <f>IF(#REF!,"QhW7vQg3ELA=",0)</f>
        <v>#REF!</v>
      </c>
      <c r="FV7" t="e">
        <f>IF(#REF!,"QhW7vQg3ELE=",0)</f>
        <v>#REF!</v>
      </c>
      <c r="FW7" t="e">
        <f>IF(#REF!,"QhW7vQg3ELI=",0)</f>
        <v>#REF!</v>
      </c>
      <c r="FX7" t="e">
        <f>IF(#REF!,"QhW7vQg3ELM=",0)</f>
        <v>#REF!</v>
      </c>
      <c r="FY7" t="e">
        <f>IF(#REF!,"QhW7vQg3ELQ=",0)</f>
        <v>#REF!</v>
      </c>
      <c r="FZ7" t="e">
        <f>IF(#REF!,"QhW7vQg3ELU=",0)</f>
        <v>#REF!</v>
      </c>
      <c r="GA7" t="e">
        <f>IF(#REF!,"QhW7vQg3ELY=",0)</f>
        <v>#REF!</v>
      </c>
      <c r="GB7" t="e">
        <f>IF(#REF!,"QhW7vQg3ELc=",0)</f>
        <v>#REF!</v>
      </c>
      <c r="GC7" t="e">
        <f>IF(#REF!,"QhW7vQg3ELg=",0)</f>
        <v>#REF!</v>
      </c>
      <c r="GD7" t="e">
        <f>IF(#REF!,"QhW7vQg3ELk=",0)</f>
        <v>#REF!</v>
      </c>
      <c r="GE7" t="e">
        <f>IF(#REF!,"QhW7vQg3ELo=",0)</f>
        <v>#REF!</v>
      </c>
      <c r="GF7" t="e">
        <f>IF(#REF!,"QhW7vQg3ELs=",0)</f>
        <v>#REF!</v>
      </c>
      <c r="GG7" t="e">
        <f>IF(#REF!,"QhW7vQg3ELw=",0)</f>
        <v>#REF!</v>
      </c>
      <c r="GH7" t="e">
        <f>IF(#REF!,"QhW7vQg3EL0=",0)</f>
        <v>#REF!</v>
      </c>
      <c r="GI7" t="e">
        <f>IF(#REF!,"QhW7vQg3EL4=",0)</f>
        <v>#REF!</v>
      </c>
      <c r="GJ7" t="e">
        <f>IF(#REF!,"QhW7vQg3EL8=",0)</f>
        <v>#REF!</v>
      </c>
      <c r="GK7" t="e">
        <f>IF(#REF!,"QhW7vQg3EMA=",0)</f>
        <v>#REF!</v>
      </c>
      <c r="GL7" t="e">
        <f>IF(#REF!,"QhW7vQg3EME=",0)</f>
        <v>#REF!</v>
      </c>
      <c r="GM7" t="e">
        <f>IF(#REF!,"QhW7vQg3EMI=",0)</f>
        <v>#REF!</v>
      </c>
      <c r="GN7" t="e">
        <f>IF(#REF!,"QhW7vQg3EMM=",0)</f>
        <v>#REF!</v>
      </c>
      <c r="GO7" t="e">
        <f>IF(#REF!,"QhW7vQg3EMQ=",0)</f>
        <v>#REF!</v>
      </c>
      <c r="GP7" t="e">
        <f>IF(#REF!,"QhW7vQg3EMU=",0)</f>
        <v>#REF!</v>
      </c>
      <c r="GQ7" t="e">
        <f>IF(#REF!,"QhW7vQg3EMY=",0)</f>
        <v>#REF!</v>
      </c>
      <c r="GR7" t="e">
        <f>IF(#REF!,"QhW7vQg3EMc=",0)</f>
        <v>#REF!</v>
      </c>
      <c r="GS7" t="e">
        <f>IF(#REF!,"QhW7vQg3EMg=",0)</f>
        <v>#REF!</v>
      </c>
      <c r="GT7" t="e">
        <f>IF(#REF!,"QhW7vQg3EMk=",0)</f>
        <v>#REF!</v>
      </c>
      <c r="GU7" t="e">
        <f>IF(#REF!,"QhW7vQg3EMo=",0)</f>
        <v>#REF!</v>
      </c>
      <c r="GV7" t="e">
        <f>IF(#REF!,"QhW7vQg3EMs=",0)</f>
        <v>#REF!</v>
      </c>
      <c r="GW7" t="e">
        <f>IF(#REF!,"QhW7vQg3EMw=",0)</f>
        <v>#REF!</v>
      </c>
      <c r="GX7" t="e">
        <f>IF(#REF!,"QhW7vQg3EM0=",0)</f>
        <v>#REF!</v>
      </c>
      <c r="GY7" t="e">
        <f>IF(#REF!,"QhW7vQg3EM4=",0)</f>
        <v>#REF!</v>
      </c>
      <c r="GZ7" t="e">
        <f>IF(#REF!,"QhW7vQg3EM8=",0)</f>
        <v>#REF!</v>
      </c>
      <c r="HA7" t="e">
        <f>IF(#REF!,"QhW7vQg3ENA=",0)</f>
        <v>#REF!</v>
      </c>
      <c r="HB7" t="e">
        <f>IF(#REF!,"QhW7vQg3ENE=",0)</f>
        <v>#REF!</v>
      </c>
      <c r="HC7" t="e">
        <f>IF(#REF!,"QhW7vQg3ENI=",0)</f>
        <v>#REF!</v>
      </c>
      <c r="HD7" t="e">
        <f>IF(#REF!,"QhW7vQg3ENM=",0)</f>
        <v>#REF!</v>
      </c>
      <c r="HE7" t="e">
        <f>IF(#REF!,"QhW7vQg3ENQ=",0)</f>
        <v>#REF!</v>
      </c>
      <c r="HF7" t="e">
        <f>IF(#REF!,"QhW7vQg3ENU=",0)</f>
        <v>#REF!</v>
      </c>
      <c r="HG7" t="e">
        <f>IF(#REF!,"QhW7vQg3ENY=",0)</f>
        <v>#REF!</v>
      </c>
      <c r="HH7" t="e">
        <f>IF(#REF!,"QhW7vQg3ENc=",0)</f>
        <v>#REF!</v>
      </c>
      <c r="HI7" t="e">
        <f>IF(#REF!,"QhW7vQg3ENg=",0)</f>
        <v>#REF!</v>
      </c>
      <c r="HJ7" t="e">
        <f>IF(#REF!,"QhW7vQg3ENk=",0)</f>
        <v>#REF!</v>
      </c>
      <c r="HK7" t="e">
        <f>IF(#REF!,"QhW7vQg3ENo=",0)</f>
        <v>#REF!</v>
      </c>
      <c r="HL7" t="e">
        <f>IF(#REF!,"QhW7vQg3ENs=",0)</f>
        <v>#REF!</v>
      </c>
      <c r="HM7" t="e">
        <f>IF(#REF!,"QhW7vQg3ENw=",0)</f>
        <v>#REF!</v>
      </c>
      <c r="HN7" t="e">
        <f>IF(#REF!,"QhW7vQg3EN0=",0)</f>
        <v>#REF!</v>
      </c>
      <c r="HO7" t="e">
        <f>IF(#REF!,"QhW7vQg3EN4=",0)</f>
        <v>#REF!</v>
      </c>
      <c r="HP7" t="e">
        <f>IF(#REF!,"QhW7vQg3EN8=",0)</f>
        <v>#REF!</v>
      </c>
      <c r="HQ7" t="e">
        <f>IF(#REF!,"QhW7vQg3EOA=",0)</f>
        <v>#REF!</v>
      </c>
      <c r="HR7" t="e">
        <f>IF(#REF!,"QhW7vQg3EOE=",0)</f>
        <v>#REF!</v>
      </c>
      <c r="HS7" t="e">
        <f>IF(#REF!,"QhW7vQg3EOI=",0)</f>
        <v>#REF!</v>
      </c>
      <c r="HT7" t="e">
        <f>IF(#REF!,"QhW7vQg3EOM=",0)</f>
        <v>#REF!</v>
      </c>
      <c r="HU7" t="e">
        <f>IF(#REF!,"QhW7vQg3EOQ=",0)</f>
        <v>#REF!</v>
      </c>
      <c r="HV7" t="e">
        <f>IF(#REF!,"QhW7vQg3EOU=",0)</f>
        <v>#REF!</v>
      </c>
      <c r="HW7" t="e">
        <f>IF(#REF!,"QhW7vQg3EOY=",0)</f>
        <v>#REF!</v>
      </c>
      <c r="HX7" t="e">
        <f>IF(#REF!,"QhW7vQg3EOc=",0)</f>
        <v>#REF!</v>
      </c>
      <c r="HY7" t="e">
        <f>IF(#REF!,"QhW7vQg3EOg=",0)</f>
        <v>#REF!</v>
      </c>
      <c r="HZ7" t="e">
        <f>IF(#REF!,"QhW7vQg3EOk=",0)</f>
        <v>#REF!</v>
      </c>
      <c r="IA7" t="e">
        <f>IF(#REF!,"QhW7vQg3EOo=",0)</f>
        <v>#REF!</v>
      </c>
      <c r="IB7" t="e">
        <f>IF(#REF!,"QhW7vQg3EOs=",0)</f>
        <v>#REF!</v>
      </c>
      <c r="IC7" t="e">
        <f>IF(#REF!,"QhW7vQg3EOw=",0)</f>
        <v>#REF!</v>
      </c>
      <c r="ID7" t="e">
        <f>IF(#REF!,"QhW7vQg3EO0=",0)</f>
        <v>#REF!</v>
      </c>
      <c r="IE7" t="e">
        <f>IF(#REF!,"QhW7vQg3EO4=",0)</f>
        <v>#REF!</v>
      </c>
      <c r="IF7" t="e">
        <f>IF(#REF!,"QhW7vQg3EO8=",0)</f>
        <v>#REF!</v>
      </c>
      <c r="IG7" t="e">
        <f>IF(#REF!,"QhW7vQg3EPA=",0)</f>
        <v>#REF!</v>
      </c>
      <c r="IH7" t="e">
        <f>IF(#REF!,"QhW7vQg3EPE=",0)</f>
        <v>#REF!</v>
      </c>
      <c r="II7" t="e">
        <f>IF(#REF!,"QhW7vQg3EPI=",0)</f>
        <v>#REF!</v>
      </c>
      <c r="IJ7" t="e">
        <f>IF(#REF!,"QhW7vQg3EPM=",0)</f>
        <v>#REF!</v>
      </c>
      <c r="IK7" t="e">
        <f>IF(#REF!,"QhW7vQg3EPQ=",0)</f>
        <v>#REF!</v>
      </c>
      <c r="IL7" t="e">
        <f>IF(#REF!,"QhW7vQg3EPU=",0)</f>
        <v>#REF!</v>
      </c>
      <c r="IM7" t="e">
        <f>IF(#REF!,"QhW7vQg3EPY=",0)</f>
        <v>#REF!</v>
      </c>
      <c r="IN7" t="e">
        <f>IF(#REF!,"QhW7vQg3EPc=",0)</f>
        <v>#REF!</v>
      </c>
      <c r="IO7" t="e">
        <f>IF(#REF!,"QhW7vQg3EPg=",0)</f>
        <v>#REF!</v>
      </c>
      <c r="IP7" t="e">
        <f>IF(#REF!,"QhW7vQg3EPk=",0)</f>
        <v>#REF!</v>
      </c>
      <c r="IQ7" t="e">
        <f>IF(#REF!,"QhW7vQg3EPo=",0)</f>
        <v>#REF!</v>
      </c>
      <c r="IR7" t="e">
        <f>IF(#REF!,"QhW7vQg3EPs=",0)</f>
        <v>#REF!</v>
      </c>
      <c r="IS7" t="e">
        <f>IF(#REF!,"QhW7vQg3EPw=",0)</f>
        <v>#REF!</v>
      </c>
      <c r="IT7" t="e">
        <f>IF(#REF!,"QhW7vQg3EP0=",0)</f>
        <v>#REF!</v>
      </c>
      <c r="IU7" t="e">
        <f>IF(#REF!,"QhW7vQg3EP4=",0)</f>
        <v>#REF!</v>
      </c>
      <c r="IV7" t="e">
        <f>IF(#REF!,"QhW7vQg3EP8=",0)</f>
        <v>#REF!</v>
      </c>
    </row>
    <row r="8" spans="1:256" x14ac:dyDescent="0.2">
      <c r="A8" t="e">
        <f>IF(#REF!,"VE1IoE0l8gA=",0)</f>
        <v>#REF!</v>
      </c>
      <c r="B8" t="e">
        <f>IF(#REF!,"VE1IoE0l8gE=",0)</f>
        <v>#REF!</v>
      </c>
      <c r="C8" t="e">
        <f>IF(#REF!,"VE1IoE0l8gI=",0)</f>
        <v>#REF!</v>
      </c>
      <c r="D8" t="e">
        <f>IF(#REF!,"VE1IoE0l8gM=",0)</f>
        <v>#REF!</v>
      </c>
      <c r="E8" t="e">
        <f>IF(#REF!,"VE1IoE0l8gQ=",0)</f>
        <v>#REF!</v>
      </c>
      <c r="F8" t="e">
        <f>IF(#REF!,"VE1IoE0l8gU=",0)</f>
        <v>#REF!</v>
      </c>
      <c r="G8" t="e">
        <f>IF(#REF!,"VE1IoE0l8gY=",0)</f>
        <v>#REF!</v>
      </c>
      <c r="H8" t="e">
        <f>IF(#REF!,"VE1IoE0l8gc=",0)</f>
        <v>#REF!</v>
      </c>
      <c r="I8" t="e">
        <f>IF(#REF!,"VE1IoE0l8gg=",0)</f>
        <v>#REF!</v>
      </c>
      <c r="J8" t="e">
        <f>IF(#REF!,"VE1IoE0l8gk=",0)</f>
        <v>#REF!</v>
      </c>
      <c r="K8" t="e">
        <f>IF(#REF!,"VE1IoE0l8go=",0)</f>
        <v>#REF!</v>
      </c>
      <c r="L8" t="e">
        <f>IF(#REF!,"VE1IoE0l8gs=",0)</f>
        <v>#REF!</v>
      </c>
      <c r="M8" t="e">
        <f>IF(#REF!,"VE1IoE0l8gw=",0)</f>
        <v>#REF!</v>
      </c>
      <c r="N8" t="e">
        <f>IF(#REF!,"VE1IoE0l8g0=",0)</f>
        <v>#REF!</v>
      </c>
      <c r="O8" t="e">
        <f>IF(#REF!,"VE1IoE0l8g4=",0)</f>
        <v>#REF!</v>
      </c>
      <c r="P8" t="e">
        <f>IF(#REF!,"VE1IoE0l8g8=",0)</f>
        <v>#REF!</v>
      </c>
      <c r="Q8" t="e">
        <f>IF(#REF!,"VE1IoE0l8hA=",0)</f>
        <v>#REF!</v>
      </c>
      <c r="R8" t="e">
        <f>IF(#REF!,"VE1IoE0l8hE=",0)</f>
        <v>#REF!</v>
      </c>
      <c r="S8" t="e">
        <f>IF(#REF!,"VE1IoE0l8hI=",0)</f>
        <v>#REF!</v>
      </c>
      <c r="T8" t="e">
        <f>IF(#REF!,"VE1IoE0l8hM=",0)</f>
        <v>#REF!</v>
      </c>
      <c r="U8" t="e">
        <f>IF(#REF!,"VE1IoE0l8hQ=",0)</f>
        <v>#REF!</v>
      </c>
      <c r="V8" t="e">
        <f>IF(#REF!,"VE1IoE0l8hU=",0)</f>
        <v>#REF!</v>
      </c>
      <c r="W8" t="e">
        <f>IF(#REF!,"VE1IoE0l8hY=",0)</f>
        <v>#REF!</v>
      </c>
      <c r="X8" t="e">
        <f>IF(#REF!,"VE1IoE0l8hc=",0)</f>
        <v>#REF!</v>
      </c>
      <c r="Y8" t="e">
        <f>IF(#REF!,"VE1IoE0l8hg=",0)</f>
        <v>#REF!</v>
      </c>
      <c r="Z8" t="e">
        <f>IF(#REF!,"VE1IoE0l8hk=",0)</f>
        <v>#REF!</v>
      </c>
      <c r="AA8" t="e">
        <f>IF(#REF!,"VE1IoE0l8ho=",0)</f>
        <v>#REF!</v>
      </c>
      <c r="AB8" t="e">
        <f>IF(#REF!,"VE1IoE0l8hs=",0)</f>
        <v>#REF!</v>
      </c>
      <c r="AC8" t="e">
        <f>IF(#REF!,"VE1IoE0l8hw=",0)</f>
        <v>#REF!</v>
      </c>
      <c r="AD8" t="e">
        <f>IF(#REF!,"VE1IoE0l8h0=",0)</f>
        <v>#REF!</v>
      </c>
      <c r="AE8" t="e">
        <f>IF(#REF!,"VE1IoE0l8h4=",0)</f>
        <v>#REF!</v>
      </c>
      <c r="AF8" t="e">
        <f>IF(#REF!,"VE1IoE0l8h8=",0)</f>
        <v>#REF!</v>
      </c>
      <c r="AG8" t="e">
        <f>IF(#REF!,"VE1IoE0l8iA=",0)</f>
        <v>#REF!</v>
      </c>
      <c r="AH8" t="e">
        <f>IF(#REF!,"VE1IoE0l8iE=",0)</f>
        <v>#REF!</v>
      </c>
      <c r="AI8" t="e">
        <f>IF(#REF!,"VE1IoE0l8iI=",0)</f>
        <v>#REF!</v>
      </c>
      <c r="AJ8" t="e">
        <f>IF(#REF!,"VE1IoE0l8iM=",0)</f>
        <v>#REF!</v>
      </c>
      <c r="AK8" t="e">
        <f>IF(#REF!,"VE1IoE0l8iQ=",0)</f>
        <v>#REF!</v>
      </c>
      <c r="AL8" t="e">
        <f>IF(#REF!,"VE1IoE0l8iU=",0)</f>
        <v>#REF!</v>
      </c>
      <c r="AM8" t="e">
        <f>IF(#REF!,"VE1IoE0l8iY=",0)</f>
        <v>#REF!</v>
      </c>
      <c r="AN8" t="e">
        <f>IF(#REF!,"VE1IoE0l8ic=",0)</f>
        <v>#REF!</v>
      </c>
      <c r="AO8" t="e">
        <f>IF(#REF!,"VE1IoE0l8ig=",0)</f>
        <v>#REF!</v>
      </c>
      <c r="AP8" t="e">
        <f>IF(#REF!,"VE1IoE0l8ik=",0)</f>
        <v>#REF!</v>
      </c>
      <c r="AQ8" t="e">
        <f>IF(#REF!,"VE1IoE0l8io=",0)</f>
        <v>#REF!</v>
      </c>
      <c r="AR8" t="e">
        <f>IF(#REF!,"VE1IoE0l8is=",0)</f>
        <v>#REF!</v>
      </c>
      <c r="AS8" t="e">
        <f>IF(#REF!,"VE1IoE0l8iw=",0)</f>
        <v>#REF!</v>
      </c>
      <c r="AT8" t="e">
        <f>IF(#REF!,"VE1IoE0l8i0=",0)</f>
        <v>#REF!</v>
      </c>
      <c r="AU8" t="e">
        <f>IF(#REF!,"VE1IoE0l8i4=",0)</f>
        <v>#REF!</v>
      </c>
      <c r="AV8" t="e">
        <f>IF(#REF!,"VE1IoE0l8i8=",0)</f>
        <v>#REF!</v>
      </c>
      <c r="AW8" t="e">
        <f>IF(#REF!,"VE1IoE0l8jA=",0)</f>
        <v>#REF!</v>
      </c>
      <c r="AX8" t="e">
        <f>IF(#REF!,"VE1IoE0l8jE=",0)</f>
        <v>#REF!</v>
      </c>
      <c r="AY8" t="e">
        <f>IF(#REF!,"VE1IoE0l8jI=",0)</f>
        <v>#REF!</v>
      </c>
      <c r="AZ8" t="e">
        <f>IF(#REF!,"VE1IoE0l8jM=",0)</f>
        <v>#REF!</v>
      </c>
      <c r="BA8" t="e">
        <f>IF(#REF!,"VE1IoE0l8jQ=",0)</f>
        <v>#REF!</v>
      </c>
      <c r="BB8" t="e">
        <f>IF(#REF!,"VE1IoE0l8jU=",0)</f>
        <v>#REF!</v>
      </c>
      <c r="BC8" t="e">
        <f>IF(#REF!,"VE1IoE0l8jY=",0)</f>
        <v>#REF!</v>
      </c>
      <c r="BD8" t="e">
        <f>IF(#REF!,"VE1IoE0l8jc=",0)</f>
        <v>#REF!</v>
      </c>
      <c r="BE8" t="e">
        <f>IF(#REF!,"VE1IoE0l8jg=",0)</f>
        <v>#REF!</v>
      </c>
      <c r="BF8" t="e">
        <f>IF(#REF!,"VE1IoE0l8jk=",0)</f>
        <v>#REF!</v>
      </c>
      <c r="BG8" t="e">
        <f>IF(#REF!,"VE1IoE0l8jo=",0)</f>
        <v>#REF!</v>
      </c>
      <c r="BH8" t="e">
        <f>IF(#REF!,"VE1IoE0l8js=",0)</f>
        <v>#REF!</v>
      </c>
      <c r="BI8" t="e">
        <f>IF(#REF!,"VE1IoE0l8jw=",0)</f>
        <v>#REF!</v>
      </c>
      <c r="BJ8" t="e">
        <f>IF(#REF!,"VE1IoE0l8j0=",0)</f>
        <v>#REF!</v>
      </c>
      <c r="BK8" t="e">
        <f>IF(#REF!,"VE1IoE0l8j4=",0)</f>
        <v>#REF!</v>
      </c>
      <c r="BL8" t="e">
        <f>IF(#REF!,"VE1IoE0l8j8=",0)</f>
        <v>#REF!</v>
      </c>
      <c r="BM8" t="e">
        <f>IF(#REF!,"VE1IoE0l8kA=",0)</f>
        <v>#REF!</v>
      </c>
      <c r="BN8" t="e">
        <f>IF(#REF!,"VE1IoE0l8kE=",0)</f>
        <v>#REF!</v>
      </c>
      <c r="BO8" t="e">
        <f>IF(#REF!,"VE1IoE0l8kI=",0)</f>
        <v>#REF!</v>
      </c>
      <c r="BP8" t="e">
        <f>IF(#REF!,"VE1IoE0l8kM=",0)</f>
        <v>#REF!</v>
      </c>
      <c r="BQ8" t="e">
        <f>IF(#REF!,"VE1IoE0l8kQ=",0)</f>
        <v>#REF!</v>
      </c>
      <c r="BR8" t="e">
        <f>IF(#REF!,"VE1IoE0l8kU=",0)</f>
        <v>#REF!</v>
      </c>
      <c r="BS8" t="e">
        <f>IF(#REF!,"VE1IoE0l8kY=",0)</f>
        <v>#REF!</v>
      </c>
      <c r="BT8" t="e">
        <f>IF(#REF!,"VE1IoE0l8kc=",0)</f>
        <v>#REF!</v>
      </c>
      <c r="BU8" t="e">
        <f>IF(#REF!,"VE1IoE0l8kg=",0)</f>
        <v>#REF!</v>
      </c>
      <c r="BV8" t="e">
        <f>IF(#REF!,"VE1IoE0l8kk=",0)</f>
        <v>#REF!</v>
      </c>
      <c r="BW8" t="e">
        <f>IF(#REF!,"VE1IoE0l8ko=",0)</f>
        <v>#REF!</v>
      </c>
      <c r="BX8" t="e">
        <f>IF(#REF!,"VE1IoE0l8ks=",0)</f>
        <v>#REF!</v>
      </c>
      <c r="BY8" t="e">
        <f>IF(#REF!,"VE1IoE0l8kw=",0)</f>
        <v>#REF!</v>
      </c>
      <c r="BZ8" t="e">
        <f>IF(#REF!,"VE1IoE0l8k0=",0)</f>
        <v>#REF!</v>
      </c>
      <c r="CA8" t="e">
        <f>IF(#REF!,"VE1IoE0l8k4=",0)</f>
        <v>#REF!</v>
      </c>
      <c r="CB8" t="e">
        <f>IF(#REF!,"VE1IoE0l8k8=",0)</f>
        <v>#REF!</v>
      </c>
      <c r="CC8" t="e">
        <f>IF(#REF!,"VE1IoE0l8lA=",0)</f>
        <v>#REF!</v>
      </c>
      <c r="CD8" t="e">
        <f>IF(#REF!,"VE1IoE0l8lE=",0)</f>
        <v>#REF!</v>
      </c>
      <c r="CE8" t="e">
        <f>IF(#REF!,"VE1IoE0l8lI=",0)</f>
        <v>#REF!</v>
      </c>
      <c r="CF8" t="e">
        <f>IF(#REF!,"VE1IoE0l8lM=",0)</f>
        <v>#REF!</v>
      </c>
      <c r="CG8" t="e">
        <f>IF(#REF!,"VE1IoE0l8lQ=",0)</f>
        <v>#REF!</v>
      </c>
      <c r="CH8" t="e">
        <f>IF(#REF!,"VE1IoE0l8lU=",0)</f>
        <v>#REF!</v>
      </c>
      <c r="CI8" t="e">
        <f>IF(#REF!,"VE1IoE0l8lY=",0)</f>
        <v>#REF!</v>
      </c>
      <c r="CJ8" t="e">
        <f>IF(#REF!,"VE1IoE0l8lc=",0)</f>
        <v>#REF!</v>
      </c>
      <c r="CK8" t="e">
        <f>IF(#REF!,"VE1IoE0l8lg=",0)</f>
        <v>#REF!</v>
      </c>
      <c r="CL8" t="e">
        <f>IF(#REF!,"VE1IoE0l8lk=",0)</f>
        <v>#REF!</v>
      </c>
      <c r="CM8" t="e">
        <f>IF(#REF!,"VE1IoE0l8lo=",0)</f>
        <v>#REF!</v>
      </c>
      <c r="CN8" t="e">
        <f>IF(#REF!,"VE1IoE0l8ls=",0)</f>
        <v>#REF!</v>
      </c>
      <c r="CO8" t="e">
        <f>IF(#REF!,"VE1IoE0l8lw=",0)</f>
        <v>#REF!</v>
      </c>
      <c r="CP8" t="e">
        <f>IF(#REF!,"VE1IoE0l8l0=",0)</f>
        <v>#REF!</v>
      </c>
      <c r="CQ8" t="e">
        <f>IF(#REF!,"VE1IoE0l8l4=",0)</f>
        <v>#REF!</v>
      </c>
      <c r="CR8" t="e">
        <f>IF(#REF!,"VE1IoE0l8l8=",0)</f>
        <v>#REF!</v>
      </c>
      <c r="CS8" t="e">
        <f>IF(#REF!,"VE1IoE0l8mA=",0)</f>
        <v>#REF!</v>
      </c>
      <c r="CT8" t="e">
        <f>IF(#REF!,"VE1IoE0l8mE=",0)</f>
        <v>#REF!</v>
      </c>
      <c r="CU8" t="e">
        <f>IF(#REF!,"VE1IoE0l8mI=",0)</f>
        <v>#REF!</v>
      </c>
      <c r="CV8" t="e">
        <f>IF(#REF!,"VE1IoE0l8mM=",0)</f>
        <v>#REF!</v>
      </c>
      <c r="CW8" t="e">
        <f>IF(#REF!,"VE1IoE0l8mQ=",0)</f>
        <v>#REF!</v>
      </c>
      <c r="CX8" t="e">
        <f>IF(#REF!,"VE1IoE0l8mU=",0)</f>
        <v>#REF!</v>
      </c>
      <c r="CY8" t="e">
        <f>IF(#REF!,"VE1IoE0l8mY=",0)</f>
        <v>#REF!</v>
      </c>
      <c r="CZ8" t="e">
        <f>IF(#REF!,"VE1IoE0l8mc=",0)</f>
        <v>#REF!</v>
      </c>
      <c r="DA8" t="e">
        <f>IF(#REF!,"VE1IoE0l8mg=",0)</f>
        <v>#REF!</v>
      </c>
      <c r="DB8" t="e">
        <f>IF(#REF!,"VE1IoE0l8mk=",0)</f>
        <v>#REF!</v>
      </c>
      <c r="DC8" t="e">
        <f>IF(#REF!,"VE1IoE0l8mo=",0)</f>
        <v>#REF!</v>
      </c>
      <c r="DD8" t="e">
        <f>IF(#REF!,"VE1IoE0l8ms=",0)</f>
        <v>#REF!</v>
      </c>
      <c r="DE8" t="e">
        <f>IF(#REF!,"VE1IoE0l8mw=",0)</f>
        <v>#REF!</v>
      </c>
      <c r="DF8" t="e">
        <f>IF(#REF!,"VE1IoE0l8m0=",0)</f>
        <v>#REF!</v>
      </c>
      <c r="DG8" t="e">
        <f>IF(#REF!,"VE1IoE0l8m4=",0)</f>
        <v>#REF!</v>
      </c>
      <c r="DH8" t="e">
        <f>IF(#REF!,"VE1IoE0l8m8=",0)</f>
        <v>#REF!</v>
      </c>
      <c r="DI8" t="e">
        <f>IF(#REF!,"VE1IoE0l8nA=",0)</f>
        <v>#REF!</v>
      </c>
      <c r="DJ8" t="e">
        <f>IF(#REF!,"VE1IoE0l8nE=",0)</f>
        <v>#REF!</v>
      </c>
      <c r="DK8" t="e">
        <f>IF(#REF!,"VE1IoE0l8nI=",0)</f>
        <v>#REF!</v>
      </c>
      <c r="DL8" t="e">
        <f>IF(#REF!,"VE1IoE0l8nM=",0)</f>
        <v>#REF!</v>
      </c>
      <c r="DM8" t="e">
        <f>IF(#REF!,"VE1IoE0l8nQ=",0)</f>
        <v>#REF!</v>
      </c>
      <c r="DN8" t="e">
        <f>IF(#REF!,"VE1IoE0l8nU=",0)</f>
        <v>#REF!</v>
      </c>
      <c r="DO8" t="e">
        <f>IF(#REF!,"VE1IoE0l8nY=",0)</f>
        <v>#REF!</v>
      </c>
      <c r="DP8" t="e">
        <f>IF(#REF!,"VE1IoE0l8nc=",0)</f>
        <v>#REF!</v>
      </c>
      <c r="DQ8" t="e">
        <f>IF(#REF!,"VE1IoE0l8ng=",0)</f>
        <v>#REF!</v>
      </c>
      <c r="DR8" t="e">
        <f>IF(#REF!,"VE1IoE0l8nk=",0)</f>
        <v>#REF!</v>
      </c>
      <c r="DS8" t="e">
        <f>IF(#REF!,"VE1IoE0l8no=",0)</f>
        <v>#REF!</v>
      </c>
      <c r="DT8" t="e">
        <f>IF(#REF!,"VE1IoE0l8ns=",0)</f>
        <v>#REF!</v>
      </c>
      <c r="DU8" t="e">
        <f>IF(#REF!,"VE1IoE0l8nw=",0)</f>
        <v>#REF!</v>
      </c>
      <c r="DV8" t="e">
        <f>IF(#REF!,"VE1IoE0l8n0=",0)</f>
        <v>#REF!</v>
      </c>
      <c r="DW8" t="e">
        <f>IF(#REF!,"VE1IoE0l8n4=",0)</f>
        <v>#REF!</v>
      </c>
      <c r="DX8" t="e">
        <f>IF(#REF!,"VE1IoE0l8n8=",0)</f>
        <v>#REF!</v>
      </c>
      <c r="DY8" t="e">
        <f>IF(#REF!,"VE1IoE0l8oA=",0)</f>
        <v>#REF!</v>
      </c>
      <c r="DZ8" t="e">
        <f>IF(#REF!,"VE1IoE0l8oE=",0)</f>
        <v>#REF!</v>
      </c>
      <c r="EA8" t="e">
        <f>IF(#REF!,"VE1IoE0l8oI=",0)</f>
        <v>#REF!</v>
      </c>
      <c r="EB8" t="e">
        <f>IF(#REF!,"VE1IoE0l8oM=",0)</f>
        <v>#REF!</v>
      </c>
      <c r="EC8" t="e">
        <f>IF(#REF!,"VE1IoE0l8oQ=",0)</f>
        <v>#REF!</v>
      </c>
      <c r="ED8" t="e">
        <f>IF(#REF!,"VE1IoE0l8oU=",0)</f>
        <v>#REF!</v>
      </c>
      <c r="EE8" t="e">
        <f>IF(#REF!,"VE1IoE0l8oY=",0)</f>
        <v>#REF!</v>
      </c>
      <c r="EF8" t="e">
        <f>IF(#REF!,"VE1IoE0l8oc=",0)</f>
        <v>#REF!</v>
      </c>
      <c r="EG8" t="e">
        <f>IF(#REF!,"VE1IoE0l8og=",0)</f>
        <v>#REF!</v>
      </c>
      <c r="EH8" t="e">
        <f>IF(#REF!,"VE1IoE0l8ok=",0)</f>
        <v>#REF!</v>
      </c>
      <c r="EI8" t="e">
        <f>IF(#REF!,"VE1IoE0l8oo=",0)</f>
        <v>#REF!</v>
      </c>
      <c r="EJ8" t="e">
        <f>IF(#REF!,"VE1IoE0l8os=",0)</f>
        <v>#REF!</v>
      </c>
      <c r="EK8" t="e">
        <f>IF(#REF!,"VE1IoE0l8ow=",0)</f>
        <v>#REF!</v>
      </c>
      <c r="EL8" t="e">
        <f>IF(#REF!,"VE1IoE0l8o0=",0)</f>
        <v>#REF!</v>
      </c>
      <c r="EM8" t="e">
        <f>IF(#REF!,"VE1IoE0l8o4=",0)</f>
        <v>#REF!</v>
      </c>
      <c r="EN8" t="e">
        <f>IF(#REF!,"VE1IoE0l8o8=",0)</f>
        <v>#REF!</v>
      </c>
      <c r="EO8" t="e">
        <f>IF(#REF!,"VE1IoE0l8pA=",0)</f>
        <v>#REF!</v>
      </c>
      <c r="EP8" t="e">
        <f>IF(#REF!,"VE1IoE0l8pE=",0)</f>
        <v>#REF!</v>
      </c>
      <c r="EQ8" t="e">
        <f>IF(#REF!,"VE1IoE0l8pI=",0)</f>
        <v>#REF!</v>
      </c>
      <c r="ER8" t="e">
        <f>IF(#REF!,"VE1IoE0l8pM=",0)</f>
        <v>#REF!</v>
      </c>
      <c r="ES8" t="e">
        <f>IF(#REF!,"VE1IoE0l8pQ=",0)</f>
        <v>#REF!</v>
      </c>
      <c r="ET8" t="e">
        <f>IF(#REF!,"VE1IoE0l8pU=",0)</f>
        <v>#REF!</v>
      </c>
      <c r="EU8" t="e">
        <f>IF(#REF!,"VE1IoE0l8pY=",0)</f>
        <v>#REF!</v>
      </c>
      <c r="EV8" t="e">
        <f>IF(#REF!,"VE1IoE0l8pc=",0)</f>
        <v>#REF!</v>
      </c>
      <c r="EW8" t="e">
        <f>IF(#REF!,"VE1IoE0l8pg=",0)</f>
        <v>#REF!</v>
      </c>
      <c r="EX8" t="e">
        <f>IF(#REF!,"VE1IoE0l8pk=",0)</f>
        <v>#REF!</v>
      </c>
      <c r="EY8" t="e">
        <f>IF(#REF!,"VE1IoE0l8po=",0)</f>
        <v>#REF!</v>
      </c>
      <c r="EZ8" t="e">
        <f>IF(#REF!,"VE1IoE0l8ps=",0)</f>
        <v>#REF!</v>
      </c>
      <c r="FA8" t="e">
        <f>IF(#REF!,"VE1IoE0l8pw=",0)</f>
        <v>#REF!</v>
      </c>
      <c r="FB8" t="e">
        <f>IF(#REF!,"VE1IoE0l8p0=",0)</f>
        <v>#REF!</v>
      </c>
      <c r="FC8" t="e">
        <f>IF(#REF!,"VE1IoE0l8p4=",0)</f>
        <v>#REF!</v>
      </c>
      <c r="FD8" t="e">
        <f>IF(#REF!,"VE1IoE0l8p8=",0)</f>
        <v>#REF!</v>
      </c>
      <c r="FE8" t="e">
        <f>IF(#REF!,"VE1IoE0l8qA=",0)</f>
        <v>#REF!</v>
      </c>
      <c r="FF8" t="e">
        <f>IF(#REF!,"VE1IoE0l8qE=",0)</f>
        <v>#REF!</v>
      </c>
      <c r="FG8" t="e">
        <f>IF(#REF!,"VE1IoE0l8qI=",0)</f>
        <v>#REF!</v>
      </c>
      <c r="FH8" t="e">
        <f>IF(#REF!,"VE1IoE0l8qM=",0)</f>
        <v>#REF!</v>
      </c>
      <c r="FI8" t="e">
        <f>IF(#REF!,"VE1IoE0l8qQ=",0)</f>
        <v>#REF!</v>
      </c>
      <c r="FJ8" t="e">
        <f>IF(#REF!,"VE1IoE0l8qU=",0)</f>
        <v>#REF!</v>
      </c>
      <c r="FK8" t="e">
        <f>IF(#REF!,"VE1IoE0l8qY=",0)</f>
        <v>#REF!</v>
      </c>
      <c r="FL8" t="e">
        <f>IF(#REF!,"VE1IoE0l8qc=",0)</f>
        <v>#REF!</v>
      </c>
      <c r="FM8" t="e">
        <f>IF(#REF!,"VE1IoE0l8qg=",0)</f>
        <v>#REF!</v>
      </c>
      <c r="FN8" t="e">
        <f>IF(#REF!,"VE1IoE0l8qk=",0)</f>
        <v>#REF!</v>
      </c>
      <c r="FO8" t="e">
        <f>IF(#REF!,"VE1IoE0l8qo=",0)</f>
        <v>#REF!</v>
      </c>
      <c r="FP8" t="e">
        <f>IF(#REF!,"VE1IoE0l8qs=",0)</f>
        <v>#REF!</v>
      </c>
      <c r="FQ8" t="e">
        <f>IF(#REF!,"VE1IoE0l8qw=",0)</f>
        <v>#REF!</v>
      </c>
      <c r="FR8" t="e">
        <f>IF(#REF!,"VE1IoE0l8q0=",0)</f>
        <v>#REF!</v>
      </c>
      <c r="FS8" t="e">
        <f>IF(#REF!,"VE1IoE0l8q4=",0)</f>
        <v>#REF!</v>
      </c>
      <c r="FT8" t="e">
        <f>IF(#REF!,"VE1IoE0l8q8=",0)</f>
        <v>#REF!</v>
      </c>
      <c r="FU8" t="e">
        <f>IF(#REF!,"VE1IoE0l8rA=",0)</f>
        <v>#REF!</v>
      </c>
      <c r="FV8" t="e">
        <f>IF(#REF!,"VE1IoE0l8rE=",0)</f>
        <v>#REF!</v>
      </c>
      <c r="FW8" t="e">
        <f>IF(#REF!,"VE1IoE0l8rI=",0)</f>
        <v>#REF!</v>
      </c>
      <c r="FX8" t="e">
        <f>IF(#REF!,"VE1IoE0l8rM=",0)</f>
        <v>#REF!</v>
      </c>
      <c r="FY8" t="e">
        <f>IF(#REF!,"VE1IoE0l8rQ=",0)</f>
        <v>#REF!</v>
      </c>
      <c r="FZ8" t="e">
        <f>IF(#REF!,"VE1IoE0l8rU=",0)</f>
        <v>#REF!</v>
      </c>
      <c r="GA8" t="e">
        <f>IF(#REF!,"VE1IoE0l8rY=",0)</f>
        <v>#REF!</v>
      </c>
      <c r="GB8" t="e">
        <f>IF(#REF!,"VE1IoE0l8rc=",0)</f>
        <v>#REF!</v>
      </c>
      <c r="GC8" t="e">
        <f>IF(#REF!,"VE1IoE0l8rg=",0)</f>
        <v>#REF!</v>
      </c>
      <c r="GD8" t="e">
        <f>IF(#REF!,"VE1IoE0l8rk=",0)</f>
        <v>#REF!</v>
      </c>
      <c r="GE8" t="e">
        <f>IF(#REF!,"VE1IoE0l8ro=",0)</f>
        <v>#REF!</v>
      </c>
      <c r="GF8" t="e">
        <f>IF(#REF!,"VE1IoE0l8rs=",0)</f>
        <v>#REF!</v>
      </c>
      <c r="GG8" t="e">
        <f>IF(#REF!,"VE1IoE0l8rw=",0)</f>
        <v>#REF!</v>
      </c>
      <c r="GH8" t="e">
        <f>IF(#REF!,"VE1IoE0l8r0=",0)</f>
        <v>#REF!</v>
      </c>
      <c r="GI8" t="e">
        <f>IF(#REF!,"VE1IoE0l8r4=",0)</f>
        <v>#REF!</v>
      </c>
      <c r="GJ8" t="e">
        <f>IF(#REF!,"VE1IoE0l8r8=",0)</f>
        <v>#REF!</v>
      </c>
      <c r="GK8" t="e">
        <f>IF(#REF!,"VE1IoE0l8sA=",0)</f>
        <v>#REF!</v>
      </c>
      <c r="GL8" t="e">
        <f>IF(#REF!,"VE1IoE0l8sE=",0)</f>
        <v>#REF!</v>
      </c>
      <c r="GM8" t="e">
        <f>IF(#REF!,"VE1IoE0l8sI=",0)</f>
        <v>#REF!</v>
      </c>
      <c r="GN8" t="e">
        <f>IF(#REF!,"VE1IoE0l8sM=",0)</f>
        <v>#REF!</v>
      </c>
      <c r="GO8" t="e">
        <f>IF(#REF!,"VE1IoE0l8sQ=",0)</f>
        <v>#REF!</v>
      </c>
      <c r="GP8" t="e">
        <f>IF(#REF!,"VE1IoE0l8sU=",0)</f>
        <v>#REF!</v>
      </c>
      <c r="GQ8" t="e">
        <f>IF(#REF!,"VE1IoE0l8sY=",0)</f>
        <v>#REF!</v>
      </c>
      <c r="GR8" t="e">
        <f>IF(#REF!,"VE1IoE0l8sc=",0)</f>
        <v>#REF!</v>
      </c>
      <c r="GS8" t="e">
        <f>IF(#REF!,"VE1IoE0l8sg=",0)</f>
        <v>#REF!</v>
      </c>
      <c r="GT8" t="e">
        <f>IF(#REF!,"VE1IoE0l8sk=",0)</f>
        <v>#REF!</v>
      </c>
      <c r="GU8" t="e">
        <f>IF(#REF!,"VE1IoE0l8so=",0)</f>
        <v>#REF!</v>
      </c>
      <c r="GV8" t="e">
        <f>IF(#REF!,"VE1IoE0l8ss=",0)</f>
        <v>#REF!</v>
      </c>
      <c r="GW8" t="e">
        <f>IF(#REF!,"VE1IoE0l8sw=",0)</f>
        <v>#REF!</v>
      </c>
      <c r="GX8" t="e">
        <f>IF(#REF!,"VE1IoE0l8s0=",0)</f>
        <v>#REF!</v>
      </c>
      <c r="GY8" t="e">
        <f>IF(#REF!,"VE1IoE0l8s4=",0)</f>
        <v>#REF!</v>
      </c>
      <c r="GZ8" t="e">
        <f>IF(#REF!,"VE1IoE0l8s8=",0)</f>
        <v>#REF!</v>
      </c>
      <c r="HA8" t="e">
        <f>IF(#REF!,"VE1IoE0l8tA=",0)</f>
        <v>#REF!</v>
      </c>
      <c r="HB8" t="e">
        <f>IF(#REF!,"VE1IoE0l8tE=",0)</f>
        <v>#REF!</v>
      </c>
      <c r="HC8" t="e">
        <f>IF(#REF!,"VE1IoE0l8tI=",0)</f>
        <v>#REF!</v>
      </c>
      <c r="HD8" t="e">
        <f>IF(#REF!,"VE1IoE0l8tM=",0)</f>
        <v>#REF!</v>
      </c>
      <c r="HE8" t="e">
        <f>IF(#REF!,"VE1IoE0l8tQ=",0)</f>
        <v>#REF!</v>
      </c>
      <c r="HF8" t="e">
        <f>IF(#REF!,"VE1IoE0l8tU=",0)</f>
        <v>#REF!</v>
      </c>
      <c r="HG8" t="e">
        <f>IF(#REF!,"VE1IoE0l8tY=",0)</f>
        <v>#REF!</v>
      </c>
      <c r="HH8" t="e">
        <f>IF(#REF!,"VE1IoE0l8tc=",0)</f>
        <v>#REF!</v>
      </c>
      <c r="HI8" t="e">
        <f>IF(#REF!,"VE1IoE0l8tg=",0)</f>
        <v>#REF!</v>
      </c>
      <c r="HJ8" t="e">
        <f>IF(#REF!,"VE1IoE0l8tk=",0)</f>
        <v>#REF!</v>
      </c>
      <c r="HK8" t="e">
        <f>IF(#REF!,"VE1IoE0l8to=",0)</f>
        <v>#REF!</v>
      </c>
      <c r="HL8" t="e">
        <f>IF(#REF!,"VE1IoE0l8ts=",0)</f>
        <v>#REF!</v>
      </c>
      <c r="HM8" t="e">
        <f>IF(#REF!,"VE1IoE0l8tw=",0)</f>
        <v>#REF!</v>
      </c>
      <c r="HN8" t="e">
        <f>IF(#REF!,"VE1IoE0l8t0=",0)</f>
        <v>#REF!</v>
      </c>
      <c r="HO8" t="e">
        <f>IF(#REF!,"VE1IoE0l8t4=",0)</f>
        <v>#REF!</v>
      </c>
      <c r="HP8" t="e">
        <f>IF(#REF!,"VE1IoE0l8t8=",0)</f>
        <v>#REF!</v>
      </c>
      <c r="HQ8" t="e">
        <f>IF(#REF!,"VE1IoE0l8uA=",0)</f>
        <v>#REF!</v>
      </c>
      <c r="HR8" t="e">
        <f>IF(#REF!,"VE1IoE0l8uE=",0)</f>
        <v>#REF!</v>
      </c>
      <c r="HS8" t="e">
        <f>IF(#REF!,"VE1IoE0l8uI=",0)</f>
        <v>#REF!</v>
      </c>
      <c r="HT8" t="e">
        <f>IF(#REF!,"VE1IoE0l8uM=",0)</f>
        <v>#REF!</v>
      </c>
      <c r="HU8" t="e">
        <f>IF(#REF!,"VE1IoE0l8uQ=",0)</f>
        <v>#REF!</v>
      </c>
      <c r="HV8" t="e">
        <f>IF(#REF!,"VE1IoE0l8uU=",0)</f>
        <v>#REF!</v>
      </c>
      <c r="HW8" t="e">
        <f>IF(#REF!,"VE1IoE0l8uY=",0)</f>
        <v>#REF!</v>
      </c>
      <c r="HX8" t="e">
        <f>IF(#REF!,"VE1IoE0l8uc=",0)</f>
        <v>#REF!</v>
      </c>
      <c r="HY8" t="e">
        <f>IF(#REF!,"VE1IoE0l8ug=",0)</f>
        <v>#REF!</v>
      </c>
      <c r="HZ8" t="e">
        <f>IF(#REF!,"VE1IoE0l8uk=",0)</f>
        <v>#REF!</v>
      </c>
      <c r="IA8" t="e">
        <f>IF(#REF!,"VE1IoE0l8uo=",0)</f>
        <v>#REF!</v>
      </c>
      <c r="IB8" t="e">
        <f>IF(#REF!,"VE1IoE0l8us=",0)</f>
        <v>#REF!</v>
      </c>
      <c r="IC8" t="e">
        <f>IF(#REF!,"VE1IoE0l8uw=",0)</f>
        <v>#REF!</v>
      </c>
      <c r="ID8" t="e">
        <f>IF(#REF!,"VE1IoE0l8u0=",0)</f>
        <v>#REF!</v>
      </c>
      <c r="IE8" t="e">
        <f>IF(#REF!,"VE1IoE0l8u4=",0)</f>
        <v>#REF!</v>
      </c>
      <c r="IF8" t="e">
        <f>IF(#REF!,"VE1IoE0l8u8=",0)</f>
        <v>#REF!</v>
      </c>
      <c r="IG8" t="e">
        <f>IF(#REF!,"VE1IoE0l8vA=",0)</f>
        <v>#REF!</v>
      </c>
      <c r="IH8" t="e">
        <f>IF(#REF!,"VE1IoE0l8vE=",0)</f>
        <v>#REF!</v>
      </c>
      <c r="II8" t="e">
        <f>IF(#REF!,"VE1IoE0l8vI=",0)</f>
        <v>#REF!</v>
      </c>
      <c r="IJ8" t="e">
        <f>IF(#REF!,"VE1IoE0l8vM=",0)</f>
        <v>#REF!</v>
      </c>
      <c r="IK8" t="e">
        <f>IF(#REF!,"VE1IoE0l8vQ=",0)</f>
        <v>#REF!</v>
      </c>
      <c r="IL8" t="e">
        <f>IF(#REF!,"VE1IoE0l8vU=",0)</f>
        <v>#REF!</v>
      </c>
      <c r="IM8" t="e">
        <f>IF(#REF!,"VE1IoE0l8vY=",0)</f>
        <v>#REF!</v>
      </c>
      <c r="IN8" t="e">
        <f>IF(#REF!,"VE1IoE0l8vc=",0)</f>
        <v>#REF!</v>
      </c>
      <c r="IO8" t="e">
        <f>IF(#REF!,"VE1IoE0l8vg=",0)</f>
        <v>#REF!</v>
      </c>
      <c r="IP8" t="e">
        <f>IF(#REF!,"VE1IoE0l8vk=",0)</f>
        <v>#REF!</v>
      </c>
      <c r="IQ8" t="e">
        <f>IF(#REF!,"VE1IoE0l8vo=",0)</f>
        <v>#REF!</v>
      </c>
      <c r="IR8" t="e">
        <f>IF(#REF!,"VE1IoE0l8vs=",0)</f>
        <v>#REF!</v>
      </c>
      <c r="IS8" t="e">
        <f>IF(#REF!,"VE1IoE0l8vw=",0)</f>
        <v>#REF!</v>
      </c>
      <c r="IT8" t="e">
        <f>IF(#REF!,"VE1IoE0l8v0=",0)</f>
        <v>#REF!</v>
      </c>
      <c r="IU8" t="e">
        <f>IF(#REF!,"VE1IoE0l8v4=",0)</f>
        <v>#REF!</v>
      </c>
      <c r="IV8" t="e">
        <f>IF(#REF!,"VE1IoE0l8v8=",0)</f>
        <v>#REF!</v>
      </c>
    </row>
    <row r="9" spans="1:256" x14ac:dyDescent="0.2">
      <c r="A9" t="e">
        <f>IF(#REF!,"CgQSSUdWgQA=",0)</f>
        <v>#REF!</v>
      </c>
      <c r="B9" t="e">
        <f>IF(#REF!,"CgQSSUdWgQE=",0)</f>
        <v>#REF!</v>
      </c>
      <c r="C9" t="e">
        <f>IF(#REF!,"CgQSSUdWgQI=",0)</f>
        <v>#REF!</v>
      </c>
      <c r="D9" t="e">
        <f>IF(#REF!,"CgQSSUdWgQM=",0)</f>
        <v>#REF!</v>
      </c>
      <c r="E9" t="e">
        <f>IF(#REF!,"CgQSSUdWgQQ=",0)</f>
        <v>#REF!</v>
      </c>
      <c r="F9" t="e">
        <f>IF(#REF!,"CgQSSUdWgQU=",0)</f>
        <v>#REF!</v>
      </c>
      <c r="G9" t="e">
        <f>IF(#REF!,"CgQSSUdWgQY=",0)</f>
        <v>#REF!</v>
      </c>
      <c r="H9" t="e">
        <f>IF(#REF!,"CgQSSUdWgQc=",0)</f>
        <v>#REF!</v>
      </c>
      <c r="I9" t="e">
        <f>IF(#REF!,"CgQSSUdWgQg=",0)</f>
        <v>#REF!</v>
      </c>
      <c r="J9" t="e">
        <f>IF(#REF!,"CgQSSUdWgQk=",0)</f>
        <v>#REF!</v>
      </c>
      <c r="K9" t="e">
        <f>IF(#REF!,"CgQSSUdWgQo=",0)</f>
        <v>#REF!</v>
      </c>
      <c r="L9" t="e">
        <f>IF(#REF!,"CgQSSUdWgQs=",0)</f>
        <v>#REF!</v>
      </c>
      <c r="M9" t="e">
        <f>IF(#REF!,"CgQSSUdWgQw=",0)</f>
        <v>#REF!</v>
      </c>
      <c r="N9" t="e">
        <f>IF(#REF!,"CgQSSUdWgQ0=",0)</f>
        <v>#REF!</v>
      </c>
      <c r="O9" t="e">
        <f>IF(#REF!,"CgQSSUdWgQ4=",0)</f>
        <v>#REF!</v>
      </c>
      <c r="P9" t="e">
        <f>IF(#REF!,"CgQSSUdWgQ8=",0)</f>
        <v>#REF!</v>
      </c>
      <c r="Q9" t="e">
        <f>IF(#REF!,"CgQSSUdWgRA=",0)</f>
        <v>#REF!</v>
      </c>
      <c r="R9" t="e">
        <f>IF(#REF!,"CgQSSUdWgRE=",0)</f>
        <v>#REF!</v>
      </c>
      <c r="S9" t="e">
        <f>IF(#REF!,"CgQSSUdWgRI=",0)</f>
        <v>#REF!</v>
      </c>
      <c r="T9" t="e">
        <f>IF(#REF!,"CgQSSUdWgRM=",0)</f>
        <v>#REF!</v>
      </c>
      <c r="U9" t="e">
        <f>IF(#REF!,"CgQSSUdWgRQ=",0)</f>
        <v>#REF!</v>
      </c>
      <c r="V9" t="e">
        <f>IF(#REF!,"CgQSSUdWgRU=",0)</f>
        <v>#REF!</v>
      </c>
      <c r="W9" t="e">
        <f>IF(#REF!,"CgQSSUdWgRY=",0)</f>
        <v>#REF!</v>
      </c>
      <c r="X9" t="e">
        <f>IF(#REF!,"CgQSSUdWgRc=",0)</f>
        <v>#REF!</v>
      </c>
      <c r="Y9" t="e">
        <f>AND(#REF!,"CgQSSUdWgRg=")</f>
        <v>#REF!</v>
      </c>
      <c r="Z9" t="e">
        <f>AND(#REF!,"CgQSSUdWgRk=")</f>
        <v>#REF!</v>
      </c>
      <c r="AA9" t="e">
        <f>AND(#REF!,"CgQSSUdWgRo=")</f>
        <v>#REF!</v>
      </c>
      <c r="AB9" t="e">
        <f>AND(#REF!,"CgQSSUdWgRs=")</f>
        <v>#REF!</v>
      </c>
      <c r="AC9" t="e">
        <f>AND(#REF!,"CgQSSUdWgRw=")</f>
        <v>#REF!</v>
      </c>
      <c r="AD9" t="e">
        <f>AND(#REF!,"CgQSSUdWgR0=")</f>
        <v>#REF!</v>
      </c>
      <c r="AE9" t="e">
        <f>AND(#REF!,"CgQSSUdWgR4=")</f>
        <v>#REF!</v>
      </c>
      <c r="AF9" t="e">
        <f>AND(#REF!,"CgQSSUdWgR8=")</f>
        <v>#REF!</v>
      </c>
      <c r="AG9" t="e">
        <f>AND(#REF!,"CgQSSUdWgSA=")</f>
        <v>#REF!</v>
      </c>
      <c r="AH9" t="e">
        <f>AND(#REF!,"CgQSSUdWgSE=")</f>
        <v>#REF!</v>
      </c>
      <c r="AI9" t="e">
        <f>IF(#REF!,"CgQSSUdWgSI=",0)</f>
        <v>#REF!</v>
      </c>
      <c r="AJ9" t="e">
        <f>AND(#REF!,"CgQSSUdWgSM=")</f>
        <v>#REF!</v>
      </c>
      <c r="AK9" t="e">
        <f>AND(#REF!,"CgQSSUdWgSQ=")</f>
        <v>#REF!</v>
      </c>
      <c r="AL9" t="e">
        <f>AND(#REF!,"CgQSSUdWgSU=")</f>
        <v>#REF!</v>
      </c>
      <c r="AM9" t="e">
        <f>AND(#REF!,"CgQSSUdWgSY=")</f>
        <v>#REF!</v>
      </c>
      <c r="AN9" t="e">
        <f>AND(#REF!,"CgQSSUdWgSc=")</f>
        <v>#REF!</v>
      </c>
      <c r="AO9" t="e">
        <f>AND(#REF!,"CgQSSUdWgSg=")</f>
        <v>#REF!</v>
      </c>
      <c r="AP9" t="e">
        <f>AND(#REF!,"CgQSSUdWgSk=")</f>
        <v>#REF!</v>
      </c>
      <c r="AQ9" t="e">
        <f>AND(#REF!,"CgQSSUdWgSo=")</f>
        <v>#REF!</v>
      </c>
      <c r="AR9" t="e">
        <f>AND(#REF!,"CgQSSUdWgSs=")</f>
        <v>#REF!</v>
      </c>
      <c r="AS9" t="e">
        <f>AND(#REF!,"CgQSSUdWgSw=")</f>
        <v>#REF!</v>
      </c>
      <c r="AT9" t="e">
        <f>IF(#REF!,"CgQSSUdWgS0=",0)</f>
        <v>#REF!</v>
      </c>
      <c r="AU9" t="e">
        <f>AND(#REF!,"CgQSSUdWgS4=")</f>
        <v>#REF!</v>
      </c>
      <c r="AV9" t="e">
        <f>AND(#REF!,"CgQSSUdWgS8=")</f>
        <v>#REF!</v>
      </c>
      <c r="AW9" t="e">
        <f>AND(#REF!,"CgQSSUdWgTA=")</f>
        <v>#REF!</v>
      </c>
      <c r="AX9" t="e">
        <f>AND(#REF!,"CgQSSUdWgTE=")</f>
        <v>#REF!</v>
      </c>
      <c r="AY9" t="e">
        <f>AND(#REF!,"CgQSSUdWgTI=")</f>
        <v>#REF!</v>
      </c>
      <c r="AZ9" t="e">
        <f>AND(#REF!,"CgQSSUdWgTM=")</f>
        <v>#REF!</v>
      </c>
      <c r="BA9" t="e">
        <f>AND(#REF!,"CgQSSUdWgTQ=")</f>
        <v>#REF!</v>
      </c>
      <c r="BB9" t="e">
        <f>AND(#REF!,"CgQSSUdWgTU=")</f>
        <v>#REF!</v>
      </c>
      <c r="BC9" t="e">
        <f>AND(#REF!,"CgQSSUdWgTY=")</f>
        <v>#REF!</v>
      </c>
      <c r="BD9" t="e">
        <f>AND(#REF!,"CgQSSUdWgTc=")</f>
        <v>#REF!</v>
      </c>
      <c r="BE9" t="e">
        <f>IF(#REF!,"CgQSSUdWgTg=",0)</f>
        <v>#REF!</v>
      </c>
      <c r="BF9" t="e">
        <f>AND(#REF!,"CgQSSUdWgTk=")</f>
        <v>#REF!</v>
      </c>
      <c r="BG9" t="e">
        <f>AND(#REF!,"CgQSSUdWgTo=")</f>
        <v>#REF!</v>
      </c>
      <c r="BH9" t="e">
        <f>AND(#REF!,"CgQSSUdWgTs=")</f>
        <v>#REF!</v>
      </c>
      <c r="BI9" t="e">
        <f>AND(#REF!,"CgQSSUdWgTw=")</f>
        <v>#REF!</v>
      </c>
      <c r="BJ9" t="e">
        <f>AND(#REF!,"CgQSSUdWgT0=")</f>
        <v>#REF!</v>
      </c>
      <c r="BK9" t="e">
        <f>AND(#REF!,"CgQSSUdWgT4=")</f>
        <v>#REF!</v>
      </c>
      <c r="BL9" t="e">
        <f>AND(#REF!,"CgQSSUdWgT8=")</f>
        <v>#REF!</v>
      </c>
      <c r="BM9" t="e">
        <f>AND(#REF!,"CgQSSUdWgUA=")</f>
        <v>#REF!</v>
      </c>
      <c r="BN9" t="e">
        <f>AND(#REF!,"CgQSSUdWgUE=")</f>
        <v>#REF!</v>
      </c>
      <c r="BO9" t="e">
        <f>AND(#REF!,"CgQSSUdWgUI=")</f>
        <v>#REF!</v>
      </c>
      <c r="BP9" t="e">
        <f>IF(#REF!,"CgQSSUdWgUM=",0)</f>
        <v>#REF!</v>
      </c>
      <c r="BQ9" t="e">
        <f>AND(#REF!,"CgQSSUdWgUQ=")</f>
        <v>#REF!</v>
      </c>
      <c r="BR9" t="e">
        <f>AND(#REF!,"CgQSSUdWgUU=")</f>
        <v>#REF!</v>
      </c>
      <c r="BS9" t="e">
        <f>AND(#REF!,"CgQSSUdWgUY=")</f>
        <v>#REF!</v>
      </c>
      <c r="BT9" t="e">
        <f>AND(#REF!,"CgQSSUdWgUc=")</f>
        <v>#REF!</v>
      </c>
      <c r="BU9" t="e">
        <f>AND(#REF!,"CgQSSUdWgUg=")</f>
        <v>#REF!</v>
      </c>
      <c r="BV9" t="e">
        <f>AND(#REF!,"CgQSSUdWgUk=")</f>
        <v>#REF!</v>
      </c>
      <c r="BW9" t="e">
        <f>AND(#REF!,"CgQSSUdWgUo=")</f>
        <v>#REF!</v>
      </c>
      <c r="BX9" t="e">
        <f>AND(#REF!,"CgQSSUdWgUs=")</f>
        <v>#REF!</v>
      </c>
      <c r="BY9" t="e">
        <f>AND(#REF!,"CgQSSUdWgUw=")</f>
        <v>#REF!</v>
      </c>
      <c r="BZ9" t="e">
        <f>AND(#REF!,"CgQSSUdWgU0=")</f>
        <v>#REF!</v>
      </c>
      <c r="CA9" t="e">
        <f>IF(#REF!,"CgQSSUdWgU4=",0)</f>
        <v>#REF!</v>
      </c>
      <c r="CB9" t="e">
        <f>AND(#REF!,"CgQSSUdWgU8=")</f>
        <v>#REF!</v>
      </c>
      <c r="CC9" t="e">
        <f>AND(#REF!,"CgQSSUdWgVA=")</f>
        <v>#REF!</v>
      </c>
      <c r="CD9" t="e">
        <f>AND(#REF!,"CgQSSUdWgVE=")</f>
        <v>#REF!</v>
      </c>
      <c r="CE9" t="e">
        <f>AND(#REF!,"CgQSSUdWgVI=")</f>
        <v>#REF!</v>
      </c>
      <c r="CF9" t="e">
        <f>AND(#REF!,"CgQSSUdWgVM=")</f>
        <v>#REF!</v>
      </c>
      <c r="CG9" t="e">
        <f>AND(#REF!,"CgQSSUdWgVQ=")</f>
        <v>#REF!</v>
      </c>
      <c r="CH9" t="e">
        <f>AND(#REF!,"CgQSSUdWgVU=")</f>
        <v>#REF!</v>
      </c>
      <c r="CI9" t="e">
        <f>AND(#REF!,"CgQSSUdWgVY=")</f>
        <v>#REF!</v>
      </c>
      <c r="CJ9" t="e">
        <f>AND(#REF!,"CgQSSUdWgVc=")</f>
        <v>#REF!</v>
      </c>
      <c r="CK9" t="e">
        <f>AND(#REF!,"CgQSSUdWgVg=")</f>
        <v>#REF!</v>
      </c>
      <c r="CL9" t="e">
        <f>IF(#REF!,"CgQSSUdWgVk=",0)</f>
        <v>#REF!</v>
      </c>
      <c r="CM9" t="e">
        <f>AND(#REF!,"CgQSSUdWgVo=")</f>
        <v>#REF!</v>
      </c>
      <c r="CN9" t="e">
        <f>AND(#REF!,"CgQSSUdWgVs=")</f>
        <v>#REF!</v>
      </c>
      <c r="CO9" t="e">
        <f>AND(#REF!,"CgQSSUdWgVw=")</f>
        <v>#REF!</v>
      </c>
      <c r="CP9" t="e">
        <f>AND(#REF!,"CgQSSUdWgV0=")</f>
        <v>#REF!</v>
      </c>
      <c r="CQ9" t="e">
        <f>AND(#REF!,"CgQSSUdWgV4=")</f>
        <v>#REF!</v>
      </c>
      <c r="CR9" t="e">
        <f>AND(#REF!,"CgQSSUdWgV8=")</f>
        <v>#REF!</v>
      </c>
      <c r="CS9" t="e">
        <f>AND(#REF!,"CgQSSUdWgWA=")</f>
        <v>#REF!</v>
      </c>
      <c r="CT9" t="e">
        <f>AND(#REF!,"CgQSSUdWgWE=")</f>
        <v>#REF!</v>
      </c>
      <c r="CU9" t="e">
        <f>AND(#REF!,"CgQSSUdWgWI=")</f>
        <v>#REF!</v>
      </c>
      <c r="CV9" t="e">
        <f>AND(#REF!,"CgQSSUdWgWM=")</f>
        <v>#REF!</v>
      </c>
      <c r="CW9" t="e">
        <f>IF(#REF!,"CgQSSUdWgWQ=",0)</f>
        <v>#REF!</v>
      </c>
      <c r="CX9" t="e">
        <f>AND(#REF!,"CgQSSUdWgWU=")</f>
        <v>#REF!</v>
      </c>
      <c r="CY9" t="e">
        <f>AND(#REF!,"CgQSSUdWgWY=")</f>
        <v>#REF!</v>
      </c>
      <c r="CZ9" t="e">
        <f>AND(#REF!,"CgQSSUdWgWc=")</f>
        <v>#REF!</v>
      </c>
      <c r="DA9" t="e">
        <f>AND(#REF!,"CgQSSUdWgWg=")</f>
        <v>#REF!</v>
      </c>
      <c r="DB9" t="e">
        <f>AND(#REF!,"CgQSSUdWgWk=")</f>
        <v>#REF!</v>
      </c>
      <c r="DC9" t="e">
        <f>AND(#REF!,"CgQSSUdWgWo=")</f>
        <v>#REF!</v>
      </c>
      <c r="DD9" t="e">
        <f>AND(#REF!,"CgQSSUdWgWs=")</f>
        <v>#REF!</v>
      </c>
      <c r="DE9" t="e">
        <f>AND(#REF!,"CgQSSUdWgWw=")</f>
        <v>#REF!</v>
      </c>
      <c r="DF9" t="e">
        <f>AND(#REF!,"CgQSSUdWgW0=")</f>
        <v>#REF!</v>
      </c>
      <c r="DG9" t="e">
        <f>AND(#REF!,"CgQSSUdWgW4=")</f>
        <v>#REF!</v>
      </c>
      <c r="DH9" t="e">
        <f>IF(#REF!,"CgQSSUdWgW8=",0)</f>
        <v>#REF!</v>
      </c>
      <c r="DI9" t="e">
        <f>AND(#REF!,"CgQSSUdWgXA=")</f>
        <v>#REF!</v>
      </c>
      <c r="DJ9" t="e">
        <f>AND(#REF!,"CgQSSUdWgXE=")</f>
        <v>#REF!</v>
      </c>
      <c r="DK9" t="e">
        <f>AND(#REF!,"CgQSSUdWgXI=")</f>
        <v>#REF!</v>
      </c>
      <c r="DL9" t="e">
        <f>AND(#REF!,"CgQSSUdWgXM=")</f>
        <v>#REF!</v>
      </c>
      <c r="DM9" t="e">
        <f>AND(#REF!,"CgQSSUdWgXQ=")</f>
        <v>#REF!</v>
      </c>
      <c r="DN9" t="e">
        <f>AND(#REF!,"CgQSSUdWgXU=")</f>
        <v>#REF!</v>
      </c>
      <c r="DO9" t="e">
        <f>AND(#REF!,"CgQSSUdWgXY=")</f>
        <v>#REF!</v>
      </c>
      <c r="DP9" t="e">
        <f>AND(#REF!,"CgQSSUdWgXc=")</f>
        <v>#REF!</v>
      </c>
      <c r="DQ9" t="e">
        <f>AND(#REF!,"CgQSSUdWgXg=")</f>
        <v>#REF!</v>
      </c>
      <c r="DR9" t="e">
        <f>AND(#REF!,"CgQSSUdWgXk=")</f>
        <v>#REF!</v>
      </c>
      <c r="DS9" t="e">
        <f>IF(#REF!,"CgQSSUdWgXo=",0)</f>
        <v>#REF!</v>
      </c>
      <c r="DT9" t="e">
        <f>AND(#REF!,"CgQSSUdWgXs=")</f>
        <v>#REF!</v>
      </c>
      <c r="DU9" t="e">
        <f>AND(#REF!,"CgQSSUdWgXw=")</f>
        <v>#REF!</v>
      </c>
      <c r="DV9" t="e">
        <f>AND(#REF!,"CgQSSUdWgX0=")</f>
        <v>#REF!</v>
      </c>
      <c r="DW9" t="e">
        <f>AND(#REF!,"CgQSSUdWgX4=")</f>
        <v>#REF!</v>
      </c>
      <c r="DX9" t="e">
        <f>AND(#REF!,"CgQSSUdWgX8=")</f>
        <v>#REF!</v>
      </c>
      <c r="DY9" t="e">
        <f>AND(#REF!,"CgQSSUdWgYA=")</f>
        <v>#REF!</v>
      </c>
      <c r="DZ9" t="e">
        <f>AND(#REF!,"CgQSSUdWgYE=")</f>
        <v>#REF!</v>
      </c>
      <c r="EA9" t="e">
        <f>AND(#REF!,"CgQSSUdWgYI=")</f>
        <v>#REF!</v>
      </c>
      <c r="EB9" t="e">
        <f>AND(#REF!,"CgQSSUdWgYM=")</f>
        <v>#REF!</v>
      </c>
      <c r="EC9" t="e">
        <f>AND(#REF!,"CgQSSUdWgYQ=")</f>
        <v>#REF!</v>
      </c>
      <c r="ED9" t="e">
        <f>IF(#REF!,"CgQSSUdWgYU=",0)</f>
        <v>#REF!</v>
      </c>
      <c r="EE9" t="e">
        <f>AND(#REF!,"CgQSSUdWgYY=")</f>
        <v>#REF!</v>
      </c>
      <c r="EF9" t="e">
        <f>AND(#REF!,"CgQSSUdWgYc=")</f>
        <v>#REF!</v>
      </c>
      <c r="EG9" t="e">
        <f>AND(#REF!,"CgQSSUdWgYg=")</f>
        <v>#REF!</v>
      </c>
      <c r="EH9" t="e">
        <f>AND(#REF!,"CgQSSUdWgYk=")</f>
        <v>#REF!</v>
      </c>
      <c r="EI9" t="e">
        <f>AND(#REF!,"CgQSSUdWgYo=")</f>
        <v>#REF!</v>
      </c>
      <c r="EJ9" t="e">
        <f>AND(#REF!,"CgQSSUdWgYs=")</f>
        <v>#REF!</v>
      </c>
      <c r="EK9" t="e">
        <f>AND(#REF!,"CgQSSUdWgYw=")</f>
        <v>#REF!</v>
      </c>
      <c r="EL9" t="e">
        <f>AND(#REF!,"CgQSSUdWgY0=")</f>
        <v>#REF!</v>
      </c>
      <c r="EM9" t="e">
        <f>AND(#REF!,"CgQSSUdWgY4=")</f>
        <v>#REF!</v>
      </c>
      <c r="EN9" t="e">
        <f>AND(#REF!,"CgQSSUdWgY8=")</f>
        <v>#REF!</v>
      </c>
      <c r="EO9" t="e">
        <f>IF(#REF!,"CgQSSUdWgZA=",0)</f>
        <v>#REF!</v>
      </c>
      <c r="EP9" t="e">
        <f>AND(#REF!,"CgQSSUdWgZE=")</f>
        <v>#REF!</v>
      </c>
      <c r="EQ9" t="e">
        <f>AND(#REF!,"CgQSSUdWgZI=")</f>
        <v>#REF!</v>
      </c>
      <c r="ER9" t="e">
        <f>AND(#REF!,"CgQSSUdWgZM=")</f>
        <v>#REF!</v>
      </c>
      <c r="ES9" t="e">
        <f>AND(#REF!,"CgQSSUdWgZQ=")</f>
        <v>#REF!</v>
      </c>
      <c r="ET9" t="e">
        <f>AND(#REF!,"CgQSSUdWgZU=")</f>
        <v>#REF!</v>
      </c>
      <c r="EU9" t="e">
        <f>AND(#REF!,"CgQSSUdWgZY=")</f>
        <v>#REF!</v>
      </c>
      <c r="EV9" t="e">
        <f>AND(#REF!,"CgQSSUdWgZc=")</f>
        <v>#REF!</v>
      </c>
      <c r="EW9" t="e">
        <f>AND(#REF!,"CgQSSUdWgZg=")</f>
        <v>#REF!</v>
      </c>
      <c r="EX9" t="e">
        <f>AND(#REF!,"CgQSSUdWgZk=")</f>
        <v>#REF!</v>
      </c>
      <c r="EY9" t="e">
        <f>AND(#REF!,"CgQSSUdWgZo=")</f>
        <v>#REF!</v>
      </c>
      <c r="EZ9" t="e">
        <f>IF(#REF!,"CgQSSUdWgZs=",0)</f>
        <v>#REF!</v>
      </c>
      <c r="FA9" t="e">
        <f>AND(#REF!,"CgQSSUdWgZw=")</f>
        <v>#REF!</v>
      </c>
      <c r="FB9" t="e">
        <f>AND(#REF!,"CgQSSUdWgZ0=")</f>
        <v>#REF!</v>
      </c>
      <c r="FC9" t="e">
        <f>AND(#REF!,"CgQSSUdWgZ4=")</f>
        <v>#REF!</v>
      </c>
      <c r="FD9" t="e">
        <f>AND(#REF!,"CgQSSUdWgZ8=")</f>
        <v>#REF!</v>
      </c>
      <c r="FE9" t="e">
        <f>AND(#REF!,"CgQSSUdWgaA=")</f>
        <v>#REF!</v>
      </c>
      <c r="FF9" t="e">
        <f>AND(#REF!,"CgQSSUdWgaE=")</f>
        <v>#REF!</v>
      </c>
      <c r="FG9" t="e">
        <f>AND(#REF!,"CgQSSUdWgaI=")</f>
        <v>#REF!</v>
      </c>
      <c r="FH9" t="e">
        <f>AND(#REF!,"CgQSSUdWgaM=")</f>
        <v>#REF!</v>
      </c>
      <c r="FI9" t="e">
        <f>AND(#REF!,"CgQSSUdWgaQ=")</f>
        <v>#REF!</v>
      </c>
      <c r="FJ9" t="e">
        <f>AND(#REF!,"CgQSSUdWgaU=")</f>
        <v>#REF!</v>
      </c>
      <c r="FK9" t="e">
        <f>IF(#REF!,"CgQSSUdWgaY=",0)</f>
        <v>#REF!</v>
      </c>
      <c r="FL9" t="e">
        <f>AND(#REF!,"CgQSSUdWgac=")</f>
        <v>#REF!</v>
      </c>
      <c r="FM9" t="e">
        <f>AND(#REF!,"CgQSSUdWgag=")</f>
        <v>#REF!</v>
      </c>
      <c r="FN9" t="e">
        <f>AND(#REF!,"CgQSSUdWgak=")</f>
        <v>#REF!</v>
      </c>
      <c r="FO9" t="e">
        <f>AND(#REF!,"CgQSSUdWgao=")</f>
        <v>#REF!</v>
      </c>
      <c r="FP9" t="e">
        <f>AND(#REF!,"CgQSSUdWgas=")</f>
        <v>#REF!</v>
      </c>
      <c r="FQ9" t="e">
        <f>AND(#REF!,"CgQSSUdWgaw=")</f>
        <v>#REF!</v>
      </c>
      <c r="FR9" t="e">
        <f>AND(#REF!,"CgQSSUdWga0=")</f>
        <v>#REF!</v>
      </c>
      <c r="FS9" t="e">
        <f>AND(#REF!,"CgQSSUdWga4=")</f>
        <v>#REF!</v>
      </c>
      <c r="FT9" t="e">
        <f>AND(#REF!,"CgQSSUdWga8=")</f>
        <v>#REF!</v>
      </c>
      <c r="FU9" t="e">
        <f>AND(#REF!,"CgQSSUdWgbA=")</f>
        <v>#REF!</v>
      </c>
      <c r="FV9" t="e">
        <f>IF(#REF!,"CgQSSUdWgbE=",0)</f>
        <v>#REF!</v>
      </c>
      <c r="FW9" t="e">
        <f>AND(#REF!,"CgQSSUdWgbI=")</f>
        <v>#REF!</v>
      </c>
      <c r="FX9" t="e">
        <f>AND(#REF!,"CgQSSUdWgbM=")</f>
        <v>#REF!</v>
      </c>
      <c r="FY9" t="e">
        <f>AND(#REF!,"CgQSSUdWgbQ=")</f>
        <v>#REF!</v>
      </c>
      <c r="FZ9" t="e">
        <f>AND(#REF!,"CgQSSUdWgbU=")</f>
        <v>#REF!</v>
      </c>
      <c r="GA9" t="e">
        <f>AND(#REF!,"CgQSSUdWgbY=")</f>
        <v>#REF!</v>
      </c>
      <c r="GB9" t="e">
        <f>AND(#REF!,"CgQSSUdWgbc=")</f>
        <v>#REF!</v>
      </c>
      <c r="GC9" t="e">
        <f>AND(#REF!,"CgQSSUdWgbg=")</f>
        <v>#REF!</v>
      </c>
      <c r="GD9" t="e">
        <f>AND(#REF!,"CgQSSUdWgbk=")</f>
        <v>#REF!</v>
      </c>
      <c r="GE9" t="e">
        <f>AND(#REF!,"CgQSSUdWgbo=")</f>
        <v>#REF!</v>
      </c>
      <c r="GF9" t="e">
        <f>AND(#REF!,"CgQSSUdWgbs=")</f>
        <v>#REF!</v>
      </c>
      <c r="GG9" t="e">
        <f>IF(#REF!,"CgQSSUdWgbw=",0)</f>
        <v>#REF!</v>
      </c>
      <c r="GH9" t="e">
        <f>AND(#REF!,"CgQSSUdWgb0=")</f>
        <v>#REF!</v>
      </c>
      <c r="GI9" t="e">
        <f>AND(#REF!,"CgQSSUdWgb4=")</f>
        <v>#REF!</v>
      </c>
      <c r="GJ9" t="e">
        <f>AND(#REF!,"CgQSSUdWgb8=")</f>
        <v>#REF!</v>
      </c>
      <c r="GK9" t="e">
        <f>AND(#REF!,"CgQSSUdWgcA=")</f>
        <v>#REF!</v>
      </c>
      <c r="GL9" t="e">
        <f>AND(#REF!,"CgQSSUdWgcE=")</f>
        <v>#REF!</v>
      </c>
      <c r="GM9" t="e">
        <f>AND(#REF!,"CgQSSUdWgcI=")</f>
        <v>#REF!</v>
      </c>
      <c r="GN9" t="e">
        <f>AND(#REF!,"CgQSSUdWgcM=")</f>
        <v>#REF!</v>
      </c>
      <c r="GO9" t="e">
        <f>AND(#REF!,"CgQSSUdWgcQ=")</f>
        <v>#REF!</v>
      </c>
      <c r="GP9" t="e">
        <f>AND(#REF!,"CgQSSUdWgcU=")</f>
        <v>#REF!</v>
      </c>
      <c r="GQ9" t="e">
        <f>AND(#REF!,"CgQSSUdWgcY=")</f>
        <v>#REF!</v>
      </c>
      <c r="GR9" t="e">
        <f>IF(#REF!,"CgQSSUdWgcc=",0)</f>
        <v>#REF!</v>
      </c>
      <c r="GS9" t="e">
        <f>AND(#REF!,"CgQSSUdWgcg=")</f>
        <v>#REF!</v>
      </c>
      <c r="GT9" t="e">
        <f>AND(#REF!,"CgQSSUdWgck=")</f>
        <v>#REF!</v>
      </c>
      <c r="GU9" t="e">
        <f>AND(#REF!,"CgQSSUdWgco=")</f>
        <v>#REF!</v>
      </c>
      <c r="GV9" t="e">
        <f>AND(#REF!,"CgQSSUdWgcs=")</f>
        <v>#REF!</v>
      </c>
      <c r="GW9" t="e">
        <f>AND(#REF!,"CgQSSUdWgcw=")</f>
        <v>#REF!</v>
      </c>
      <c r="GX9" t="e">
        <f>AND(#REF!,"CgQSSUdWgc0=")</f>
        <v>#REF!</v>
      </c>
      <c r="GY9" t="e">
        <f>AND(#REF!,"CgQSSUdWgc4=")</f>
        <v>#REF!</v>
      </c>
      <c r="GZ9" t="e">
        <f>AND(#REF!,"CgQSSUdWgc8=")</f>
        <v>#REF!</v>
      </c>
      <c r="HA9" t="e">
        <f>AND(#REF!,"CgQSSUdWgdA=")</f>
        <v>#REF!</v>
      </c>
      <c r="HB9" t="e">
        <f>AND(#REF!,"CgQSSUdWgdE=")</f>
        <v>#REF!</v>
      </c>
      <c r="HC9" t="e">
        <f>IF(#REF!,"CgQSSUdWgdI=",0)</f>
        <v>#REF!</v>
      </c>
      <c r="HD9" t="e">
        <f>AND(#REF!,"CgQSSUdWgdM=")</f>
        <v>#REF!</v>
      </c>
      <c r="HE9" t="e">
        <f>AND(#REF!,"CgQSSUdWgdQ=")</f>
        <v>#REF!</v>
      </c>
      <c r="HF9" t="e">
        <f>AND(#REF!,"CgQSSUdWgdU=")</f>
        <v>#REF!</v>
      </c>
      <c r="HG9" t="e">
        <f>AND(#REF!,"CgQSSUdWgdY=")</f>
        <v>#REF!</v>
      </c>
      <c r="HH9" t="e">
        <f>AND(#REF!,"CgQSSUdWgdc=")</f>
        <v>#REF!</v>
      </c>
      <c r="HI9" t="e">
        <f>AND(#REF!,"CgQSSUdWgdg=")</f>
        <v>#REF!</v>
      </c>
      <c r="HJ9" t="e">
        <f>AND(#REF!,"CgQSSUdWgdk=")</f>
        <v>#REF!</v>
      </c>
      <c r="HK9" t="e">
        <f>AND(#REF!,"CgQSSUdWgdo=")</f>
        <v>#REF!</v>
      </c>
      <c r="HL9" t="e">
        <f>AND(#REF!,"CgQSSUdWgds=")</f>
        <v>#REF!</v>
      </c>
      <c r="HM9" t="e">
        <f>AND(#REF!,"CgQSSUdWgdw=")</f>
        <v>#REF!</v>
      </c>
      <c r="HN9" t="e">
        <f>IF(#REF!,"CgQSSUdWgd0=",0)</f>
        <v>#REF!</v>
      </c>
      <c r="HO9" t="e">
        <f>AND(#REF!,"CgQSSUdWgd4=")</f>
        <v>#REF!</v>
      </c>
      <c r="HP9" t="e">
        <f>AND(#REF!,"CgQSSUdWgd8=")</f>
        <v>#REF!</v>
      </c>
      <c r="HQ9" t="e">
        <f>AND(#REF!,"CgQSSUdWgeA=")</f>
        <v>#REF!</v>
      </c>
      <c r="HR9" t="e">
        <f>AND(#REF!,"CgQSSUdWgeE=")</f>
        <v>#REF!</v>
      </c>
      <c r="HS9" t="e">
        <f>AND(#REF!,"CgQSSUdWgeI=")</f>
        <v>#REF!</v>
      </c>
      <c r="HT9" t="e">
        <f>AND(#REF!,"CgQSSUdWgeM=")</f>
        <v>#REF!</v>
      </c>
      <c r="HU9" t="e">
        <f>AND(#REF!,"CgQSSUdWgeQ=")</f>
        <v>#REF!</v>
      </c>
      <c r="HV9" t="e">
        <f>AND(#REF!,"CgQSSUdWgeU=")</f>
        <v>#REF!</v>
      </c>
      <c r="HW9" t="e">
        <f>AND(#REF!,"CgQSSUdWgeY=")</f>
        <v>#REF!</v>
      </c>
      <c r="HX9" t="e">
        <f>AND(#REF!,"CgQSSUdWgec=")</f>
        <v>#REF!</v>
      </c>
      <c r="HY9" t="e">
        <f>IF(#REF!,"CgQSSUdWgeg=",0)</f>
        <v>#REF!</v>
      </c>
      <c r="HZ9" t="e">
        <f>AND(#REF!,"CgQSSUdWgek=")</f>
        <v>#REF!</v>
      </c>
      <c r="IA9" t="e">
        <f>AND(#REF!,"CgQSSUdWgeo=")</f>
        <v>#REF!</v>
      </c>
      <c r="IB9" t="e">
        <f>AND(#REF!,"CgQSSUdWges=")</f>
        <v>#REF!</v>
      </c>
      <c r="IC9" t="e">
        <f>AND(#REF!,"CgQSSUdWgew=")</f>
        <v>#REF!</v>
      </c>
      <c r="ID9" t="e">
        <f>AND(#REF!,"CgQSSUdWge0=")</f>
        <v>#REF!</v>
      </c>
      <c r="IE9" t="e">
        <f>AND(#REF!,"CgQSSUdWge4=")</f>
        <v>#REF!</v>
      </c>
      <c r="IF9" t="e">
        <f>AND(#REF!,"CgQSSUdWge8=")</f>
        <v>#REF!</v>
      </c>
      <c r="IG9" t="e">
        <f>AND(#REF!,"CgQSSUdWgfA=")</f>
        <v>#REF!</v>
      </c>
      <c r="IH9" t="e">
        <f>AND(#REF!,"CgQSSUdWgfE=")</f>
        <v>#REF!</v>
      </c>
      <c r="II9" t="e">
        <f>AND(#REF!,"CgQSSUdWgfI=")</f>
        <v>#REF!</v>
      </c>
      <c r="IJ9" t="e">
        <f>IF(#REF!,"CgQSSUdWgfM=",0)</f>
        <v>#REF!</v>
      </c>
      <c r="IK9" t="e">
        <f>AND(#REF!,"CgQSSUdWgfQ=")</f>
        <v>#REF!</v>
      </c>
      <c r="IL9" t="e">
        <f>AND(#REF!,"CgQSSUdWgfU=")</f>
        <v>#REF!</v>
      </c>
      <c r="IM9" t="e">
        <f>AND(#REF!,"CgQSSUdWgfY=")</f>
        <v>#REF!</v>
      </c>
      <c r="IN9" t="e">
        <f>AND(#REF!,"CgQSSUdWgfc=")</f>
        <v>#REF!</v>
      </c>
      <c r="IO9" t="e">
        <f>AND(#REF!,"CgQSSUdWgfg=")</f>
        <v>#REF!</v>
      </c>
      <c r="IP9" t="e">
        <f>AND(#REF!,"CgQSSUdWgfk=")</f>
        <v>#REF!</v>
      </c>
      <c r="IQ9" t="e">
        <f>AND(#REF!,"CgQSSUdWgfo=")</f>
        <v>#REF!</v>
      </c>
      <c r="IR9" t="e">
        <f>AND(#REF!,"CgQSSUdWgfs=")</f>
        <v>#REF!</v>
      </c>
      <c r="IS9" t="e">
        <f>AND(#REF!,"CgQSSUdWgfw=")</f>
        <v>#REF!</v>
      </c>
      <c r="IT9" t="e">
        <f>AND(#REF!,"CgQSSUdWgf0=")</f>
        <v>#REF!</v>
      </c>
      <c r="IU9" t="e">
        <f>IF(#REF!,"CgQSSUdWgf4=",0)</f>
        <v>#REF!</v>
      </c>
      <c r="IV9" t="e">
        <f>AND(#REF!,"CgQSSUdWgf8=")</f>
        <v>#REF!</v>
      </c>
    </row>
    <row r="10" spans="1:256" x14ac:dyDescent="0.2">
      <c r="A10" t="e">
        <f>AND(#REF!,"PWj5rhts6gA=")</f>
        <v>#REF!</v>
      </c>
      <c r="B10" t="e">
        <f>AND(#REF!,"PWj5rhts6gE=")</f>
        <v>#REF!</v>
      </c>
      <c r="C10" t="e">
        <f>AND(#REF!,"PWj5rhts6gI=")</f>
        <v>#REF!</v>
      </c>
      <c r="D10" t="e">
        <f>AND(#REF!,"PWj5rhts6gM=")</f>
        <v>#REF!</v>
      </c>
      <c r="E10" t="e">
        <f>AND(#REF!,"PWj5rhts6gQ=")</f>
        <v>#REF!</v>
      </c>
      <c r="F10" t="e">
        <f>AND(#REF!,"PWj5rhts6gU=")</f>
        <v>#REF!</v>
      </c>
      <c r="G10" t="e">
        <f>AND(#REF!,"PWj5rhts6gY=")</f>
        <v>#REF!</v>
      </c>
      <c r="H10" t="e">
        <f>AND(#REF!,"PWj5rhts6gc=")</f>
        <v>#REF!</v>
      </c>
      <c r="I10" t="e">
        <f>AND(#REF!,"PWj5rhts6gg=")</f>
        <v>#REF!</v>
      </c>
      <c r="J10" t="e">
        <f>IF(#REF!,"PWj5rhts6gk=",0)</f>
        <v>#REF!</v>
      </c>
      <c r="K10" t="e">
        <f>AND(#REF!,"PWj5rhts6go=")</f>
        <v>#REF!</v>
      </c>
      <c r="L10" t="e">
        <f>AND(#REF!,"PWj5rhts6gs=")</f>
        <v>#REF!</v>
      </c>
      <c r="M10" t="e">
        <f>AND(#REF!,"PWj5rhts6gw=")</f>
        <v>#REF!</v>
      </c>
      <c r="N10" t="e">
        <f>AND(#REF!,"PWj5rhts6g0=")</f>
        <v>#REF!</v>
      </c>
      <c r="O10" t="e">
        <f>AND(#REF!,"PWj5rhts6g4=")</f>
        <v>#REF!</v>
      </c>
      <c r="P10" t="e">
        <f>AND(#REF!,"PWj5rhts6g8=")</f>
        <v>#REF!</v>
      </c>
      <c r="Q10" t="e">
        <f>AND(#REF!,"PWj5rhts6hA=")</f>
        <v>#REF!</v>
      </c>
      <c r="R10" t="e">
        <f>AND(#REF!,"PWj5rhts6hE=")</f>
        <v>#REF!</v>
      </c>
      <c r="S10" t="e">
        <f>AND(#REF!,"PWj5rhts6hI=")</f>
        <v>#REF!</v>
      </c>
      <c r="T10" t="e">
        <f>AND(#REF!,"PWj5rhts6hM=")</f>
        <v>#REF!</v>
      </c>
      <c r="U10" t="e">
        <f>IF(#REF!,"PWj5rhts6hQ=",0)</f>
        <v>#REF!</v>
      </c>
      <c r="V10" t="e">
        <f>AND(#REF!,"PWj5rhts6hU=")</f>
        <v>#REF!</v>
      </c>
      <c r="W10" t="e">
        <f>AND(#REF!,"PWj5rhts6hY=")</f>
        <v>#REF!</v>
      </c>
      <c r="X10" t="e">
        <f>AND(#REF!,"PWj5rhts6hc=")</f>
        <v>#REF!</v>
      </c>
      <c r="Y10" t="e">
        <f>AND(#REF!,"PWj5rhts6hg=")</f>
        <v>#REF!</v>
      </c>
      <c r="Z10" t="e">
        <f>AND(#REF!,"PWj5rhts6hk=")</f>
        <v>#REF!</v>
      </c>
      <c r="AA10" t="e">
        <f>AND(#REF!,"PWj5rhts6ho=")</f>
        <v>#REF!</v>
      </c>
      <c r="AB10" t="e">
        <f>AND(#REF!,"PWj5rhts6hs=")</f>
        <v>#REF!</v>
      </c>
      <c r="AC10" t="e">
        <f>AND(#REF!,"PWj5rhts6hw=")</f>
        <v>#REF!</v>
      </c>
      <c r="AD10" t="e">
        <f>AND(#REF!,"PWj5rhts6h0=")</f>
        <v>#REF!</v>
      </c>
      <c r="AE10" t="e">
        <f>AND(#REF!,"PWj5rhts6h4=")</f>
        <v>#REF!</v>
      </c>
      <c r="AF10" t="e">
        <f>IF(#REF!,"PWj5rhts6h8=",0)</f>
        <v>#REF!</v>
      </c>
      <c r="AG10" t="e">
        <f>AND(#REF!,"PWj5rhts6iA=")</f>
        <v>#REF!</v>
      </c>
      <c r="AH10" t="e">
        <f>AND(#REF!,"PWj5rhts6iE=")</f>
        <v>#REF!</v>
      </c>
      <c r="AI10" t="e">
        <f>AND(#REF!,"PWj5rhts6iI=")</f>
        <v>#REF!</v>
      </c>
      <c r="AJ10" t="e">
        <f>AND(#REF!,"PWj5rhts6iM=")</f>
        <v>#REF!</v>
      </c>
      <c r="AK10" t="e">
        <f>AND(#REF!,"PWj5rhts6iQ=")</f>
        <v>#REF!</v>
      </c>
      <c r="AL10" t="e">
        <f>AND(#REF!,"PWj5rhts6iU=")</f>
        <v>#REF!</v>
      </c>
      <c r="AM10" t="e">
        <f>AND(#REF!,"PWj5rhts6iY=")</f>
        <v>#REF!</v>
      </c>
      <c r="AN10" t="e">
        <f>AND(#REF!,"PWj5rhts6ic=")</f>
        <v>#REF!</v>
      </c>
      <c r="AO10" t="e">
        <f>AND(#REF!,"PWj5rhts6ig=")</f>
        <v>#REF!</v>
      </c>
      <c r="AP10" t="e">
        <f>AND(#REF!,"PWj5rhts6ik=")</f>
        <v>#REF!</v>
      </c>
      <c r="AQ10" t="e">
        <f>IF(#REF!,"PWj5rhts6io=",0)</f>
        <v>#REF!</v>
      </c>
      <c r="AR10" t="e">
        <f>AND(#REF!,"PWj5rhts6is=")</f>
        <v>#REF!</v>
      </c>
      <c r="AS10" t="e">
        <f>AND(#REF!,"PWj5rhts6iw=")</f>
        <v>#REF!</v>
      </c>
      <c r="AT10" t="e">
        <f>AND(#REF!,"PWj5rhts6i0=")</f>
        <v>#REF!</v>
      </c>
      <c r="AU10" t="e">
        <f>AND(#REF!,"PWj5rhts6i4=")</f>
        <v>#REF!</v>
      </c>
      <c r="AV10" t="e">
        <f>AND(#REF!,"PWj5rhts6i8=")</f>
        <v>#REF!</v>
      </c>
      <c r="AW10" t="e">
        <f>AND(#REF!,"PWj5rhts6jA=")</f>
        <v>#REF!</v>
      </c>
      <c r="AX10" t="e">
        <f>AND(#REF!,"PWj5rhts6jE=")</f>
        <v>#REF!</v>
      </c>
      <c r="AY10" t="e">
        <f>AND(#REF!,"PWj5rhts6jI=")</f>
        <v>#REF!</v>
      </c>
      <c r="AZ10" t="e">
        <f>AND(#REF!,"PWj5rhts6jM=")</f>
        <v>#REF!</v>
      </c>
      <c r="BA10" t="e">
        <f>AND(#REF!,"PWj5rhts6jQ=")</f>
        <v>#REF!</v>
      </c>
      <c r="BB10" t="e">
        <f>IF(#REF!,"PWj5rhts6jU=",0)</f>
        <v>#REF!</v>
      </c>
      <c r="BC10" t="e">
        <f>AND(#REF!,"PWj5rhts6jY=")</f>
        <v>#REF!</v>
      </c>
      <c r="BD10" t="e">
        <f>AND(#REF!,"PWj5rhts6jc=")</f>
        <v>#REF!</v>
      </c>
      <c r="BE10" t="e">
        <f>AND(#REF!,"PWj5rhts6jg=")</f>
        <v>#REF!</v>
      </c>
      <c r="BF10" t="e">
        <f>AND(#REF!,"PWj5rhts6jk=")</f>
        <v>#REF!</v>
      </c>
      <c r="BG10" t="e">
        <f>AND(#REF!,"PWj5rhts6jo=")</f>
        <v>#REF!</v>
      </c>
      <c r="BH10" t="e">
        <f>AND(#REF!,"PWj5rhts6js=")</f>
        <v>#REF!</v>
      </c>
      <c r="BI10" t="e">
        <f>AND(#REF!,"PWj5rhts6jw=")</f>
        <v>#REF!</v>
      </c>
      <c r="BJ10" t="e">
        <f>AND(#REF!,"PWj5rhts6j0=")</f>
        <v>#REF!</v>
      </c>
      <c r="BK10" t="e">
        <f>AND(#REF!,"PWj5rhts6j4=")</f>
        <v>#REF!</v>
      </c>
      <c r="BL10" t="e">
        <f>AND(#REF!,"PWj5rhts6j8=")</f>
        <v>#REF!</v>
      </c>
      <c r="BM10" t="e">
        <f>IF(#REF!,"PWj5rhts6kA=",0)</f>
        <v>#REF!</v>
      </c>
      <c r="BN10" t="e">
        <f>AND(#REF!,"PWj5rhts6kE=")</f>
        <v>#REF!</v>
      </c>
      <c r="BO10" t="e">
        <f>AND(#REF!,"PWj5rhts6kI=")</f>
        <v>#REF!</v>
      </c>
      <c r="BP10" t="e">
        <f>AND(#REF!,"PWj5rhts6kM=")</f>
        <v>#REF!</v>
      </c>
      <c r="BQ10" t="e">
        <f>AND(#REF!,"PWj5rhts6kQ=")</f>
        <v>#REF!</v>
      </c>
      <c r="BR10" t="e">
        <f>AND(#REF!,"PWj5rhts6kU=")</f>
        <v>#REF!</v>
      </c>
      <c r="BS10" t="e">
        <f>AND(#REF!,"PWj5rhts6kY=")</f>
        <v>#REF!</v>
      </c>
      <c r="BT10" t="e">
        <f>AND(#REF!,"PWj5rhts6kc=")</f>
        <v>#REF!</v>
      </c>
      <c r="BU10" t="e">
        <f>AND(#REF!,"PWj5rhts6kg=")</f>
        <v>#REF!</v>
      </c>
      <c r="BV10" t="e">
        <f>AND(#REF!,"PWj5rhts6kk=")</f>
        <v>#REF!</v>
      </c>
      <c r="BW10" t="e">
        <f>AND(#REF!,"PWj5rhts6ko=")</f>
        <v>#REF!</v>
      </c>
      <c r="BX10" t="e">
        <f>IF(#REF!,"PWj5rhts6ks=",0)</f>
        <v>#REF!</v>
      </c>
      <c r="BY10" t="e">
        <f>IF(#REF!,"PWj5rhts6kw=",0)</f>
        <v>#REF!</v>
      </c>
      <c r="BZ10" t="e">
        <f>IF(#REF!,"PWj5rhts6k0=",0)</f>
        <v>#REF!</v>
      </c>
      <c r="CA10" t="e">
        <f>IF(#REF!,"PWj5rhts6k4=",0)</f>
        <v>#REF!</v>
      </c>
      <c r="CB10" t="e">
        <f>IF(#REF!,"PWj5rhts6k8=",0)</f>
        <v>#REF!</v>
      </c>
      <c r="CC10" t="e">
        <f>IF(#REF!,"PWj5rhts6lA=",0)</f>
        <v>#REF!</v>
      </c>
      <c r="CD10" t="e">
        <f>IF(#REF!,"PWj5rhts6lE=",0)</f>
        <v>#REF!</v>
      </c>
      <c r="CE10" t="e">
        <f>IF(#REF!,"PWj5rhts6lI=",0)</f>
        <v>#REF!</v>
      </c>
      <c r="CF10" t="e">
        <f>IF(#REF!,"PWj5rhts6lM=",0)</f>
        <v>#REF!</v>
      </c>
      <c r="CG10" t="e">
        <f>IF(#REF!,"PWj5rhts6lQ=",0)</f>
        <v>#REF!</v>
      </c>
      <c r="CH10" t="e">
        <f>IF(#REF!,"PWj5rhts6lU=",0)</f>
        <v>#REF!</v>
      </c>
      <c r="CI10" t="e">
        <f>AND(#REF!,"PWj5rhts6lY=")</f>
        <v>#REF!</v>
      </c>
      <c r="CJ10" t="e">
        <f>AND(#REF!,"PWj5rhts6lc=")</f>
        <v>#REF!</v>
      </c>
      <c r="CK10" t="e">
        <f>AND(#REF!,"PWj5rhts6lg=")</f>
        <v>#REF!</v>
      </c>
      <c r="CL10" t="e">
        <f>AND(#REF!,"PWj5rhts6lk=")</f>
        <v>#REF!</v>
      </c>
      <c r="CM10" t="e">
        <f>AND(#REF!,"PWj5rhts6lo=")</f>
        <v>#REF!</v>
      </c>
      <c r="CN10" t="e">
        <f>AND(#REF!,"PWj5rhts6ls=")</f>
        <v>#REF!</v>
      </c>
      <c r="CO10" t="e">
        <f>AND(#REF!,"PWj5rhts6lw=")</f>
        <v>#REF!</v>
      </c>
      <c r="CP10" t="e">
        <f>AND(#REF!,"PWj5rhts6l0=")</f>
        <v>#REF!</v>
      </c>
      <c r="CQ10" t="e">
        <f>AND(#REF!,"PWj5rhts6l4=")</f>
        <v>#REF!</v>
      </c>
      <c r="CR10" t="e">
        <f>IF(#REF!,"PWj5rhts6l8=",0)</f>
        <v>#REF!</v>
      </c>
      <c r="CS10" t="e">
        <f>AND(#REF!,"PWj5rhts6mA=")</f>
        <v>#REF!</v>
      </c>
      <c r="CT10" t="e">
        <f>AND(#REF!,"PWj5rhts6mE=")</f>
        <v>#REF!</v>
      </c>
      <c r="CU10" t="e">
        <f>AND(#REF!,"PWj5rhts6mI=")</f>
        <v>#REF!</v>
      </c>
      <c r="CV10" t="e">
        <f>AND(#REF!,"PWj5rhts6mM=")</f>
        <v>#REF!</v>
      </c>
      <c r="CW10" t="e">
        <f>AND(#REF!,"PWj5rhts6mQ=")</f>
        <v>#REF!</v>
      </c>
      <c r="CX10" t="e">
        <f>AND(#REF!,"PWj5rhts6mU=")</f>
        <v>#REF!</v>
      </c>
      <c r="CY10" t="e">
        <f>AND(#REF!,"PWj5rhts6mY=")</f>
        <v>#REF!</v>
      </c>
      <c r="CZ10" t="e">
        <f>AND(#REF!,"PWj5rhts6mc=")</f>
        <v>#REF!</v>
      </c>
      <c r="DA10" t="e">
        <f>AND(#REF!,"PWj5rhts6mg=")</f>
        <v>#REF!</v>
      </c>
      <c r="DB10" t="e">
        <f>IF(#REF!,"PWj5rhts6mk=",0)</f>
        <v>#REF!</v>
      </c>
      <c r="DC10" t="e">
        <f>AND(#REF!,"PWj5rhts6mo=")</f>
        <v>#REF!</v>
      </c>
      <c r="DD10" t="e">
        <f>AND(#REF!,"PWj5rhts6ms=")</f>
        <v>#REF!</v>
      </c>
      <c r="DE10" t="e">
        <f>AND(#REF!,"PWj5rhts6mw=")</f>
        <v>#REF!</v>
      </c>
      <c r="DF10" t="e">
        <f>AND(#REF!,"PWj5rhts6m0=")</f>
        <v>#REF!</v>
      </c>
      <c r="DG10" t="e">
        <f>AND(#REF!,"PWj5rhts6m4=")</f>
        <v>#REF!</v>
      </c>
      <c r="DH10" t="e">
        <f>AND(#REF!,"PWj5rhts6m8=")</f>
        <v>#REF!</v>
      </c>
      <c r="DI10" t="e">
        <f>AND(#REF!,"PWj5rhts6nA=")</f>
        <v>#REF!</v>
      </c>
      <c r="DJ10" t="e">
        <f>AND(#REF!,"PWj5rhts6nE=")</f>
        <v>#REF!</v>
      </c>
      <c r="DK10" t="e">
        <f>AND(#REF!,"PWj5rhts6nI=")</f>
        <v>#REF!</v>
      </c>
      <c r="DL10" t="e">
        <f>IF(#REF!,"PWj5rhts6nM=",0)</f>
        <v>#REF!</v>
      </c>
      <c r="DM10" t="e">
        <f>AND(#REF!,"PWj5rhts6nQ=")</f>
        <v>#REF!</v>
      </c>
      <c r="DN10" t="e">
        <f>AND(#REF!,"PWj5rhts6nU=")</f>
        <v>#REF!</v>
      </c>
      <c r="DO10" t="e">
        <f>AND(#REF!,"PWj5rhts6nY=")</f>
        <v>#REF!</v>
      </c>
      <c r="DP10" t="e">
        <f>AND(#REF!,"PWj5rhts6nc=")</f>
        <v>#REF!</v>
      </c>
      <c r="DQ10" t="e">
        <f>AND(#REF!,"PWj5rhts6ng=")</f>
        <v>#REF!</v>
      </c>
      <c r="DR10" t="e">
        <f>AND(#REF!,"PWj5rhts6nk=")</f>
        <v>#REF!</v>
      </c>
      <c r="DS10" t="e">
        <f>AND(#REF!,"PWj5rhts6no=")</f>
        <v>#REF!</v>
      </c>
      <c r="DT10" t="e">
        <f>AND(#REF!,"PWj5rhts6ns=")</f>
        <v>#REF!</v>
      </c>
      <c r="DU10" t="e">
        <f>AND(#REF!,"PWj5rhts6nw=")</f>
        <v>#REF!</v>
      </c>
      <c r="DV10" t="e">
        <f>IF(#REF!,"PWj5rhts6n0=",0)</f>
        <v>#REF!</v>
      </c>
      <c r="DW10" t="e">
        <f>AND(#REF!,"PWj5rhts6n4=")</f>
        <v>#REF!</v>
      </c>
      <c r="DX10" t="e">
        <f>AND(#REF!,"PWj5rhts6n8=")</f>
        <v>#REF!</v>
      </c>
      <c r="DY10" t="e">
        <f>AND(#REF!,"PWj5rhts6oA=")</f>
        <v>#REF!</v>
      </c>
      <c r="DZ10" t="e">
        <f>AND(#REF!,"PWj5rhts6oE=")</f>
        <v>#REF!</v>
      </c>
      <c r="EA10" t="e">
        <f>AND(#REF!,"PWj5rhts6oI=")</f>
        <v>#REF!</v>
      </c>
      <c r="EB10" t="e">
        <f>AND(#REF!,"PWj5rhts6oM=")</f>
        <v>#REF!</v>
      </c>
      <c r="EC10" t="e">
        <f>AND(#REF!,"PWj5rhts6oQ=")</f>
        <v>#REF!</v>
      </c>
      <c r="ED10" t="e">
        <f>AND(#REF!,"PWj5rhts6oU=")</f>
        <v>#REF!</v>
      </c>
      <c r="EE10" t="e">
        <f>AND(#REF!,"PWj5rhts6oY=")</f>
        <v>#REF!</v>
      </c>
      <c r="EF10" t="e">
        <f>IF(#REF!,"PWj5rhts6oc=",0)</f>
        <v>#REF!</v>
      </c>
      <c r="EG10" t="e">
        <f>AND(#REF!,"PWj5rhts6og=")</f>
        <v>#REF!</v>
      </c>
      <c r="EH10" t="e">
        <f>AND(#REF!,"PWj5rhts6ok=")</f>
        <v>#REF!</v>
      </c>
      <c r="EI10" t="e">
        <f>AND(#REF!,"PWj5rhts6oo=")</f>
        <v>#REF!</v>
      </c>
      <c r="EJ10" t="e">
        <f>AND(#REF!,"PWj5rhts6os=")</f>
        <v>#REF!</v>
      </c>
      <c r="EK10" t="e">
        <f>AND(#REF!,"PWj5rhts6ow=")</f>
        <v>#REF!</v>
      </c>
      <c r="EL10" t="e">
        <f>AND(#REF!,"PWj5rhts6o0=")</f>
        <v>#REF!</v>
      </c>
      <c r="EM10" t="e">
        <f>AND(#REF!,"PWj5rhts6o4=")</f>
        <v>#REF!</v>
      </c>
      <c r="EN10" t="e">
        <f>AND(#REF!,"PWj5rhts6o8=")</f>
        <v>#REF!</v>
      </c>
      <c r="EO10" t="e">
        <f>AND(#REF!,"PWj5rhts6pA=")</f>
        <v>#REF!</v>
      </c>
      <c r="EP10" t="e">
        <f>IF(#REF!,"PWj5rhts6pE=",0)</f>
        <v>#REF!</v>
      </c>
      <c r="EQ10" t="e">
        <f>AND(#REF!,"PWj5rhts6pI=")</f>
        <v>#REF!</v>
      </c>
      <c r="ER10" t="e">
        <f>AND(#REF!,"PWj5rhts6pM=")</f>
        <v>#REF!</v>
      </c>
      <c r="ES10" t="e">
        <f>AND(#REF!,"PWj5rhts6pQ=")</f>
        <v>#REF!</v>
      </c>
      <c r="ET10" t="e">
        <f>AND(#REF!,"PWj5rhts6pU=")</f>
        <v>#REF!</v>
      </c>
      <c r="EU10" t="e">
        <f>AND(#REF!,"PWj5rhts6pY=")</f>
        <v>#REF!</v>
      </c>
      <c r="EV10" t="e">
        <f>AND(#REF!,"PWj5rhts6pc=")</f>
        <v>#REF!</v>
      </c>
      <c r="EW10" t="e">
        <f>AND(#REF!,"PWj5rhts6pg=")</f>
        <v>#REF!</v>
      </c>
      <c r="EX10" t="e">
        <f>AND(#REF!,"PWj5rhts6pk=")</f>
        <v>#REF!</v>
      </c>
      <c r="EY10" t="e">
        <f>AND(#REF!,"PWj5rhts6po=")</f>
        <v>#REF!</v>
      </c>
      <c r="EZ10" t="e">
        <f>IF(#REF!,"PWj5rhts6ps=",0)</f>
        <v>#REF!</v>
      </c>
      <c r="FA10" t="e">
        <f>AND(#REF!,"PWj5rhts6pw=")</f>
        <v>#REF!</v>
      </c>
      <c r="FB10" t="e">
        <f>AND(#REF!,"PWj5rhts6p0=")</f>
        <v>#REF!</v>
      </c>
      <c r="FC10" t="e">
        <f>AND(#REF!,"PWj5rhts6p4=")</f>
        <v>#REF!</v>
      </c>
      <c r="FD10" t="e">
        <f>AND(#REF!,"PWj5rhts6p8=")</f>
        <v>#REF!</v>
      </c>
      <c r="FE10" t="e">
        <f>AND(#REF!,"PWj5rhts6qA=")</f>
        <v>#REF!</v>
      </c>
      <c r="FF10" t="e">
        <f>AND(#REF!,"PWj5rhts6qE=")</f>
        <v>#REF!</v>
      </c>
      <c r="FG10" t="e">
        <f>AND(#REF!,"PWj5rhts6qI=")</f>
        <v>#REF!</v>
      </c>
      <c r="FH10" t="e">
        <f>AND(#REF!,"PWj5rhts6qM=")</f>
        <v>#REF!</v>
      </c>
      <c r="FI10" t="e">
        <f>AND(#REF!,"PWj5rhts6qQ=")</f>
        <v>#REF!</v>
      </c>
      <c r="FJ10" t="e">
        <f>IF(#REF!,"PWj5rhts6qU=",0)</f>
        <v>#REF!</v>
      </c>
      <c r="FK10" t="e">
        <f>AND(#REF!,"PWj5rhts6qY=")</f>
        <v>#REF!</v>
      </c>
      <c r="FL10" t="e">
        <f>AND(#REF!,"PWj5rhts6qc=")</f>
        <v>#REF!</v>
      </c>
      <c r="FM10" t="e">
        <f>AND(#REF!,"PWj5rhts6qg=")</f>
        <v>#REF!</v>
      </c>
      <c r="FN10" t="e">
        <f>AND(#REF!,"PWj5rhts6qk=")</f>
        <v>#REF!</v>
      </c>
      <c r="FO10" t="e">
        <f>AND(#REF!,"PWj5rhts6qo=")</f>
        <v>#REF!</v>
      </c>
      <c r="FP10" t="e">
        <f>AND(#REF!,"PWj5rhts6qs=")</f>
        <v>#REF!</v>
      </c>
      <c r="FQ10" t="e">
        <f>AND(#REF!,"PWj5rhts6qw=")</f>
        <v>#REF!</v>
      </c>
      <c r="FR10" t="e">
        <f>AND(#REF!,"PWj5rhts6q0=")</f>
        <v>#REF!</v>
      </c>
      <c r="FS10" t="e">
        <f>AND(#REF!,"PWj5rhts6q4=")</f>
        <v>#REF!</v>
      </c>
      <c r="FT10" t="e">
        <f>IF(#REF!,"PWj5rhts6q8=",0)</f>
        <v>#REF!</v>
      </c>
      <c r="FU10" t="e">
        <f>AND(#REF!,"PWj5rhts6rA=")</f>
        <v>#REF!</v>
      </c>
      <c r="FV10" t="e">
        <f>AND(#REF!,"PWj5rhts6rE=")</f>
        <v>#REF!</v>
      </c>
      <c r="FW10" t="e">
        <f>AND(#REF!,"PWj5rhts6rI=")</f>
        <v>#REF!</v>
      </c>
      <c r="FX10" t="e">
        <f>AND(#REF!,"PWj5rhts6rM=")</f>
        <v>#REF!</v>
      </c>
      <c r="FY10" t="e">
        <f>AND(#REF!,"PWj5rhts6rQ=")</f>
        <v>#REF!</v>
      </c>
      <c r="FZ10" t="e">
        <f>AND(#REF!,"PWj5rhts6rU=")</f>
        <v>#REF!</v>
      </c>
      <c r="GA10" t="e">
        <f>AND(#REF!,"PWj5rhts6rY=")</f>
        <v>#REF!</v>
      </c>
      <c r="GB10" t="e">
        <f>AND(#REF!,"PWj5rhts6rc=")</f>
        <v>#REF!</v>
      </c>
      <c r="GC10" t="e">
        <f>AND(#REF!,"PWj5rhts6rg=")</f>
        <v>#REF!</v>
      </c>
      <c r="GD10" t="e">
        <f>IF(#REF!,"PWj5rhts6rk=",0)</f>
        <v>#REF!</v>
      </c>
      <c r="GE10" t="e">
        <f>AND(#REF!,"PWj5rhts6ro=")</f>
        <v>#REF!</v>
      </c>
      <c r="GF10" t="e">
        <f>AND(#REF!,"PWj5rhts6rs=")</f>
        <v>#REF!</v>
      </c>
      <c r="GG10" t="e">
        <f>AND(#REF!,"PWj5rhts6rw=")</f>
        <v>#REF!</v>
      </c>
      <c r="GH10" t="e">
        <f>AND(#REF!,"PWj5rhts6r0=")</f>
        <v>#REF!</v>
      </c>
      <c r="GI10" t="e">
        <f>AND(#REF!,"PWj5rhts6r4=")</f>
        <v>#REF!</v>
      </c>
      <c r="GJ10" t="e">
        <f>AND(#REF!,"PWj5rhts6r8=")</f>
        <v>#REF!</v>
      </c>
      <c r="GK10" t="e">
        <f>AND(#REF!,"PWj5rhts6sA=")</f>
        <v>#REF!</v>
      </c>
      <c r="GL10" t="e">
        <f>AND(#REF!,"PWj5rhts6sE=")</f>
        <v>#REF!</v>
      </c>
      <c r="GM10" t="e">
        <f>AND(#REF!,"PWj5rhts6sI=")</f>
        <v>#REF!</v>
      </c>
      <c r="GN10" t="e">
        <f>IF(#REF!,"PWj5rhts6sM=",0)</f>
        <v>#REF!</v>
      </c>
      <c r="GO10" t="e">
        <f>AND(#REF!,"PWj5rhts6sQ=")</f>
        <v>#REF!</v>
      </c>
      <c r="GP10" t="e">
        <f>AND(#REF!,"PWj5rhts6sU=")</f>
        <v>#REF!</v>
      </c>
      <c r="GQ10" t="e">
        <f>AND(#REF!,"PWj5rhts6sY=")</f>
        <v>#REF!</v>
      </c>
      <c r="GR10" t="e">
        <f>AND(#REF!,"PWj5rhts6sc=")</f>
        <v>#REF!</v>
      </c>
      <c r="GS10" t="e">
        <f>AND(#REF!,"PWj5rhts6sg=")</f>
        <v>#REF!</v>
      </c>
      <c r="GT10" t="e">
        <f>AND(#REF!,"PWj5rhts6sk=")</f>
        <v>#REF!</v>
      </c>
      <c r="GU10" t="e">
        <f>AND(#REF!,"PWj5rhts6so=")</f>
        <v>#REF!</v>
      </c>
      <c r="GV10" t="e">
        <f>AND(#REF!,"PWj5rhts6ss=")</f>
        <v>#REF!</v>
      </c>
      <c r="GW10" t="e">
        <f>AND(#REF!,"PWj5rhts6sw=")</f>
        <v>#REF!</v>
      </c>
      <c r="GX10" t="e">
        <f>IF(#REF!,"PWj5rhts6s0=",0)</f>
        <v>#REF!</v>
      </c>
      <c r="GY10" t="e">
        <f>AND(#REF!,"PWj5rhts6s4=")</f>
        <v>#REF!</v>
      </c>
      <c r="GZ10" t="e">
        <f>AND(#REF!,"PWj5rhts6s8=")</f>
        <v>#REF!</v>
      </c>
      <c r="HA10" t="e">
        <f>AND(#REF!,"PWj5rhts6tA=")</f>
        <v>#REF!</v>
      </c>
      <c r="HB10" t="e">
        <f>AND(#REF!,"PWj5rhts6tE=")</f>
        <v>#REF!</v>
      </c>
      <c r="HC10" t="e">
        <f>AND(#REF!,"PWj5rhts6tI=")</f>
        <v>#REF!</v>
      </c>
      <c r="HD10" t="e">
        <f>AND(#REF!,"PWj5rhts6tM=")</f>
        <v>#REF!</v>
      </c>
      <c r="HE10" t="e">
        <f>AND(#REF!,"PWj5rhts6tQ=")</f>
        <v>#REF!</v>
      </c>
      <c r="HF10" t="e">
        <f>AND(#REF!,"PWj5rhts6tU=")</f>
        <v>#REF!</v>
      </c>
      <c r="HG10" t="e">
        <f>AND(#REF!,"PWj5rhts6tY=")</f>
        <v>#REF!</v>
      </c>
      <c r="HH10" t="e">
        <f>IF(#REF!,"PWj5rhts6tc=",0)</f>
        <v>#REF!</v>
      </c>
      <c r="HI10" t="e">
        <f>AND(#REF!,"PWj5rhts6tg=")</f>
        <v>#REF!</v>
      </c>
      <c r="HJ10" t="e">
        <f>AND(#REF!,"PWj5rhts6tk=")</f>
        <v>#REF!</v>
      </c>
      <c r="HK10" t="e">
        <f>AND(#REF!,"PWj5rhts6to=")</f>
        <v>#REF!</v>
      </c>
      <c r="HL10" t="e">
        <f>AND(#REF!,"PWj5rhts6ts=")</f>
        <v>#REF!</v>
      </c>
      <c r="HM10" t="e">
        <f>AND(#REF!,"PWj5rhts6tw=")</f>
        <v>#REF!</v>
      </c>
      <c r="HN10" t="e">
        <f>AND(#REF!,"PWj5rhts6t0=")</f>
        <v>#REF!</v>
      </c>
      <c r="HO10" t="e">
        <f>AND(#REF!,"PWj5rhts6t4=")</f>
        <v>#REF!</v>
      </c>
      <c r="HP10" t="e">
        <f>AND(#REF!,"PWj5rhts6t8=")</f>
        <v>#REF!</v>
      </c>
      <c r="HQ10" t="e">
        <f>AND(#REF!,"PWj5rhts6uA=")</f>
        <v>#REF!</v>
      </c>
      <c r="HR10" t="e">
        <f>IF(#REF!,"PWj5rhts6uE=",0)</f>
        <v>#REF!</v>
      </c>
      <c r="HS10" t="e">
        <f>AND(#REF!,"PWj5rhts6uI=")</f>
        <v>#REF!</v>
      </c>
      <c r="HT10" t="e">
        <f>AND(#REF!,"PWj5rhts6uM=")</f>
        <v>#REF!</v>
      </c>
      <c r="HU10" t="e">
        <f>AND(#REF!,"PWj5rhts6uQ=")</f>
        <v>#REF!</v>
      </c>
      <c r="HV10" t="e">
        <f>AND(#REF!,"PWj5rhts6uU=")</f>
        <v>#REF!</v>
      </c>
      <c r="HW10" t="e">
        <f>AND(#REF!,"PWj5rhts6uY=")</f>
        <v>#REF!</v>
      </c>
      <c r="HX10" t="e">
        <f>AND(#REF!,"PWj5rhts6uc=")</f>
        <v>#REF!</v>
      </c>
      <c r="HY10" t="e">
        <f>AND(#REF!,"PWj5rhts6ug=")</f>
        <v>#REF!</v>
      </c>
      <c r="HZ10" t="e">
        <f>AND(#REF!,"PWj5rhts6uk=")</f>
        <v>#REF!</v>
      </c>
      <c r="IA10" t="e">
        <f>AND(#REF!,"PWj5rhts6uo=")</f>
        <v>#REF!</v>
      </c>
      <c r="IB10" t="e">
        <f>IF(#REF!,"PWj5rhts6us=",0)</f>
        <v>#REF!</v>
      </c>
      <c r="IC10" t="e">
        <f>AND(#REF!,"PWj5rhts6uw=")</f>
        <v>#REF!</v>
      </c>
      <c r="ID10" t="e">
        <f>AND(#REF!,"PWj5rhts6u0=")</f>
        <v>#REF!</v>
      </c>
      <c r="IE10" t="e">
        <f>AND(#REF!,"PWj5rhts6u4=")</f>
        <v>#REF!</v>
      </c>
      <c r="IF10" t="e">
        <f>AND(#REF!,"PWj5rhts6u8=")</f>
        <v>#REF!</v>
      </c>
      <c r="IG10" t="e">
        <f>AND(#REF!,"PWj5rhts6vA=")</f>
        <v>#REF!</v>
      </c>
      <c r="IH10" t="e">
        <f>AND(#REF!,"PWj5rhts6vE=")</f>
        <v>#REF!</v>
      </c>
      <c r="II10" t="e">
        <f>AND(#REF!,"PWj5rhts6vI=")</f>
        <v>#REF!</v>
      </c>
      <c r="IJ10" t="e">
        <f>AND(#REF!,"PWj5rhts6vM=")</f>
        <v>#REF!</v>
      </c>
      <c r="IK10" t="e">
        <f>AND(#REF!,"PWj5rhts6vQ=")</f>
        <v>#REF!</v>
      </c>
      <c r="IL10" t="e">
        <f>IF(#REF!,"PWj5rhts6vU=",0)</f>
        <v>#REF!</v>
      </c>
      <c r="IM10" t="e">
        <f>AND(#REF!,"PWj5rhts6vY=")</f>
        <v>#REF!</v>
      </c>
      <c r="IN10" t="e">
        <f>AND(#REF!,"PWj5rhts6vc=")</f>
        <v>#REF!</v>
      </c>
      <c r="IO10" t="e">
        <f>AND(#REF!,"PWj5rhts6vg=")</f>
        <v>#REF!</v>
      </c>
      <c r="IP10" t="e">
        <f>AND(#REF!,"PWj5rhts6vk=")</f>
        <v>#REF!</v>
      </c>
      <c r="IQ10" t="e">
        <f>AND(#REF!,"PWj5rhts6vo=")</f>
        <v>#REF!</v>
      </c>
      <c r="IR10" t="e">
        <f>AND(#REF!,"PWj5rhts6vs=")</f>
        <v>#REF!</v>
      </c>
      <c r="IS10" t="e">
        <f>AND(#REF!,"PWj5rhts6vw=")</f>
        <v>#REF!</v>
      </c>
      <c r="IT10" t="e">
        <f>AND(#REF!,"PWj5rhts6v0=")</f>
        <v>#REF!</v>
      </c>
      <c r="IU10" t="e">
        <f>AND(#REF!,"PWj5rhts6v4=")</f>
        <v>#REF!</v>
      </c>
      <c r="IV10" t="e">
        <f>IF(#REF!,"PWj5rhts6v8=",0)</f>
        <v>#REF!</v>
      </c>
    </row>
    <row r="11" spans="1:256" x14ac:dyDescent="0.2">
      <c r="A11" t="e">
        <f>AND(#REF!,"DXDf8kBFSgA=")</f>
        <v>#REF!</v>
      </c>
      <c r="B11" t="e">
        <f>AND(#REF!,"DXDf8kBFSgE=")</f>
        <v>#REF!</v>
      </c>
      <c r="C11" t="e">
        <f>AND(#REF!,"DXDf8kBFSgI=")</f>
        <v>#REF!</v>
      </c>
      <c r="D11" t="e">
        <f>AND(#REF!,"DXDf8kBFSgM=")</f>
        <v>#REF!</v>
      </c>
      <c r="E11" t="e">
        <f>AND(#REF!,"DXDf8kBFSgQ=")</f>
        <v>#REF!</v>
      </c>
      <c r="F11" t="e">
        <f>AND(#REF!,"DXDf8kBFSgU=")</f>
        <v>#REF!</v>
      </c>
      <c r="G11" t="e">
        <f>AND(#REF!,"DXDf8kBFSgY=")</f>
        <v>#REF!</v>
      </c>
      <c r="H11" t="e">
        <f>AND(#REF!,"DXDf8kBFSgc=")</f>
        <v>#REF!</v>
      </c>
      <c r="I11" t="e">
        <f>AND(#REF!,"DXDf8kBFSgg=")</f>
        <v>#REF!</v>
      </c>
      <c r="J11" t="e">
        <f>IF(#REF!,"DXDf8kBFSgk=",0)</f>
        <v>#REF!</v>
      </c>
      <c r="K11" t="e">
        <f>AND(#REF!,"DXDf8kBFSgo=")</f>
        <v>#REF!</v>
      </c>
      <c r="L11" t="e">
        <f>AND(#REF!,"DXDf8kBFSgs=")</f>
        <v>#REF!</v>
      </c>
      <c r="M11" t="e">
        <f>AND(#REF!,"DXDf8kBFSgw=")</f>
        <v>#REF!</v>
      </c>
      <c r="N11" t="e">
        <f>AND(#REF!,"DXDf8kBFSg0=")</f>
        <v>#REF!</v>
      </c>
      <c r="O11" t="e">
        <f>AND(#REF!,"DXDf8kBFSg4=")</f>
        <v>#REF!</v>
      </c>
      <c r="P11" t="e">
        <f>AND(#REF!,"DXDf8kBFSg8=")</f>
        <v>#REF!</v>
      </c>
      <c r="Q11" t="e">
        <f>AND(#REF!,"DXDf8kBFShA=")</f>
        <v>#REF!</v>
      </c>
      <c r="R11" t="e">
        <f>AND(#REF!,"DXDf8kBFShE=")</f>
        <v>#REF!</v>
      </c>
      <c r="S11" t="e">
        <f>AND(#REF!,"DXDf8kBFShI=")</f>
        <v>#REF!</v>
      </c>
      <c r="T11" t="e">
        <f>IF(#REF!,"DXDf8kBFShM=",0)</f>
        <v>#REF!</v>
      </c>
      <c r="U11" t="e">
        <f>AND(#REF!,"DXDf8kBFShQ=")</f>
        <v>#REF!</v>
      </c>
      <c r="V11" t="e">
        <f>AND(#REF!,"DXDf8kBFShU=")</f>
        <v>#REF!</v>
      </c>
      <c r="W11" t="e">
        <f>AND(#REF!,"DXDf8kBFShY=")</f>
        <v>#REF!</v>
      </c>
      <c r="X11" t="e">
        <f>AND(#REF!,"DXDf8kBFShc=")</f>
        <v>#REF!</v>
      </c>
      <c r="Y11" t="e">
        <f>AND(#REF!,"DXDf8kBFShg=")</f>
        <v>#REF!</v>
      </c>
      <c r="Z11" t="e">
        <f>AND(#REF!,"DXDf8kBFShk=")</f>
        <v>#REF!</v>
      </c>
      <c r="AA11" t="e">
        <f>AND(#REF!,"DXDf8kBFSho=")</f>
        <v>#REF!</v>
      </c>
      <c r="AB11" t="e">
        <f>AND(#REF!,"DXDf8kBFShs=")</f>
        <v>#REF!</v>
      </c>
      <c r="AC11" t="e">
        <f>AND(#REF!,"DXDf8kBFShw=")</f>
        <v>#REF!</v>
      </c>
      <c r="AD11" t="e">
        <f>IF(#REF!,"DXDf8kBFSh0=",0)</f>
        <v>#REF!</v>
      </c>
      <c r="AE11" t="e">
        <f>AND(#REF!,"DXDf8kBFSh4=")</f>
        <v>#REF!</v>
      </c>
      <c r="AF11" t="e">
        <f>AND(#REF!,"DXDf8kBFSh8=")</f>
        <v>#REF!</v>
      </c>
      <c r="AG11" t="e">
        <f>AND(#REF!,"DXDf8kBFSiA=")</f>
        <v>#REF!</v>
      </c>
      <c r="AH11" t="e">
        <f>AND(#REF!,"DXDf8kBFSiE=")</f>
        <v>#REF!</v>
      </c>
      <c r="AI11" t="e">
        <f>AND(#REF!,"DXDf8kBFSiI=")</f>
        <v>#REF!</v>
      </c>
      <c r="AJ11" t="e">
        <f>AND(#REF!,"DXDf8kBFSiM=")</f>
        <v>#REF!</v>
      </c>
      <c r="AK11" t="e">
        <f>AND(#REF!,"DXDf8kBFSiQ=")</f>
        <v>#REF!</v>
      </c>
      <c r="AL11" t="e">
        <f>AND(#REF!,"DXDf8kBFSiU=")</f>
        <v>#REF!</v>
      </c>
      <c r="AM11" t="e">
        <f>AND(#REF!,"DXDf8kBFSiY=")</f>
        <v>#REF!</v>
      </c>
      <c r="AN11" t="e">
        <f>IF(#REF!,"DXDf8kBFSic=",0)</f>
        <v>#REF!</v>
      </c>
      <c r="AO11" t="e">
        <f>AND(#REF!,"DXDf8kBFSig=")</f>
        <v>#REF!</v>
      </c>
      <c r="AP11" t="e">
        <f>AND(#REF!,"DXDf8kBFSik=")</f>
        <v>#REF!</v>
      </c>
      <c r="AQ11" t="e">
        <f>AND(#REF!,"DXDf8kBFSio=")</f>
        <v>#REF!</v>
      </c>
      <c r="AR11" t="e">
        <f>AND(#REF!,"DXDf8kBFSis=")</f>
        <v>#REF!</v>
      </c>
      <c r="AS11" t="e">
        <f>AND(#REF!,"DXDf8kBFSiw=")</f>
        <v>#REF!</v>
      </c>
      <c r="AT11" t="e">
        <f>AND(#REF!,"DXDf8kBFSi0=")</f>
        <v>#REF!</v>
      </c>
      <c r="AU11" t="e">
        <f>AND(#REF!,"DXDf8kBFSi4=")</f>
        <v>#REF!</v>
      </c>
      <c r="AV11" t="e">
        <f>AND(#REF!,"DXDf8kBFSi8=")</f>
        <v>#REF!</v>
      </c>
      <c r="AW11" t="e">
        <f>AND(#REF!,"DXDf8kBFSjA=")</f>
        <v>#REF!</v>
      </c>
      <c r="AX11" t="e">
        <f>IF(#REF!,"DXDf8kBFSjE=",0)</f>
        <v>#REF!</v>
      </c>
      <c r="AY11" t="e">
        <f>AND(#REF!,"DXDf8kBFSjI=")</f>
        <v>#REF!</v>
      </c>
      <c r="AZ11" t="e">
        <f>AND(#REF!,"DXDf8kBFSjM=")</f>
        <v>#REF!</v>
      </c>
      <c r="BA11" t="e">
        <f>AND(#REF!,"DXDf8kBFSjQ=")</f>
        <v>#REF!</v>
      </c>
      <c r="BB11" t="e">
        <f>AND(#REF!,"DXDf8kBFSjU=")</f>
        <v>#REF!</v>
      </c>
      <c r="BC11" t="e">
        <f>AND(#REF!,"DXDf8kBFSjY=")</f>
        <v>#REF!</v>
      </c>
      <c r="BD11" t="e">
        <f>AND(#REF!,"DXDf8kBFSjc=")</f>
        <v>#REF!</v>
      </c>
      <c r="BE11" t="e">
        <f>AND(#REF!,"DXDf8kBFSjg=")</f>
        <v>#REF!</v>
      </c>
      <c r="BF11" t="e">
        <f>AND(#REF!,"DXDf8kBFSjk=")</f>
        <v>#REF!</v>
      </c>
      <c r="BG11" t="e">
        <f>AND(#REF!,"DXDf8kBFSjo=")</f>
        <v>#REF!</v>
      </c>
      <c r="BH11" t="e">
        <f>IF(#REF!,"DXDf8kBFSjs=",0)</f>
        <v>#REF!</v>
      </c>
      <c r="BI11" t="e">
        <f>AND(#REF!,"DXDf8kBFSjw=")</f>
        <v>#REF!</v>
      </c>
      <c r="BJ11" t="e">
        <f>AND(#REF!,"DXDf8kBFSj0=")</f>
        <v>#REF!</v>
      </c>
      <c r="BK11" t="e">
        <f>AND(#REF!,"DXDf8kBFSj4=")</f>
        <v>#REF!</v>
      </c>
      <c r="BL11" t="e">
        <f>AND(#REF!,"DXDf8kBFSj8=")</f>
        <v>#REF!</v>
      </c>
      <c r="BM11" t="e">
        <f>AND(#REF!,"DXDf8kBFSkA=")</f>
        <v>#REF!</v>
      </c>
      <c r="BN11" t="e">
        <f>AND(#REF!,"DXDf8kBFSkE=")</f>
        <v>#REF!</v>
      </c>
      <c r="BO11" t="e">
        <f>AND(#REF!,"DXDf8kBFSkI=")</f>
        <v>#REF!</v>
      </c>
      <c r="BP11" t="e">
        <f>AND(#REF!,"DXDf8kBFSkM=")</f>
        <v>#REF!</v>
      </c>
      <c r="BQ11" t="e">
        <f>AND(#REF!,"DXDf8kBFSkQ=")</f>
        <v>#REF!</v>
      </c>
      <c r="BR11" t="e">
        <f>IF(#REF!,"DXDf8kBFSkU=",0)</f>
        <v>#REF!</v>
      </c>
      <c r="BS11" t="e">
        <f>AND(#REF!,"DXDf8kBFSkY=")</f>
        <v>#REF!</v>
      </c>
      <c r="BT11" t="e">
        <f>AND(#REF!,"DXDf8kBFSkc=")</f>
        <v>#REF!</v>
      </c>
      <c r="BU11" t="e">
        <f>AND(#REF!,"DXDf8kBFSkg=")</f>
        <v>#REF!</v>
      </c>
      <c r="BV11" t="e">
        <f>AND(#REF!,"DXDf8kBFSkk=")</f>
        <v>#REF!</v>
      </c>
      <c r="BW11" t="e">
        <f>AND(#REF!,"DXDf8kBFSko=")</f>
        <v>#REF!</v>
      </c>
      <c r="BX11" t="e">
        <f>AND(#REF!,"DXDf8kBFSks=")</f>
        <v>#REF!</v>
      </c>
      <c r="BY11" t="e">
        <f>AND(#REF!,"DXDf8kBFSkw=")</f>
        <v>#REF!</v>
      </c>
      <c r="BZ11" t="e">
        <f>AND(#REF!,"DXDf8kBFSk0=")</f>
        <v>#REF!</v>
      </c>
      <c r="CA11" t="e">
        <f>AND(#REF!,"DXDf8kBFSk4=")</f>
        <v>#REF!</v>
      </c>
      <c r="CB11" t="e">
        <f>IF(#REF!,"DXDf8kBFSk8=",0)</f>
        <v>#REF!</v>
      </c>
      <c r="CC11" t="e">
        <f>AND(#REF!,"DXDf8kBFSlA=")</f>
        <v>#REF!</v>
      </c>
      <c r="CD11" t="e">
        <f>AND(#REF!,"DXDf8kBFSlE=")</f>
        <v>#REF!</v>
      </c>
      <c r="CE11" t="e">
        <f>AND(#REF!,"DXDf8kBFSlI=")</f>
        <v>#REF!</v>
      </c>
      <c r="CF11" t="e">
        <f>AND(#REF!,"DXDf8kBFSlM=")</f>
        <v>#REF!</v>
      </c>
      <c r="CG11" t="e">
        <f>AND(#REF!,"DXDf8kBFSlQ=")</f>
        <v>#REF!</v>
      </c>
      <c r="CH11" t="e">
        <f>AND(#REF!,"DXDf8kBFSlU=")</f>
        <v>#REF!</v>
      </c>
      <c r="CI11" t="e">
        <f>AND(#REF!,"DXDf8kBFSlY=")</f>
        <v>#REF!</v>
      </c>
      <c r="CJ11" t="e">
        <f>AND(#REF!,"DXDf8kBFSlc=")</f>
        <v>#REF!</v>
      </c>
      <c r="CK11" t="e">
        <f>AND(#REF!,"DXDf8kBFSlg=")</f>
        <v>#REF!</v>
      </c>
      <c r="CL11" t="e">
        <f>IF(#REF!,"DXDf8kBFSlk=",0)</f>
        <v>#REF!</v>
      </c>
      <c r="CM11" t="e">
        <f>AND(#REF!,"DXDf8kBFSlo=")</f>
        <v>#REF!</v>
      </c>
      <c r="CN11" t="e">
        <f>AND(#REF!,"DXDf8kBFSls=")</f>
        <v>#REF!</v>
      </c>
      <c r="CO11" t="e">
        <f>AND(#REF!,"DXDf8kBFSlw=")</f>
        <v>#REF!</v>
      </c>
      <c r="CP11" t="e">
        <f>AND(#REF!,"DXDf8kBFSl0=")</f>
        <v>#REF!</v>
      </c>
      <c r="CQ11" t="e">
        <f>AND(#REF!,"DXDf8kBFSl4=")</f>
        <v>#REF!</v>
      </c>
      <c r="CR11" t="e">
        <f>AND(#REF!,"DXDf8kBFSl8=")</f>
        <v>#REF!</v>
      </c>
      <c r="CS11" t="e">
        <f>AND(#REF!,"DXDf8kBFSmA=")</f>
        <v>#REF!</v>
      </c>
      <c r="CT11" t="e">
        <f>AND(#REF!,"DXDf8kBFSmE=")</f>
        <v>#REF!</v>
      </c>
      <c r="CU11" t="e">
        <f>AND(#REF!,"DXDf8kBFSmI=")</f>
        <v>#REF!</v>
      </c>
      <c r="CV11" t="e">
        <f>IF(#REF!,"DXDf8kBFSmM=",0)</f>
        <v>#REF!</v>
      </c>
      <c r="CW11" t="e">
        <f>AND(#REF!,"DXDf8kBFSmQ=")</f>
        <v>#REF!</v>
      </c>
      <c r="CX11" t="e">
        <f>AND(#REF!,"DXDf8kBFSmU=")</f>
        <v>#REF!</v>
      </c>
      <c r="CY11" t="e">
        <f>AND(#REF!,"DXDf8kBFSmY=")</f>
        <v>#REF!</v>
      </c>
      <c r="CZ11" t="e">
        <f>AND(#REF!,"DXDf8kBFSmc=")</f>
        <v>#REF!</v>
      </c>
      <c r="DA11" t="e">
        <f>AND(#REF!,"DXDf8kBFSmg=")</f>
        <v>#REF!</v>
      </c>
      <c r="DB11" t="e">
        <f>AND(#REF!,"DXDf8kBFSmk=")</f>
        <v>#REF!</v>
      </c>
      <c r="DC11" t="e">
        <f>AND(#REF!,"DXDf8kBFSmo=")</f>
        <v>#REF!</v>
      </c>
      <c r="DD11" t="e">
        <f>AND(#REF!,"DXDf8kBFSms=")</f>
        <v>#REF!</v>
      </c>
      <c r="DE11" t="e">
        <f>AND(#REF!,"DXDf8kBFSmw=")</f>
        <v>#REF!</v>
      </c>
      <c r="DF11" t="e">
        <f>IF(#REF!,"DXDf8kBFSm0=",0)</f>
        <v>#REF!</v>
      </c>
      <c r="DG11" t="e">
        <f>AND(#REF!,"DXDf8kBFSm4=")</f>
        <v>#REF!</v>
      </c>
      <c r="DH11" t="e">
        <f>AND(#REF!,"DXDf8kBFSm8=")</f>
        <v>#REF!</v>
      </c>
      <c r="DI11" t="e">
        <f>AND(#REF!,"DXDf8kBFSnA=")</f>
        <v>#REF!</v>
      </c>
      <c r="DJ11" t="e">
        <f>AND(#REF!,"DXDf8kBFSnE=")</f>
        <v>#REF!</v>
      </c>
      <c r="DK11" t="e">
        <f>AND(#REF!,"DXDf8kBFSnI=")</f>
        <v>#REF!</v>
      </c>
      <c r="DL11" t="e">
        <f>AND(#REF!,"DXDf8kBFSnM=")</f>
        <v>#REF!</v>
      </c>
      <c r="DM11" t="e">
        <f>AND(#REF!,"DXDf8kBFSnQ=")</f>
        <v>#REF!</v>
      </c>
      <c r="DN11" t="e">
        <f>AND(#REF!,"DXDf8kBFSnU=")</f>
        <v>#REF!</v>
      </c>
      <c r="DO11" t="e">
        <f>AND(#REF!,"DXDf8kBFSnY=")</f>
        <v>#REF!</v>
      </c>
      <c r="DP11" t="e">
        <f>IF(#REF!,"DXDf8kBFSnc=",0)</f>
        <v>#REF!</v>
      </c>
      <c r="DQ11" t="e">
        <f>AND(#REF!,"DXDf8kBFSng=")</f>
        <v>#REF!</v>
      </c>
      <c r="DR11" t="e">
        <f>AND(#REF!,"DXDf8kBFSnk=")</f>
        <v>#REF!</v>
      </c>
      <c r="DS11" t="e">
        <f>AND(#REF!,"DXDf8kBFSno=")</f>
        <v>#REF!</v>
      </c>
      <c r="DT11" t="e">
        <f>AND(#REF!,"DXDf8kBFSns=")</f>
        <v>#REF!</v>
      </c>
      <c r="DU11" t="e">
        <f>AND(#REF!,"DXDf8kBFSnw=")</f>
        <v>#REF!</v>
      </c>
      <c r="DV11" t="e">
        <f>AND(#REF!,"DXDf8kBFSn0=")</f>
        <v>#REF!</v>
      </c>
      <c r="DW11" t="e">
        <f>AND(#REF!,"DXDf8kBFSn4=")</f>
        <v>#REF!</v>
      </c>
      <c r="DX11" t="e">
        <f>AND(#REF!,"DXDf8kBFSn8=")</f>
        <v>#REF!</v>
      </c>
      <c r="DY11" t="e">
        <f>AND(#REF!,"DXDf8kBFSoA=")</f>
        <v>#REF!</v>
      </c>
      <c r="DZ11" t="e">
        <f>IF(#REF!,"DXDf8kBFSoE=",0)</f>
        <v>#REF!</v>
      </c>
      <c r="EA11" t="e">
        <f>AND(#REF!,"DXDf8kBFSoI=")</f>
        <v>#REF!</v>
      </c>
      <c r="EB11" t="e">
        <f>AND(#REF!,"DXDf8kBFSoM=")</f>
        <v>#REF!</v>
      </c>
      <c r="EC11" t="e">
        <f>AND(#REF!,"DXDf8kBFSoQ=")</f>
        <v>#REF!</v>
      </c>
      <c r="ED11" t="e">
        <f>AND(#REF!,"DXDf8kBFSoU=")</f>
        <v>#REF!</v>
      </c>
      <c r="EE11" t="e">
        <f>AND(#REF!,"DXDf8kBFSoY=")</f>
        <v>#REF!</v>
      </c>
      <c r="EF11" t="e">
        <f>AND(#REF!,"DXDf8kBFSoc=")</f>
        <v>#REF!</v>
      </c>
      <c r="EG11" t="e">
        <f>AND(#REF!,"DXDf8kBFSog=")</f>
        <v>#REF!</v>
      </c>
      <c r="EH11" t="e">
        <f>AND(#REF!,"DXDf8kBFSok=")</f>
        <v>#REF!</v>
      </c>
      <c r="EI11" t="e">
        <f>AND(#REF!,"DXDf8kBFSoo=")</f>
        <v>#REF!</v>
      </c>
      <c r="EJ11" t="e">
        <f>IF(#REF!,"DXDf8kBFSos=",0)</f>
        <v>#REF!</v>
      </c>
      <c r="EK11" t="e">
        <f>AND(#REF!,"DXDf8kBFSow=")</f>
        <v>#REF!</v>
      </c>
      <c r="EL11" t="e">
        <f>AND(#REF!,"DXDf8kBFSo0=")</f>
        <v>#REF!</v>
      </c>
      <c r="EM11" t="e">
        <f>AND(#REF!,"DXDf8kBFSo4=")</f>
        <v>#REF!</v>
      </c>
      <c r="EN11" t="e">
        <f>AND(#REF!,"DXDf8kBFSo8=")</f>
        <v>#REF!</v>
      </c>
      <c r="EO11" t="e">
        <f>AND(#REF!,"DXDf8kBFSpA=")</f>
        <v>#REF!</v>
      </c>
      <c r="EP11" t="e">
        <f>AND(#REF!,"DXDf8kBFSpE=")</f>
        <v>#REF!</v>
      </c>
      <c r="EQ11" t="e">
        <f>AND(#REF!,"DXDf8kBFSpI=")</f>
        <v>#REF!</v>
      </c>
      <c r="ER11" t="e">
        <f>AND(#REF!,"DXDf8kBFSpM=")</f>
        <v>#REF!</v>
      </c>
      <c r="ES11" t="e">
        <f>AND(#REF!,"DXDf8kBFSpQ=")</f>
        <v>#REF!</v>
      </c>
      <c r="ET11" t="e">
        <f>IF(#REF!,"DXDf8kBFSpU=",0)</f>
        <v>#REF!</v>
      </c>
      <c r="EU11" t="e">
        <f>AND(#REF!,"DXDf8kBFSpY=")</f>
        <v>#REF!</v>
      </c>
      <c r="EV11" t="e">
        <f>AND(#REF!,"DXDf8kBFSpc=")</f>
        <v>#REF!</v>
      </c>
      <c r="EW11" t="e">
        <f>AND(#REF!,"DXDf8kBFSpg=")</f>
        <v>#REF!</v>
      </c>
      <c r="EX11" t="e">
        <f>AND(#REF!,"DXDf8kBFSpk=")</f>
        <v>#REF!</v>
      </c>
      <c r="EY11" t="e">
        <f>AND(#REF!,"DXDf8kBFSpo=")</f>
        <v>#REF!</v>
      </c>
      <c r="EZ11" t="e">
        <f>AND(#REF!,"DXDf8kBFSps=")</f>
        <v>#REF!</v>
      </c>
      <c r="FA11" t="e">
        <f>AND(#REF!,"DXDf8kBFSpw=")</f>
        <v>#REF!</v>
      </c>
      <c r="FB11" t="e">
        <f>AND(#REF!,"DXDf8kBFSp0=")</f>
        <v>#REF!</v>
      </c>
      <c r="FC11" t="e">
        <f>AND(#REF!,"DXDf8kBFSp4=")</f>
        <v>#REF!</v>
      </c>
      <c r="FD11" t="e">
        <f>IF(#REF!,"DXDf8kBFSp8=",0)</f>
        <v>#REF!</v>
      </c>
      <c r="FE11" t="e">
        <f>AND(#REF!,"DXDf8kBFSqA=")</f>
        <v>#REF!</v>
      </c>
      <c r="FF11" t="e">
        <f>AND(#REF!,"DXDf8kBFSqE=")</f>
        <v>#REF!</v>
      </c>
      <c r="FG11" t="e">
        <f>AND(#REF!,"DXDf8kBFSqI=")</f>
        <v>#REF!</v>
      </c>
      <c r="FH11" t="e">
        <f>AND(#REF!,"DXDf8kBFSqM=")</f>
        <v>#REF!</v>
      </c>
      <c r="FI11" t="e">
        <f>AND(#REF!,"DXDf8kBFSqQ=")</f>
        <v>#REF!</v>
      </c>
      <c r="FJ11" t="e">
        <f>AND(#REF!,"DXDf8kBFSqU=")</f>
        <v>#REF!</v>
      </c>
      <c r="FK11" t="e">
        <f>AND(#REF!,"DXDf8kBFSqY=")</f>
        <v>#REF!</v>
      </c>
      <c r="FL11" t="e">
        <f>AND(#REF!,"DXDf8kBFSqc=")</f>
        <v>#REF!</v>
      </c>
      <c r="FM11" t="e">
        <f>AND(#REF!,"DXDf8kBFSqg=")</f>
        <v>#REF!</v>
      </c>
      <c r="FN11" t="e">
        <f>IF(#REF!,"DXDf8kBFSqk=",0)</f>
        <v>#REF!</v>
      </c>
      <c r="FO11" t="e">
        <f>AND(#REF!,"DXDf8kBFSqo=")</f>
        <v>#REF!</v>
      </c>
      <c r="FP11" t="e">
        <f>AND(#REF!,"DXDf8kBFSqs=")</f>
        <v>#REF!</v>
      </c>
      <c r="FQ11" t="e">
        <f>AND(#REF!,"DXDf8kBFSqw=")</f>
        <v>#REF!</v>
      </c>
      <c r="FR11" t="e">
        <f>AND(#REF!,"DXDf8kBFSq0=")</f>
        <v>#REF!</v>
      </c>
      <c r="FS11" t="e">
        <f>AND(#REF!,"DXDf8kBFSq4=")</f>
        <v>#REF!</v>
      </c>
      <c r="FT11" t="e">
        <f>AND(#REF!,"DXDf8kBFSq8=")</f>
        <v>#REF!</v>
      </c>
      <c r="FU11" t="e">
        <f>AND(#REF!,"DXDf8kBFSrA=")</f>
        <v>#REF!</v>
      </c>
      <c r="FV11" t="e">
        <f>AND(#REF!,"DXDf8kBFSrE=")</f>
        <v>#REF!</v>
      </c>
      <c r="FW11" t="e">
        <f>AND(#REF!,"DXDf8kBFSrI=")</f>
        <v>#REF!</v>
      </c>
      <c r="FX11" t="e">
        <f>IF(#REF!,"DXDf8kBFSrM=",0)</f>
        <v>#REF!</v>
      </c>
      <c r="FY11" t="e">
        <f>AND(#REF!,"DXDf8kBFSrQ=")</f>
        <v>#REF!</v>
      </c>
      <c r="FZ11" t="e">
        <f>AND(#REF!,"DXDf8kBFSrU=")</f>
        <v>#REF!</v>
      </c>
      <c r="GA11" t="e">
        <f>AND(#REF!,"DXDf8kBFSrY=")</f>
        <v>#REF!</v>
      </c>
      <c r="GB11" t="e">
        <f>AND(#REF!,"DXDf8kBFSrc=")</f>
        <v>#REF!</v>
      </c>
      <c r="GC11" t="e">
        <f>AND(#REF!,"DXDf8kBFSrg=")</f>
        <v>#REF!</v>
      </c>
      <c r="GD11" t="e">
        <f>AND(#REF!,"DXDf8kBFSrk=")</f>
        <v>#REF!</v>
      </c>
      <c r="GE11" t="e">
        <f>AND(#REF!,"DXDf8kBFSro=")</f>
        <v>#REF!</v>
      </c>
      <c r="GF11" t="e">
        <f>AND(#REF!,"DXDf8kBFSrs=")</f>
        <v>#REF!</v>
      </c>
      <c r="GG11" t="e">
        <f>AND(#REF!,"DXDf8kBFSrw=")</f>
        <v>#REF!</v>
      </c>
      <c r="GH11" t="e">
        <f>IF(#REF!,"DXDf8kBFSr0=",0)</f>
        <v>#REF!</v>
      </c>
      <c r="GI11" t="e">
        <f>AND(#REF!,"DXDf8kBFSr4=")</f>
        <v>#REF!</v>
      </c>
      <c r="GJ11" t="e">
        <f>AND(#REF!,"DXDf8kBFSr8=")</f>
        <v>#REF!</v>
      </c>
      <c r="GK11" t="e">
        <f>AND(#REF!,"DXDf8kBFSsA=")</f>
        <v>#REF!</v>
      </c>
      <c r="GL11" t="e">
        <f>AND(#REF!,"DXDf8kBFSsE=")</f>
        <v>#REF!</v>
      </c>
      <c r="GM11" t="e">
        <f>AND(#REF!,"DXDf8kBFSsI=")</f>
        <v>#REF!</v>
      </c>
      <c r="GN11" t="e">
        <f>AND(#REF!,"DXDf8kBFSsM=")</f>
        <v>#REF!</v>
      </c>
      <c r="GO11" t="e">
        <f>AND(#REF!,"DXDf8kBFSsQ=")</f>
        <v>#REF!</v>
      </c>
      <c r="GP11" t="e">
        <f>AND(#REF!,"DXDf8kBFSsU=")</f>
        <v>#REF!</v>
      </c>
      <c r="GQ11" t="e">
        <f>AND(#REF!,"DXDf8kBFSsY=")</f>
        <v>#REF!</v>
      </c>
      <c r="GR11" t="e">
        <f>IF(#REF!,"DXDf8kBFSsc=",0)</f>
        <v>#REF!</v>
      </c>
      <c r="GS11" t="e">
        <f>AND(#REF!,"DXDf8kBFSsg=")</f>
        <v>#REF!</v>
      </c>
      <c r="GT11" t="e">
        <f>AND(#REF!,"DXDf8kBFSsk=")</f>
        <v>#REF!</v>
      </c>
      <c r="GU11" t="e">
        <f>AND(#REF!,"DXDf8kBFSso=")</f>
        <v>#REF!</v>
      </c>
      <c r="GV11" t="e">
        <f>AND(#REF!,"DXDf8kBFSss=")</f>
        <v>#REF!</v>
      </c>
      <c r="GW11" t="e">
        <f>AND(#REF!,"DXDf8kBFSsw=")</f>
        <v>#REF!</v>
      </c>
      <c r="GX11" t="e">
        <f>AND(#REF!,"DXDf8kBFSs0=")</f>
        <v>#REF!</v>
      </c>
      <c r="GY11" t="e">
        <f>AND(#REF!,"DXDf8kBFSs4=")</f>
        <v>#REF!</v>
      </c>
      <c r="GZ11" t="e">
        <f>AND(#REF!,"DXDf8kBFSs8=")</f>
        <v>#REF!</v>
      </c>
      <c r="HA11" t="e">
        <f>AND(#REF!,"DXDf8kBFStA=")</f>
        <v>#REF!</v>
      </c>
      <c r="HB11" t="e">
        <f>IF(#REF!,"DXDf8kBFStE=",0)</f>
        <v>#REF!</v>
      </c>
      <c r="HC11" t="e">
        <f>AND(#REF!,"DXDf8kBFStI=")</f>
        <v>#REF!</v>
      </c>
      <c r="HD11" t="e">
        <f>AND(#REF!,"DXDf8kBFStM=")</f>
        <v>#REF!</v>
      </c>
      <c r="HE11" t="e">
        <f>AND(#REF!,"DXDf8kBFStQ=")</f>
        <v>#REF!</v>
      </c>
      <c r="HF11" t="e">
        <f>AND(#REF!,"DXDf8kBFStU=")</f>
        <v>#REF!</v>
      </c>
      <c r="HG11" t="e">
        <f>AND(#REF!,"DXDf8kBFStY=")</f>
        <v>#REF!</v>
      </c>
      <c r="HH11" t="e">
        <f>AND(#REF!,"DXDf8kBFStc=")</f>
        <v>#REF!</v>
      </c>
      <c r="HI11" t="e">
        <f>AND(#REF!,"DXDf8kBFStg=")</f>
        <v>#REF!</v>
      </c>
      <c r="HJ11" t="e">
        <f>AND(#REF!,"DXDf8kBFStk=")</f>
        <v>#REF!</v>
      </c>
      <c r="HK11" t="e">
        <f>AND(#REF!,"DXDf8kBFSto=")</f>
        <v>#REF!</v>
      </c>
      <c r="HL11" t="e">
        <f>IF(#REF!,"DXDf8kBFSts=",0)</f>
        <v>#REF!</v>
      </c>
      <c r="HM11" t="e">
        <f>AND(#REF!,"DXDf8kBFStw=")</f>
        <v>#REF!</v>
      </c>
      <c r="HN11" t="e">
        <f>AND(#REF!,"DXDf8kBFSt0=")</f>
        <v>#REF!</v>
      </c>
      <c r="HO11" t="e">
        <f>AND(#REF!,"DXDf8kBFSt4=")</f>
        <v>#REF!</v>
      </c>
      <c r="HP11" t="e">
        <f>AND(#REF!,"DXDf8kBFSt8=")</f>
        <v>#REF!</v>
      </c>
      <c r="HQ11" t="e">
        <f>AND(#REF!,"DXDf8kBFSuA=")</f>
        <v>#REF!</v>
      </c>
      <c r="HR11" t="e">
        <f>AND(#REF!,"DXDf8kBFSuE=")</f>
        <v>#REF!</v>
      </c>
      <c r="HS11" t="e">
        <f>AND(#REF!,"DXDf8kBFSuI=")</f>
        <v>#REF!</v>
      </c>
      <c r="HT11" t="e">
        <f>AND(#REF!,"DXDf8kBFSuM=")</f>
        <v>#REF!</v>
      </c>
      <c r="HU11" t="e">
        <f>AND(#REF!,"DXDf8kBFSuQ=")</f>
        <v>#REF!</v>
      </c>
      <c r="HV11" t="e">
        <f>IF(#REF!,"DXDf8kBFSuU=",0)</f>
        <v>#REF!</v>
      </c>
      <c r="HW11" t="e">
        <f>AND(#REF!,"DXDf8kBFSuY=")</f>
        <v>#REF!</v>
      </c>
      <c r="HX11" t="e">
        <f>AND(#REF!,"DXDf8kBFSuc=")</f>
        <v>#REF!</v>
      </c>
      <c r="HY11" t="e">
        <f>AND(#REF!,"DXDf8kBFSug=")</f>
        <v>#REF!</v>
      </c>
      <c r="HZ11" t="e">
        <f>AND(#REF!,"DXDf8kBFSuk=")</f>
        <v>#REF!</v>
      </c>
      <c r="IA11" t="e">
        <f>AND(#REF!,"DXDf8kBFSuo=")</f>
        <v>#REF!</v>
      </c>
      <c r="IB11" t="e">
        <f>AND(#REF!,"DXDf8kBFSus=")</f>
        <v>#REF!</v>
      </c>
      <c r="IC11" t="e">
        <f>AND(#REF!,"DXDf8kBFSuw=")</f>
        <v>#REF!</v>
      </c>
      <c r="ID11" t="e">
        <f>AND(#REF!,"DXDf8kBFSu0=")</f>
        <v>#REF!</v>
      </c>
      <c r="IE11" t="e">
        <f>AND(#REF!,"DXDf8kBFSu4=")</f>
        <v>#REF!</v>
      </c>
      <c r="IF11" t="e">
        <f>IF(#REF!,"DXDf8kBFSu8=",0)</f>
        <v>#REF!</v>
      </c>
      <c r="IG11" t="e">
        <f>IF(#REF!,"DXDf8kBFSvA=",0)</f>
        <v>#REF!</v>
      </c>
      <c r="IH11" t="e">
        <f>IF(#REF!,"DXDf8kBFSvE=",0)</f>
        <v>#REF!</v>
      </c>
      <c r="II11" t="e">
        <f>IF(#REF!,"DXDf8kBFSvI=",0)</f>
        <v>#REF!</v>
      </c>
      <c r="IJ11" t="e">
        <f>IF(#REF!,"DXDf8kBFSvM=",0)</f>
        <v>#REF!</v>
      </c>
      <c r="IK11" t="e">
        <f>IF(#REF!,"DXDf8kBFSvQ=",0)</f>
        <v>#REF!</v>
      </c>
      <c r="IL11" t="e">
        <f>IF(#REF!,"DXDf8kBFSvU=",0)</f>
        <v>#REF!</v>
      </c>
      <c r="IM11" t="e">
        <f>IF(#REF!,"DXDf8kBFSvY=",0)</f>
        <v>#REF!</v>
      </c>
      <c r="IN11" t="e">
        <f>IF(#REF!,"DXDf8kBFSvc=",0)</f>
        <v>#REF!</v>
      </c>
      <c r="IO11" t="e">
        <f>IF(#REF!,"DXDf8kBFSvg=",0)</f>
        <v>#REF!</v>
      </c>
      <c r="IP11" t="e">
        <f>AND(#REF!,"DXDf8kBFSvk=")</f>
        <v>#REF!</v>
      </c>
      <c r="IQ11" t="e">
        <f>AND(#REF!,"DXDf8kBFSvo=")</f>
        <v>#REF!</v>
      </c>
      <c r="IR11" t="e">
        <f>AND(#REF!,"DXDf8kBFSvs=")</f>
        <v>#REF!</v>
      </c>
      <c r="IS11" t="e">
        <f>AND(#REF!,"DXDf8kBFSvw=")</f>
        <v>#REF!</v>
      </c>
      <c r="IT11" t="e">
        <f>AND(#REF!,"DXDf8kBFSv0=")</f>
        <v>#REF!</v>
      </c>
      <c r="IU11" t="e">
        <f>AND(#REF!,"DXDf8kBFSv4=")</f>
        <v>#REF!</v>
      </c>
      <c r="IV11" t="e">
        <f>AND(#REF!,"DXDf8kBFSv8=")</f>
        <v>#REF!</v>
      </c>
    </row>
    <row r="12" spans="1:256" x14ac:dyDescent="0.2">
      <c r="A12" t="e">
        <f>AND(#REF!,"FEl9cnRKbQA=")</f>
        <v>#REF!</v>
      </c>
      <c r="B12" t="e">
        <f>AND(#REF!,"FEl9cnRKbQE=")</f>
        <v>#REF!</v>
      </c>
      <c r="C12" t="e">
        <f>AND(#REF!,"FEl9cnRKbQI=")</f>
        <v>#REF!</v>
      </c>
      <c r="D12" t="e">
        <f>AND(#REF!,"FEl9cnRKbQM=")</f>
        <v>#REF!</v>
      </c>
      <c r="E12" t="e">
        <f>AND(#REF!,"FEl9cnRKbQQ=")</f>
        <v>#REF!</v>
      </c>
      <c r="F12" t="e">
        <f>AND(#REF!,"FEl9cnRKbQU=")</f>
        <v>#REF!</v>
      </c>
      <c r="G12" t="e">
        <f>IF(#REF!,"FEl9cnRKbQY=",0)</f>
        <v>#REF!</v>
      </c>
      <c r="H12" t="e">
        <f>AND(#REF!,"FEl9cnRKbQc=")</f>
        <v>#REF!</v>
      </c>
      <c r="I12" t="e">
        <f>AND(#REF!,"FEl9cnRKbQg=")</f>
        <v>#REF!</v>
      </c>
      <c r="J12" t="e">
        <f>AND(#REF!,"FEl9cnRKbQk=")</f>
        <v>#REF!</v>
      </c>
      <c r="K12" t="e">
        <f>AND(#REF!,"FEl9cnRKbQo=")</f>
        <v>#REF!</v>
      </c>
      <c r="L12" t="e">
        <f>AND(#REF!,"FEl9cnRKbQs=")</f>
        <v>#REF!</v>
      </c>
      <c r="M12" t="e">
        <f>AND(#REF!,"FEl9cnRKbQw=")</f>
        <v>#REF!</v>
      </c>
      <c r="N12" t="e">
        <f>AND(#REF!,"FEl9cnRKbQ0=")</f>
        <v>#REF!</v>
      </c>
      <c r="O12" t="e">
        <f>AND(#REF!,"FEl9cnRKbQ4=")</f>
        <v>#REF!</v>
      </c>
      <c r="P12" t="e">
        <f>AND(#REF!,"FEl9cnRKbQ8=")</f>
        <v>#REF!</v>
      </c>
      <c r="Q12" t="e">
        <f>AND(#REF!,"FEl9cnRKbRA=")</f>
        <v>#REF!</v>
      </c>
      <c r="R12" t="e">
        <f>AND(#REF!,"FEl9cnRKbRE=")</f>
        <v>#REF!</v>
      </c>
      <c r="S12" t="e">
        <f>AND(#REF!,"FEl9cnRKbRI=")</f>
        <v>#REF!</v>
      </c>
      <c r="T12" t="e">
        <f>AND(#REF!,"FEl9cnRKbRM=")</f>
        <v>#REF!</v>
      </c>
      <c r="U12" t="e">
        <f>IF(#REF!,"FEl9cnRKbRQ=",0)</f>
        <v>#REF!</v>
      </c>
      <c r="V12" t="e">
        <f>AND(#REF!,"FEl9cnRKbRU=")</f>
        <v>#REF!</v>
      </c>
      <c r="W12" t="e">
        <f>AND(#REF!,"FEl9cnRKbRY=")</f>
        <v>#REF!</v>
      </c>
      <c r="X12" t="e">
        <f>AND(#REF!,"FEl9cnRKbRc=")</f>
        <v>#REF!</v>
      </c>
      <c r="Y12" t="e">
        <f>AND(#REF!,"FEl9cnRKbRg=")</f>
        <v>#REF!</v>
      </c>
      <c r="Z12" t="e">
        <f>AND(#REF!,"FEl9cnRKbRk=")</f>
        <v>#REF!</v>
      </c>
      <c r="AA12" t="e">
        <f>AND(#REF!,"FEl9cnRKbRo=")</f>
        <v>#REF!</v>
      </c>
      <c r="AB12" t="e">
        <f>AND(#REF!,"FEl9cnRKbRs=")</f>
        <v>#REF!</v>
      </c>
      <c r="AC12" t="e">
        <f>AND(#REF!,"FEl9cnRKbRw=")</f>
        <v>#REF!</v>
      </c>
      <c r="AD12" t="e">
        <f>AND(#REF!,"FEl9cnRKbR0=")</f>
        <v>#REF!</v>
      </c>
      <c r="AE12" t="e">
        <f>AND(#REF!,"FEl9cnRKbR4=")</f>
        <v>#REF!</v>
      </c>
      <c r="AF12" t="e">
        <f>AND(#REF!,"FEl9cnRKbR8=")</f>
        <v>#REF!</v>
      </c>
      <c r="AG12" t="e">
        <f>AND(#REF!,"FEl9cnRKbSA=")</f>
        <v>#REF!</v>
      </c>
      <c r="AH12" t="e">
        <f>AND(#REF!,"FEl9cnRKbSE=")</f>
        <v>#REF!</v>
      </c>
      <c r="AI12" t="e">
        <f>IF(#REF!,"FEl9cnRKbSI=",0)</f>
        <v>#REF!</v>
      </c>
      <c r="AJ12" t="e">
        <f>AND(#REF!,"FEl9cnRKbSM=")</f>
        <v>#REF!</v>
      </c>
      <c r="AK12" t="e">
        <f>AND(#REF!,"FEl9cnRKbSQ=")</f>
        <v>#REF!</v>
      </c>
      <c r="AL12" t="e">
        <f>AND(#REF!,"FEl9cnRKbSU=")</f>
        <v>#REF!</v>
      </c>
      <c r="AM12" t="e">
        <f>AND(#REF!,"FEl9cnRKbSY=")</f>
        <v>#REF!</v>
      </c>
      <c r="AN12" t="e">
        <f>AND(#REF!,"FEl9cnRKbSc=")</f>
        <v>#REF!</v>
      </c>
      <c r="AO12" t="e">
        <f>AND(#REF!,"FEl9cnRKbSg=")</f>
        <v>#REF!</v>
      </c>
      <c r="AP12" t="e">
        <f>AND(#REF!,"FEl9cnRKbSk=")</f>
        <v>#REF!</v>
      </c>
      <c r="AQ12" t="e">
        <f>AND(#REF!,"FEl9cnRKbSo=")</f>
        <v>#REF!</v>
      </c>
      <c r="AR12" t="e">
        <f>AND(#REF!,"FEl9cnRKbSs=")</f>
        <v>#REF!</v>
      </c>
      <c r="AS12" t="e">
        <f>AND(#REF!,"FEl9cnRKbSw=")</f>
        <v>#REF!</v>
      </c>
      <c r="AT12" t="e">
        <f>AND(#REF!,"FEl9cnRKbS0=")</f>
        <v>#REF!</v>
      </c>
      <c r="AU12" t="e">
        <f>AND(#REF!,"FEl9cnRKbS4=")</f>
        <v>#REF!</v>
      </c>
      <c r="AV12" t="e">
        <f>AND(#REF!,"FEl9cnRKbS8=")</f>
        <v>#REF!</v>
      </c>
      <c r="AW12" t="e">
        <f>IF(#REF!,"FEl9cnRKbTA=",0)</f>
        <v>#REF!</v>
      </c>
      <c r="AX12" t="e">
        <f>AND(#REF!,"FEl9cnRKbTE=")</f>
        <v>#REF!</v>
      </c>
      <c r="AY12" t="e">
        <f>AND(#REF!,"FEl9cnRKbTI=")</f>
        <v>#REF!</v>
      </c>
      <c r="AZ12" t="e">
        <f>AND(#REF!,"FEl9cnRKbTM=")</f>
        <v>#REF!</v>
      </c>
      <c r="BA12" t="e">
        <f>AND(#REF!,"FEl9cnRKbTQ=")</f>
        <v>#REF!</v>
      </c>
      <c r="BB12" t="e">
        <f>AND(#REF!,"FEl9cnRKbTU=")</f>
        <v>#REF!</v>
      </c>
      <c r="BC12" t="e">
        <f>AND(#REF!,"FEl9cnRKbTY=")</f>
        <v>#REF!</v>
      </c>
      <c r="BD12" t="e">
        <f>AND(#REF!,"FEl9cnRKbTc=")</f>
        <v>#REF!</v>
      </c>
      <c r="BE12" t="e">
        <f>AND(#REF!,"FEl9cnRKbTg=")</f>
        <v>#REF!</v>
      </c>
      <c r="BF12" t="e">
        <f>AND(#REF!,"FEl9cnRKbTk=")</f>
        <v>#REF!</v>
      </c>
      <c r="BG12" t="e">
        <f>AND(#REF!,"FEl9cnRKbTo=")</f>
        <v>#REF!</v>
      </c>
      <c r="BH12" t="e">
        <f>AND(#REF!,"FEl9cnRKbTs=")</f>
        <v>#REF!</v>
      </c>
      <c r="BI12" t="e">
        <f>AND(#REF!,"FEl9cnRKbTw=")</f>
        <v>#REF!</v>
      </c>
      <c r="BJ12" t="e">
        <f>AND(#REF!,"FEl9cnRKbT0=")</f>
        <v>#REF!</v>
      </c>
      <c r="BK12" t="e">
        <f>IF(#REF!,"FEl9cnRKbT4=",0)</f>
        <v>#REF!</v>
      </c>
      <c r="BL12" t="e">
        <f>AND(#REF!,"FEl9cnRKbT8=")</f>
        <v>#REF!</v>
      </c>
      <c r="BM12" t="e">
        <f>AND(#REF!,"FEl9cnRKbUA=")</f>
        <v>#REF!</v>
      </c>
      <c r="BN12" t="e">
        <f>AND(#REF!,"FEl9cnRKbUE=")</f>
        <v>#REF!</v>
      </c>
      <c r="BO12" t="e">
        <f>AND(#REF!,"FEl9cnRKbUI=")</f>
        <v>#REF!</v>
      </c>
      <c r="BP12" t="e">
        <f>AND(#REF!,"FEl9cnRKbUM=")</f>
        <v>#REF!</v>
      </c>
      <c r="BQ12" t="e">
        <f>AND(#REF!,"FEl9cnRKbUQ=")</f>
        <v>#REF!</v>
      </c>
      <c r="BR12" t="e">
        <f>AND(#REF!,"FEl9cnRKbUU=")</f>
        <v>#REF!</v>
      </c>
      <c r="BS12" t="e">
        <f>AND(#REF!,"FEl9cnRKbUY=")</f>
        <v>#REF!</v>
      </c>
      <c r="BT12" t="e">
        <f>AND(#REF!,"FEl9cnRKbUc=")</f>
        <v>#REF!</v>
      </c>
      <c r="BU12" t="e">
        <f>AND(#REF!,"FEl9cnRKbUg=")</f>
        <v>#REF!</v>
      </c>
      <c r="BV12" t="e">
        <f>AND(#REF!,"FEl9cnRKbUk=")</f>
        <v>#REF!</v>
      </c>
      <c r="BW12" t="e">
        <f>AND(#REF!,"FEl9cnRKbUo=")</f>
        <v>#REF!</v>
      </c>
      <c r="BX12" t="e">
        <f>AND(#REF!,"FEl9cnRKbUs=")</f>
        <v>#REF!</v>
      </c>
      <c r="BY12" t="e">
        <f>IF(#REF!,"FEl9cnRKbUw=",0)</f>
        <v>#REF!</v>
      </c>
      <c r="BZ12" t="e">
        <f>AND(#REF!,"FEl9cnRKbU0=")</f>
        <v>#REF!</v>
      </c>
      <c r="CA12" t="e">
        <f>AND(#REF!,"FEl9cnRKbU4=")</f>
        <v>#REF!</v>
      </c>
      <c r="CB12" t="e">
        <f>AND(#REF!,"FEl9cnRKbU8=")</f>
        <v>#REF!</v>
      </c>
      <c r="CC12" t="e">
        <f>AND(#REF!,"FEl9cnRKbVA=")</f>
        <v>#REF!</v>
      </c>
      <c r="CD12" t="e">
        <f>AND(#REF!,"FEl9cnRKbVE=")</f>
        <v>#REF!</v>
      </c>
      <c r="CE12" t="e">
        <f>AND(#REF!,"FEl9cnRKbVI=")</f>
        <v>#REF!</v>
      </c>
      <c r="CF12" t="e">
        <f>AND(#REF!,"FEl9cnRKbVM=")</f>
        <v>#REF!</v>
      </c>
      <c r="CG12" t="e">
        <f>AND(#REF!,"FEl9cnRKbVQ=")</f>
        <v>#REF!</v>
      </c>
      <c r="CH12" t="e">
        <f>AND(#REF!,"FEl9cnRKbVU=")</f>
        <v>#REF!</v>
      </c>
      <c r="CI12" t="e">
        <f>AND(#REF!,"FEl9cnRKbVY=")</f>
        <v>#REF!</v>
      </c>
      <c r="CJ12" t="e">
        <f>AND(#REF!,"FEl9cnRKbVc=")</f>
        <v>#REF!</v>
      </c>
      <c r="CK12" t="e">
        <f>AND(#REF!,"FEl9cnRKbVg=")</f>
        <v>#REF!</v>
      </c>
      <c r="CL12" t="e">
        <f>AND(#REF!,"FEl9cnRKbVk=")</f>
        <v>#REF!</v>
      </c>
      <c r="CM12" t="e">
        <f>IF(#REF!,"FEl9cnRKbVo=",0)</f>
        <v>#REF!</v>
      </c>
      <c r="CN12" t="e">
        <f>AND(#REF!,"FEl9cnRKbVs=")</f>
        <v>#REF!</v>
      </c>
      <c r="CO12" t="e">
        <f>AND(#REF!,"FEl9cnRKbVw=")</f>
        <v>#REF!</v>
      </c>
      <c r="CP12" t="e">
        <f>AND(#REF!,"FEl9cnRKbV0=")</f>
        <v>#REF!</v>
      </c>
      <c r="CQ12" t="e">
        <f>AND(#REF!,"FEl9cnRKbV4=")</f>
        <v>#REF!</v>
      </c>
      <c r="CR12" t="e">
        <f>AND(#REF!,"FEl9cnRKbV8=")</f>
        <v>#REF!</v>
      </c>
      <c r="CS12" t="e">
        <f>AND(#REF!,"FEl9cnRKbWA=")</f>
        <v>#REF!</v>
      </c>
      <c r="CT12" t="e">
        <f>AND(#REF!,"FEl9cnRKbWE=")</f>
        <v>#REF!</v>
      </c>
      <c r="CU12" t="e">
        <f>AND(#REF!,"FEl9cnRKbWI=")</f>
        <v>#REF!</v>
      </c>
      <c r="CV12" t="e">
        <f>AND(#REF!,"FEl9cnRKbWM=")</f>
        <v>#REF!</v>
      </c>
      <c r="CW12" t="e">
        <f>AND(#REF!,"FEl9cnRKbWQ=")</f>
        <v>#REF!</v>
      </c>
      <c r="CX12" t="e">
        <f>AND(#REF!,"FEl9cnRKbWU=")</f>
        <v>#REF!</v>
      </c>
      <c r="CY12" t="e">
        <f>AND(#REF!,"FEl9cnRKbWY=")</f>
        <v>#REF!</v>
      </c>
      <c r="CZ12" t="e">
        <f>AND(#REF!,"FEl9cnRKbWc=")</f>
        <v>#REF!</v>
      </c>
      <c r="DA12" t="e">
        <f>IF(#REF!,"FEl9cnRKbWg=",0)</f>
        <v>#REF!</v>
      </c>
      <c r="DB12" t="e">
        <f>AND(#REF!,"FEl9cnRKbWk=")</f>
        <v>#REF!</v>
      </c>
      <c r="DC12" t="e">
        <f>AND(#REF!,"FEl9cnRKbWo=")</f>
        <v>#REF!</v>
      </c>
      <c r="DD12" t="e">
        <f>AND(#REF!,"FEl9cnRKbWs=")</f>
        <v>#REF!</v>
      </c>
      <c r="DE12" t="e">
        <f>AND(#REF!,"FEl9cnRKbWw=")</f>
        <v>#REF!</v>
      </c>
      <c r="DF12" t="e">
        <f>AND(#REF!,"FEl9cnRKbW0=")</f>
        <v>#REF!</v>
      </c>
      <c r="DG12" t="e">
        <f>AND(#REF!,"FEl9cnRKbW4=")</f>
        <v>#REF!</v>
      </c>
      <c r="DH12" t="e">
        <f>AND(#REF!,"FEl9cnRKbW8=")</f>
        <v>#REF!</v>
      </c>
      <c r="DI12" t="e">
        <f>AND(#REF!,"FEl9cnRKbXA=")</f>
        <v>#REF!</v>
      </c>
      <c r="DJ12" t="e">
        <f>AND(#REF!,"FEl9cnRKbXE=")</f>
        <v>#REF!</v>
      </c>
      <c r="DK12" t="e">
        <f>AND(#REF!,"FEl9cnRKbXI=")</f>
        <v>#REF!</v>
      </c>
      <c r="DL12" t="e">
        <f>AND(#REF!,"FEl9cnRKbXM=")</f>
        <v>#REF!</v>
      </c>
      <c r="DM12" t="e">
        <f>AND(#REF!,"FEl9cnRKbXQ=")</f>
        <v>#REF!</v>
      </c>
      <c r="DN12" t="e">
        <f>AND(#REF!,"FEl9cnRKbXU=")</f>
        <v>#REF!</v>
      </c>
      <c r="DO12" t="e">
        <f>IF(#REF!,"FEl9cnRKbXY=",0)</f>
        <v>#REF!</v>
      </c>
      <c r="DP12" t="e">
        <f>AND(#REF!,"FEl9cnRKbXc=")</f>
        <v>#REF!</v>
      </c>
      <c r="DQ12" t="e">
        <f>AND(#REF!,"FEl9cnRKbXg=")</f>
        <v>#REF!</v>
      </c>
      <c r="DR12" t="e">
        <f>AND(#REF!,"FEl9cnRKbXk=")</f>
        <v>#REF!</v>
      </c>
      <c r="DS12" t="e">
        <f>AND(#REF!,"FEl9cnRKbXo=")</f>
        <v>#REF!</v>
      </c>
      <c r="DT12" t="e">
        <f>AND(#REF!,"FEl9cnRKbXs=")</f>
        <v>#REF!</v>
      </c>
      <c r="DU12" t="e">
        <f>AND(#REF!,"FEl9cnRKbXw=")</f>
        <v>#REF!</v>
      </c>
      <c r="DV12" t="e">
        <f>AND(#REF!,"FEl9cnRKbX0=")</f>
        <v>#REF!</v>
      </c>
      <c r="DW12" t="e">
        <f>AND(#REF!,"FEl9cnRKbX4=")</f>
        <v>#REF!</v>
      </c>
      <c r="DX12" t="e">
        <f>AND(#REF!,"FEl9cnRKbX8=")</f>
        <v>#REF!</v>
      </c>
      <c r="DY12" t="e">
        <f>AND(#REF!,"FEl9cnRKbYA=")</f>
        <v>#REF!</v>
      </c>
      <c r="DZ12" t="e">
        <f>AND(#REF!,"FEl9cnRKbYE=")</f>
        <v>#REF!</v>
      </c>
      <c r="EA12" t="e">
        <f>AND(#REF!,"FEl9cnRKbYI=")</f>
        <v>#REF!</v>
      </c>
      <c r="EB12" t="e">
        <f>AND(#REF!,"FEl9cnRKbYM=")</f>
        <v>#REF!</v>
      </c>
      <c r="EC12" t="e">
        <f>IF(#REF!,"FEl9cnRKbYQ=",0)</f>
        <v>#REF!</v>
      </c>
      <c r="ED12" t="e">
        <f>AND(#REF!,"FEl9cnRKbYU=")</f>
        <v>#REF!</v>
      </c>
      <c r="EE12" t="e">
        <f>AND(#REF!,"FEl9cnRKbYY=")</f>
        <v>#REF!</v>
      </c>
      <c r="EF12" t="e">
        <f>AND(#REF!,"FEl9cnRKbYc=")</f>
        <v>#REF!</v>
      </c>
      <c r="EG12" t="e">
        <f>AND(#REF!,"FEl9cnRKbYg=")</f>
        <v>#REF!</v>
      </c>
      <c r="EH12" t="e">
        <f>AND(#REF!,"FEl9cnRKbYk=")</f>
        <v>#REF!</v>
      </c>
      <c r="EI12" t="e">
        <f>AND(#REF!,"FEl9cnRKbYo=")</f>
        <v>#REF!</v>
      </c>
      <c r="EJ12" t="e">
        <f>AND(#REF!,"FEl9cnRKbYs=")</f>
        <v>#REF!</v>
      </c>
      <c r="EK12" t="e">
        <f>AND(#REF!,"FEl9cnRKbYw=")</f>
        <v>#REF!</v>
      </c>
      <c r="EL12" t="e">
        <f>AND(#REF!,"FEl9cnRKbY0=")</f>
        <v>#REF!</v>
      </c>
      <c r="EM12" t="e">
        <f>AND(#REF!,"FEl9cnRKbY4=")</f>
        <v>#REF!</v>
      </c>
      <c r="EN12" t="e">
        <f>AND(#REF!,"FEl9cnRKbY8=")</f>
        <v>#REF!</v>
      </c>
      <c r="EO12" t="e">
        <f>AND(#REF!,"FEl9cnRKbZA=")</f>
        <v>#REF!</v>
      </c>
      <c r="EP12" t="e">
        <f>AND(#REF!,"FEl9cnRKbZE=")</f>
        <v>#REF!</v>
      </c>
      <c r="EQ12" t="e">
        <f>IF(#REF!,"FEl9cnRKbZI=",0)</f>
        <v>#REF!</v>
      </c>
      <c r="ER12" t="e">
        <f>AND(#REF!,"FEl9cnRKbZM=")</f>
        <v>#REF!</v>
      </c>
      <c r="ES12" t="e">
        <f>AND(#REF!,"FEl9cnRKbZQ=")</f>
        <v>#REF!</v>
      </c>
      <c r="ET12" t="e">
        <f>AND(#REF!,"FEl9cnRKbZU=")</f>
        <v>#REF!</v>
      </c>
      <c r="EU12" t="e">
        <f>AND(#REF!,"FEl9cnRKbZY=")</f>
        <v>#REF!</v>
      </c>
      <c r="EV12" t="e">
        <f>AND(#REF!,"FEl9cnRKbZc=")</f>
        <v>#REF!</v>
      </c>
      <c r="EW12" t="e">
        <f>AND(#REF!,"FEl9cnRKbZg=")</f>
        <v>#REF!</v>
      </c>
      <c r="EX12" t="e">
        <f>AND(#REF!,"FEl9cnRKbZk=")</f>
        <v>#REF!</v>
      </c>
      <c r="EY12" t="e">
        <f>AND(#REF!,"FEl9cnRKbZo=")</f>
        <v>#REF!</v>
      </c>
      <c r="EZ12" t="e">
        <f>AND(#REF!,"FEl9cnRKbZs=")</f>
        <v>#REF!</v>
      </c>
      <c r="FA12" t="e">
        <f>AND(#REF!,"FEl9cnRKbZw=")</f>
        <v>#REF!</v>
      </c>
      <c r="FB12" t="e">
        <f>AND(#REF!,"FEl9cnRKbZ0=")</f>
        <v>#REF!</v>
      </c>
      <c r="FC12" t="e">
        <f>AND(#REF!,"FEl9cnRKbZ4=")</f>
        <v>#REF!</v>
      </c>
      <c r="FD12" t="e">
        <f>AND(#REF!,"FEl9cnRKbZ8=")</f>
        <v>#REF!</v>
      </c>
      <c r="FE12" t="e">
        <f>IF(#REF!,"FEl9cnRKbaA=",0)</f>
        <v>#REF!</v>
      </c>
      <c r="FF12" t="e">
        <f>AND(#REF!,"FEl9cnRKbaE=")</f>
        <v>#REF!</v>
      </c>
      <c r="FG12" t="e">
        <f>AND(#REF!,"FEl9cnRKbaI=")</f>
        <v>#REF!</v>
      </c>
      <c r="FH12" t="e">
        <f>AND(#REF!,"FEl9cnRKbaM=")</f>
        <v>#REF!</v>
      </c>
      <c r="FI12" t="e">
        <f>AND(#REF!,"FEl9cnRKbaQ=")</f>
        <v>#REF!</v>
      </c>
      <c r="FJ12" t="e">
        <f>AND(#REF!,"FEl9cnRKbaU=")</f>
        <v>#REF!</v>
      </c>
      <c r="FK12" t="e">
        <f>AND(#REF!,"FEl9cnRKbaY=")</f>
        <v>#REF!</v>
      </c>
      <c r="FL12" t="e">
        <f>AND(#REF!,"FEl9cnRKbac=")</f>
        <v>#REF!</v>
      </c>
      <c r="FM12" t="e">
        <f>AND(#REF!,"FEl9cnRKbag=")</f>
        <v>#REF!</v>
      </c>
      <c r="FN12" t="e">
        <f>AND(#REF!,"FEl9cnRKbak=")</f>
        <v>#REF!</v>
      </c>
      <c r="FO12" t="e">
        <f>AND(#REF!,"FEl9cnRKbao=")</f>
        <v>#REF!</v>
      </c>
      <c r="FP12" t="e">
        <f>AND(#REF!,"FEl9cnRKbas=")</f>
        <v>#REF!</v>
      </c>
      <c r="FQ12" t="e">
        <f>AND(#REF!,"FEl9cnRKbaw=")</f>
        <v>#REF!</v>
      </c>
      <c r="FR12" t="e">
        <f>AND(#REF!,"FEl9cnRKba0=")</f>
        <v>#REF!</v>
      </c>
      <c r="FS12" t="e">
        <f>IF(#REF!,"FEl9cnRKba4=",0)</f>
        <v>#REF!</v>
      </c>
      <c r="FT12" t="e">
        <f>AND(#REF!,"FEl9cnRKba8=")</f>
        <v>#REF!</v>
      </c>
      <c r="FU12" t="e">
        <f>AND(#REF!,"FEl9cnRKbbA=")</f>
        <v>#REF!</v>
      </c>
      <c r="FV12" t="e">
        <f>AND(#REF!,"FEl9cnRKbbE=")</f>
        <v>#REF!</v>
      </c>
      <c r="FW12" t="e">
        <f>AND(#REF!,"FEl9cnRKbbI=")</f>
        <v>#REF!</v>
      </c>
      <c r="FX12" t="e">
        <f>AND(#REF!,"FEl9cnRKbbM=")</f>
        <v>#REF!</v>
      </c>
      <c r="FY12" t="e">
        <f>AND(#REF!,"FEl9cnRKbbQ=")</f>
        <v>#REF!</v>
      </c>
      <c r="FZ12" t="e">
        <f>AND(#REF!,"FEl9cnRKbbU=")</f>
        <v>#REF!</v>
      </c>
      <c r="GA12" t="e">
        <f>AND(#REF!,"FEl9cnRKbbY=")</f>
        <v>#REF!</v>
      </c>
      <c r="GB12" t="e">
        <f>AND(#REF!,"FEl9cnRKbbc=")</f>
        <v>#REF!</v>
      </c>
      <c r="GC12" t="e">
        <f>AND(#REF!,"FEl9cnRKbbg=")</f>
        <v>#REF!</v>
      </c>
      <c r="GD12" t="e">
        <f>AND(#REF!,"FEl9cnRKbbk=")</f>
        <v>#REF!</v>
      </c>
      <c r="GE12" t="e">
        <f>AND(#REF!,"FEl9cnRKbbo=")</f>
        <v>#REF!</v>
      </c>
      <c r="GF12" t="e">
        <f>AND(#REF!,"FEl9cnRKbbs=")</f>
        <v>#REF!</v>
      </c>
      <c r="GG12" t="e">
        <f>IF(#REF!,"FEl9cnRKbbw=",0)</f>
        <v>#REF!</v>
      </c>
      <c r="GH12" t="e">
        <f>AND(#REF!,"FEl9cnRKbb0=")</f>
        <v>#REF!</v>
      </c>
      <c r="GI12" t="e">
        <f>AND(#REF!,"FEl9cnRKbb4=")</f>
        <v>#REF!</v>
      </c>
      <c r="GJ12" t="e">
        <f>AND(#REF!,"FEl9cnRKbb8=")</f>
        <v>#REF!</v>
      </c>
      <c r="GK12" t="e">
        <f>AND(#REF!,"FEl9cnRKbcA=")</f>
        <v>#REF!</v>
      </c>
      <c r="GL12" t="e">
        <f>AND(#REF!,"FEl9cnRKbcE=")</f>
        <v>#REF!</v>
      </c>
      <c r="GM12" t="e">
        <f>AND(#REF!,"FEl9cnRKbcI=")</f>
        <v>#REF!</v>
      </c>
      <c r="GN12" t="e">
        <f>AND(#REF!,"FEl9cnRKbcM=")</f>
        <v>#REF!</v>
      </c>
      <c r="GO12" t="e">
        <f>AND(#REF!,"FEl9cnRKbcQ=")</f>
        <v>#REF!</v>
      </c>
      <c r="GP12" t="e">
        <f>AND(#REF!,"FEl9cnRKbcU=")</f>
        <v>#REF!</v>
      </c>
      <c r="GQ12" t="e">
        <f>AND(#REF!,"FEl9cnRKbcY=")</f>
        <v>#REF!</v>
      </c>
      <c r="GR12" t="e">
        <f>AND(#REF!,"FEl9cnRKbcc=")</f>
        <v>#REF!</v>
      </c>
      <c r="GS12" t="e">
        <f>AND(#REF!,"FEl9cnRKbcg=")</f>
        <v>#REF!</v>
      </c>
      <c r="GT12" t="e">
        <f>AND(#REF!,"FEl9cnRKbck=")</f>
        <v>#REF!</v>
      </c>
      <c r="GU12" t="e">
        <f>IF(#REF!,"FEl9cnRKbco=",0)</f>
        <v>#REF!</v>
      </c>
      <c r="GV12" t="e">
        <f>AND(#REF!,"FEl9cnRKbcs=")</f>
        <v>#REF!</v>
      </c>
      <c r="GW12" t="e">
        <f>AND(#REF!,"FEl9cnRKbcw=")</f>
        <v>#REF!</v>
      </c>
      <c r="GX12" t="e">
        <f>AND(#REF!,"FEl9cnRKbc0=")</f>
        <v>#REF!</v>
      </c>
      <c r="GY12" t="e">
        <f>AND(#REF!,"FEl9cnRKbc4=")</f>
        <v>#REF!</v>
      </c>
      <c r="GZ12" t="e">
        <f>AND(#REF!,"FEl9cnRKbc8=")</f>
        <v>#REF!</v>
      </c>
      <c r="HA12" t="e">
        <f>AND(#REF!,"FEl9cnRKbdA=")</f>
        <v>#REF!</v>
      </c>
      <c r="HB12" t="e">
        <f>AND(#REF!,"FEl9cnRKbdE=")</f>
        <v>#REF!</v>
      </c>
      <c r="HC12" t="e">
        <f>AND(#REF!,"FEl9cnRKbdI=")</f>
        <v>#REF!</v>
      </c>
      <c r="HD12" t="e">
        <f>AND(#REF!,"FEl9cnRKbdM=")</f>
        <v>#REF!</v>
      </c>
      <c r="HE12" t="e">
        <f>AND(#REF!,"FEl9cnRKbdQ=")</f>
        <v>#REF!</v>
      </c>
      <c r="HF12" t="e">
        <f>AND(#REF!,"FEl9cnRKbdU=")</f>
        <v>#REF!</v>
      </c>
      <c r="HG12" t="e">
        <f>AND(#REF!,"FEl9cnRKbdY=")</f>
        <v>#REF!</v>
      </c>
      <c r="HH12" t="e">
        <f>AND(#REF!,"FEl9cnRKbdc=")</f>
        <v>#REF!</v>
      </c>
      <c r="HI12" t="e">
        <f>IF(#REF!,"FEl9cnRKbdg=",0)</f>
        <v>#REF!</v>
      </c>
      <c r="HJ12" t="e">
        <f>AND(#REF!,"FEl9cnRKbdk=")</f>
        <v>#REF!</v>
      </c>
      <c r="HK12" t="e">
        <f>AND(#REF!,"FEl9cnRKbdo=")</f>
        <v>#REF!</v>
      </c>
      <c r="HL12" t="e">
        <f>AND(#REF!,"FEl9cnRKbds=")</f>
        <v>#REF!</v>
      </c>
      <c r="HM12" t="e">
        <f>AND(#REF!,"FEl9cnRKbdw=")</f>
        <v>#REF!</v>
      </c>
      <c r="HN12" t="e">
        <f>AND(#REF!,"FEl9cnRKbd0=")</f>
        <v>#REF!</v>
      </c>
      <c r="HO12" t="e">
        <f>AND(#REF!,"FEl9cnRKbd4=")</f>
        <v>#REF!</v>
      </c>
      <c r="HP12" t="e">
        <f>AND(#REF!,"FEl9cnRKbd8=")</f>
        <v>#REF!</v>
      </c>
      <c r="HQ12" t="e">
        <f>AND(#REF!,"FEl9cnRKbeA=")</f>
        <v>#REF!</v>
      </c>
      <c r="HR12" t="e">
        <f>AND(#REF!,"FEl9cnRKbeE=")</f>
        <v>#REF!</v>
      </c>
      <c r="HS12" t="e">
        <f>AND(#REF!,"FEl9cnRKbeI=")</f>
        <v>#REF!</v>
      </c>
      <c r="HT12" t="e">
        <f>AND(#REF!,"FEl9cnRKbeM=")</f>
        <v>#REF!</v>
      </c>
      <c r="HU12" t="e">
        <f>AND(#REF!,"FEl9cnRKbeQ=")</f>
        <v>#REF!</v>
      </c>
      <c r="HV12" t="e">
        <f>AND(#REF!,"FEl9cnRKbeU=")</f>
        <v>#REF!</v>
      </c>
      <c r="HW12" t="e">
        <f>IF(#REF!,"FEl9cnRKbeY=",0)</f>
        <v>#REF!</v>
      </c>
      <c r="HX12" t="e">
        <f>AND(#REF!,"FEl9cnRKbec=")</f>
        <v>#REF!</v>
      </c>
      <c r="HY12" t="e">
        <f>AND(#REF!,"FEl9cnRKbeg=")</f>
        <v>#REF!</v>
      </c>
      <c r="HZ12" t="e">
        <f>AND(#REF!,"FEl9cnRKbek=")</f>
        <v>#REF!</v>
      </c>
      <c r="IA12" t="e">
        <f>AND(#REF!,"FEl9cnRKbeo=")</f>
        <v>#REF!</v>
      </c>
      <c r="IB12" t="e">
        <f>AND(#REF!,"FEl9cnRKbes=")</f>
        <v>#REF!</v>
      </c>
      <c r="IC12" t="e">
        <f>AND(#REF!,"FEl9cnRKbew=")</f>
        <v>#REF!</v>
      </c>
      <c r="ID12" t="e">
        <f>AND(#REF!,"FEl9cnRKbe0=")</f>
        <v>#REF!</v>
      </c>
      <c r="IE12" t="e">
        <f>AND(#REF!,"FEl9cnRKbe4=")</f>
        <v>#REF!</v>
      </c>
      <c r="IF12" t="e">
        <f>AND(#REF!,"FEl9cnRKbe8=")</f>
        <v>#REF!</v>
      </c>
      <c r="IG12" t="e">
        <f>AND(#REF!,"FEl9cnRKbfA=")</f>
        <v>#REF!</v>
      </c>
      <c r="IH12" t="e">
        <f>AND(#REF!,"FEl9cnRKbfE=")</f>
        <v>#REF!</v>
      </c>
      <c r="II12" t="e">
        <f>AND(#REF!,"FEl9cnRKbfI=")</f>
        <v>#REF!</v>
      </c>
      <c r="IJ12" t="e">
        <f>AND(#REF!,"FEl9cnRKbfM=")</f>
        <v>#REF!</v>
      </c>
      <c r="IK12" t="e">
        <f>IF(#REF!,"FEl9cnRKbfQ=",0)</f>
        <v>#REF!</v>
      </c>
      <c r="IL12" t="e">
        <f>AND(#REF!,"FEl9cnRKbfU=")</f>
        <v>#REF!</v>
      </c>
      <c r="IM12" t="e">
        <f>AND(#REF!,"FEl9cnRKbfY=")</f>
        <v>#REF!</v>
      </c>
      <c r="IN12" t="e">
        <f>AND(#REF!,"FEl9cnRKbfc=")</f>
        <v>#REF!</v>
      </c>
      <c r="IO12" t="e">
        <f>AND(#REF!,"FEl9cnRKbfg=")</f>
        <v>#REF!</v>
      </c>
      <c r="IP12" t="e">
        <f>AND(#REF!,"FEl9cnRKbfk=")</f>
        <v>#REF!</v>
      </c>
      <c r="IQ12" t="e">
        <f>AND(#REF!,"FEl9cnRKbfo=")</f>
        <v>#REF!</v>
      </c>
      <c r="IR12" t="e">
        <f>AND(#REF!,"FEl9cnRKbfs=")</f>
        <v>#REF!</v>
      </c>
      <c r="IS12" t="e">
        <f>AND(#REF!,"FEl9cnRKbfw=")</f>
        <v>#REF!</v>
      </c>
      <c r="IT12" t="e">
        <f>AND(#REF!,"FEl9cnRKbf0=")</f>
        <v>#REF!</v>
      </c>
      <c r="IU12" t="e">
        <f>AND(#REF!,"FEl9cnRKbf4=")</f>
        <v>#REF!</v>
      </c>
      <c r="IV12" t="e">
        <f>AND(#REF!,"FEl9cnRKbf8=")</f>
        <v>#REF!</v>
      </c>
    </row>
    <row r="13" spans="1:256" x14ac:dyDescent="0.2">
      <c r="A13" t="e">
        <f>AND(#REF!,"IaI1Dl5/tgA=")</f>
        <v>#REF!</v>
      </c>
      <c r="B13" t="e">
        <f>AND(#REF!,"IaI1Dl5/tgE=")</f>
        <v>#REF!</v>
      </c>
      <c r="C13" t="e">
        <f>IF(#REF!,"IaI1Dl5/tgI=",0)</f>
        <v>#REF!</v>
      </c>
      <c r="D13" t="e">
        <f>AND(#REF!,"IaI1Dl5/tgM=")</f>
        <v>#REF!</v>
      </c>
      <c r="E13" t="e">
        <f>AND(#REF!,"IaI1Dl5/tgQ=")</f>
        <v>#REF!</v>
      </c>
      <c r="F13" t="e">
        <f>AND(#REF!,"IaI1Dl5/tgU=")</f>
        <v>#REF!</v>
      </c>
      <c r="G13" t="e">
        <f>AND(#REF!,"IaI1Dl5/tgY=")</f>
        <v>#REF!</v>
      </c>
      <c r="H13" t="e">
        <f>AND(#REF!,"IaI1Dl5/tgc=")</f>
        <v>#REF!</v>
      </c>
      <c r="I13" t="e">
        <f>AND(#REF!,"IaI1Dl5/tgg=")</f>
        <v>#REF!</v>
      </c>
      <c r="J13" t="e">
        <f>AND(#REF!,"IaI1Dl5/tgk=")</f>
        <v>#REF!</v>
      </c>
      <c r="K13" t="e">
        <f>AND(#REF!,"IaI1Dl5/tgo=")</f>
        <v>#REF!</v>
      </c>
      <c r="L13" t="e">
        <f>AND(#REF!,"IaI1Dl5/tgs=")</f>
        <v>#REF!</v>
      </c>
      <c r="M13" t="e">
        <f>AND(#REF!,"IaI1Dl5/tgw=")</f>
        <v>#REF!</v>
      </c>
      <c r="N13" t="e">
        <f>AND(#REF!,"IaI1Dl5/tg0=")</f>
        <v>#REF!</v>
      </c>
      <c r="O13" t="e">
        <f>AND(#REF!,"IaI1Dl5/tg4=")</f>
        <v>#REF!</v>
      </c>
      <c r="P13" t="e">
        <f>AND(#REF!,"IaI1Dl5/tg8=")</f>
        <v>#REF!</v>
      </c>
      <c r="Q13" t="e">
        <f>IF(#REF!,"IaI1Dl5/thA=",0)</f>
        <v>#REF!</v>
      </c>
      <c r="R13" t="e">
        <f>AND(#REF!,"IaI1Dl5/thE=")</f>
        <v>#REF!</v>
      </c>
      <c r="S13" t="e">
        <f>AND(#REF!,"IaI1Dl5/thI=")</f>
        <v>#REF!</v>
      </c>
      <c r="T13" t="e">
        <f>AND(#REF!,"IaI1Dl5/thM=")</f>
        <v>#REF!</v>
      </c>
      <c r="U13" t="e">
        <f>AND(#REF!,"IaI1Dl5/thQ=")</f>
        <v>#REF!</v>
      </c>
      <c r="V13" t="e">
        <f>AND(#REF!,"IaI1Dl5/thU=")</f>
        <v>#REF!</v>
      </c>
      <c r="W13" t="e">
        <f>AND(#REF!,"IaI1Dl5/thY=")</f>
        <v>#REF!</v>
      </c>
      <c r="X13" t="e">
        <f>AND(#REF!,"IaI1Dl5/thc=")</f>
        <v>#REF!</v>
      </c>
      <c r="Y13" t="e">
        <f>AND(#REF!,"IaI1Dl5/thg=")</f>
        <v>#REF!</v>
      </c>
      <c r="Z13" t="e">
        <f>AND(#REF!,"IaI1Dl5/thk=")</f>
        <v>#REF!</v>
      </c>
      <c r="AA13" t="e">
        <f>AND(#REF!,"IaI1Dl5/tho=")</f>
        <v>#REF!</v>
      </c>
      <c r="AB13" t="e">
        <f>AND(#REF!,"IaI1Dl5/ths=")</f>
        <v>#REF!</v>
      </c>
      <c r="AC13" t="e">
        <f>AND(#REF!,"IaI1Dl5/thw=")</f>
        <v>#REF!</v>
      </c>
      <c r="AD13" t="e">
        <f>AND(#REF!,"IaI1Dl5/th0=")</f>
        <v>#REF!</v>
      </c>
      <c r="AE13" t="e">
        <f>IF(#REF!,"IaI1Dl5/th4=",0)</f>
        <v>#REF!</v>
      </c>
      <c r="AF13" t="e">
        <f>AND(#REF!,"IaI1Dl5/th8=")</f>
        <v>#REF!</v>
      </c>
      <c r="AG13" t="e">
        <f>AND(#REF!,"IaI1Dl5/tiA=")</f>
        <v>#REF!</v>
      </c>
      <c r="AH13" t="e">
        <f>AND(#REF!,"IaI1Dl5/tiE=")</f>
        <v>#REF!</v>
      </c>
      <c r="AI13" t="e">
        <f>AND(#REF!,"IaI1Dl5/tiI=")</f>
        <v>#REF!</v>
      </c>
      <c r="AJ13" t="e">
        <f>AND(#REF!,"IaI1Dl5/tiM=")</f>
        <v>#REF!</v>
      </c>
      <c r="AK13" t="e">
        <f>AND(#REF!,"IaI1Dl5/tiQ=")</f>
        <v>#REF!</v>
      </c>
      <c r="AL13" t="e">
        <f>AND(#REF!,"IaI1Dl5/tiU=")</f>
        <v>#REF!</v>
      </c>
      <c r="AM13" t="e">
        <f>AND(#REF!,"IaI1Dl5/tiY=")</f>
        <v>#REF!</v>
      </c>
      <c r="AN13" t="e">
        <f>AND(#REF!,"IaI1Dl5/tic=")</f>
        <v>#REF!</v>
      </c>
      <c r="AO13" t="e">
        <f>AND(#REF!,"IaI1Dl5/tig=")</f>
        <v>#REF!</v>
      </c>
      <c r="AP13" t="e">
        <f>AND(#REF!,"IaI1Dl5/tik=")</f>
        <v>#REF!</v>
      </c>
      <c r="AQ13" t="e">
        <f>AND(#REF!,"IaI1Dl5/tio=")</f>
        <v>#REF!</v>
      </c>
      <c r="AR13" t="e">
        <f>AND(#REF!,"IaI1Dl5/tis=")</f>
        <v>#REF!</v>
      </c>
      <c r="AS13" t="e">
        <f>IF(#REF!,"IaI1Dl5/tiw=",0)</f>
        <v>#REF!</v>
      </c>
      <c r="AT13" t="e">
        <f>AND(#REF!,"IaI1Dl5/ti0=")</f>
        <v>#REF!</v>
      </c>
      <c r="AU13" t="e">
        <f>AND(#REF!,"IaI1Dl5/ti4=")</f>
        <v>#REF!</v>
      </c>
      <c r="AV13" t="e">
        <f>AND(#REF!,"IaI1Dl5/ti8=")</f>
        <v>#REF!</v>
      </c>
      <c r="AW13" t="e">
        <f>AND(#REF!,"IaI1Dl5/tjA=")</f>
        <v>#REF!</v>
      </c>
      <c r="AX13" t="e">
        <f>AND(#REF!,"IaI1Dl5/tjE=")</f>
        <v>#REF!</v>
      </c>
      <c r="AY13" t="e">
        <f>AND(#REF!,"IaI1Dl5/tjI=")</f>
        <v>#REF!</v>
      </c>
      <c r="AZ13" t="e">
        <f>AND(#REF!,"IaI1Dl5/tjM=")</f>
        <v>#REF!</v>
      </c>
      <c r="BA13" t="e">
        <f>AND(#REF!,"IaI1Dl5/tjQ=")</f>
        <v>#REF!</v>
      </c>
      <c r="BB13" t="e">
        <f>AND(#REF!,"IaI1Dl5/tjU=")</f>
        <v>#REF!</v>
      </c>
      <c r="BC13" t="e">
        <f>AND(#REF!,"IaI1Dl5/tjY=")</f>
        <v>#REF!</v>
      </c>
      <c r="BD13" t="e">
        <f>AND(#REF!,"IaI1Dl5/tjc=")</f>
        <v>#REF!</v>
      </c>
      <c r="BE13" t="e">
        <f>AND(#REF!,"IaI1Dl5/tjg=")</f>
        <v>#REF!</v>
      </c>
      <c r="BF13" t="e">
        <f>AND(#REF!,"IaI1Dl5/tjk=")</f>
        <v>#REF!</v>
      </c>
      <c r="BG13" t="e">
        <f>IF(#REF!,"IaI1Dl5/tjo=",0)</f>
        <v>#REF!</v>
      </c>
      <c r="BH13" t="e">
        <f>AND(#REF!,"IaI1Dl5/tjs=")</f>
        <v>#REF!</v>
      </c>
      <c r="BI13" t="e">
        <f>AND(#REF!,"IaI1Dl5/tjw=")</f>
        <v>#REF!</v>
      </c>
      <c r="BJ13" t="e">
        <f>AND(#REF!,"IaI1Dl5/tj0=")</f>
        <v>#REF!</v>
      </c>
      <c r="BK13" t="e">
        <f>AND(#REF!,"IaI1Dl5/tj4=")</f>
        <v>#REF!</v>
      </c>
      <c r="BL13" t="e">
        <f>AND(#REF!,"IaI1Dl5/tj8=")</f>
        <v>#REF!</v>
      </c>
      <c r="BM13" t="e">
        <f>AND(#REF!,"IaI1Dl5/tkA=")</f>
        <v>#REF!</v>
      </c>
      <c r="BN13" t="e">
        <f>AND(#REF!,"IaI1Dl5/tkE=")</f>
        <v>#REF!</v>
      </c>
      <c r="BO13" t="e">
        <f>AND(#REF!,"IaI1Dl5/tkI=")</f>
        <v>#REF!</v>
      </c>
      <c r="BP13" t="e">
        <f>AND(#REF!,"IaI1Dl5/tkM=")</f>
        <v>#REF!</v>
      </c>
      <c r="BQ13" t="e">
        <f>AND(#REF!,"IaI1Dl5/tkQ=")</f>
        <v>#REF!</v>
      </c>
      <c r="BR13" t="e">
        <f>AND(#REF!,"IaI1Dl5/tkU=")</f>
        <v>#REF!</v>
      </c>
      <c r="BS13" t="e">
        <f>AND(#REF!,"IaI1Dl5/tkY=")</f>
        <v>#REF!</v>
      </c>
      <c r="BT13" t="e">
        <f>AND(#REF!,"IaI1Dl5/tkc=")</f>
        <v>#REF!</v>
      </c>
      <c r="BU13" t="e">
        <f>IF(#REF!,"IaI1Dl5/tkg=",0)</f>
        <v>#REF!</v>
      </c>
      <c r="BV13" t="e">
        <f>AND(#REF!,"IaI1Dl5/tkk=")</f>
        <v>#REF!</v>
      </c>
      <c r="BW13" t="e">
        <f>AND(#REF!,"IaI1Dl5/tko=")</f>
        <v>#REF!</v>
      </c>
      <c r="BX13" t="e">
        <f>AND(#REF!,"IaI1Dl5/tks=")</f>
        <v>#REF!</v>
      </c>
      <c r="BY13" t="e">
        <f>AND(#REF!,"IaI1Dl5/tkw=")</f>
        <v>#REF!</v>
      </c>
      <c r="BZ13" t="e">
        <f>AND(#REF!,"IaI1Dl5/tk0=")</f>
        <v>#REF!</v>
      </c>
      <c r="CA13" t="e">
        <f>AND(#REF!,"IaI1Dl5/tk4=")</f>
        <v>#REF!</v>
      </c>
      <c r="CB13" t="e">
        <f>AND(#REF!,"IaI1Dl5/tk8=")</f>
        <v>#REF!</v>
      </c>
      <c r="CC13" t="e">
        <f>AND(#REF!,"IaI1Dl5/tlA=")</f>
        <v>#REF!</v>
      </c>
      <c r="CD13" t="e">
        <f>AND(#REF!,"IaI1Dl5/tlE=")</f>
        <v>#REF!</v>
      </c>
      <c r="CE13" t="e">
        <f>AND(#REF!,"IaI1Dl5/tlI=")</f>
        <v>#REF!</v>
      </c>
      <c r="CF13" t="e">
        <f>AND(#REF!,"IaI1Dl5/tlM=")</f>
        <v>#REF!</v>
      </c>
      <c r="CG13" t="e">
        <f>AND(#REF!,"IaI1Dl5/tlQ=")</f>
        <v>#REF!</v>
      </c>
      <c r="CH13" t="e">
        <f>AND(#REF!,"IaI1Dl5/tlU=")</f>
        <v>#REF!</v>
      </c>
      <c r="CI13" t="e">
        <f>IF(#REF!,"IaI1Dl5/tlY=",0)</f>
        <v>#REF!</v>
      </c>
      <c r="CJ13" t="e">
        <f>AND(#REF!,"IaI1Dl5/tlc=")</f>
        <v>#REF!</v>
      </c>
      <c r="CK13" t="e">
        <f>AND(#REF!,"IaI1Dl5/tlg=")</f>
        <v>#REF!</v>
      </c>
      <c r="CL13" t="e">
        <f>AND(#REF!,"IaI1Dl5/tlk=")</f>
        <v>#REF!</v>
      </c>
      <c r="CM13" t="e">
        <f>AND(#REF!,"IaI1Dl5/tlo=")</f>
        <v>#REF!</v>
      </c>
      <c r="CN13" t="e">
        <f>AND(#REF!,"IaI1Dl5/tls=")</f>
        <v>#REF!</v>
      </c>
      <c r="CO13" t="e">
        <f>AND(#REF!,"IaI1Dl5/tlw=")</f>
        <v>#REF!</v>
      </c>
      <c r="CP13" t="e">
        <f>AND(#REF!,"IaI1Dl5/tl0=")</f>
        <v>#REF!</v>
      </c>
      <c r="CQ13" t="e">
        <f>AND(#REF!,"IaI1Dl5/tl4=")</f>
        <v>#REF!</v>
      </c>
      <c r="CR13" t="e">
        <f>AND(#REF!,"IaI1Dl5/tl8=")</f>
        <v>#REF!</v>
      </c>
      <c r="CS13" t="e">
        <f>AND(#REF!,"IaI1Dl5/tmA=")</f>
        <v>#REF!</v>
      </c>
      <c r="CT13" t="e">
        <f>AND(#REF!,"IaI1Dl5/tmE=")</f>
        <v>#REF!</v>
      </c>
      <c r="CU13" t="e">
        <f>AND(#REF!,"IaI1Dl5/tmI=")</f>
        <v>#REF!</v>
      </c>
      <c r="CV13" t="e">
        <f>AND(#REF!,"IaI1Dl5/tmM=")</f>
        <v>#REF!</v>
      </c>
      <c r="CW13" t="e">
        <f>IF(#REF!,"IaI1Dl5/tmQ=",0)</f>
        <v>#REF!</v>
      </c>
      <c r="CX13" t="e">
        <f>AND(#REF!,"IaI1Dl5/tmU=")</f>
        <v>#REF!</v>
      </c>
      <c r="CY13" t="e">
        <f>AND(#REF!,"IaI1Dl5/tmY=")</f>
        <v>#REF!</v>
      </c>
      <c r="CZ13" t="e">
        <f>AND(#REF!,"IaI1Dl5/tmc=")</f>
        <v>#REF!</v>
      </c>
      <c r="DA13" t="e">
        <f>AND(#REF!,"IaI1Dl5/tmg=")</f>
        <v>#REF!</v>
      </c>
      <c r="DB13" t="e">
        <f>AND(#REF!,"IaI1Dl5/tmk=")</f>
        <v>#REF!</v>
      </c>
      <c r="DC13" t="e">
        <f>AND(#REF!,"IaI1Dl5/tmo=")</f>
        <v>#REF!</v>
      </c>
      <c r="DD13" t="e">
        <f>AND(#REF!,"IaI1Dl5/tms=")</f>
        <v>#REF!</v>
      </c>
      <c r="DE13" t="e">
        <f>AND(#REF!,"IaI1Dl5/tmw=")</f>
        <v>#REF!</v>
      </c>
      <c r="DF13" t="e">
        <f>AND(#REF!,"IaI1Dl5/tm0=")</f>
        <v>#REF!</v>
      </c>
      <c r="DG13" t="e">
        <f>AND(#REF!,"IaI1Dl5/tm4=")</f>
        <v>#REF!</v>
      </c>
      <c r="DH13" t="e">
        <f>AND(#REF!,"IaI1Dl5/tm8=")</f>
        <v>#REF!</v>
      </c>
      <c r="DI13" t="e">
        <f>AND(#REF!,"IaI1Dl5/tnA=")</f>
        <v>#REF!</v>
      </c>
      <c r="DJ13" t="e">
        <f>AND(#REF!,"IaI1Dl5/tnE=")</f>
        <v>#REF!</v>
      </c>
      <c r="DK13" t="e">
        <f>IF(#REF!,"IaI1Dl5/tnI=",0)</f>
        <v>#REF!</v>
      </c>
      <c r="DL13" t="e">
        <f>AND(#REF!,"IaI1Dl5/tnM=")</f>
        <v>#REF!</v>
      </c>
      <c r="DM13" t="e">
        <f>AND(#REF!,"IaI1Dl5/tnQ=")</f>
        <v>#REF!</v>
      </c>
      <c r="DN13" t="e">
        <f>AND(#REF!,"IaI1Dl5/tnU=")</f>
        <v>#REF!</v>
      </c>
      <c r="DO13" t="e">
        <f>AND(#REF!,"IaI1Dl5/tnY=")</f>
        <v>#REF!</v>
      </c>
      <c r="DP13" t="e">
        <f>AND(#REF!,"IaI1Dl5/tnc=")</f>
        <v>#REF!</v>
      </c>
      <c r="DQ13" t="e">
        <f>AND(#REF!,"IaI1Dl5/tng=")</f>
        <v>#REF!</v>
      </c>
      <c r="DR13" t="e">
        <f>AND(#REF!,"IaI1Dl5/tnk=")</f>
        <v>#REF!</v>
      </c>
      <c r="DS13" t="e">
        <f>AND(#REF!,"IaI1Dl5/tno=")</f>
        <v>#REF!</v>
      </c>
      <c r="DT13" t="e">
        <f>AND(#REF!,"IaI1Dl5/tns=")</f>
        <v>#REF!</v>
      </c>
      <c r="DU13" t="e">
        <f>AND(#REF!,"IaI1Dl5/tnw=")</f>
        <v>#REF!</v>
      </c>
      <c r="DV13" t="e">
        <f>AND(#REF!,"IaI1Dl5/tn0=")</f>
        <v>#REF!</v>
      </c>
      <c r="DW13" t="e">
        <f>AND(#REF!,"IaI1Dl5/tn4=")</f>
        <v>#REF!</v>
      </c>
      <c r="DX13" t="e">
        <f>AND(#REF!,"IaI1Dl5/tn8=")</f>
        <v>#REF!</v>
      </c>
      <c r="DY13" t="e">
        <f>IF(#REF!,"IaI1Dl5/toA=",0)</f>
        <v>#REF!</v>
      </c>
      <c r="DZ13" t="e">
        <f>AND(#REF!,"IaI1Dl5/toE=")</f>
        <v>#REF!</v>
      </c>
      <c r="EA13" t="e">
        <f>AND(#REF!,"IaI1Dl5/toI=")</f>
        <v>#REF!</v>
      </c>
      <c r="EB13" t="e">
        <f>AND(#REF!,"IaI1Dl5/toM=")</f>
        <v>#REF!</v>
      </c>
      <c r="EC13" t="e">
        <f>AND(#REF!,"IaI1Dl5/toQ=")</f>
        <v>#REF!</v>
      </c>
      <c r="ED13" t="e">
        <f>AND(#REF!,"IaI1Dl5/toU=")</f>
        <v>#REF!</v>
      </c>
      <c r="EE13" t="e">
        <f>AND(#REF!,"IaI1Dl5/toY=")</f>
        <v>#REF!</v>
      </c>
      <c r="EF13" t="e">
        <f>AND(#REF!,"IaI1Dl5/toc=")</f>
        <v>#REF!</v>
      </c>
      <c r="EG13" t="e">
        <f>AND(#REF!,"IaI1Dl5/tog=")</f>
        <v>#REF!</v>
      </c>
      <c r="EH13" t="e">
        <f>AND(#REF!,"IaI1Dl5/tok=")</f>
        <v>#REF!</v>
      </c>
      <c r="EI13" t="e">
        <f>AND(#REF!,"IaI1Dl5/too=")</f>
        <v>#REF!</v>
      </c>
      <c r="EJ13" t="e">
        <f>AND(#REF!,"IaI1Dl5/tos=")</f>
        <v>#REF!</v>
      </c>
      <c r="EK13" t="e">
        <f>AND(#REF!,"IaI1Dl5/tow=")</f>
        <v>#REF!</v>
      </c>
      <c r="EL13" t="e">
        <f>AND(#REF!,"IaI1Dl5/to0=")</f>
        <v>#REF!</v>
      </c>
      <c r="EM13" t="e">
        <f>IF(#REF!,"IaI1Dl5/to4=",0)</f>
        <v>#REF!</v>
      </c>
      <c r="EN13" t="e">
        <f>AND(#REF!,"IaI1Dl5/to8=")</f>
        <v>#REF!</v>
      </c>
      <c r="EO13" t="e">
        <f>AND(#REF!,"IaI1Dl5/tpA=")</f>
        <v>#REF!</v>
      </c>
      <c r="EP13" t="e">
        <f>AND(#REF!,"IaI1Dl5/tpE=")</f>
        <v>#REF!</v>
      </c>
      <c r="EQ13" t="e">
        <f>AND(#REF!,"IaI1Dl5/tpI=")</f>
        <v>#REF!</v>
      </c>
      <c r="ER13" t="e">
        <f>AND(#REF!,"IaI1Dl5/tpM=")</f>
        <v>#REF!</v>
      </c>
      <c r="ES13" t="e">
        <f>AND(#REF!,"IaI1Dl5/tpQ=")</f>
        <v>#REF!</v>
      </c>
      <c r="ET13" t="e">
        <f>AND(#REF!,"IaI1Dl5/tpU=")</f>
        <v>#REF!</v>
      </c>
      <c r="EU13" t="e">
        <f>AND(#REF!,"IaI1Dl5/tpY=")</f>
        <v>#REF!</v>
      </c>
      <c r="EV13" t="e">
        <f>AND(#REF!,"IaI1Dl5/tpc=")</f>
        <v>#REF!</v>
      </c>
      <c r="EW13" t="e">
        <f>AND(#REF!,"IaI1Dl5/tpg=")</f>
        <v>#REF!</v>
      </c>
      <c r="EX13" t="e">
        <f>AND(#REF!,"IaI1Dl5/tpk=")</f>
        <v>#REF!</v>
      </c>
      <c r="EY13" t="e">
        <f>AND(#REF!,"IaI1Dl5/tpo=")</f>
        <v>#REF!</v>
      </c>
      <c r="EZ13" t="e">
        <f>AND(#REF!,"IaI1Dl5/tps=")</f>
        <v>#REF!</v>
      </c>
      <c r="FA13" t="e">
        <f>IF(#REF!,"IaI1Dl5/tpw=",0)</f>
        <v>#REF!</v>
      </c>
      <c r="FB13" t="e">
        <f>AND(#REF!,"IaI1Dl5/tp0=")</f>
        <v>#REF!</v>
      </c>
      <c r="FC13" t="e">
        <f>AND(#REF!,"IaI1Dl5/tp4=")</f>
        <v>#REF!</v>
      </c>
      <c r="FD13" t="e">
        <f>AND(#REF!,"IaI1Dl5/tp8=")</f>
        <v>#REF!</v>
      </c>
      <c r="FE13" t="e">
        <f>AND(#REF!,"IaI1Dl5/tqA=")</f>
        <v>#REF!</v>
      </c>
      <c r="FF13" t="e">
        <f>AND(#REF!,"IaI1Dl5/tqE=")</f>
        <v>#REF!</v>
      </c>
      <c r="FG13" t="e">
        <f>AND(#REF!,"IaI1Dl5/tqI=")</f>
        <v>#REF!</v>
      </c>
      <c r="FH13" t="e">
        <f>AND(#REF!,"IaI1Dl5/tqM=")</f>
        <v>#REF!</v>
      </c>
      <c r="FI13" t="e">
        <f>AND(#REF!,"IaI1Dl5/tqQ=")</f>
        <v>#REF!</v>
      </c>
      <c r="FJ13" t="e">
        <f>AND(#REF!,"IaI1Dl5/tqU=")</f>
        <v>#REF!</v>
      </c>
      <c r="FK13" t="e">
        <f>AND(#REF!,"IaI1Dl5/tqY=")</f>
        <v>#REF!</v>
      </c>
      <c r="FL13" t="e">
        <f>AND(#REF!,"IaI1Dl5/tqc=")</f>
        <v>#REF!</v>
      </c>
      <c r="FM13" t="e">
        <f>AND(#REF!,"IaI1Dl5/tqg=")</f>
        <v>#REF!</v>
      </c>
      <c r="FN13" t="e">
        <f>AND(#REF!,"IaI1Dl5/tqk=")</f>
        <v>#REF!</v>
      </c>
      <c r="FO13" t="e">
        <f>IF(#REF!,"IaI1Dl5/tqo=",0)</f>
        <v>#REF!</v>
      </c>
      <c r="FP13" t="e">
        <f>AND(#REF!,"IaI1Dl5/tqs=")</f>
        <v>#REF!</v>
      </c>
      <c r="FQ13" t="e">
        <f>AND(#REF!,"IaI1Dl5/tqw=")</f>
        <v>#REF!</v>
      </c>
      <c r="FR13" t="e">
        <f>AND(#REF!,"IaI1Dl5/tq0=")</f>
        <v>#REF!</v>
      </c>
      <c r="FS13" t="e">
        <f>AND(#REF!,"IaI1Dl5/tq4=")</f>
        <v>#REF!</v>
      </c>
      <c r="FT13" t="e">
        <f>AND(#REF!,"IaI1Dl5/tq8=")</f>
        <v>#REF!</v>
      </c>
      <c r="FU13" t="e">
        <f>AND(#REF!,"IaI1Dl5/trA=")</f>
        <v>#REF!</v>
      </c>
      <c r="FV13" t="e">
        <f>AND(#REF!,"IaI1Dl5/trE=")</f>
        <v>#REF!</v>
      </c>
      <c r="FW13" t="e">
        <f>AND(#REF!,"IaI1Dl5/trI=")</f>
        <v>#REF!</v>
      </c>
      <c r="FX13" t="e">
        <f>AND(#REF!,"IaI1Dl5/trM=")</f>
        <v>#REF!</v>
      </c>
      <c r="FY13" t="e">
        <f>AND(#REF!,"IaI1Dl5/trQ=")</f>
        <v>#REF!</v>
      </c>
      <c r="FZ13" t="e">
        <f>AND(#REF!,"IaI1Dl5/trU=")</f>
        <v>#REF!</v>
      </c>
      <c r="GA13" t="e">
        <f>AND(#REF!,"IaI1Dl5/trY=")</f>
        <v>#REF!</v>
      </c>
      <c r="GB13" t="e">
        <f>AND(#REF!,"IaI1Dl5/trc=")</f>
        <v>#REF!</v>
      </c>
      <c r="GC13" t="e">
        <f>IF(#REF!,"IaI1Dl5/trg=",0)</f>
        <v>#REF!</v>
      </c>
      <c r="GD13" t="e">
        <f>AND(#REF!,"IaI1Dl5/trk=")</f>
        <v>#REF!</v>
      </c>
      <c r="GE13" t="e">
        <f>AND(#REF!,"IaI1Dl5/tro=")</f>
        <v>#REF!</v>
      </c>
      <c r="GF13" t="e">
        <f>AND(#REF!,"IaI1Dl5/trs=")</f>
        <v>#REF!</v>
      </c>
      <c r="GG13" t="e">
        <f>AND(#REF!,"IaI1Dl5/trw=")</f>
        <v>#REF!</v>
      </c>
      <c r="GH13" t="e">
        <f>AND(#REF!,"IaI1Dl5/tr0=")</f>
        <v>#REF!</v>
      </c>
      <c r="GI13" t="e">
        <f>AND(#REF!,"IaI1Dl5/tr4=")</f>
        <v>#REF!</v>
      </c>
      <c r="GJ13" t="e">
        <f>AND(#REF!,"IaI1Dl5/tr8=")</f>
        <v>#REF!</v>
      </c>
      <c r="GK13" t="e">
        <f>AND(#REF!,"IaI1Dl5/tsA=")</f>
        <v>#REF!</v>
      </c>
      <c r="GL13" t="e">
        <f>AND(#REF!,"IaI1Dl5/tsE=")</f>
        <v>#REF!</v>
      </c>
      <c r="GM13" t="e">
        <f>AND(#REF!,"IaI1Dl5/tsI=")</f>
        <v>#REF!</v>
      </c>
      <c r="GN13" t="e">
        <f>AND(#REF!,"IaI1Dl5/tsM=")</f>
        <v>#REF!</v>
      </c>
      <c r="GO13" t="e">
        <f>AND(#REF!,"IaI1Dl5/tsQ=")</f>
        <v>#REF!</v>
      </c>
      <c r="GP13" t="e">
        <f>AND(#REF!,"IaI1Dl5/tsU=")</f>
        <v>#REF!</v>
      </c>
      <c r="GQ13" t="e">
        <f>IF(#REF!,"IaI1Dl5/tsY=",0)</f>
        <v>#REF!</v>
      </c>
      <c r="GR13" t="e">
        <f>AND(#REF!,"IaI1Dl5/tsc=")</f>
        <v>#REF!</v>
      </c>
      <c r="GS13" t="e">
        <f>AND(#REF!,"IaI1Dl5/tsg=")</f>
        <v>#REF!</v>
      </c>
      <c r="GT13" t="e">
        <f>AND(#REF!,"IaI1Dl5/tsk=")</f>
        <v>#REF!</v>
      </c>
      <c r="GU13" t="e">
        <f>AND(#REF!,"IaI1Dl5/tso=")</f>
        <v>#REF!</v>
      </c>
      <c r="GV13" t="e">
        <f>AND(#REF!,"IaI1Dl5/tss=")</f>
        <v>#REF!</v>
      </c>
      <c r="GW13" t="e">
        <f>AND(#REF!,"IaI1Dl5/tsw=")</f>
        <v>#REF!</v>
      </c>
      <c r="GX13" t="e">
        <f>AND(#REF!,"IaI1Dl5/ts0=")</f>
        <v>#REF!</v>
      </c>
      <c r="GY13" t="e">
        <f>AND(#REF!,"IaI1Dl5/ts4=")</f>
        <v>#REF!</v>
      </c>
      <c r="GZ13" t="e">
        <f>AND(#REF!,"IaI1Dl5/ts8=")</f>
        <v>#REF!</v>
      </c>
      <c r="HA13" t="e">
        <f>AND(#REF!,"IaI1Dl5/ttA=")</f>
        <v>#REF!</v>
      </c>
      <c r="HB13" t="e">
        <f>AND(#REF!,"IaI1Dl5/ttE=")</f>
        <v>#REF!</v>
      </c>
      <c r="HC13" t="e">
        <f>AND(#REF!,"IaI1Dl5/ttI=")</f>
        <v>#REF!</v>
      </c>
      <c r="HD13" t="e">
        <f>AND(#REF!,"IaI1Dl5/ttM=")</f>
        <v>#REF!</v>
      </c>
      <c r="HE13" t="e">
        <f>IF(#REF!,"IaI1Dl5/ttQ=",0)</f>
        <v>#REF!</v>
      </c>
      <c r="HF13" t="e">
        <f>AND(#REF!,"IaI1Dl5/ttU=")</f>
        <v>#REF!</v>
      </c>
      <c r="HG13" t="e">
        <f>AND(#REF!,"IaI1Dl5/ttY=")</f>
        <v>#REF!</v>
      </c>
      <c r="HH13" t="e">
        <f>AND(#REF!,"IaI1Dl5/ttc=")</f>
        <v>#REF!</v>
      </c>
      <c r="HI13" t="e">
        <f>AND(#REF!,"IaI1Dl5/ttg=")</f>
        <v>#REF!</v>
      </c>
      <c r="HJ13" t="e">
        <f>AND(#REF!,"IaI1Dl5/ttk=")</f>
        <v>#REF!</v>
      </c>
      <c r="HK13" t="e">
        <f>AND(#REF!,"IaI1Dl5/tto=")</f>
        <v>#REF!</v>
      </c>
      <c r="HL13" t="e">
        <f>AND(#REF!,"IaI1Dl5/tts=")</f>
        <v>#REF!</v>
      </c>
      <c r="HM13" t="e">
        <f>AND(#REF!,"IaI1Dl5/ttw=")</f>
        <v>#REF!</v>
      </c>
      <c r="HN13" t="e">
        <f>AND(#REF!,"IaI1Dl5/tt0=")</f>
        <v>#REF!</v>
      </c>
      <c r="HO13" t="e">
        <f>AND(#REF!,"IaI1Dl5/tt4=")</f>
        <v>#REF!</v>
      </c>
      <c r="HP13" t="e">
        <f>AND(#REF!,"IaI1Dl5/tt8=")</f>
        <v>#REF!</v>
      </c>
      <c r="HQ13" t="e">
        <f>AND(#REF!,"IaI1Dl5/tuA=")</f>
        <v>#REF!</v>
      </c>
      <c r="HR13" t="e">
        <f>AND(#REF!,"IaI1Dl5/tuE=")</f>
        <v>#REF!</v>
      </c>
      <c r="HS13" t="e">
        <f>IF(#REF!,"IaI1Dl5/tuI=",0)</f>
        <v>#REF!</v>
      </c>
      <c r="HT13" t="e">
        <f>AND(#REF!,"IaI1Dl5/tuM=")</f>
        <v>#REF!</v>
      </c>
      <c r="HU13" t="e">
        <f>AND(#REF!,"IaI1Dl5/tuQ=")</f>
        <v>#REF!</v>
      </c>
      <c r="HV13" t="e">
        <f>AND(#REF!,"IaI1Dl5/tuU=")</f>
        <v>#REF!</v>
      </c>
      <c r="HW13" t="e">
        <f>AND(#REF!,"IaI1Dl5/tuY=")</f>
        <v>#REF!</v>
      </c>
      <c r="HX13" t="e">
        <f>AND(#REF!,"IaI1Dl5/tuc=")</f>
        <v>#REF!</v>
      </c>
      <c r="HY13" t="e">
        <f>AND(#REF!,"IaI1Dl5/tug=")</f>
        <v>#REF!</v>
      </c>
      <c r="HZ13" t="e">
        <f>AND(#REF!,"IaI1Dl5/tuk=")</f>
        <v>#REF!</v>
      </c>
      <c r="IA13" t="e">
        <f>AND(#REF!,"IaI1Dl5/tuo=")</f>
        <v>#REF!</v>
      </c>
      <c r="IB13" t="e">
        <f>AND(#REF!,"IaI1Dl5/tus=")</f>
        <v>#REF!</v>
      </c>
      <c r="IC13" t="e">
        <f>AND(#REF!,"IaI1Dl5/tuw=")</f>
        <v>#REF!</v>
      </c>
      <c r="ID13" t="e">
        <f>AND(#REF!,"IaI1Dl5/tu0=")</f>
        <v>#REF!</v>
      </c>
      <c r="IE13" t="e">
        <f>AND(#REF!,"IaI1Dl5/tu4=")</f>
        <v>#REF!</v>
      </c>
      <c r="IF13" t="e">
        <f>AND(#REF!,"IaI1Dl5/tu8=")</f>
        <v>#REF!</v>
      </c>
      <c r="IG13" t="e">
        <f>IF(#REF!,"IaI1Dl5/tvA=",0)</f>
        <v>#REF!</v>
      </c>
      <c r="IH13" t="e">
        <f>AND(#REF!,"IaI1Dl5/tvE=")</f>
        <v>#REF!</v>
      </c>
      <c r="II13" t="e">
        <f>AND(#REF!,"IaI1Dl5/tvI=")</f>
        <v>#REF!</v>
      </c>
      <c r="IJ13" t="e">
        <f>AND(#REF!,"IaI1Dl5/tvM=")</f>
        <v>#REF!</v>
      </c>
      <c r="IK13" t="e">
        <f>AND(#REF!,"IaI1Dl5/tvQ=")</f>
        <v>#REF!</v>
      </c>
      <c r="IL13" t="e">
        <f>AND(#REF!,"IaI1Dl5/tvU=")</f>
        <v>#REF!</v>
      </c>
      <c r="IM13" t="e">
        <f>AND(#REF!,"IaI1Dl5/tvY=")</f>
        <v>#REF!</v>
      </c>
      <c r="IN13" t="e">
        <f>AND(#REF!,"IaI1Dl5/tvc=")</f>
        <v>#REF!</v>
      </c>
      <c r="IO13" t="e">
        <f>AND(#REF!,"IaI1Dl5/tvg=")</f>
        <v>#REF!</v>
      </c>
      <c r="IP13" t="e">
        <f>AND(#REF!,"IaI1Dl5/tvk=")</f>
        <v>#REF!</v>
      </c>
      <c r="IQ13" t="e">
        <f>AND(#REF!,"IaI1Dl5/tvo=")</f>
        <v>#REF!</v>
      </c>
      <c r="IR13" t="e">
        <f>AND(#REF!,"IaI1Dl5/tvs=")</f>
        <v>#REF!</v>
      </c>
      <c r="IS13" t="e">
        <f>AND(#REF!,"IaI1Dl5/tvw=")</f>
        <v>#REF!</v>
      </c>
      <c r="IT13" t="e">
        <f>AND(#REF!,"IaI1Dl5/tv0=")</f>
        <v>#REF!</v>
      </c>
      <c r="IU13" t="e">
        <f>IF(#REF!,"IaI1Dl5/tv4=",0)</f>
        <v>#REF!</v>
      </c>
      <c r="IV13" t="e">
        <f>AND(#REF!,"IaI1Dl5/tv8=")</f>
        <v>#REF!</v>
      </c>
    </row>
    <row r="14" spans="1:256" x14ac:dyDescent="0.2">
      <c r="A14" t="e">
        <f>AND(#REF!,"MxOUwGSJkQA=")</f>
        <v>#REF!</v>
      </c>
      <c r="B14" t="e">
        <f>AND(#REF!,"MxOUwGSJkQE=")</f>
        <v>#REF!</v>
      </c>
      <c r="C14" t="e">
        <f>AND(#REF!,"MxOUwGSJkQI=")</f>
        <v>#REF!</v>
      </c>
      <c r="D14" t="e">
        <f>AND(#REF!,"MxOUwGSJkQM=")</f>
        <v>#REF!</v>
      </c>
      <c r="E14" t="e">
        <f>AND(#REF!,"MxOUwGSJkQQ=")</f>
        <v>#REF!</v>
      </c>
      <c r="F14" t="e">
        <f>AND(#REF!,"MxOUwGSJkQU=")</f>
        <v>#REF!</v>
      </c>
      <c r="G14" t="e">
        <f>AND(#REF!,"MxOUwGSJkQY=")</f>
        <v>#REF!</v>
      </c>
      <c r="H14" t="e">
        <f>AND(#REF!,"MxOUwGSJkQc=")</f>
        <v>#REF!</v>
      </c>
      <c r="I14" t="e">
        <f>AND(#REF!,"MxOUwGSJkQg=")</f>
        <v>#REF!</v>
      </c>
      <c r="J14" t="e">
        <f>AND(#REF!,"MxOUwGSJkQk=")</f>
        <v>#REF!</v>
      </c>
      <c r="K14" t="e">
        <f>AND(#REF!,"MxOUwGSJkQo=")</f>
        <v>#REF!</v>
      </c>
      <c r="L14" t="e">
        <f>AND(#REF!,"MxOUwGSJkQs=")</f>
        <v>#REF!</v>
      </c>
      <c r="M14" t="e">
        <f>IF(#REF!,"MxOUwGSJkQw=",0)</f>
        <v>#REF!</v>
      </c>
      <c r="N14" t="e">
        <f>AND(#REF!,"MxOUwGSJkQ0=")</f>
        <v>#REF!</v>
      </c>
      <c r="O14" t="e">
        <f>AND(#REF!,"MxOUwGSJkQ4=")</f>
        <v>#REF!</v>
      </c>
      <c r="P14" t="e">
        <f>AND(#REF!,"MxOUwGSJkQ8=")</f>
        <v>#REF!</v>
      </c>
      <c r="Q14" t="e">
        <f>AND(#REF!,"MxOUwGSJkRA=")</f>
        <v>#REF!</v>
      </c>
      <c r="R14" t="e">
        <f>AND(#REF!,"MxOUwGSJkRE=")</f>
        <v>#REF!</v>
      </c>
      <c r="S14" t="e">
        <f>AND(#REF!,"MxOUwGSJkRI=")</f>
        <v>#REF!</v>
      </c>
      <c r="T14" t="e">
        <f>AND(#REF!,"MxOUwGSJkRM=")</f>
        <v>#REF!</v>
      </c>
      <c r="U14" t="e">
        <f>AND(#REF!,"MxOUwGSJkRQ=")</f>
        <v>#REF!</v>
      </c>
      <c r="V14" t="e">
        <f>AND(#REF!,"MxOUwGSJkRU=")</f>
        <v>#REF!</v>
      </c>
      <c r="W14" t="e">
        <f>AND(#REF!,"MxOUwGSJkRY=")</f>
        <v>#REF!</v>
      </c>
      <c r="X14" t="e">
        <f>AND(#REF!,"MxOUwGSJkRc=")</f>
        <v>#REF!</v>
      </c>
      <c r="Y14" t="e">
        <f>AND(#REF!,"MxOUwGSJkRg=")</f>
        <v>#REF!</v>
      </c>
      <c r="Z14" t="e">
        <f>AND(#REF!,"MxOUwGSJkRk=")</f>
        <v>#REF!</v>
      </c>
      <c r="AA14" t="e">
        <f>IF(#REF!,"MxOUwGSJkRo=",0)</f>
        <v>#REF!</v>
      </c>
      <c r="AB14" t="e">
        <f>AND(#REF!,"MxOUwGSJkRs=")</f>
        <v>#REF!</v>
      </c>
      <c r="AC14" t="e">
        <f>AND(#REF!,"MxOUwGSJkRw=")</f>
        <v>#REF!</v>
      </c>
      <c r="AD14" t="e">
        <f>AND(#REF!,"MxOUwGSJkR0=")</f>
        <v>#REF!</v>
      </c>
      <c r="AE14" t="e">
        <f>AND(#REF!,"MxOUwGSJkR4=")</f>
        <v>#REF!</v>
      </c>
      <c r="AF14" t="e">
        <f>AND(#REF!,"MxOUwGSJkR8=")</f>
        <v>#REF!</v>
      </c>
      <c r="AG14" t="e">
        <f>AND(#REF!,"MxOUwGSJkSA=")</f>
        <v>#REF!</v>
      </c>
      <c r="AH14" t="e">
        <f>AND(#REF!,"MxOUwGSJkSE=")</f>
        <v>#REF!</v>
      </c>
      <c r="AI14" t="e">
        <f>AND(#REF!,"MxOUwGSJkSI=")</f>
        <v>#REF!</v>
      </c>
      <c r="AJ14" t="e">
        <f>AND(#REF!,"MxOUwGSJkSM=")</f>
        <v>#REF!</v>
      </c>
      <c r="AK14" t="e">
        <f>AND(#REF!,"MxOUwGSJkSQ=")</f>
        <v>#REF!</v>
      </c>
      <c r="AL14" t="e">
        <f>AND(#REF!,"MxOUwGSJkSU=")</f>
        <v>#REF!</v>
      </c>
      <c r="AM14" t="e">
        <f>AND(#REF!,"MxOUwGSJkSY=")</f>
        <v>#REF!</v>
      </c>
      <c r="AN14" t="e">
        <f>AND(#REF!,"MxOUwGSJkSc=")</f>
        <v>#REF!</v>
      </c>
      <c r="AO14" t="e">
        <f>IF(#REF!,"MxOUwGSJkSg=",0)</f>
        <v>#REF!</v>
      </c>
      <c r="AP14" t="e">
        <f>AND(#REF!,"MxOUwGSJkSk=")</f>
        <v>#REF!</v>
      </c>
      <c r="AQ14" t="e">
        <f>AND(#REF!,"MxOUwGSJkSo=")</f>
        <v>#REF!</v>
      </c>
      <c r="AR14" t="e">
        <f>AND(#REF!,"MxOUwGSJkSs=")</f>
        <v>#REF!</v>
      </c>
      <c r="AS14" t="e">
        <f>AND(#REF!,"MxOUwGSJkSw=")</f>
        <v>#REF!</v>
      </c>
      <c r="AT14" t="e">
        <f>AND(#REF!,"MxOUwGSJkS0=")</f>
        <v>#REF!</v>
      </c>
      <c r="AU14" t="e">
        <f>AND(#REF!,"MxOUwGSJkS4=")</f>
        <v>#REF!</v>
      </c>
      <c r="AV14" t="e">
        <f>AND(#REF!,"MxOUwGSJkS8=")</f>
        <v>#REF!</v>
      </c>
      <c r="AW14" t="e">
        <f>AND(#REF!,"MxOUwGSJkTA=")</f>
        <v>#REF!</v>
      </c>
      <c r="AX14" t="e">
        <f>AND(#REF!,"MxOUwGSJkTE=")</f>
        <v>#REF!</v>
      </c>
      <c r="AY14" t="e">
        <f>AND(#REF!,"MxOUwGSJkTI=")</f>
        <v>#REF!</v>
      </c>
      <c r="AZ14" t="e">
        <f>AND(#REF!,"MxOUwGSJkTM=")</f>
        <v>#REF!</v>
      </c>
      <c r="BA14" t="e">
        <f>AND(#REF!,"MxOUwGSJkTQ=")</f>
        <v>#REF!</v>
      </c>
      <c r="BB14" t="e">
        <f>AND(#REF!,"MxOUwGSJkTU=")</f>
        <v>#REF!</v>
      </c>
      <c r="BC14" t="e">
        <f>IF(#REF!,"MxOUwGSJkTY=",0)</f>
        <v>#REF!</v>
      </c>
      <c r="BD14" t="e">
        <f>AND(#REF!,"MxOUwGSJkTc=")</f>
        <v>#REF!</v>
      </c>
      <c r="BE14" t="e">
        <f>AND(#REF!,"MxOUwGSJkTg=")</f>
        <v>#REF!</v>
      </c>
      <c r="BF14" t="e">
        <f>AND(#REF!,"MxOUwGSJkTk=")</f>
        <v>#REF!</v>
      </c>
      <c r="BG14" t="e">
        <f>AND(#REF!,"MxOUwGSJkTo=")</f>
        <v>#REF!</v>
      </c>
      <c r="BH14" t="e">
        <f>AND(#REF!,"MxOUwGSJkTs=")</f>
        <v>#REF!</v>
      </c>
      <c r="BI14" t="e">
        <f>AND(#REF!,"MxOUwGSJkTw=")</f>
        <v>#REF!</v>
      </c>
      <c r="BJ14" t="e">
        <f>AND(#REF!,"MxOUwGSJkT0=")</f>
        <v>#REF!</v>
      </c>
      <c r="BK14" t="e">
        <f>AND(#REF!,"MxOUwGSJkT4=")</f>
        <v>#REF!</v>
      </c>
      <c r="BL14" t="e">
        <f>AND(#REF!,"MxOUwGSJkT8=")</f>
        <v>#REF!</v>
      </c>
      <c r="BM14" t="e">
        <f>AND(#REF!,"MxOUwGSJkUA=")</f>
        <v>#REF!</v>
      </c>
      <c r="BN14" t="e">
        <f>AND(#REF!,"MxOUwGSJkUE=")</f>
        <v>#REF!</v>
      </c>
      <c r="BO14" t="e">
        <f>AND(#REF!,"MxOUwGSJkUI=")</f>
        <v>#REF!</v>
      </c>
      <c r="BP14" t="e">
        <f>AND(#REF!,"MxOUwGSJkUM=")</f>
        <v>#REF!</v>
      </c>
      <c r="BQ14" t="e">
        <f>IF(#REF!,"MxOUwGSJkUQ=",0)</f>
        <v>#REF!</v>
      </c>
      <c r="BR14" t="e">
        <f>AND(#REF!,"MxOUwGSJkUU=")</f>
        <v>#REF!</v>
      </c>
      <c r="BS14" t="e">
        <f>AND(#REF!,"MxOUwGSJkUY=")</f>
        <v>#REF!</v>
      </c>
      <c r="BT14" t="e">
        <f>AND(#REF!,"MxOUwGSJkUc=")</f>
        <v>#REF!</v>
      </c>
      <c r="BU14" t="e">
        <f>AND(#REF!,"MxOUwGSJkUg=")</f>
        <v>#REF!</v>
      </c>
      <c r="BV14" t="e">
        <f>AND(#REF!,"MxOUwGSJkUk=")</f>
        <v>#REF!</v>
      </c>
      <c r="BW14" t="e">
        <f>AND(#REF!,"MxOUwGSJkUo=")</f>
        <v>#REF!</v>
      </c>
      <c r="BX14" t="e">
        <f>AND(#REF!,"MxOUwGSJkUs=")</f>
        <v>#REF!</v>
      </c>
      <c r="BY14" t="e">
        <f>AND(#REF!,"MxOUwGSJkUw=")</f>
        <v>#REF!</v>
      </c>
      <c r="BZ14" t="e">
        <f>AND(#REF!,"MxOUwGSJkU0=")</f>
        <v>#REF!</v>
      </c>
      <c r="CA14" t="e">
        <f>AND(#REF!,"MxOUwGSJkU4=")</f>
        <v>#REF!</v>
      </c>
      <c r="CB14" t="e">
        <f>AND(#REF!,"MxOUwGSJkU8=")</f>
        <v>#REF!</v>
      </c>
      <c r="CC14" t="e">
        <f>AND(#REF!,"MxOUwGSJkVA=")</f>
        <v>#REF!</v>
      </c>
      <c r="CD14" t="e">
        <f>AND(#REF!,"MxOUwGSJkVE=")</f>
        <v>#REF!</v>
      </c>
      <c r="CE14" t="e">
        <f>IF(#REF!,"MxOUwGSJkVI=",0)</f>
        <v>#REF!</v>
      </c>
      <c r="CF14" t="e">
        <f>AND(#REF!,"MxOUwGSJkVM=")</f>
        <v>#REF!</v>
      </c>
      <c r="CG14" t="e">
        <f>AND(#REF!,"MxOUwGSJkVQ=")</f>
        <v>#REF!</v>
      </c>
      <c r="CH14" t="e">
        <f>AND(#REF!,"MxOUwGSJkVU=")</f>
        <v>#REF!</v>
      </c>
      <c r="CI14" t="e">
        <f>AND(#REF!,"MxOUwGSJkVY=")</f>
        <v>#REF!</v>
      </c>
      <c r="CJ14" t="e">
        <f>AND(#REF!,"MxOUwGSJkVc=")</f>
        <v>#REF!</v>
      </c>
      <c r="CK14" t="e">
        <f>AND(#REF!,"MxOUwGSJkVg=")</f>
        <v>#REF!</v>
      </c>
      <c r="CL14" t="e">
        <f>AND(#REF!,"MxOUwGSJkVk=")</f>
        <v>#REF!</v>
      </c>
      <c r="CM14" t="e">
        <f>AND(#REF!,"MxOUwGSJkVo=")</f>
        <v>#REF!</v>
      </c>
      <c r="CN14" t="e">
        <f>AND(#REF!,"MxOUwGSJkVs=")</f>
        <v>#REF!</v>
      </c>
      <c r="CO14" t="e">
        <f>AND(#REF!,"MxOUwGSJkVw=")</f>
        <v>#REF!</v>
      </c>
      <c r="CP14" t="e">
        <f>AND(#REF!,"MxOUwGSJkV0=")</f>
        <v>#REF!</v>
      </c>
      <c r="CQ14" t="e">
        <f>AND(#REF!,"MxOUwGSJkV4=")</f>
        <v>#REF!</v>
      </c>
      <c r="CR14" t="e">
        <f>AND(#REF!,"MxOUwGSJkV8=")</f>
        <v>#REF!</v>
      </c>
      <c r="CS14" t="e">
        <f>IF(#REF!,"MxOUwGSJkWA=",0)</f>
        <v>#REF!</v>
      </c>
      <c r="CT14" t="e">
        <f>AND(#REF!,"MxOUwGSJkWE=")</f>
        <v>#REF!</v>
      </c>
      <c r="CU14" t="e">
        <f>AND(#REF!,"MxOUwGSJkWI=")</f>
        <v>#REF!</v>
      </c>
      <c r="CV14" t="e">
        <f>AND(#REF!,"MxOUwGSJkWM=")</f>
        <v>#REF!</v>
      </c>
      <c r="CW14" t="e">
        <f>AND(#REF!,"MxOUwGSJkWQ=")</f>
        <v>#REF!</v>
      </c>
      <c r="CX14" t="e">
        <f>AND(#REF!,"MxOUwGSJkWU=")</f>
        <v>#REF!</v>
      </c>
      <c r="CY14" t="e">
        <f>AND(#REF!,"MxOUwGSJkWY=")</f>
        <v>#REF!</v>
      </c>
      <c r="CZ14" t="e">
        <f>AND(#REF!,"MxOUwGSJkWc=")</f>
        <v>#REF!</v>
      </c>
      <c r="DA14" t="e">
        <f>AND(#REF!,"MxOUwGSJkWg=")</f>
        <v>#REF!</v>
      </c>
      <c r="DB14" t="e">
        <f>AND(#REF!,"MxOUwGSJkWk=")</f>
        <v>#REF!</v>
      </c>
      <c r="DC14" t="e">
        <f>AND(#REF!,"MxOUwGSJkWo=")</f>
        <v>#REF!</v>
      </c>
      <c r="DD14" t="e">
        <f>AND(#REF!,"MxOUwGSJkWs=")</f>
        <v>#REF!</v>
      </c>
      <c r="DE14" t="e">
        <f>AND(#REF!,"MxOUwGSJkWw=")</f>
        <v>#REF!</v>
      </c>
      <c r="DF14" t="e">
        <f>AND(#REF!,"MxOUwGSJkW0=")</f>
        <v>#REF!</v>
      </c>
      <c r="DG14" t="e">
        <f>IF(#REF!,"MxOUwGSJkW4=",0)</f>
        <v>#REF!</v>
      </c>
      <c r="DH14" t="e">
        <f>AND(#REF!,"MxOUwGSJkW8=")</f>
        <v>#REF!</v>
      </c>
      <c r="DI14" t="e">
        <f>AND(#REF!,"MxOUwGSJkXA=")</f>
        <v>#REF!</v>
      </c>
      <c r="DJ14" t="e">
        <f>AND(#REF!,"MxOUwGSJkXE=")</f>
        <v>#REF!</v>
      </c>
      <c r="DK14" t="e">
        <f>AND(#REF!,"MxOUwGSJkXI=")</f>
        <v>#REF!</v>
      </c>
      <c r="DL14" t="e">
        <f>AND(#REF!,"MxOUwGSJkXM=")</f>
        <v>#REF!</v>
      </c>
      <c r="DM14" t="e">
        <f>AND(#REF!,"MxOUwGSJkXQ=")</f>
        <v>#REF!</v>
      </c>
      <c r="DN14" t="e">
        <f>AND(#REF!,"MxOUwGSJkXU=")</f>
        <v>#REF!</v>
      </c>
      <c r="DO14" t="e">
        <f>AND(#REF!,"MxOUwGSJkXY=")</f>
        <v>#REF!</v>
      </c>
      <c r="DP14" t="e">
        <f>AND(#REF!,"MxOUwGSJkXc=")</f>
        <v>#REF!</v>
      </c>
      <c r="DQ14" t="e">
        <f>AND(#REF!,"MxOUwGSJkXg=")</f>
        <v>#REF!</v>
      </c>
      <c r="DR14" t="e">
        <f>AND(#REF!,"MxOUwGSJkXk=")</f>
        <v>#REF!</v>
      </c>
      <c r="DS14" t="e">
        <f>AND(#REF!,"MxOUwGSJkXo=")</f>
        <v>#REF!</v>
      </c>
      <c r="DT14" t="e">
        <f>AND(#REF!,"MxOUwGSJkXs=")</f>
        <v>#REF!</v>
      </c>
      <c r="DU14" t="e">
        <f>IF(#REF!,"MxOUwGSJkXw=",0)</f>
        <v>#REF!</v>
      </c>
      <c r="DV14" t="e">
        <f>AND(#REF!,"MxOUwGSJkX0=")</f>
        <v>#REF!</v>
      </c>
      <c r="DW14" t="e">
        <f>AND(#REF!,"MxOUwGSJkX4=")</f>
        <v>#REF!</v>
      </c>
      <c r="DX14" t="e">
        <f>AND(#REF!,"MxOUwGSJkX8=")</f>
        <v>#REF!</v>
      </c>
      <c r="DY14" t="e">
        <f>AND(#REF!,"MxOUwGSJkYA=")</f>
        <v>#REF!</v>
      </c>
      <c r="DZ14" t="e">
        <f>AND(#REF!,"MxOUwGSJkYE=")</f>
        <v>#REF!</v>
      </c>
      <c r="EA14" t="e">
        <f>AND(#REF!,"MxOUwGSJkYI=")</f>
        <v>#REF!</v>
      </c>
      <c r="EB14" t="e">
        <f>AND(#REF!,"MxOUwGSJkYM=")</f>
        <v>#REF!</v>
      </c>
      <c r="EC14" t="e">
        <f>AND(#REF!,"MxOUwGSJkYQ=")</f>
        <v>#REF!</v>
      </c>
      <c r="ED14" t="e">
        <f>AND(#REF!,"MxOUwGSJkYU=")</f>
        <v>#REF!</v>
      </c>
      <c r="EE14" t="e">
        <f>AND(#REF!,"MxOUwGSJkYY=")</f>
        <v>#REF!</v>
      </c>
      <c r="EF14" t="e">
        <f>AND(#REF!,"MxOUwGSJkYc=")</f>
        <v>#REF!</v>
      </c>
      <c r="EG14" t="e">
        <f>AND(#REF!,"MxOUwGSJkYg=")</f>
        <v>#REF!</v>
      </c>
      <c r="EH14" t="e">
        <f>AND(#REF!,"MxOUwGSJkYk=")</f>
        <v>#REF!</v>
      </c>
      <c r="EI14" t="e">
        <f>IF(#REF!,"MxOUwGSJkYo=",0)</f>
        <v>#REF!</v>
      </c>
      <c r="EJ14" t="e">
        <f>AND(#REF!,"MxOUwGSJkYs=")</f>
        <v>#REF!</v>
      </c>
      <c r="EK14" t="e">
        <f>AND(#REF!,"MxOUwGSJkYw=")</f>
        <v>#REF!</v>
      </c>
      <c r="EL14" t="e">
        <f>AND(#REF!,"MxOUwGSJkY0=")</f>
        <v>#REF!</v>
      </c>
      <c r="EM14" t="e">
        <f>AND(#REF!,"MxOUwGSJkY4=")</f>
        <v>#REF!</v>
      </c>
      <c r="EN14" t="e">
        <f>AND(#REF!,"MxOUwGSJkY8=")</f>
        <v>#REF!</v>
      </c>
      <c r="EO14" t="e">
        <f>AND(#REF!,"MxOUwGSJkZA=")</f>
        <v>#REF!</v>
      </c>
      <c r="EP14" t="e">
        <f>AND(#REF!,"MxOUwGSJkZE=")</f>
        <v>#REF!</v>
      </c>
      <c r="EQ14" t="e">
        <f>AND(#REF!,"MxOUwGSJkZI=")</f>
        <v>#REF!</v>
      </c>
      <c r="ER14" t="e">
        <f>AND(#REF!,"MxOUwGSJkZM=")</f>
        <v>#REF!</v>
      </c>
      <c r="ES14" t="e">
        <f>AND(#REF!,"MxOUwGSJkZQ=")</f>
        <v>#REF!</v>
      </c>
      <c r="ET14" t="e">
        <f>AND(#REF!,"MxOUwGSJkZU=")</f>
        <v>#REF!</v>
      </c>
      <c r="EU14" t="e">
        <f>AND(#REF!,"MxOUwGSJkZY=")</f>
        <v>#REF!</v>
      </c>
      <c r="EV14" t="e">
        <f>AND(#REF!,"MxOUwGSJkZc=")</f>
        <v>#REF!</v>
      </c>
      <c r="EW14" t="e">
        <f>IF(#REF!,"MxOUwGSJkZg=",0)</f>
        <v>#REF!</v>
      </c>
      <c r="EX14" t="e">
        <f>AND(#REF!,"MxOUwGSJkZk=")</f>
        <v>#REF!</v>
      </c>
      <c r="EY14" t="e">
        <f>AND(#REF!,"MxOUwGSJkZo=")</f>
        <v>#REF!</v>
      </c>
      <c r="EZ14" t="e">
        <f>AND(#REF!,"MxOUwGSJkZs=")</f>
        <v>#REF!</v>
      </c>
      <c r="FA14" t="e">
        <f>AND(#REF!,"MxOUwGSJkZw=")</f>
        <v>#REF!</v>
      </c>
      <c r="FB14" t="e">
        <f>AND(#REF!,"MxOUwGSJkZ0=")</f>
        <v>#REF!</v>
      </c>
      <c r="FC14" t="e">
        <f>AND(#REF!,"MxOUwGSJkZ4=")</f>
        <v>#REF!</v>
      </c>
      <c r="FD14" t="e">
        <f>AND(#REF!,"MxOUwGSJkZ8=")</f>
        <v>#REF!</v>
      </c>
      <c r="FE14" t="e">
        <f>AND(#REF!,"MxOUwGSJkaA=")</f>
        <v>#REF!</v>
      </c>
      <c r="FF14" t="e">
        <f>AND(#REF!,"MxOUwGSJkaE=")</f>
        <v>#REF!</v>
      </c>
      <c r="FG14" t="e">
        <f>AND(#REF!,"MxOUwGSJkaI=")</f>
        <v>#REF!</v>
      </c>
      <c r="FH14" t="e">
        <f>AND(#REF!,"MxOUwGSJkaM=")</f>
        <v>#REF!</v>
      </c>
      <c r="FI14" t="e">
        <f>AND(#REF!,"MxOUwGSJkaQ=")</f>
        <v>#REF!</v>
      </c>
      <c r="FJ14" t="e">
        <f>AND(#REF!,"MxOUwGSJkaU=")</f>
        <v>#REF!</v>
      </c>
      <c r="FK14" t="e">
        <f>IF(#REF!,"MxOUwGSJkaY=",0)</f>
        <v>#REF!</v>
      </c>
      <c r="FL14" t="e">
        <f>AND(#REF!,"MxOUwGSJkac=")</f>
        <v>#REF!</v>
      </c>
      <c r="FM14" t="e">
        <f>AND(#REF!,"MxOUwGSJkag=")</f>
        <v>#REF!</v>
      </c>
      <c r="FN14" t="e">
        <f>AND(#REF!,"MxOUwGSJkak=")</f>
        <v>#REF!</v>
      </c>
      <c r="FO14" t="e">
        <f>AND(#REF!,"MxOUwGSJkao=")</f>
        <v>#REF!</v>
      </c>
      <c r="FP14" t="e">
        <f>AND(#REF!,"MxOUwGSJkas=")</f>
        <v>#REF!</v>
      </c>
      <c r="FQ14" t="e">
        <f>AND(#REF!,"MxOUwGSJkaw=")</f>
        <v>#REF!</v>
      </c>
      <c r="FR14" t="e">
        <f>AND(#REF!,"MxOUwGSJka0=")</f>
        <v>#REF!</v>
      </c>
      <c r="FS14" t="e">
        <f>AND(#REF!,"MxOUwGSJka4=")</f>
        <v>#REF!</v>
      </c>
      <c r="FT14" t="e">
        <f>AND(#REF!,"MxOUwGSJka8=")</f>
        <v>#REF!</v>
      </c>
      <c r="FU14" t="e">
        <f>AND(#REF!,"MxOUwGSJkbA=")</f>
        <v>#REF!</v>
      </c>
      <c r="FV14" t="e">
        <f>AND(#REF!,"MxOUwGSJkbE=")</f>
        <v>#REF!</v>
      </c>
      <c r="FW14" t="e">
        <f>AND(#REF!,"MxOUwGSJkbI=")</f>
        <v>#REF!</v>
      </c>
      <c r="FX14" t="e">
        <f>AND(#REF!,"MxOUwGSJkbM=")</f>
        <v>#REF!</v>
      </c>
      <c r="FY14" t="e">
        <f>IF(#REF!,"MxOUwGSJkbQ=",0)</f>
        <v>#REF!</v>
      </c>
      <c r="FZ14" t="e">
        <f>AND(#REF!,"MxOUwGSJkbU=")</f>
        <v>#REF!</v>
      </c>
      <c r="GA14" t="e">
        <f>AND(#REF!,"MxOUwGSJkbY=")</f>
        <v>#REF!</v>
      </c>
      <c r="GB14" t="e">
        <f>AND(#REF!,"MxOUwGSJkbc=")</f>
        <v>#REF!</v>
      </c>
      <c r="GC14" t="e">
        <f>AND(#REF!,"MxOUwGSJkbg=")</f>
        <v>#REF!</v>
      </c>
      <c r="GD14" t="e">
        <f>AND(#REF!,"MxOUwGSJkbk=")</f>
        <v>#REF!</v>
      </c>
      <c r="GE14" t="e">
        <f>AND(#REF!,"MxOUwGSJkbo=")</f>
        <v>#REF!</v>
      </c>
      <c r="GF14" t="e">
        <f>AND(#REF!,"MxOUwGSJkbs=")</f>
        <v>#REF!</v>
      </c>
      <c r="GG14" t="e">
        <f>AND(#REF!,"MxOUwGSJkbw=")</f>
        <v>#REF!</v>
      </c>
      <c r="GH14" t="e">
        <f>AND(#REF!,"MxOUwGSJkb0=")</f>
        <v>#REF!</v>
      </c>
      <c r="GI14" t="e">
        <f>AND(#REF!,"MxOUwGSJkb4=")</f>
        <v>#REF!</v>
      </c>
      <c r="GJ14" t="e">
        <f>AND(#REF!,"MxOUwGSJkb8=")</f>
        <v>#REF!</v>
      </c>
      <c r="GK14" t="e">
        <f>AND(#REF!,"MxOUwGSJkcA=")</f>
        <v>#REF!</v>
      </c>
      <c r="GL14" t="e">
        <f>AND(#REF!,"MxOUwGSJkcE=")</f>
        <v>#REF!</v>
      </c>
      <c r="GM14" t="e">
        <f>IF(#REF!,"MxOUwGSJkcI=",0)</f>
        <v>#REF!</v>
      </c>
      <c r="GN14" t="e">
        <f>AND(#REF!,"MxOUwGSJkcM=")</f>
        <v>#REF!</v>
      </c>
      <c r="GO14" t="e">
        <f>AND(#REF!,"MxOUwGSJkcQ=")</f>
        <v>#REF!</v>
      </c>
      <c r="GP14" t="e">
        <f>AND(#REF!,"MxOUwGSJkcU=")</f>
        <v>#REF!</v>
      </c>
      <c r="GQ14" t="e">
        <f>AND(#REF!,"MxOUwGSJkcY=")</f>
        <v>#REF!</v>
      </c>
      <c r="GR14" t="e">
        <f>AND(#REF!,"MxOUwGSJkcc=")</f>
        <v>#REF!</v>
      </c>
      <c r="GS14" t="e">
        <f>AND(#REF!,"MxOUwGSJkcg=")</f>
        <v>#REF!</v>
      </c>
      <c r="GT14" t="e">
        <f>AND(#REF!,"MxOUwGSJkck=")</f>
        <v>#REF!</v>
      </c>
      <c r="GU14" t="e">
        <f>AND(#REF!,"MxOUwGSJkco=")</f>
        <v>#REF!</v>
      </c>
      <c r="GV14" t="e">
        <f>AND(#REF!,"MxOUwGSJkcs=")</f>
        <v>#REF!</v>
      </c>
      <c r="GW14" t="e">
        <f>AND(#REF!,"MxOUwGSJkcw=")</f>
        <v>#REF!</v>
      </c>
      <c r="GX14" t="e">
        <f>AND(#REF!,"MxOUwGSJkc0=")</f>
        <v>#REF!</v>
      </c>
      <c r="GY14" t="e">
        <f>AND(#REF!,"MxOUwGSJkc4=")</f>
        <v>#REF!</v>
      </c>
      <c r="GZ14" t="e">
        <f>AND(#REF!,"MxOUwGSJkc8=")</f>
        <v>#REF!</v>
      </c>
      <c r="HA14" t="e">
        <f>IF(#REF!,"MxOUwGSJkdA=",0)</f>
        <v>#REF!</v>
      </c>
      <c r="HB14" t="e">
        <f>AND(#REF!,"MxOUwGSJkdE=")</f>
        <v>#REF!</v>
      </c>
      <c r="HC14" t="e">
        <f>AND(#REF!,"MxOUwGSJkdI=")</f>
        <v>#REF!</v>
      </c>
      <c r="HD14" t="e">
        <f>AND(#REF!,"MxOUwGSJkdM=")</f>
        <v>#REF!</v>
      </c>
      <c r="HE14" t="e">
        <f>AND(#REF!,"MxOUwGSJkdQ=")</f>
        <v>#REF!</v>
      </c>
      <c r="HF14" t="e">
        <f>AND(#REF!,"MxOUwGSJkdU=")</f>
        <v>#REF!</v>
      </c>
      <c r="HG14" t="e">
        <f>AND(#REF!,"MxOUwGSJkdY=")</f>
        <v>#REF!</v>
      </c>
      <c r="HH14" t="e">
        <f>AND(#REF!,"MxOUwGSJkdc=")</f>
        <v>#REF!</v>
      </c>
      <c r="HI14" t="e">
        <f>AND(#REF!,"MxOUwGSJkdg=")</f>
        <v>#REF!</v>
      </c>
      <c r="HJ14" t="e">
        <f>AND(#REF!,"MxOUwGSJkdk=")</f>
        <v>#REF!</v>
      </c>
      <c r="HK14" t="e">
        <f>AND(#REF!,"MxOUwGSJkdo=")</f>
        <v>#REF!</v>
      </c>
      <c r="HL14" t="e">
        <f>AND(#REF!,"MxOUwGSJkds=")</f>
        <v>#REF!</v>
      </c>
      <c r="HM14" t="e">
        <f>AND(#REF!,"MxOUwGSJkdw=")</f>
        <v>#REF!</v>
      </c>
      <c r="HN14" t="e">
        <f>AND(#REF!,"MxOUwGSJkd0=")</f>
        <v>#REF!</v>
      </c>
      <c r="HO14" t="e">
        <f>IF(#REF!,"MxOUwGSJkd4=",0)</f>
        <v>#REF!</v>
      </c>
      <c r="HP14" t="e">
        <f>AND(#REF!,"MxOUwGSJkd8=")</f>
        <v>#REF!</v>
      </c>
      <c r="HQ14" t="e">
        <f>AND(#REF!,"MxOUwGSJkeA=")</f>
        <v>#REF!</v>
      </c>
      <c r="HR14" t="e">
        <f>AND(#REF!,"MxOUwGSJkeE=")</f>
        <v>#REF!</v>
      </c>
      <c r="HS14" t="e">
        <f>AND(#REF!,"MxOUwGSJkeI=")</f>
        <v>#REF!</v>
      </c>
      <c r="HT14" t="e">
        <f>AND(#REF!,"MxOUwGSJkeM=")</f>
        <v>#REF!</v>
      </c>
      <c r="HU14" t="e">
        <f>AND(#REF!,"MxOUwGSJkeQ=")</f>
        <v>#REF!</v>
      </c>
      <c r="HV14" t="e">
        <f>AND(#REF!,"MxOUwGSJkeU=")</f>
        <v>#REF!</v>
      </c>
      <c r="HW14" t="e">
        <f>AND(#REF!,"MxOUwGSJkeY=")</f>
        <v>#REF!</v>
      </c>
      <c r="HX14" t="e">
        <f>AND(#REF!,"MxOUwGSJkec=")</f>
        <v>#REF!</v>
      </c>
      <c r="HY14" t="e">
        <f>AND(#REF!,"MxOUwGSJkeg=")</f>
        <v>#REF!</v>
      </c>
      <c r="HZ14" t="e">
        <f>AND(#REF!,"MxOUwGSJkek=")</f>
        <v>#REF!</v>
      </c>
      <c r="IA14" t="e">
        <f>AND(#REF!,"MxOUwGSJkeo=")</f>
        <v>#REF!</v>
      </c>
      <c r="IB14" t="e">
        <f>AND(#REF!,"MxOUwGSJkes=")</f>
        <v>#REF!</v>
      </c>
      <c r="IC14" t="e">
        <f>IF(#REF!,"MxOUwGSJkew=",0)</f>
        <v>#REF!</v>
      </c>
      <c r="ID14" t="e">
        <f>AND(#REF!,"MxOUwGSJke0=")</f>
        <v>#REF!</v>
      </c>
      <c r="IE14" t="e">
        <f>AND(#REF!,"MxOUwGSJke4=")</f>
        <v>#REF!</v>
      </c>
      <c r="IF14" t="e">
        <f>AND(#REF!,"MxOUwGSJke8=")</f>
        <v>#REF!</v>
      </c>
      <c r="IG14" t="e">
        <f>AND(#REF!,"MxOUwGSJkfA=")</f>
        <v>#REF!</v>
      </c>
      <c r="IH14" t="e">
        <f>AND(#REF!,"MxOUwGSJkfE=")</f>
        <v>#REF!</v>
      </c>
      <c r="II14" t="e">
        <f>AND(#REF!,"MxOUwGSJkfI=")</f>
        <v>#REF!</v>
      </c>
      <c r="IJ14" t="e">
        <f>AND(#REF!,"MxOUwGSJkfM=")</f>
        <v>#REF!</v>
      </c>
      <c r="IK14" t="e">
        <f>AND(#REF!,"MxOUwGSJkfQ=")</f>
        <v>#REF!</v>
      </c>
      <c r="IL14" t="e">
        <f>AND(#REF!,"MxOUwGSJkfU=")</f>
        <v>#REF!</v>
      </c>
      <c r="IM14" t="e">
        <f>AND(#REF!,"MxOUwGSJkfY=")</f>
        <v>#REF!</v>
      </c>
      <c r="IN14" t="e">
        <f>AND(#REF!,"MxOUwGSJkfc=")</f>
        <v>#REF!</v>
      </c>
      <c r="IO14" t="e">
        <f>AND(#REF!,"MxOUwGSJkfg=")</f>
        <v>#REF!</v>
      </c>
      <c r="IP14" t="e">
        <f>AND(#REF!,"MxOUwGSJkfk=")</f>
        <v>#REF!</v>
      </c>
      <c r="IQ14" t="e">
        <f>IF(#REF!,"MxOUwGSJkfo=",0)</f>
        <v>#REF!</v>
      </c>
      <c r="IR14" t="e">
        <f>AND(#REF!,"MxOUwGSJkfs=")</f>
        <v>#REF!</v>
      </c>
      <c r="IS14" t="e">
        <f>AND(#REF!,"MxOUwGSJkfw=")</f>
        <v>#REF!</v>
      </c>
      <c r="IT14" t="e">
        <f>AND(#REF!,"MxOUwGSJkf0=")</f>
        <v>#REF!</v>
      </c>
      <c r="IU14" t="e">
        <f>AND(#REF!,"MxOUwGSJkf4=")</f>
        <v>#REF!</v>
      </c>
      <c r="IV14" t="e">
        <f>AND(#REF!,"MxOUwGSJkf8=")</f>
        <v>#REF!</v>
      </c>
    </row>
    <row r="15" spans="1:256" x14ac:dyDescent="0.2">
      <c r="A15" t="e">
        <f>AND(#REF!,"dFk3N1VGVAA=")</f>
        <v>#REF!</v>
      </c>
      <c r="B15" t="e">
        <f>AND(#REF!,"dFk3N1VGVAE=")</f>
        <v>#REF!</v>
      </c>
      <c r="C15" t="e">
        <f>AND(#REF!,"dFk3N1VGVAI=")</f>
        <v>#REF!</v>
      </c>
      <c r="D15" t="e">
        <f>AND(#REF!,"dFk3N1VGVAM=")</f>
        <v>#REF!</v>
      </c>
      <c r="E15" t="e">
        <f>AND(#REF!,"dFk3N1VGVAQ=")</f>
        <v>#REF!</v>
      </c>
      <c r="F15" t="e">
        <f>AND(#REF!,"dFk3N1VGVAU=")</f>
        <v>#REF!</v>
      </c>
      <c r="G15" t="e">
        <f>AND(#REF!,"dFk3N1VGVAY=")</f>
        <v>#REF!</v>
      </c>
      <c r="H15" t="e">
        <f>AND(#REF!,"dFk3N1VGVAc=")</f>
        <v>#REF!</v>
      </c>
      <c r="I15" t="e">
        <f>IF(#REF!,"dFk3N1VGVAg=",0)</f>
        <v>#REF!</v>
      </c>
      <c r="J15" t="e">
        <f>AND(#REF!,"dFk3N1VGVAk=")</f>
        <v>#REF!</v>
      </c>
      <c r="K15" t="e">
        <f>AND(#REF!,"dFk3N1VGVAo=")</f>
        <v>#REF!</v>
      </c>
      <c r="L15" t="e">
        <f>AND(#REF!,"dFk3N1VGVAs=")</f>
        <v>#REF!</v>
      </c>
      <c r="M15" t="e">
        <f>AND(#REF!,"dFk3N1VGVAw=")</f>
        <v>#REF!</v>
      </c>
      <c r="N15" t="e">
        <f>AND(#REF!,"dFk3N1VGVA0=")</f>
        <v>#REF!</v>
      </c>
      <c r="O15" t="e">
        <f>AND(#REF!,"dFk3N1VGVA4=")</f>
        <v>#REF!</v>
      </c>
      <c r="P15" t="e">
        <f>AND(#REF!,"dFk3N1VGVA8=")</f>
        <v>#REF!</v>
      </c>
      <c r="Q15" t="e">
        <f>AND(#REF!,"dFk3N1VGVBA=")</f>
        <v>#REF!</v>
      </c>
      <c r="R15" t="e">
        <f>AND(#REF!,"dFk3N1VGVBE=")</f>
        <v>#REF!</v>
      </c>
      <c r="S15" t="e">
        <f>AND(#REF!,"dFk3N1VGVBI=")</f>
        <v>#REF!</v>
      </c>
      <c r="T15" t="e">
        <f>AND(#REF!,"dFk3N1VGVBM=")</f>
        <v>#REF!</v>
      </c>
      <c r="U15" t="e">
        <f>AND(#REF!,"dFk3N1VGVBQ=")</f>
        <v>#REF!</v>
      </c>
      <c r="V15" t="e">
        <f>AND(#REF!,"dFk3N1VGVBU=")</f>
        <v>#REF!</v>
      </c>
      <c r="W15" t="e">
        <f>IF(#REF!,"dFk3N1VGVBY=",0)</f>
        <v>#REF!</v>
      </c>
      <c r="X15" t="e">
        <f>AND(#REF!,"dFk3N1VGVBc=")</f>
        <v>#REF!</v>
      </c>
      <c r="Y15" t="e">
        <f>AND(#REF!,"dFk3N1VGVBg=")</f>
        <v>#REF!</v>
      </c>
      <c r="Z15" t="e">
        <f>AND(#REF!,"dFk3N1VGVBk=")</f>
        <v>#REF!</v>
      </c>
      <c r="AA15" t="e">
        <f>AND(#REF!,"dFk3N1VGVBo=")</f>
        <v>#REF!</v>
      </c>
      <c r="AB15" t="e">
        <f>AND(#REF!,"dFk3N1VGVBs=")</f>
        <v>#REF!</v>
      </c>
      <c r="AC15" t="e">
        <f>AND(#REF!,"dFk3N1VGVBw=")</f>
        <v>#REF!</v>
      </c>
      <c r="AD15" t="e">
        <f>AND(#REF!,"dFk3N1VGVB0=")</f>
        <v>#REF!</v>
      </c>
      <c r="AE15" t="e">
        <f>AND(#REF!,"dFk3N1VGVB4=")</f>
        <v>#REF!</v>
      </c>
      <c r="AF15" t="e">
        <f>AND(#REF!,"dFk3N1VGVB8=")</f>
        <v>#REF!</v>
      </c>
      <c r="AG15" t="e">
        <f>AND(#REF!,"dFk3N1VGVCA=")</f>
        <v>#REF!</v>
      </c>
      <c r="AH15" t="e">
        <f>AND(#REF!,"dFk3N1VGVCE=")</f>
        <v>#REF!</v>
      </c>
      <c r="AI15" t="e">
        <f>AND(#REF!,"dFk3N1VGVCI=")</f>
        <v>#REF!</v>
      </c>
      <c r="AJ15" t="e">
        <f>AND(#REF!,"dFk3N1VGVCM=")</f>
        <v>#REF!</v>
      </c>
      <c r="AK15" t="e">
        <f>IF(#REF!,"dFk3N1VGVCQ=",0)</f>
        <v>#REF!</v>
      </c>
      <c r="AL15" t="e">
        <f>AND(#REF!,"dFk3N1VGVCU=")</f>
        <v>#REF!</v>
      </c>
      <c r="AM15" t="e">
        <f>AND(#REF!,"dFk3N1VGVCY=")</f>
        <v>#REF!</v>
      </c>
      <c r="AN15" t="e">
        <f>AND(#REF!,"dFk3N1VGVCc=")</f>
        <v>#REF!</v>
      </c>
      <c r="AO15" t="e">
        <f>AND(#REF!,"dFk3N1VGVCg=")</f>
        <v>#REF!</v>
      </c>
      <c r="AP15" t="e">
        <f>AND(#REF!,"dFk3N1VGVCk=")</f>
        <v>#REF!</v>
      </c>
      <c r="AQ15" t="e">
        <f>AND(#REF!,"dFk3N1VGVCo=")</f>
        <v>#REF!</v>
      </c>
      <c r="AR15" t="e">
        <f>AND(#REF!,"dFk3N1VGVCs=")</f>
        <v>#REF!</v>
      </c>
      <c r="AS15" t="e">
        <f>AND(#REF!,"dFk3N1VGVCw=")</f>
        <v>#REF!</v>
      </c>
      <c r="AT15" t="e">
        <f>AND(#REF!,"dFk3N1VGVC0=")</f>
        <v>#REF!</v>
      </c>
      <c r="AU15" t="e">
        <f>AND(#REF!,"dFk3N1VGVC4=")</f>
        <v>#REF!</v>
      </c>
      <c r="AV15" t="e">
        <f>AND(#REF!,"dFk3N1VGVC8=")</f>
        <v>#REF!</v>
      </c>
      <c r="AW15" t="e">
        <f>AND(#REF!,"dFk3N1VGVDA=")</f>
        <v>#REF!</v>
      </c>
      <c r="AX15" t="e">
        <f>AND(#REF!,"dFk3N1VGVDE=")</f>
        <v>#REF!</v>
      </c>
      <c r="AY15" t="e">
        <f>IF(#REF!,"dFk3N1VGVDI=",0)</f>
        <v>#REF!</v>
      </c>
      <c r="AZ15" t="e">
        <f>AND(#REF!,"dFk3N1VGVDM=")</f>
        <v>#REF!</v>
      </c>
      <c r="BA15" t="e">
        <f>AND(#REF!,"dFk3N1VGVDQ=")</f>
        <v>#REF!</v>
      </c>
      <c r="BB15" t="e">
        <f>AND(#REF!,"dFk3N1VGVDU=")</f>
        <v>#REF!</v>
      </c>
      <c r="BC15" t="e">
        <f>AND(#REF!,"dFk3N1VGVDY=")</f>
        <v>#REF!</v>
      </c>
      <c r="BD15" t="e">
        <f>AND(#REF!,"dFk3N1VGVDc=")</f>
        <v>#REF!</v>
      </c>
      <c r="BE15" t="e">
        <f>AND(#REF!,"dFk3N1VGVDg=")</f>
        <v>#REF!</v>
      </c>
      <c r="BF15" t="e">
        <f>AND(#REF!,"dFk3N1VGVDk=")</f>
        <v>#REF!</v>
      </c>
      <c r="BG15" t="e">
        <f>AND(#REF!,"dFk3N1VGVDo=")</f>
        <v>#REF!</v>
      </c>
      <c r="BH15" t="e">
        <f>AND(#REF!,"dFk3N1VGVDs=")</f>
        <v>#REF!</v>
      </c>
      <c r="BI15" t="e">
        <f>AND(#REF!,"dFk3N1VGVDw=")</f>
        <v>#REF!</v>
      </c>
      <c r="BJ15" t="e">
        <f>AND(#REF!,"dFk3N1VGVD0=")</f>
        <v>#REF!</v>
      </c>
      <c r="BK15" t="e">
        <f>AND(#REF!,"dFk3N1VGVD4=")</f>
        <v>#REF!</v>
      </c>
      <c r="BL15" t="e">
        <f>AND(#REF!,"dFk3N1VGVD8=")</f>
        <v>#REF!</v>
      </c>
      <c r="BM15" t="e">
        <f>IF(#REF!,"dFk3N1VGVEA=",0)</f>
        <v>#REF!</v>
      </c>
      <c r="BN15" t="e">
        <f>AND(#REF!,"dFk3N1VGVEE=")</f>
        <v>#REF!</v>
      </c>
      <c r="BO15" t="e">
        <f>AND(#REF!,"dFk3N1VGVEI=")</f>
        <v>#REF!</v>
      </c>
      <c r="BP15" t="e">
        <f>AND(#REF!,"dFk3N1VGVEM=")</f>
        <v>#REF!</v>
      </c>
      <c r="BQ15" t="e">
        <f>AND(#REF!,"dFk3N1VGVEQ=")</f>
        <v>#REF!</v>
      </c>
      <c r="BR15" t="e">
        <f>AND(#REF!,"dFk3N1VGVEU=")</f>
        <v>#REF!</v>
      </c>
      <c r="BS15" t="e">
        <f>AND(#REF!,"dFk3N1VGVEY=")</f>
        <v>#REF!</v>
      </c>
      <c r="BT15" t="e">
        <f>AND(#REF!,"dFk3N1VGVEc=")</f>
        <v>#REF!</v>
      </c>
      <c r="BU15" t="e">
        <f>AND(#REF!,"dFk3N1VGVEg=")</f>
        <v>#REF!</v>
      </c>
      <c r="BV15" t="e">
        <f>AND(#REF!,"dFk3N1VGVEk=")</f>
        <v>#REF!</v>
      </c>
      <c r="BW15" t="e">
        <f>AND(#REF!,"dFk3N1VGVEo=")</f>
        <v>#REF!</v>
      </c>
      <c r="BX15" t="e">
        <f>AND(#REF!,"dFk3N1VGVEs=")</f>
        <v>#REF!</v>
      </c>
      <c r="BY15" t="e">
        <f>AND(#REF!,"dFk3N1VGVEw=")</f>
        <v>#REF!</v>
      </c>
      <c r="BZ15" t="e">
        <f>AND(#REF!,"dFk3N1VGVE0=")</f>
        <v>#REF!</v>
      </c>
      <c r="CA15" t="e">
        <f>IF(#REF!,"dFk3N1VGVE4=",0)</f>
        <v>#REF!</v>
      </c>
      <c r="CB15" t="e">
        <f>AND(#REF!,"dFk3N1VGVE8=")</f>
        <v>#REF!</v>
      </c>
      <c r="CC15" t="e">
        <f>AND(#REF!,"dFk3N1VGVFA=")</f>
        <v>#REF!</v>
      </c>
      <c r="CD15" t="e">
        <f>AND(#REF!,"dFk3N1VGVFE=")</f>
        <v>#REF!</v>
      </c>
      <c r="CE15" t="e">
        <f>AND(#REF!,"dFk3N1VGVFI=")</f>
        <v>#REF!</v>
      </c>
      <c r="CF15" t="e">
        <f>AND(#REF!,"dFk3N1VGVFM=")</f>
        <v>#REF!</v>
      </c>
      <c r="CG15" t="e">
        <f>AND(#REF!,"dFk3N1VGVFQ=")</f>
        <v>#REF!</v>
      </c>
      <c r="CH15" t="e">
        <f>AND(#REF!,"dFk3N1VGVFU=")</f>
        <v>#REF!</v>
      </c>
      <c r="CI15" t="e">
        <f>AND(#REF!,"dFk3N1VGVFY=")</f>
        <v>#REF!</v>
      </c>
      <c r="CJ15" t="e">
        <f>AND(#REF!,"dFk3N1VGVFc=")</f>
        <v>#REF!</v>
      </c>
      <c r="CK15" t="e">
        <f>AND(#REF!,"dFk3N1VGVFg=")</f>
        <v>#REF!</v>
      </c>
      <c r="CL15" t="e">
        <f>AND(#REF!,"dFk3N1VGVFk=")</f>
        <v>#REF!</v>
      </c>
      <c r="CM15" t="e">
        <f>AND(#REF!,"dFk3N1VGVFo=")</f>
        <v>#REF!</v>
      </c>
      <c r="CN15" t="e">
        <f>AND(#REF!,"dFk3N1VGVFs=")</f>
        <v>#REF!</v>
      </c>
      <c r="CO15" t="e">
        <f>IF(#REF!,"dFk3N1VGVFw=",0)</f>
        <v>#REF!</v>
      </c>
      <c r="CP15" t="e">
        <f>AND(#REF!,"dFk3N1VGVF0=")</f>
        <v>#REF!</v>
      </c>
      <c r="CQ15" t="e">
        <f>AND(#REF!,"dFk3N1VGVF4=")</f>
        <v>#REF!</v>
      </c>
      <c r="CR15" t="e">
        <f>AND(#REF!,"dFk3N1VGVF8=")</f>
        <v>#REF!</v>
      </c>
      <c r="CS15" t="e">
        <f>AND(#REF!,"dFk3N1VGVGA=")</f>
        <v>#REF!</v>
      </c>
      <c r="CT15" t="e">
        <f>AND(#REF!,"dFk3N1VGVGE=")</f>
        <v>#REF!</v>
      </c>
      <c r="CU15" t="e">
        <f>AND(#REF!,"dFk3N1VGVGI=")</f>
        <v>#REF!</v>
      </c>
      <c r="CV15" t="e">
        <f>AND(#REF!,"dFk3N1VGVGM=")</f>
        <v>#REF!</v>
      </c>
      <c r="CW15" t="e">
        <f>AND(#REF!,"dFk3N1VGVGQ=")</f>
        <v>#REF!</v>
      </c>
      <c r="CX15" t="e">
        <f>AND(#REF!,"dFk3N1VGVGU=")</f>
        <v>#REF!</v>
      </c>
      <c r="CY15" t="e">
        <f>AND(#REF!,"dFk3N1VGVGY=")</f>
        <v>#REF!</v>
      </c>
      <c r="CZ15" t="e">
        <f>AND(#REF!,"dFk3N1VGVGc=")</f>
        <v>#REF!</v>
      </c>
      <c r="DA15" t="e">
        <f>AND(#REF!,"dFk3N1VGVGg=")</f>
        <v>#REF!</v>
      </c>
      <c r="DB15" t="e">
        <f>AND(#REF!,"dFk3N1VGVGk=")</f>
        <v>#REF!</v>
      </c>
      <c r="DC15" t="e">
        <f>IF(#REF!,"dFk3N1VGVGo=",0)</f>
        <v>#REF!</v>
      </c>
      <c r="DD15" t="e">
        <f>AND(#REF!,"dFk3N1VGVGs=")</f>
        <v>#REF!</v>
      </c>
      <c r="DE15" t="e">
        <f>AND(#REF!,"dFk3N1VGVGw=")</f>
        <v>#REF!</v>
      </c>
      <c r="DF15" t="e">
        <f>AND(#REF!,"dFk3N1VGVG0=")</f>
        <v>#REF!</v>
      </c>
      <c r="DG15" t="e">
        <f>AND(#REF!,"dFk3N1VGVG4=")</f>
        <v>#REF!</v>
      </c>
      <c r="DH15" t="e">
        <f>AND(#REF!,"dFk3N1VGVG8=")</f>
        <v>#REF!</v>
      </c>
      <c r="DI15" t="e">
        <f>AND(#REF!,"dFk3N1VGVHA=")</f>
        <v>#REF!</v>
      </c>
      <c r="DJ15" t="e">
        <f>AND(#REF!,"dFk3N1VGVHE=")</f>
        <v>#REF!</v>
      </c>
      <c r="DK15" t="e">
        <f>AND(#REF!,"dFk3N1VGVHI=")</f>
        <v>#REF!</v>
      </c>
      <c r="DL15" t="e">
        <f>AND(#REF!,"dFk3N1VGVHM=")</f>
        <v>#REF!</v>
      </c>
      <c r="DM15" t="e">
        <f>AND(#REF!,"dFk3N1VGVHQ=")</f>
        <v>#REF!</v>
      </c>
      <c r="DN15" t="e">
        <f>AND(#REF!,"dFk3N1VGVHU=")</f>
        <v>#REF!</v>
      </c>
      <c r="DO15" t="e">
        <f>AND(#REF!,"dFk3N1VGVHY=")</f>
        <v>#REF!</v>
      </c>
      <c r="DP15" t="e">
        <f>AND(#REF!,"dFk3N1VGVHc=")</f>
        <v>#REF!</v>
      </c>
      <c r="DQ15" t="e">
        <f>IF(#REF!,"dFk3N1VGVHg=",0)</f>
        <v>#REF!</v>
      </c>
      <c r="DR15" t="e">
        <f>AND(#REF!,"dFk3N1VGVHk=")</f>
        <v>#REF!</v>
      </c>
      <c r="DS15" t="e">
        <f>AND(#REF!,"dFk3N1VGVHo=")</f>
        <v>#REF!</v>
      </c>
      <c r="DT15" t="e">
        <f>AND(#REF!,"dFk3N1VGVHs=")</f>
        <v>#REF!</v>
      </c>
      <c r="DU15" t="e">
        <f>AND(#REF!,"dFk3N1VGVHw=")</f>
        <v>#REF!</v>
      </c>
      <c r="DV15" t="e">
        <f>AND(#REF!,"dFk3N1VGVH0=")</f>
        <v>#REF!</v>
      </c>
      <c r="DW15" t="e">
        <f>AND(#REF!,"dFk3N1VGVH4=")</f>
        <v>#REF!</v>
      </c>
      <c r="DX15" t="e">
        <f>AND(#REF!,"dFk3N1VGVH8=")</f>
        <v>#REF!</v>
      </c>
      <c r="DY15" t="e">
        <f>AND(#REF!,"dFk3N1VGVIA=")</f>
        <v>#REF!</v>
      </c>
      <c r="DZ15" t="e">
        <f>AND(#REF!,"dFk3N1VGVIE=")</f>
        <v>#REF!</v>
      </c>
      <c r="EA15" t="e">
        <f>AND(#REF!,"dFk3N1VGVII=")</f>
        <v>#REF!</v>
      </c>
      <c r="EB15" t="e">
        <f>AND(#REF!,"dFk3N1VGVIM=")</f>
        <v>#REF!</v>
      </c>
      <c r="EC15" t="e">
        <f>AND(#REF!,"dFk3N1VGVIQ=")</f>
        <v>#REF!</v>
      </c>
      <c r="ED15" t="e">
        <f>AND(#REF!,"dFk3N1VGVIU=")</f>
        <v>#REF!</v>
      </c>
      <c r="EE15" t="e">
        <f>IF(#REF!,"dFk3N1VGVIY=",0)</f>
        <v>#REF!</v>
      </c>
      <c r="EF15" t="e">
        <f>AND(#REF!,"dFk3N1VGVIc=")</f>
        <v>#REF!</v>
      </c>
      <c r="EG15" t="e">
        <f>AND(#REF!,"dFk3N1VGVIg=")</f>
        <v>#REF!</v>
      </c>
      <c r="EH15" t="e">
        <f>AND(#REF!,"dFk3N1VGVIk=")</f>
        <v>#REF!</v>
      </c>
      <c r="EI15" t="e">
        <f>AND(#REF!,"dFk3N1VGVIo=")</f>
        <v>#REF!</v>
      </c>
      <c r="EJ15" t="e">
        <f>AND(#REF!,"dFk3N1VGVIs=")</f>
        <v>#REF!</v>
      </c>
      <c r="EK15" t="e">
        <f>AND(#REF!,"dFk3N1VGVIw=")</f>
        <v>#REF!</v>
      </c>
      <c r="EL15" t="e">
        <f>AND(#REF!,"dFk3N1VGVI0=")</f>
        <v>#REF!</v>
      </c>
      <c r="EM15" t="e">
        <f>AND(#REF!,"dFk3N1VGVI4=")</f>
        <v>#REF!</v>
      </c>
      <c r="EN15" t="e">
        <f>AND(#REF!,"dFk3N1VGVI8=")</f>
        <v>#REF!</v>
      </c>
      <c r="EO15" t="e">
        <f>AND(#REF!,"dFk3N1VGVJA=")</f>
        <v>#REF!</v>
      </c>
      <c r="EP15" t="e">
        <f>AND(#REF!,"dFk3N1VGVJE=")</f>
        <v>#REF!</v>
      </c>
      <c r="EQ15" t="e">
        <f>AND(#REF!,"dFk3N1VGVJI=")</f>
        <v>#REF!</v>
      </c>
      <c r="ER15" t="e">
        <f>AND(#REF!,"dFk3N1VGVJM=")</f>
        <v>#REF!</v>
      </c>
      <c r="ES15" t="e">
        <f>IF(#REF!,"dFk3N1VGVJQ=",0)</f>
        <v>#REF!</v>
      </c>
      <c r="ET15" t="e">
        <f>AND(#REF!,"dFk3N1VGVJU=")</f>
        <v>#REF!</v>
      </c>
      <c r="EU15" t="e">
        <f>AND(#REF!,"dFk3N1VGVJY=")</f>
        <v>#REF!</v>
      </c>
      <c r="EV15" t="e">
        <f>AND(#REF!,"dFk3N1VGVJc=")</f>
        <v>#REF!</v>
      </c>
      <c r="EW15" t="e">
        <f>AND(#REF!,"dFk3N1VGVJg=")</f>
        <v>#REF!</v>
      </c>
      <c r="EX15" t="e">
        <f>AND(#REF!,"dFk3N1VGVJk=")</f>
        <v>#REF!</v>
      </c>
      <c r="EY15" t="e">
        <f>AND(#REF!,"dFk3N1VGVJo=")</f>
        <v>#REF!</v>
      </c>
      <c r="EZ15" t="e">
        <f>AND(#REF!,"dFk3N1VGVJs=")</f>
        <v>#REF!</v>
      </c>
      <c r="FA15" t="e">
        <f>AND(#REF!,"dFk3N1VGVJw=")</f>
        <v>#REF!</v>
      </c>
      <c r="FB15" t="e">
        <f>AND(#REF!,"dFk3N1VGVJ0=")</f>
        <v>#REF!</v>
      </c>
      <c r="FC15" t="e">
        <f>AND(#REF!,"dFk3N1VGVJ4=")</f>
        <v>#REF!</v>
      </c>
      <c r="FD15" t="e">
        <f>AND(#REF!,"dFk3N1VGVJ8=")</f>
        <v>#REF!</v>
      </c>
      <c r="FE15" t="e">
        <f>AND(#REF!,"dFk3N1VGVKA=")</f>
        <v>#REF!</v>
      </c>
      <c r="FF15" t="e">
        <f>AND(#REF!,"dFk3N1VGVKE=")</f>
        <v>#REF!</v>
      </c>
      <c r="FG15" t="e">
        <f>IF(#REF!,"dFk3N1VGVKI=",0)</f>
        <v>#REF!</v>
      </c>
      <c r="FH15" t="e">
        <f>AND(#REF!,"dFk3N1VGVKM=")</f>
        <v>#REF!</v>
      </c>
      <c r="FI15" t="e">
        <f>AND(#REF!,"dFk3N1VGVKQ=")</f>
        <v>#REF!</v>
      </c>
      <c r="FJ15" t="e">
        <f>AND(#REF!,"dFk3N1VGVKU=")</f>
        <v>#REF!</v>
      </c>
      <c r="FK15" t="e">
        <f>AND(#REF!,"dFk3N1VGVKY=")</f>
        <v>#REF!</v>
      </c>
      <c r="FL15" t="e">
        <f>AND(#REF!,"dFk3N1VGVKc=")</f>
        <v>#REF!</v>
      </c>
      <c r="FM15" t="e">
        <f>AND(#REF!,"dFk3N1VGVKg=")</f>
        <v>#REF!</v>
      </c>
      <c r="FN15" t="e">
        <f>AND(#REF!,"dFk3N1VGVKk=")</f>
        <v>#REF!</v>
      </c>
      <c r="FO15" t="e">
        <f>AND(#REF!,"dFk3N1VGVKo=")</f>
        <v>#REF!</v>
      </c>
      <c r="FP15" t="e">
        <f>AND(#REF!,"dFk3N1VGVKs=")</f>
        <v>#REF!</v>
      </c>
      <c r="FQ15" t="e">
        <f>AND(#REF!,"dFk3N1VGVKw=")</f>
        <v>#REF!</v>
      </c>
      <c r="FR15" t="e">
        <f>AND(#REF!,"dFk3N1VGVK0=")</f>
        <v>#REF!</v>
      </c>
      <c r="FS15" t="e">
        <f>AND(#REF!,"dFk3N1VGVK4=")</f>
        <v>#REF!</v>
      </c>
      <c r="FT15" t="e">
        <f>AND(#REF!,"dFk3N1VGVK8=")</f>
        <v>#REF!</v>
      </c>
      <c r="FU15" t="e">
        <f>IF(#REF!,"dFk3N1VGVLA=",0)</f>
        <v>#REF!</v>
      </c>
      <c r="FV15" t="e">
        <f>AND(#REF!,"dFk3N1VGVLE=")</f>
        <v>#REF!</v>
      </c>
      <c r="FW15" t="e">
        <f>AND(#REF!,"dFk3N1VGVLI=")</f>
        <v>#REF!</v>
      </c>
      <c r="FX15" t="e">
        <f>AND(#REF!,"dFk3N1VGVLM=")</f>
        <v>#REF!</v>
      </c>
      <c r="FY15" t="e">
        <f>AND(#REF!,"dFk3N1VGVLQ=")</f>
        <v>#REF!</v>
      </c>
      <c r="FZ15" t="e">
        <f>AND(#REF!,"dFk3N1VGVLU=")</f>
        <v>#REF!</v>
      </c>
      <c r="GA15" t="e">
        <f>AND(#REF!,"dFk3N1VGVLY=")</f>
        <v>#REF!</v>
      </c>
      <c r="GB15" t="e">
        <f>AND(#REF!,"dFk3N1VGVLc=")</f>
        <v>#REF!</v>
      </c>
      <c r="GC15" t="e">
        <f>AND(#REF!,"dFk3N1VGVLg=")</f>
        <v>#REF!</v>
      </c>
      <c r="GD15" t="e">
        <f>AND(#REF!,"dFk3N1VGVLk=")</f>
        <v>#REF!</v>
      </c>
      <c r="GE15" t="e">
        <f>AND(#REF!,"dFk3N1VGVLo=")</f>
        <v>#REF!</v>
      </c>
      <c r="GF15" t="e">
        <f>AND(#REF!,"dFk3N1VGVLs=")</f>
        <v>#REF!</v>
      </c>
      <c r="GG15" t="e">
        <f>AND(#REF!,"dFk3N1VGVLw=")</f>
        <v>#REF!</v>
      </c>
      <c r="GH15" t="e">
        <f>AND(#REF!,"dFk3N1VGVL0=")</f>
        <v>#REF!</v>
      </c>
      <c r="GI15" t="e">
        <f>IF(#REF!,"dFk3N1VGVL4=",0)</f>
        <v>#REF!</v>
      </c>
      <c r="GJ15" t="e">
        <f>AND(#REF!,"dFk3N1VGVL8=")</f>
        <v>#REF!</v>
      </c>
      <c r="GK15" t="e">
        <f>AND(#REF!,"dFk3N1VGVMA=")</f>
        <v>#REF!</v>
      </c>
      <c r="GL15" t="e">
        <f>AND(#REF!,"dFk3N1VGVME=")</f>
        <v>#REF!</v>
      </c>
      <c r="GM15" t="e">
        <f>AND(#REF!,"dFk3N1VGVMI=")</f>
        <v>#REF!</v>
      </c>
      <c r="GN15" t="e">
        <f>AND(#REF!,"dFk3N1VGVMM=")</f>
        <v>#REF!</v>
      </c>
      <c r="GO15" t="e">
        <f>AND(#REF!,"dFk3N1VGVMQ=")</f>
        <v>#REF!</v>
      </c>
      <c r="GP15" t="e">
        <f>AND(#REF!,"dFk3N1VGVMU=")</f>
        <v>#REF!</v>
      </c>
      <c r="GQ15" t="e">
        <f>AND(#REF!,"dFk3N1VGVMY=")</f>
        <v>#REF!</v>
      </c>
      <c r="GR15" t="e">
        <f>AND(#REF!,"dFk3N1VGVMc=")</f>
        <v>#REF!</v>
      </c>
      <c r="GS15" t="e">
        <f>AND(#REF!,"dFk3N1VGVMg=")</f>
        <v>#REF!</v>
      </c>
      <c r="GT15" t="e">
        <f>AND(#REF!,"dFk3N1VGVMk=")</f>
        <v>#REF!</v>
      </c>
      <c r="GU15" t="e">
        <f>AND(#REF!,"dFk3N1VGVMo=")</f>
        <v>#REF!</v>
      </c>
      <c r="GV15" t="e">
        <f>AND(#REF!,"dFk3N1VGVMs=")</f>
        <v>#REF!</v>
      </c>
      <c r="GW15" t="e">
        <f>IF(#REF!,"dFk3N1VGVMw=",0)</f>
        <v>#REF!</v>
      </c>
      <c r="GX15" t="e">
        <f>AND(#REF!,"dFk3N1VGVM0=")</f>
        <v>#REF!</v>
      </c>
      <c r="GY15" t="e">
        <f>AND(#REF!,"dFk3N1VGVM4=")</f>
        <v>#REF!</v>
      </c>
      <c r="GZ15" t="e">
        <f>AND(#REF!,"dFk3N1VGVM8=")</f>
        <v>#REF!</v>
      </c>
      <c r="HA15" t="e">
        <f>AND(#REF!,"dFk3N1VGVNA=")</f>
        <v>#REF!</v>
      </c>
      <c r="HB15" t="e">
        <f>AND(#REF!,"dFk3N1VGVNE=")</f>
        <v>#REF!</v>
      </c>
      <c r="HC15" t="e">
        <f>AND(#REF!,"dFk3N1VGVNI=")</f>
        <v>#REF!</v>
      </c>
      <c r="HD15" t="e">
        <f>AND(#REF!,"dFk3N1VGVNM=")</f>
        <v>#REF!</v>
      </c>
      <c r="HE15" t="e">
        <f>AND(#REF!,"dFk3N1VGVNQ=")</f>
        <v>#REF!</v>
      </c>
      <c r="HF15" t="e">
        <f>AND(#REF!,"dFk3N1VGVNU=")</f>
        <v>#REF!</v>
      </c>
      <c r="HG15" t="e">
        <f>AND(#REF!,"dFk3N1VGVNY=")</f>
        <v>#REF!</v>
      </c>
      <c r="HH15" t="e">
        <f>AND(#REF!,"dFk3N1VGVNc=")</f>
        <v>#REF!</v>
      </c>
      <c r="HI15" t="e">
        <f>AND(#REF!,"dFk3N1VGVNg=")</f>
        <v>#REF!</v>
      </c>
      <c r="HJ15" t="e">
        <f>AND(#REF!,"dFk3N1VGVNk=")</f>
        <v>#REF!</v>
      </c>
      <c r="HK15" t="e">
        <f>IF(#REF!,"dFk3N1VGVNo=",0)</f>
        <v>#REF!</v>
      </c>
      <c r="HL15" t="e">
        <f>AND(#REF!,"dFk3N1VGVNs=")</f>
        <v>#REF!</v>
      </c>
      <c r="HM15" t="e">
        <f>AND(#REF!,"dFk3N1VGVNw=")</f>
        <v>#REF!</v>
      </c>
      <c r="HN15" t="e">
        <f>AND(#REF!,"dFk3N1VGVN0=")</f>
        <v>#REF!</v>
      </c>
      <c r="HO15" t="e">
        <f>AND(#REF!,"dFk3N1VGVN4=")</f>
        <v>#REF!</v>
      </c>
      <c r="HP15" t="e">
        <f>AND(#REF!,"dFk3N1VGVN8=")</f>
        <v>#REF!</v>
      </c>
      <c r="HQ15" t="e">
        <f>AND(#REF!,"dFk3N1VGVOA=")</f>
        <v>#REF!</v>
      </c>
      <c r="HR15" t="e">
        <f>AND(#REF!,"dFk3N1VGVOE=")</f>
        <v>#REF!</v>
      </c>
      <c r="HS15" t="e">
        <f>AND(#REF!,"dFk3N1VGVOI=")</f>
        <v>#REF!</v>
      </c>
      <c r="HT15" t="e">
        <f>AND(#REF!,"dFk3N1VGVOM=")</f>
        <v>#REF!</v>
      </c>
      <c r="HU15" t="e">
        <f>AND(#REF!,"dFk3N1VGVOQ=")</f>
        <v>#REF!</v>
      </c>
      <c r="HV15" t="e">
        <f>AND(#REF!,"dFk3N1VGVOU=")</f>
        <v>#REF!</v>
      </c>
      <c r="HW15" t="e">
        <f>AND(#REF!,"dFk3N1VGVOY=")</f>
        <v>#REF!</v>
      </c>
      <c r="HX15" t="e">
        <f>AND(#REF!,"dFk3N1VGVOc=")</f>
        <v>#REF!</v>
      </c>
      <c r="HY15" t="e">
        <f>IF(#REF!,"dFk3N1VGVOg=",0)</f>
        <v>#REF!</v>
      </c>
      <c r="HZ15" t="e">
        <f>AND(#REF!,"dFk3N1VGVOk=")</f>
        <v>#REF!</v>
      </c>
      <c r="IA15" t="e">
        <f>AND(#REF!,"dFk3N1VGVOo=")</f>
        <v>#REF!</v>
      </c>
      <c r="IB15" t="e">
        <f>AND(#REF!,"dFk3N1VGVOs=")</f>
        <v>#REF!</v>
      </c>
      <c r="IC15" t="e">
        <f>AND(#REF!,"dFk3N1VGVOw=")</f>
        <v>#REF!</v>
      </c>
      <c r="ID15" t="e">
        <f>AND(#REF!,"dFk3N1VGVO0=")</f>
        <v>#REF!</v>
      </c>
      <c r="IE15" t="e">
        <f>AND(#REF!,"dFk3N1VGVO4=")</f>
        <v>#REF!</v>
      </c>
      <c r="IF15" t="e">
        <f>AND(#REF!,"dFk3N1VGVO8=")</f>
        <v>#REF!</v>
      </c>
      <c r="IG15" t="e">
        <f>AND(#REF!,"dFk3N1VGVPA=")</f>
        <v>#REF!</v>
      </c>
      <c r="IH15" t="e">
        <f>AND(#REF!,"dFk3N1VGVPE=")</f>
        <v>#REF!</v>
      </c>
      <c r="II15" t="e">
        <f>AND(#REF!,"dFk3N1VGVPI=")</f>
        <v>#REF!</v>
      </c>
      <c r="IJ15" t="e">
        <f>AND(#REF!,"dFk3N1VGVPM=")</f>
        <v>#REF!</v>
      </c>
      <c r="IK15" t="e">
        <f>AND(#REF!,"dFk3N1VGVPQ=")</f>
        <v>#REF!</v>
      </c>
      <c r="IL15" t="e">
        <f>AND(#REF!,"dFk3N1VGVPU=")</f>
        <v>#REF!</v>
      </c>
      <c r="IM15" t="e">
        <f>IF(#REF!,"dFk3N1VGVPY=",0)</f>
        <v>#REF!</v>
      </c>
      <c r="IN15" t="e">
        <f>AND(#REF!,"dFk3N1VGVPc=")</f>
        <v>#REF!</v>
      </c>
      <c r="IO15" t="e">
        <f>AND(#REF!,"dFk3N1VGVPg=")</f>
        <v>#REF!</v>
      </c>
      <c r="IP15" t="e">
        <f>AND(#REF!,"dFk3N1VGVPk=")</f>
        <v>#REF!</v>
      </c>
      <c r="IQ15" t="e">
        <f>AND(#REF!,"dFk3N1VGVPo=")</f>
        <v>#REF!</v>
      </c>
      <c r="IR15" t="e">
        <f>AND(#REF!,"dFk3N1VGVPs=")</f>
        <v>#REF!</v>
      </c>
      <c r="IS15" t="e">
        <f>AND(#REF!,"dFk3N1VGVPw=")</f>
        <v>#REF!</v>
      </c>
      <c r="IT15" t="e">
        <f>AND(#REF!,"dFk3N1VGVP0=")</f>
        <v>#REF!</v>
      </c>
      <c r="IU15" t="e">
        <f>AND(#REF!,"dFk3N1VGVP4=")</f>
        <v>#REF!</v>
      </c>
      <c r="IV15" t="e">
        <f>AND(#REF!,"dFk3N1VGVP8=")</f>
        <v>#REF!</v>
      </c>
    </row>
    <row r="16" spans="1:256" x14ac:dyDescent="0.2">
      <c r="A16" t="e">
        <f>AND(#REF!,"ImGQXgCu1QA=")</f>
        <v>#REF!</v>
      </c>
      <c r="B16" t="e">
        <f>AND(#REF!,"ImGQXgCu1QE=")</f>
        <v>#REF!</v>
      </c>
      <c r="C16" t="e">
        <f>AND(#REF!,"ImGQXgCu1QI=")</f>
        <v>#REF!</v>
      </c>
      <c r="D16" t="e">
        <f>AND(#REF!,"ImGQXgCu1QM=")</f>
        <v>#REF!</v>
      </c>
      <c r="E16" t="e">
        <f>IF(#REF!,"ImGQXgCu1QQ=",0)</f>
        <v>#REF!</v>
      </c>
      <c r="F16" t="e">
        <f>AND(#REF!,"ImGQXgCu1QU=")</f>
        <v>#REF!</v>
      </c>
      <c r="G16" t="e">
        <f>AND(#REF!,"ImGQXgCu1QY=")</f>
        <v>#REF!</v>
      </c>
      <c r="H16" t="e">
        <f>AND(#REF!,"ImGQXgCu1Qc=")</f>
        <v>#REF!</v>
      </c>
      <c r="I16" t="e">
        <f>AND(#REF!,"ImGQXgCu1Qg=")</f>
        <v>#REF!</v>
      </c>
      <c r="J16" t="e">
        <f>AND(#REF!,"ImGQXgCu1Qk=")</f>
        <v>#REF!</v>
      </c>
      <c r="K16" t="e">
        <f>AND(#REF!,"ImGQXgCu1Qo=")</f>
        <v>#REF!</v>
      </c>
      <c r="L16" t="e">
        <f>AND(#REF!,"ImGQXgCu1Qs=")</f>
        <v>#REF!</v>
      </c>
      <c r="M16" t="e">
        <f>AND(#REF!,"ImGQXgCu1Qw=")</f>
        <v>#REF!</v>
      </c>
      <c r="N16" t="e">
        <f>AND(#REF!,"ImGQXgCu1Q0=")</f>
        <v>#REF!</v>
      </c>
      <c r="O16" t="e">
        <f>AND(#REF!,"ImGQXgCu1Q4=")</f>
        <v>#REF!</v>
      </c>
      <c r="P16" t="e">
        <f>AND(#REF!,"ImGQXgCu1Q8=")</f>
        <v>#REF!</v>
      </c>
      <c r="Q16" t="e">
        <f>AND(#REF!,"ImGQXgCu1RA=")</f>
        <v>#REF!</v>
      </c>
      <c r="R16" t="e">
        <f>AND(#REF!,"ImGQXgCu1RE=")</f>
        <v>#REF!</v>
      </c>
      <c r="S16" t="e">
        <f>IF(#REF!,"ImGQXgCu1RI=",0)</f>
        <v>#REF!</v>
      </c>
      <c r="T16" t="e">
        <f>AND(#REF!,"ImGQXgCu1RM=")</f>
        <v>#REF!</v>
      </c>
      <c r="U16" t="e">
        <f>AND(#REF!,"ImGQXgCu1RQ=")</f>
        <v>#REF!</v>
      </c>
      <c r="V16" t="e">
        <f>AND(#REF!,"ImGQXgCu1RU=")</f>
        <v>#REF!</v>
      </c>
      <c r="W16" t="e">
        <f>AND(#REF!,"ImGQXgCu1RY=")</f>
        <v>#REF!</v>
      </c>
      <c r="X16" t="e">
        <f>AND(#REF!,"ImGQXgCu1Rc=")</f>
        <v>#REF!</v>
      </c>
      <c r="Y16" t="e">
        <f>AND(#REF!,"ImGQXgCu1Rg=")</f>
        <v>#REF!</v>
      </c>
      <c r="Z16" t="e">
        <f>AND(#REF!,"ImGQXgCu1Rk=")</f>
        <v>#REF!</v>
      </c>
      <c r="AA16" t="e">
        <f>AND(#REF!,"ImGQXgCu1Ro=")</f>
        <v>#REF!</v>
      </c>
      <c r="AB16" t="e">
        <f>AND(#REF!,"ImGQXgCu1Rs=")</f>
        <v>#REF!</v>
      </c>
      <c r="AC16" t="e">
        <f>AND(#REF!,"ImGQXgCu1Rw=")</f>
        <v>#REF!</v>
      </c>
      <c r="AD16" t="e">
        <f>AND(#REF!,"ImGQXgCu1R0=")</f>
        <v>#REF!</v>
      </c>
      <c r="AE16" t="e">
        <f>AND(#REF!,"ImGQXgCu1R4=")</f>
        <v>#REF!</v>
      </c>
      <c r="AF16" t="e">
        <f>AND(#REF!,"ImGQXgCu1R8=")</f>
        <v>#REF!</v>
      </c>
      <c r="AG16" t="e">
        <f>IF(#REF!,"ImGQXgCu1SA=",0)</f>
        <v>#REF!</v>
      </c>
      <c r="AH16" t="e">
        <f>AND(#REF!,"ImGQXgCu1SE=")</f>
        <v>#REF!</v>
      </c>
      <c r="AI16" t="e">
        <f>AND(#REF!,"ImGQXgCu1SI=")</f>
        <v>#REF!</v>
      </c>
      <c r="AJ16" t="e">
        <f>AND(#REF!,"ImGQXgCu1SM=")</f>
        <v>#REF!</v>
      </c>
      <c r="AK16" t="e">
        <f>AND(#REF!,"ImGQXgCu1SQ=")</f>
        <v>#REF!</v>
      </c>
      <c r="AL16" t="e">
        <f>AND(#REF!,"ImGQXgCu1SU=")</f>
        <v>#REF!</v>
      </c>
      <c r="AM16" t="e">
        <f>AND(#REF!,"ImGQXgCu1SY=")</f>
        <v>#REF!</v>
      </c>
      <c r="AN16" t="e">
        <f>AND(#REF!,"ImGQXgCu1Sc=")</f>
        <v>#REF!</v>
      </c>
      <c r="AO16" t="e">
        <f>AND(#REF!,"ImGQXgCu1Sg=")</f>
        <v>#REF!</v>
      </c>
      <c r="AP16" t="e">
        <f>AND(#REF!,"ImGQXgCu1Sk=")</f>
        <v>#REF!</v>
      </c>
      <c r="AQ16" t="e">
        <f>AND(#REF!,"ImGQXgCu1So=")</f>
        <v>#REF!</v>
      </c>
      <c r="AR16" t="e">
        <f>AND(#REF!,"ImGQXgCu1Ss=")</f>
        <v>#REF!</v>
      </c>
      <c r="AS16" t="e">
        <f>AND(#REF!,"ImGQXgCu1Sw=")</f>
        <v>#REF!</v>
      </c>
      <c r="AT16" t="e">
        <f>AND(#REF!,"ImGQXgCu1S0=")</f>
        <v>#REF!</v>
      </c>
      <c r="AU16" t="e">
        <f>IF(#REF!,"ImGQXgCu1S4=",0)</f>
        <v>#REF!</v>
      </c>
      <c r="AV16" t="e">
        <f>AND(#REF!,"ImGQXgCu1S8=")</f>
        <v>#REF!</v>
      </c>
      <c r="AW16" t="e">
        <f>AND(#REF!,"ImGQXgCu1TA=")</f>
        <v>#REF!</v>
      </c>
      <c r="AX16" t="e">
        <f>AND(#REF!,"ImGQXgCu1TE=")</f>
        <v>#REF!</v>
      </c>
      <c r="AY16" t="e">
        <f>AND(#REF!,"ImGQXgCu1TI=")</f>
        <v>#REF!</v>
      </c>
      <c r="AZ16" t="e">
        <f>AND(#REF!,"ImGQXgCu1TM=")</f>
        <v>#REF!</v>
      </c>
      <c r="BA16" t="e">
        <f>AND(#REF!,"ImGQXgCu1TQ=")</f>
        <v>#REF!</v>
      </c>
      <c r="BB16" t="e">
        <f>AND(#REF!,"ImGQXgCu1TU=")</f>
        <v>#REF!</v>
      </c>
      <c r="BC16" t="e">
        <f>AND(#REF!,"ImGQXgCu1TY=")</f>
        <v>#REF!</v>
      </c>
      <c r="BD16" t="e">
        <f>AND(#REF!,"ImGQXgCu1Tc=")</f>
        <v>#REF!</v>
      </c>
      <c r="BE16" t="e">
        <f>AND(#REF!,"ImGQXgCu1Tg=")</f>
        <v>#REF!</v>
      </c>
      <c r="BF16" t="e">
        <f>AND(#REF!,"ImGQXgCu1Tk=")</f>
        <v>#REF!</v>
      </c>
      <c r="BG16" t="e">
        <f>AND(#REF!,"ImGQXgCu1To=")</f>
        <v>#REF!</v>
      </c>
      <c r="BH16" t="e">
        <f>AND(#REF!,"ImGQXgCu1Ts=")</f>
        <v>#REF!</v>
      </c>
      <c r="BI16" t="e">
        <f>IF(#REF!,"ImGQXgCu1Tw=",0)</f>
        <v>#REF!</v>
      </c>
      <c r="BJ16" t="e">
        <f>AND(#REF!,"ImGQXgCu1T0=")</f>
        <v>#REF!</v>
      </c>
      <c r="BK16" t="e">
        <f>AND(#REF!,"ImGQXgCu1T4=")</f>
        <v>#REF!</v>
      </c>
      <c r="BL16" t="e">
        <f>AND(#REF!,"ImGQXgCu1T8=")</f>
        <v>#REF!</v>
      </c>
      <c r="BM16" t="e">
        <f>AND(#REF!,"ImGQXgCu1UA=")</f>
        <v>#REF!</v>
      </c>
      <c r="BN16" t="e">
        <f>AND(#REF!,"ImGQXgCu1UE=")</f>
        <v>#REF!</v>
      </c>
      <c r="BO16" t="e">
        <f>AND(#REF!,"ImGQXgCu1UI=")</f>
        <v>#REF!</v>
      </c>
      <c r="BP16" t="e">
        <f>AND(#REF!,"ImGQXgCu1UM=")</f>
        <v>#REF!</v>
      </c>
      <c r="BQ16" t="e">
        <f>AND(#REF!,"ImGQXgCu1UQ=")</f>
        <v>#REF!</v>
      </c>
      <c r="BR16" t="e">
        <f>AND(#REF!,"ImGQXgCu1UU=")</f>
        <v>#REF!</v>
      </c>
      <c r="BS16" t="e">
        <f>AND(#REF!,"ImGQXgCu1UY=")</f>
        <v>#REF!</v>
      </c>
      <c r="BT16" t="e">
        <f>AND(#REF!,"ImGQXgCu1Uc=")</f>
        <v>#REF!</v>
      </c>
      <c r="BU16" t="e">
        <f>AND(#REF!,"ImGQXgCu1Ug=")</f>
        <v>#REF!</v>
      </c>
      <c r="BV16" t="e">
        <f>AND(#REF!,"ImGQXgCu1Uk=")</f>
        <v>#REF!</v>
      </c>
      <c r="BW16" t="e">
        <f>IF(#REF!,"ImGQXgCu1Uo=",0)</f>
        <v>#REF!</v>
      </c>
      <c r="BX16" t="e">
        <f>AND(#REF!,"ImGQXgCu1Us=")</f>
        <v>#REF!</v>
      </c>
      <c r="BY16" t="e">
        <f>AND(#REF!,"ImGQXgCu1Uw=")</f>
        <v>#REF!</v>
      </c>
      <c r="BZ16" t="e">
        <f>AND(#REF!,"ImGQXgCu1U0=")</f>
        <v>#REF!</v>
      </c>
      <c r="CA16" t="e">
        <f>AND(#REF!,"ImGQXgCu1U4=")</f>
        <v>#REF!</v>
      </c>
      <c r="CB16" t="e">
        <f>AND(#REF!,"ImGQXgCu1U8=")</f>
        <v>#REF!</v>
      </c>
      <c r="CC16" t="e">
        <f>AND(#REF!,"ImGQXgCu1VA=")</f>
        <v>#REF!</v>
      </c>
      <c r="CD16" t="e">
        <f>AND(#REF!,"ImGQXgCu1VE=")</f>
        <v>#REF!</v>
      </c>
      <c r="CE16" t="e">
        <f>AND(#REF!,"ImGQXgCu1VI=")</f>
        <v>#REF!</v>
      </c>
      <c r="CF16" t="e">
        <f>AND(#REF!,"ImGQXgCu1VM=")</f>
        <v>#REF!</v>
      </c>
      <c r="CG16" t="e">
        <f>AND(#REF!,"ImGQXgCu1VQ=")</f>
        <v>#REF!</v>
      </c>
      <c r="CH16" t="e">
        <f>AND(#REF!,"ImGQXgCu1VU=")</f>
        <v>#REF!</v>
      </c>
      <c r="CI16" t="e">
        <f>AND(#REF!,"ImGQXgCu1VY=")</f>
        <v>#REF!</v>
      </c>
      <c r="CJ16" t="e">
        <f>AND(#REF!,"ImGQXgCu1Vc=")</f>
        <v>#REF!</v>
      </c>
      <c r="CK16" t="e">
        <f>IF(#REF!,"ImGQXgCu1Vg=",0)</f>
        <v>#REF!</v>
      </c>
      <c r="CL16" t="e">
        <f>AND(#REF!,"ImGQXgCu1Vk=")</f>
        <v>#REF!</v>
      </c>
      <c r="CM16" t="e">
        <f>AND(#REF!,"ImGQXgCu1Vo=")</f>
        <v>#REF!</v>
      </c>
      <c r="CN16" t="e">
        <f>AND(#REF!,"ImGQXgCu1Vs=")</f>
        <v>#REF!</v>
      </c>
      <c r="CO16" t="e">
        <f>AND(#REF!,"ImGQXgCu1Vw=")</f>
        <v>#REF!</v>
      </c>
      <c r="CP16" t="e">
        <f>AND(#REF!,"ImGQXgCu1V0=")</f>
        <v>#REF!</v>
      </c>
      <c r="CQ16" t="e">
        <f>AND(#REF!,"ImGQXgCu1V4=")</f>
        <v>#REF!</v>
      </c>
      <c r="CR16" t="e">
        <f>AND(#REF!,"ImGQXgCu1V8=")</f>
        <v>#REF!</v>
      </c>
      <c r="CS16" t="e">
        <f>AND(#REF!,"ImGQXgCu1WA=")</f>
        <v>#REF!</v>
      </c>
      <c r="CT16" t="e">
        <f>AND(#REF!,"ImGQXgCu1WE=")</f>
        <v>#REF!</v>
      </c>
      <c r="CU16" t="e">
        <f>AND(#REF!,"ImGQXgCu1WI=")</f>
        <v>#REF!</v>
      </c>
      <c r="CV16" t="e">
        <f>AND(#REF!,"ImGQXgCu1WM=")</f>
        <v>#REF!</v>
      </c>
      <c r="CW16" t="e">
        <f>AND(#REF!,"ImGQXgCu1WQ=")</f>
        <v>#REF!</v>
      </c>
      <c r="CX16" t="e">
        <f>AND(#REF!,"ImGQXgCu1WU=")</f>
        <v>#REF!</v>
      </c>
      <c r="CY16" t="e">
        <f>IF(#REF!,"ImGQXgCu1WY=",0)</f>
        <v>#REF!</v>
      </c>
      <c r="CZ16" t="e">
        <f>AND(#REF!,"ImGQXgCu1Wc=")</f>
        <v>#REF!</v>
      </c>
      <c r="DA16" t="e">
        <f>AND(#REF!,"ImGQXgCu1Wg=")</f>
        <v>#REF!</v>
      </c>
      <c r="DB16" t="e">
        <f>AND(#REF!,"ImGQXgCu1Wk=")</f>
        <v>#REF!</v>
      </c>
      <c r="DC16" t="e">
        <f>AND(#REF!,"ImGQXgCu1Wo=")</f>
        <v>#REF!</v>
      </c>
      <c r="DD16" t="e">
        <f>AND(#REF!,"ImGQXgCu1Ws=")</f>
        <v>#REF!</v>
      </c>
      <c r="DE16" t="e">
        <f>AND(#REF!,"ImGQXgCu1Ww=")</f>
        <v>#REF!</v>
      </c>
      <c r="DF16" t="e">
        <f>AND(#REF!,"ImGQXgCu1W0=")</f>
        <v>#REF!</v>
      </c>
      <c r="DG16" t="e">
        <f>AND(#REF!,"ImGQXgCu1W4=")</f>
        <v>#REF!</v>
      </c>
      <c r="DH16" t="e">
        <f>AND(#REF!,"ImGQXgCu1W8=")</f>
        <v>#REF!</v>
      </c>
      <c r="DI16" t="e">
        <f>AND(#REF!,"ImGQXgCu1XA=")</f>
        <v>#REF!</v>
      </c>
      <c r="DJ16" t="e">
        <f>AND(#REF!,"ImGQXgCu1XE=")</f>
        <v>#REF!</v>
      </c>
      <c r="DK16" t="e">
        <f>AND(#REF!,"ImGQXgCu1XI=")</f>
        <v>#REF!</v>
      </c>
      <c r="DL16" t="e">
        <f>AND(#REF!,"ImGQXgCu1XM=")</f>
        <v>#REF!</v>
      </c>
      <c r="DM16" t="e">
        <f>IF(#REF!,"ImGQXgCu1XQ=",0)</f>
        <v>#REF!</v>
      </c>
      <c r="DN16" t="e">
        <f>AND(#REF!,"ImGQXgCu1XU=")</f>
        <v>#REF!</v>
      </c>
      <c r="DO16" t="e">
        <f>AND(#REF!,"ImGQXgCu1XY=")</f>
        <v>#REF!</v>
      </c>
      <c r="DP16" t="e">
        <f>AND(#REF!,"ImGQXgCu1Xc=")</f>
        <v>#REF!</v>
      </c>
      <c r="DQ16" t="e">
        <f>AND(#REF!,"ImGQXgCu1Xg=")</f>
        <v>#REF!</v>
      </c>
      <c r="DR16" t="e">
        <f>AND(#REF!,"ImGQXgCu1Xk=")</f>
        <v>#REF!</v>
      </c>
      <c r="DS16" t="e">
        <f>AND(#REF!,"ImGQXgCu1Xo=")</f>
        <v>#REF!</v>
      </c>
      <c r="DT16" t="e">
        <f>AND(#REF!,"ImGQXgCu1Xs=")</f>
        <v>#REF!</v>
      </c>
      <c r="DU16" t="e">
        <f>AND(#REF!,"ImGQXgCu1Xw=")</f>
        <v>#REF!</v>
      </c>
      <c r="DV16" t="e">
        <f>AND(#REF!,"ImGQXgCu1X0=")</f>
        <v>#REF!</v>
      </c>
      <c r="DW16" t="e">
        <f>AND(#REF!,"ImGQXgCu1X4=")</f>
        <v>#REF!</v>
      </c>
      <c r="DX16" t="e">
        <f>AND(#REF!,"ImGQXgCu1X8=")</f>
        <v>#REF!</v>
      </c>
      <c r="DY16" t="e">
        <f>AND(#REF!,"ImGQXgCu1YA=")</f>
        <v>#REF!</v>
      </c>
      <c r="DZ16" t="e">
        <f>AND(#REF!,"ImGQXgCu1YE=")</f>
        <v>#REF!</v>
      </c>
      <c r="EA16" t="e">
        <f>IF(#REF!,"ImGQXgCu1YI=",0)</f>
        <v>#REF!</v>
      </c>
      <c r="EB16" t="e">
        <f>AND(#REF!,"ImGQXgCu1YM=")</f>
        <v>#REF!</v>
      </c>
      <c r="EC16" t="e">
        <f>AND(#REF!,"ImGQXgCu1YQ=")</f>
        <v>#REF!</v>
      </c>
      <c r="ED16" t="e">
        <f>AND(#REF!,"ImGQXgCu1YU=")</f>
        <v>#REF!</v>
      </c>
      <c r="EE16" t="e">
        <f>AND(#REF!,"ImGQXgCu1YY=")</f>
        <v>#REF!</v>
      </c>
      <c r="EF16" t="e">
        <f>AND(#REF!,"ImGQXgCu1Yc=")</f>
        <v>#REF!</v>
      </c>
      <c r="EG16" t="e">
        <f>AND(#REF!,"ImGQXgCu1Yg=")</f>
        <v>#REF!</v>
      </c>
      <c r="EH16" t="e">
        <f>AND(#REF!,"ImGQXgCu1Yk=")</f>
        <v>#REF!</v>
      </c>
      <c r="EI16" t="e">
        <f>AND(#REF!,"ImGQXgCu1Yo=")</f>
        <v>#REF!</v>
      </c>
      <c r="EJ16" t="e">
        <f>AND(#REF!,"ImGQXgCu1Ys=")</f>
        <v>#REF!</v>
      </c>
      <c r="EK16" t="e">
        <f>AND(#REF!,"ImGQXgCu1Yw=")</f>
        <v>#REF!</v>
      </c>
      <c r="EL16" t="e">
        <f>AND(#REF!,"ImGQXgCu1Y0=")</f>
        <v>#REF!</v>
      </c>
      <c r="EM16" t="e">
        <f>AND(#REF!,"ImGQXgCu1Y4=")</f>
        <v>#REF!</v>
      </c>
      <c r="EN16" t="e">
        <f>AND(#REF!,"ImGQXgCu1Y8=")</f>
        <v>#REF!</v>
      </c>
      <c r="EO16" t="e">
        <f>IF(#REF!,"ImGQXgCu1ZA=",0)</f>
        <v>#REF!</v>
      </c>
      <c r="EP16" t="e">
        <f>AND(#REF!,"ImGQXgCu1ZE=")</f>
        <v>#REF!</v>
      </c>
      <c r="EQ16" t="e">
        <f>AND(#REF!,"ImGQXgCu1ZI=")</f>
        <v>#REF!</v>
      </c>
      <c r="ER16" t="e">
        <f>AND(#REF!,"ImGQXgCu1ZM=")</f>
        <v>#REF!</v>
      </c>
      <c r="ES16" t="e">
        <f>AND(#REF!,"ImGQXgCu1ZQ=")</f>
        <v>#REF!</v>
      </c>
      <c r="ET16" t="e">
        <f>AND(#REF!,"ImGQXgCu1ZU=")</f>
        <v>#REF!</v>
      </c>
      <c r="EU16" t="e">
        <f>AND(#REF!,"ImGQXgCu1ZY=")</f>
        <v>#REF!</v>
      </c>
      <c r="EV16" t="e">
        <f>AND(#REF!,"ImGQXgCu1Zc=")</f>
        <v>#REF!</v>
      </c>
      <c r="EW16" t="e">
        <f>AND(#REF!,"ImGQXgCu1Zg=")</f>
        <v>#REF!</v>
      </c>
      <c r="EX16" t="e">
        <f>AND(#REF!,"ImGQXgCu1Zk=")</f>
        <v>#REF!</v>
      </c>
      <c r="EY16" t="e">
        <f>AND(#REF!,"ImGQXgCu1Zo=")</f>
        <v>#REF!</v>
      </c>
      <c r="EZ16" t="e">
        <f>AND(#REF!,"ImGQXgCu1Zs=")</f>
        <v>#REF!</v>
      </c>
      <c r="FA16" t="e">
        <f>AND(#REF!,"ImGQXgCu1Zw=")</f>
        <v>#REF!</v>
      </c>
      <c r="FB16" t="e">
        <f>AND(#REF!,"ImGQXgCu1Z0=")</f>
        <v>#REF!</v>
      </c>
      <c r="FC16" t="e">
        <f>IF(#REF!,"ImGQXgCu1Z4=",0)</f>
        <v>#REF!</v>
      </c>
      <c r="FD16" t="e">
        <f>AND(#REF!,"ImGQXgCu1Z8=")</f>
        <v>#REF!</v>
      </c>
      <c r="FE16" t="e">
        <f>AND(#REF!,"ImGQXgCu1aA=")</f>
        <v>#REF!</v>
      </c>
      <c r="FF16" t="e">
        <f>AND(#REF!,"ImGQXgCu1aE=")</f>
        <v>#REF!</v>
      </c>
      <c r="FG16" t="e">
        <f>AND(#REF!,"ImGQXgCu1aI=")</f>
        <v>#REF!</v>
      </c>
      <c r="FH16" t="e">
        <f>AND(#REF!,"ImGQXgCu1aM=")</f>
        <v>#REF!</v>
      </c>
      <c r="FI16" t="e">
        <f>AND(#REF!,"ImGQXgCu1aQ=")</f>
        <v>#REF!</v>
      </c>
      <c r="FJ16" t="e">
        <f>AND(#REF!,"ImGQXgCu1aU=")</f>
        <v>#REF!</v>
      </c>
      <c r="FK16" t="e">
        <f>AND(#REF!,"ImGQXgCu1aY=")</f>
        <v>#REF!</v>
      </c>
      <c r="FL16" t="e">
        <f>AND(#REF!,"ImGQXgCu1ac=")</f>
        <v>#REF!</v>
      </c>
      <c r="FM16" t="e">
        <f>AND(#REF!,"ImGQXgCu1ag=")</f>
        <v>#REF!</v>
      </c>
      <c r="FN16" t="e">
        <f>AND(#REF!,"ImGQXgCu1ak=")</f>
        <v>#REF!</v>
      </c>
      <c r="FO16" t="e">
        <f>AND(#REF!,"ImGQXgCu1ao=")</f>
        <v>#REF!</v>
      </c>
      <c r="FP16" t="e">
        <f>AND(#REF!,"ImGQXgCu1as=")</f>
        <v>#REF!</v>
      </c>
      <c r="FQ16" t="e">
        <f>IF(#REF!,"ImGQXgCu1aw=",0)</f>
        <v>#REF!</v>
      </c>
      <c r="FR16" t="e">
        <f>AND(#REF!,"ImGQXgCu1a0=")</f>
        <v>#REF!</v>
      </c>
      <c r="FS16" t="e">
        <f>AND(#REF!,"ImGQXgCu1a4=")</f>
        <v>#REF!</v>
      </c>
      <c r="FT16" t="e">
        <f>AND(#REF!,"ImGQXgCu1a8=")</f>
        <v>#REF!</v>
      </c>
      <c r="FU16" t="e">
        <f>AND(#REF!,"ImGQXgCu1bA=")</f>
        <v>#REF!</v>
      </c>
      <c r="FV16" t="e">
        <f>AND(#REF!,"ImGQXgCu1bE=")</f>
        <v>#REF!</v>
      </c>
      <c r="FW16" t="e">
        <f>AND(#REF!,"ImGQXgCu1bI=")</f>
        <v>#REF!</v>
      </c>
      <c r="FX16" t="e">
        <f>AND(#REF!,"ImGQXgCu1bM=")</f>
        <v>#REF!</v>
      </c>
      <c r="FY16" t="e">
        <f>AND(#REF!,"ImGQXgCu1bQ=")</f>
        <v>#REF!</v>
      </c>
      <c r="FZ16" t="e">
        <f>AND(#REF!,"ImGQXgCu1bU=")</f>
        <v>#REF!</v>
      </c>
      <c r="GA16" t="e">
        <f>AND(#REF!,"ImGQXgCu1bY=")</f>
        <v>#REF!</v>
      </c>
      <c r="GB16" t="e">
        <f>AND(#REF!,"ImGQXgCu1bc=")</f>
        <v>#REF!</v>
      </c>
      <c r="GC16" t="e">
        <f>AND(#REF!,"ImGQXgCu1bg=")</f>
        <v>#REF!</v>
      </c>
      <c r="GD16" t="e">
        <f>AND(#REF!,"ImGQXgCu1bk=")</f>
        <v>#REF!</v>
      </c>
      <c r="GE16" t="e">
        <f>IF(#REF!,"ImGQXgCu1bo=",0)</f>
        <v>#REF!</v>
      </c>
      <c r="GF16" t="e">
        <f>AND(#REF!,"ImGQXgCu1bs=")</f>
        <v>#REF!</v>
      </c>
      <c r="GG16" t="e">
        <f>AND(#REF!,"ImGQXgCu1bw=")</f>
        <v>#REF!</v>
      </c>
      <c r="GH16" t="e">
        <f>AND(#REF!,"ImGQXgCu1b0=")</f>
        <v>#REF!</v>
      </c>
      <c r="GI16" t="e">
        <f>AND(#REF!,"ImGQXgCu1b4=")</f>
        <v>#REF!</v>
      </c>
      <c r="GJ16" t="e">
        <f>AND(#REF!,"ImGQXgCu1b8=")</f>
        <v>#REF!</v>
      </c>
      <c r="GK16" t="e">
        <f>AND(#REF!,"ImGQXgCu1cA=")</f>
        <v>#REF!</v>
      </c>
      <c r="GL16" t="e">
        <f>AND(#REF!,"ImGQXgCu1cE=")</f>
        <v>#REF!</v>
      </c>
      <c r="GM16" t="e">
        <f>AND(#REF!,"ImGQXgCu1cI=")</f>
        <v>#REF!</v>
      </c>
      <c r="GN16" t="e">
        <f>AND(#REF!,"ImGQXgCu1cM=")</f>
        <v>#REF!</v>
      </c>
      <c r="GO16" t="e">
        <f>AND(#REF!,"ImGQXgCu1cQ=")</f>
        <v>#REF!</v>
      </c>
      <c r="GP16" t="e">
        <f>AND(#REF!,"ImGQXgCu1cU=")</f>
        <v>#REF!</v>
      </c>
      <c r="GQ16" t="e">
        <f>AND(#REF!,"ImGQXgCu1cY=")</f>
        <v>#REF!</v>
      </c>
      <c r="GR16" t="e">
        <f>AND(#REF!,"ImGQXgCu1cc=")</f>
        <v>#REF!</v>
      </c>
      <c r="GS16" t="e">
        <f>IF(#REF!,"ImGQXgCu1cg=",0)</f>
        <v>#REF!</v>
      </c>
      <c r="GT16" t="e">
        <f>AND(#REF!,"ImGQXgCu1ck=")</f>
        <v>#REF!</v>
      </c>
      <c r="GU16" t="e">
        <f>AND(#REF!,"ImGQXgCu1co=")</f>
        <v>#REF!</v>
      </c>
      <c r="GV16" t="e">
        <f>AND(#REF!,"ImGQXgCu1cs=")</f>
        <v>#REF!</v>
      </c>
      <c r="GW16" t="e">
        <f>AND(#REF!,"ImGQXgCu1cw=")</f>
        <v>#REF!</v>
      </c>
      <c r="GX16" t="e">
        <f>AND(#REF!,"ImGQXgCu1c0=")</f>
        <v>#REF!</v>
      </c>
      <c r="GY16" t="e">
        <f>AND(#REF!,"ImGQXgCu1c4=")</f>
        <v>#REF!</v>
      </c>
      <c r="GZ16" t="e">
        <f>AND(#REF!,"ImGQXgCu1c8=")</f>
        <v>#REF!</v>
      </c>
      <c r="HA16" t="e">
        <f>AND(#REF!,"ImGQXgCu1dA=")</f>
        <v>#REF!</v>
      </c>
      <c r="HB16" t="e">
        <f>AND(#REF!,"ImGQXgCu1dE=")</f>
        <v>#REF!</v>
      </c>
      <c r="HC16" t="e">
        <f>AND(#REF!,"ImGQXgCu1dI=")</f>
        <v>#REF!</v>
      </c>
      <c r="HD16" t="e">
        <f>AND(#REF!,"ImGQXgCu1dM=")</f>
        <v>#REF!</v>
      </c>
      <c r="HE16" t="e">
        <f>AND(#REF!,"ImGQXgCu1dQ=")</f>
        <v>#REF!</v>
      </c>
      <c r="HF16" t="e">
        <f>AND(#REF!,"ImGQXgCu1dU=")</f>
        <v>#REF!</v>
      </c>
      <c r="HG16" t="e">
        <f>IF(#REF!,"ImGQXgCu1dY=",0)</f>
        <v>#REF!</v>
      </c>
      <c r="HH16" t="e">
        <f>AND(#REF!,"ImGQXgCu1dc=")</f>
        <v>#REF!</v>
      </c>
      <c r="HI16" t="e">
        <f>AND(#REF!,"ImGQXgCu1dg=")</f>
        <v>#REF!</v>
      </c>
      <c r="HJ16" t="e">
        <f>AND(#REF!,"ImGQXgCu1dk=")</f>
        <v>#REF!</v>
      </c>
      <c r="HK16" t="e">
        <f>AND(#REF!,"ImGQXgCu1do=")</f>
        <v>#REF!</v>
      </c>
      <c r="HL16" t="e">
        <f>AND(#REF!,"ImGQXgCu1ds=")</f>
        <v>#REF!</v>
      </c>
      <c r="HM16" t="e">
        <f>AND(#REF!,"ImGQXgCu1dw=")</f>
        <v>#REF!</v>
      </c>
      <c r="HN16" t="e">
        <f>AND(#REF!,"ImGQXgCu1d0=")</f>
        <v>#REF!</v>
      </c>
      <c r="HO16" t="e">
        <f>AND(#REF!,"ImGQXgCu1d4=")</f>
        <v>#REF!</v>
      </c>
      <c r="HP16" t="e">
        <f>AND(#REF!,"ImGQXgCu1d8=")</f>
        <v>#REF!</v>
      </c>
      <c r="HQ16" t="e">
        <f>AND(#REF!,"ImGQXgCu1eA=")</f>
        <v>#REF!</v>
      </c>
      <c r="HR16" t="e">
        <f>AND(#REF!,"ImGQXgCu1eE=")</f>
        <v>#REF!</v>
      </c>
      <c r="HS16" t="e">
        <f>AND(#REF!,"ImGQXgCu1eI=")</f>
        <v>#REF!</v>
      </c>
      <c r="HT16" t="e">
        <f>AND(#REF!,"ImGQXgCu1eM=")</f>
        <v>#REF!</v>
      </c>
      <c r="HU16" t="e">
        <f>IF(#REF!,"ImGQXgCu1eQ=",0)</f>
        <v>#REF!</v>
      </c>
      <c r="HV16" t="e">
        <f>AND(#REF!,"ImGQXgCu1eU=")</f>
        <v>#REF!</v>
      </c>
      <c r="HW16" t="e">
        <f>AND(#REF!,"ImGQXgCu1eY=")</f>
        <v>#REF!</v>
      </c>
      <c r="HX16" t="e">
        <f>AND(#REF!,"ImGQXgCu1ec=")</f>
        <v>#REF!</v>
      </c>
      <c r="HY16" t="e">
        <f>AND(#REF!,"ImGQXgCu1eg=")</f>
        <v>#REF!</v>
      </c>
      <c r="HZ16" t="e">
        <f>AND(#REF!,"ImGQXgCu1ek=")</f>
        <v>#REF!</v>
      </c>
      <c r="IA16" t="e">
        <f>AND(#REF!,"ImGQXgCu1eo=")</f>
        <v>#REF!</v>
      </c>
      <c r="IB16" t="e">
        <f>AND(#REF!,"ImGQXgCu1es=")</f>
        <v>#REF!</v>
      </c>
      <c r="IC16" t="e">
        <f>AND(#REF!,"ImGQXgCu1ew=")</f>
        <v>#REF!</v>
      </c>
      <c r="ID16" t="e">
        <f>AND(#REF!,"ImGQXgCu1e0=")</f>
        <v>#REF!</v>
      </c>
      <c r="IE16" t="e">
        <f>AND(#REF!,"ImGQXgCu1e4=")</f>
        <v>#REF!</v>
      </c>
      <c r="IF16" t="e">
        <f>AND(#REF!,"ImGQXgCu1e8=")</f>
        <v>#REF!</v>
      </c>
      <c r="IG16" t="e">
        <f>AND(#REF!,"ImGQXgCu1fA=")</f>
        <v>#REF!</v>
      </c>
      <c r="IH16" t="e">
        <f>AND(#REF!,"ImGQXgCu1fE=")</f>
        <v>#REF!</v>
      </c>
      <c r="II16" t="e">
        <f>IF(#REF!,"ImGQXgCu1fI=",0)</f>
        <v>#REF!</v>
      </c>
      <c r="IJ16" t="e">
        <f>AND(#REF!,"ImGQXgCu1fM=")</f>
        <v>#REF!</v>
      </c>
      <c r="IK16" t="e">
        <f>AND(#REF!,"ImGQXgCu1fQ=")</f>
        <v>#REF!</v>
      </c>
      <c r="IL16" t="e">
        <f>AND(#REF!,"ImGQXgCu1fU=")</f>
        <v>#REF!</v>
      </c>
      <c r="IM16" t="e">
        <f>AND(#REF!,"ImGQXgCu1fY=")</f>
        <v>#REF!</v>
      </c>
      <c r="IN16" t="e">
        <f>AND(#REF!,"ImGQXgCu1fc=")</f>
        <v>#REF!</v>
      </c>
      <c r="IO16" t="e">
        <f>AND(#REF!,"ImGQXgCu1fg=")</f>
        <v>#REF!</v>
      </c>
      <c r="IP16" t="e">
        <f>AND(#REF!,"ImGQXgCu1fk=")</f>
        <v>#REF!</v>
      </c>
      <c r="IQ16" t="e">
        <f>AND(#REF!,"ImGQXgCu1fo=")</f>
        <v>#REF!</v>
      </c>
      <c r="IR16" t="e">
        <f>AND(#REF!,"ImGQXgCu1fs=")</f>
        <v>#REF!</v>
      </c>
      <c r="IS16" t="e">
        <f>AND(#REF!,"ImGQXgCu1fw=")</f>
        <v>#REF!</v>
      </c>
      <c r="IT16" t="e">
        <f>AND(#REF!,"ImGQXgCu1f0=")</f>
        <v>#REF!</v>
      </c>
      <c r="IU16" t="e">
        <f>AND(#REF!,"ImGQXgCu1f4=")</f>
        <v>#REF!</v>
      </c>
      <c r="IV16" t="e">
        <f>AND(#REF!,"ImGQXgCu1f8=")</f>
        <v>#REF!</v>
      </c>
    </row>
    <row r="17" spans="1:256" x14ac:dyDescent="0.2">
      <c r="A17" t="e">
        <f>IF(#REF!,"alO1szmB0wA=",0)</f>
        <v>#REF!</v>
      </c>
      <c r="B17" t="e">
        <f>AND(#REF!,"alO1szmB0wE=")</f>
        <v>#REF!</v>
      </c>
      <c r="C17" t="e">
        <f>AND(#REF!,"alO1szmB0wI=")</f>
        <v>#REF!</v>
      </c>
      <c r="D17" t="e">
        <f>AND(#REF!,"alO1szmB0wM=")</f>
        <v>#REF!</v>
      </c>
      <c r="E17" t="e">
        <f>AND(#REF!,"alO1szmB0wQ=")</f>
        <v>#REF!</v>
      </c>
      <c r="F17" t="e">
        <f>AND(#REF!,"alO1szmB0wU=")</f>
        <v>#REF!</v>
      </c>
      <c r="G17" t="e">
        <f>AND(#REF!,"alO1szmB0wY=")</f>
        <v>#REF!</v>
      </c>
      <c r="H17" t="e">
        <f>AND(#REF!,"alO1szmB0wc=")</f>
        <v>#REF!</v>
      </c>
      <c r="I17" t="e">
        <f>AND(#REF!,"alO1szmB0wg=")</f>
        <v>#REF!</v>
      </c>
      <c r="J17" t="e">
        <f>AND(#REF!,"alO1szmB0wk=")</f>
        <v>#REF!</v>
      </c>
      <c r="K17" t="e">
        <f>AND(#REF!,"alO1szmB0wo=")</f>
        <v>#REF!</v>
      </c>
      <c r="L17" t="e">
        <f>AND(#REF!,"alO1szmB0ws=")</f>
        <v>#REF!</v>
      </c>
      <c r="M17" t="e">
        <f>AND(#REF!,"alO1szmB0ww=")</f>
        <v>#REF!</v>
      </c>
      <c r="N17" t="e">
        <f>AND(#REF!,"alO1szmB0w0=")</f>
        <v>#REF!</v>
      </c>
      <c r="O17" t="e">
        <f>IF(#REF!,"alO1szmB0w4=",0)</f>
        <v>#REF!</v>
      </c>
      <c r="P17" t="e">
        <f>AND(#REF!,"alO1szmB0w8=")</f>
        <v>#REF!</v>
      </c>
      <c r="Q17" t="e">
        <f>AND(#REF!,"alO1szmB0xA=")</f>
        <v>#REF!</v>
      </c>
      <c r="R17" t="e">
        <f>AND(#REF!,"alO1szmB0xE=")</f>
        <v>#REF!</v>
      </c>
      <c r="S17" t="e">
        <f>AND(#REF!,"alO1szmB0xI=")</f>
        <v>#REF!</v>
      </c>
      <c r="T17" t="e">
        <f>AND(#REF!,"alO1szmB0xM=")</f>
        <v>#REF!</v>
      </c>
      <c r="U17" t="e">
        <f>AND(#REF!,"alO1szmB0xQ=")</f>
        <v>#REF!</v>
      </c>
      <c r="V17" t="e">
        <f>AND(#REF!,"alO1szmB0xU=")</f>
        <v>#REF!</v>
      </c>
      <c r="W17" t="e">
        <f>AND(#REF!,"alO1szmB0xY=")</f>
        <v>#REF!</v>
      </c>
      <c r="X17" t="e">
        <f>AND(#REF!,"alO1szmB0xc=")</f>
        <v>#REF!</v>
      </c>
      <c r="Y17" t="e">
        <f>AND(#REF!,"alO1szmB0xg=")</f>
        <v>#REF!</v>
      </c>
      <c r="Z17" t="e">
        <f>AND(#REF!,"alO1szmB0xk=")</f>
        <v>#REF!</v>
      </c>
      <c r="AA17" t="e">
        <f>AND(#REF!,"alO1szmB0xo=")</f>
        <v>#REF!</v>
      </c>
      <c r="AB17" t="e">
        <f>AND(#REF!,"alO1szmB0xs=")</f>
        <v>#REF!</v>
      </c>
      <c r="AC17" t="e">
        <f>IF(#REF!,"alO1szmB0xw=",0)</f>
        <v>#REF!</v>
      </c>
      <c r="AD17" t="e">
        <f>AND(#REF!,"alO1szmB0x0=")</f>
        <v>#REF!</v>
      </c>
      <c r="AE17" t="e">
        <f>AND(#REF!,"alO1szmB0x4=")</f>
        <v>#REF!</v>
      </c>
      <c r="AF17" t="e">
        <f>AND(#REF!,"alO1szmB0x8=")</f>
        <v>#REF!</v>
      </c>
      <c r="AG17" t="e">
        <f>AND(#REF!,"alO1szmB0yA=")</f>
        <v>#REF!</v>
      </c>
      <c r="AH17" t="e">
        <f>AND(#REF!,"alO1szmB0yE=")</f>
        <v>#REF!</v>
      </c>
      <c r="AI17" t="e">
        <f>AND(#REF!,"alO1szmB0yI=")</f>
        <v>#REF!</v>
      </c>
      <c r="AJ17" t="e">
        <f>AND(#REF!,"alO1szmB0yM=")</f>
        <v>#REF!</v>
      </c>
      <c r="AK17" t="e">
        <f>AND(#REF!,"alO1szmB0yQ=")</f>
        <v>#REF!</v>
      </c>
      <c r="AL17" t="e">
        <f>AND(#REF!,"alO1szmB0yU=")</f>
        <v>#REF!</v>
      </c>
      <c r="AM17" t="e">
        <f>AND(#REF!,"alO1szmB0yY=")</f>
        <v>#REF!</v>
      </c>
      <c r="AN17" t="e">
        <f>AND(#REF!,"alO1szmB0yc=")</f>
        <v>#REF!</v>
      </c>
      <c r="AO17" t="e">
        <f>AND(#REF!,"alO1szmB0yg=")</f>
        <v>#REF!</v>
      </c>
      <c r="AP17" t="e">
        <f>AND(#REF!,"alO1szmB0yk=")</f>
        <v>#REF!</v>
      </c>
      <c r="AQ17" t="e">
        <f>IF(#REF!,"alO1szmB0yo=",0)</f>
        <v>#REF!</v>
      </c>
      <c r="AR17" t="e">
        <f>IF(#REF!,"alO1szmB0ys=",0)</f>
        <v>#REF!</v>
      </c>
      <c r="AS17" t="e">
        <f>IF(#REF!,"alO1szmB0yw=",0)</f>
        <v>#REF!</v>
      </c>
      <c r="AT17" t="e">
        <f>IF(#REF!,"alO1szmB0y0=",0)</f>
        <v>#REF!</v>
      </c>
      <c r="AU17" t="e">
        <f>IF(#REF!,"alO1szmB0y4=",0)</f>
        <v>#REF!</v>
      </c>
      <c r="AV17" t="e">
        <f>IF(#REF!,"alO1szmB0y8=",0)</f>
        <v>#REF!</v>
      </c>
      <c r="AW17" t="e">
        <f>IF(#REF!,"alO1szmB0zA=",0)</f>
        <v>#REF!</v>
      </c>
      <c r="AX17" t="e">
        <f>IF(#REF!,"alO1szmB0zE=",0)</f>
        <v>#REF!</v>
      </c>
      <c r="AY17" t="e">
        <f>IF(#REF!,"alO1szmB0zI=",0)</f>
        <v>#REF!</v>
      </c>
      <c r="AZ17" t="e">
        <f>IF(#REF!,"alO1szmB0zM=",0)</f>
        <v>#REF!</v>
      </c>
      <c r="BA17" t="e">
        <f>IF(#REF!,"alO1szmB0zQ=",0)</f>
        <v>#REF!</v>
      </c>
      <c r="BB17" t="e">
        <f>IF(#REF!,"alO1szmB0zU=",0)</f>
        <v>#REF!</v>
      </c>
      <c r="BC17" t="e">
        <f>IF(#REF!,"alO1szmB0zY=",0)</f>
        <v>#REF!</v>
      </c>
      <c r="BD17" t="e">
        <f>IF(#REF!,"alO1szmB0zc=",0)</f>
        <v>#REF!</v>
      </c>
      <c r="BE17" t="e">
        <f>AND(#REF!,"alO1szmB0zg=")</f>
        <v>#REF!</v>
      </c>
      <c r="BF17" t="e">
        <f>AND(#REF!,"alO1szmB0zk=")</f>
        <v>#REF!</v>
      </c>
      <c r="BG17" t="e">
        <f>AND(#REF!,"alO1szmB0zo=")</f>
        <v>#REF!</v>
      </c>
      <c r="BH17" t="e">
        <f>AND(#REF!,"alO1szmB0zs=")</f>
        <v>#REF!</v>
      </c>
      <c r="BI17" t="e">
        <f>AND(#REF!,"alO1szmB0zw=")</f>
        <v>#REF!</v>
      </c>
      <c r="BJ17" t="e">
        <f>AND(#REF!,"alO1szmB0z0=")</f>
        <v>#REF!</v>
      </c>
      <c r="BK17" t="e">
        <f>AND(#REF!,"alO1szmB0z4=")</f>
        <v>#REF!</v>
      </c>
      <c r="BL17" t="e">
        <f>AND(#REF!,"alO1szmB0z8=")</f>
        <v>#REF!</v>
      </c>
      <c r="BM17" t="e">
        <f>IF(#REF!,"alO1szmB00A=",0)</f>
        <v>#REF!</v>
      </c>
      <c r="BN17" t="e">
        <f>AND(#REF!,"alO1szmB00E=")</f>
        <v>#REF!</v>
      </c>
      <c r="BO17" t="e">
        <f>AND(#REF!,"alO1szmB00I=")</f>
        <v>#REF!</v>
      </c>
      <c r="BP17" t="e">
        <f>AND(#REF!,"alO1szmB00M=")</f>
        <v>#REF!</v>
      </c>
      <c r="BQ17" t="e">
        <f>AND(#REF!,"alO1szmB00Q=")</f>
        <v>#REF!</v>
      </c>
      <c r="BR17" t="e">
        <f>AND(#REF!,"alO1szmB00U=")</f>
        <v>#REF!</v>
      </c>
      <c r="BS17" t="e">
        <f>AND(#REF!,"alO1szmB00Y=")</f>
        <v>#REF!</v>
      </c>
      <c r="BT17" t="e">
        <f>AND(#REF!,"alO1szmB00c=")</f>
        <v>#REF!</v>
      </c>
      <c r="BU17" t="e">
        <f>AND(#REF!,"alO1szmB00g=")</f>
        <v>#REF!</v>
      </c>
      <c r="BV17" t="e">
        <f>IF(#REF!,"alO1szmB00k=",0)</f>
        <v>#REF!</v>
      </c>
      <c r="BW17" t="e">
        <f>AND(#REF!,"alO1szmB00o=")</f>
        <v>#REF!</v>
      </c>
      <c r="BX17" t="e">
        <f>AND(#REF!,"alO1szmB00s=")</f>
        <v>#REF!</v>
      </c>
      <c r="BY17" t="e">
        <f>AND(#REF!,"alO1szmB00w=")</f>
        <v>#REF!</v>
      </c>
      <c r="BZ17" t="e">
        <f>AND(#REF!,"alO1szmB000=")</f>
        <v>#REF!</v>
      </c>
      <c r="CA17" t="e">
        <f>AND(#REF!,"alO1szmB004=")</f>
        <v>#REF!</v>
      </c>
      <c r="CB17" t="e">
        <f>AND(#REF!,"alO1szmB008=")</f>
        <v>#REF!</v>
      </c>
      <c r="CC17" t="e">
        <f>AND(#REF!,"alO1szmB01A=")</f>
        <v>#REF!</v>
      </c>
      <c r="CD17" t="e">
        <f>AND(#REF!,"alO1szmB01E=")</f>
        <v>#REF!</v>
      </c>
      <c r="CE17" t="e">
        <f>IF(#REF!,"alO1szmB01I=",0)</f>
        <v>#REF!</v>
      </c>
      <c r="CF17" t="e">
        <f>AND(#REF!,"alO1szmB01M=")</f>
        <v>#REF!</v>
      </c>
      <c r="CG17" t="e">
        <f>AND(#REF!,"alO1szmB01Q=")</f>
        <v>#REF!</v>
      </c>
      <c r="CH17" t="e">
        <f>AND(#REF!,"alO1szmB01U=")</f>
        <v>#REF!</v>
      </c>
      <c r="CI17" t="e">
        <f>AND(#REF!,"alO1szmB01Y=")</f>
        <v>#REF!</v>
      </c>
      <c r="CJ17" t="e">
        <f>AND(#REF!,"alO1szmB01c=")</f>
        <v>#REF!</v>
      </c>
      <c r="CK17" t="e">
        <f>AND(#REF!,"alO1szmB01g=")</f>
        <v>#REF!</v>
      </c>
      <c r="CL17" t="e">
        <f>AND(#REF!,"alO1szmB01k=")</f>
        <v>#REF!</v>
      </c>
      <c r="CM17" t="e">
        <f>AND(#REF!,"alO1szmB01o=")</f>
        <v>#REF!</v>
      </c>
      <c r="CN17" t="e">
        <f>IF(#REF!,"alO1szmB01s=",0)</f>
        <v>#REF!</v>
      </c>
      <c r="CO17" t="e">
        <f>AND(#REF!,"alO1szmB01w=")</f>
        <v>#REF!</v>
      </c>
      <c r="CP17" t="e">
        <f>AND(#REF!,"alO1szmB010=")</f>
        <v>#REF!</v>
      </c>
      <c r="CQ17" t="e">
        <f>AND(#REF!,"alO1szmB014=")</f>
        <v>#REF!</v>
      </c>
      <c r="CR17" t="e">
        <f>AND(#REF!,"alO1szmB018=")</f>
        <v>#REF!</v>
      </c>
      <c r="CS17" t="e">
        <f>AND(#REF!,"alO1szmB02A=")</f>
        <v>#REF!</v>
      </c>
      <c r="CT17" t="e">
        <f>AND(#REF!,"alO1szmB02E=")</f>
        <v>#REF!</v>
      </c>
      <c r="CU17" t="e">
        <f>AND(#REF!,"alO1szmB02I=")</f>
        <v>#REF!</v>
      </c>
      <c r="CV17" t="e">
        <f>AND(#REF!,"alO1szmB02M=")</f>
        <v>#REF!</v>
      </c>
      <c r="CW17" t="e">
        <f>IF(#REF!,"alO1szmB02Q=",0)</f>
        <v>#REF!</v>
      </c>
      <c r="CX17" t="e">
        <f>AND(#REF!,"alO1szmB02U=")</f>
        <v>#REF!</v>
      </c>
      <c r="CY17" t="e">
        <f>AND(#REF!,"alO1szmB02Y=")</f>
        <v>#REF!</v>
      </c>
      <c r="CZ17" t="e">
        <f>AND(#REF!,"alO1szmB02c=")</f>
        <v>#REF!</v>
      </c>
      <c r="DA17" t="e">
        <f>AND(#REF!,"alO1szmB02g=")</f>
        <v>#REF!</v>
      </c>
      <c r="DB17" t="e">
        <f>AND(#REF!,"alO1szmB02k=")</f>
        <v>#REF!</v>
      </c>
      <c r="DC17" t="e">
        <f>AND(#REF!,"alO1szmB02o=")</f>
        <v>#REF!</v>
      </c>
      <c r="DD17" t="e">
        <f>AND(#REF!,"alO1szmB02s=")</f>
        <v>#REF!</v>
      </c>
      <c r="DE17" t="e">
        <f>AND(#REF!,"alO1szmB02w=")</f>
        <v>#REF!</v>
      </c>
      <c r="DF17" t="e">
        <f>IF(#REF!,"alO1szmB020=",0)</f>
        <v>#REF!</v>
      </c>
      <c r="DG17" t="e">
        <f>AND(#REF!,"alO1szmB024=")</f>
        <v>#REF!</v>
      </c>
      <c r="DH17" t="e">
        <f>AND(#REF!,"alO1szmB028=")</f>
        <v>#REF!</v>
      </c>
      <c r="DI17" t="e">
        <f>AND(#REF!,"alO1szmB03A=")</f>
        <v>#REF!</v>
      </c>
      <c r="DJ17" t="e">
        <f>AND(#REF!,"alO1szmB03E=")</f>
        <v>#REF!</v>
      </c>
      <c r="DK17" t="e">
        <f>AND(#REF!,"alO1szmB03I=")</f>
        <v>#REF!</v>
      </c>
      <c r="DL17" t="e">
        <f>AND(#REF!,"alO1szmB03M=")</f>
        <v>#REF!</v>
      </c>
      <c r="DM17" t="e">
        <f>AND(#REF!,"alO1szmB03Q=")</f>
        <v>#REF!</v>
      </c>
      <c r="DN17" t="e">
        <f>AND(#REF!,"alO1szmB03U=")</f>
        <v>#REF!</v>
      </c>
      <c r="DO17" t="e">
        <f>IF(#REF!,"alO1szmB03Y=",0)</f>
        <v>#REF!</v>
      </c>
      <c r="DP17" t="e">
        <f>AND(#REF!,"alO1szmB03c=")</f>
        <v>#REF!</v>
      </c>
      <c r="DQ17" t="e">
        <f>AND(#REF!,"alO1szmB03g=")</f>
        <v>#REF!</v>
      </c>
      <c r="DR17" t="e">
        <f>AND(#REF!,"alO1szmB03k=")</f>
        <v>#REF!</v>
      </c>
      <c r="DS17" t="e">
        <f>AND(#REF!,"alO1szmB03o=")</f>
        <v>#REF!</v>
      </c>
      <c r="DT17" t="e">
        <f>AND(#REF!,"alO1szmB03s=")</f>
        <v>#REF!</v>
      </c>
      <c r="DU17" t="e">
        <f>AND(#REF!,"alO1szmB03w=")</f>
        <v>#REF!</v>
      </c>
      <c r="DV17" t="e">
        <f>AND(#REF!,"alO1szmB030=")</f>
        <v>#REF!</v>
      </c>
      <c r="DW17" t="e">
        <f>AND(#REF!,"alO1szmB034=")</f>
        <v>#REF!</v>
      </c>
      <c r="DX17" t="e">
        <f>IF(#REF!,"alO1szmB038=",0)</f>
        <v>#REF!</v>
      </c>
      <c r="DY17" t="e">
        <f>AND(#REF!,"alO1szmB04A=")</f>
        <v>#REF!</v>
      </c>
      <c r="DZ17" t="e">
        <f>AND(#REF!,"alO1szmB04E=")</f>
        <v>#REF!</v>
      </c>
      <c r="EA17" t="e">
        <f>AND(#REF!,"alO1szmB04I=")</f>
        <v>#REF!</v>
      </c>
      <c r="EB17" t="e">
        <f>AND(#REF!,"alO1szmB04M=")</f>
        <v>#REF!</v>
      </c>
      <c r="EC17" t="e">
        <f>AND(#REF!,"alO1szmB04Q=")</f>
        <v>#REF!</v>
      </c>
      <c r="ED17" t="e">
        <f>AND(#REF!,"alO1szmB04U=")</f>
        <v>#REF!</v>
      </c>
      <c r="EE17" t="e">
        <f>AND(#REF!,"alO1szmB04Y=")</f>
        <v>#REF!</v>
      </c>
      <c r="EF17" t="e">
        <f>AND(#REF!,"alO1szmB04c=")</f>
        <v>#REF!</v>
      </c>
      <c r="EG17" t="e">
        <f>IF(#REF!,"alO1szmB04g=",0)</f>
        <v>#REF!</v>
      </c>
      <c r="EH17" t="e">
        <f>AND(#REF!,"alO1szmB04k=")</f>
        <v>#REF!</v>
      </c>
      <c r="EI17" t="e">
        <f>AND(#REF!,"alO1szmB04o=")</f>
        <v>#REF!</v>
      </c>
      <c r="EJ17" t="e">
        <f>AND(#REF!,"alO1szmB04s=")</f>
        <v>#REF!</v>
      </c>
      <c r="EK17" t="e">
        <f>AND(#REF!,"alO1szmB04w=")</f>
        <v>#REF!</v>
      </c>
      <c r="EL17" t="e">
        <f>AND(#REF!,"alO1szmB040=")</f>
        <v>#REF!</v>
      </c>
      <c r="EM17" t="e">
        <f>AND(#REF!,"alO1szmB044=")</f>
        <v>#REF!</v>
      </c>
      <c r="EN17" t="e">
        <f>AND(#REF!,"alO1szmB048=")</f>
        <v>#REF!</v>
      </c>
      <c r="EO17" t="e">
        <f>AND(#REF!,"alO1szmB05A=")</f>
        <v>#REF!</v>
      </c>
      <c r="EP17" t="e">
        <f>IF(#REF!,"alO1szmB05E=",0)</f>
        <v>#REF!</v>
      </c>
      <c r="EQ17" t="e">
        <f>AND(#REF!,"alO1szmB05I=")</f>
        <v>#REF!</v>
      </c>
      <c r="ER17" t="e">
        <f>AND(#REF!,"alO1szmB05M=")</f>
        <v>#REF!</v>
      </c>
      <c r="ES17" t="e">
        <f>AND(#REF!,"alO1szmB05Q=")</f>
        <v>#REF!</v>
      </c>
      <c r="ET17" t="e">
        <f>AND(#REF!,"alO1szmB05U=")</f>
        <v>#REF!</v>
      </c>
      <c r="EU17" t="e">
        <f>AND(#REF!,"alO1szmB05Y=")</f>
        <v>#REF!</v>
      </c>
      <c r="EV17" t="e">
        <f>AND(#REF!,"alO1szmB05c=")</f>
        <v>#REF!</v>
      </c>
      <c r="EW17" t="e">
        <f>AND(#REF!,"alO1szmB05g=")</f>
        <v>#REF!</v>
      </c>
      <c r="EX17" t="e">
        <f>AND(#REF!,"alO1szmB05k=")</f>
        <v>#REF!</v>
      </c>
      <c r="EY17" t="e">
        <f>IF(#REF!,"alO1szmB05o=",0)</f>
        <v>#REF!</v>
      </c>
      <c r="EZ17" t="e">
        <f>AND(#REF!,"alO1szmB05s=")</f>
        <v>#REF!</v>
      </c>
      <c r="FA17" t="e">
        <f>AND(#REF!,"alO1szmB05w=")</f>
        <v>#REF!</v>
      </c>
      <c r="FB17" t="e">
        <f>AND(#REF!,"alO1szmB050=")</f>
        <v>#REF!</v>
      </c>
      <c r="FC17" t="e">
        <f>AND(#REF!,"alO1szmB054=")</f>
        <v>#REF!</v>
      </c>
      <c r="FD17" t="e">
        <f>AND(#REF!,"alO1szmB058=")</f>
        <v>#REF!</v>
      </c>
      <c r="FE17" t="e">
        <f>AND(#REF!,"alO1szmB06A=")</f>
        <v>#REF!</v>
      </c>
      <c r="FF17" t="e">
        <f>AND(#REF!,"alO1szmB06E=")</f>
        <v>#REF!</v>
      </c>
      <c r="FG17" t="e">
        <f>AND(#REF!,"alO1szmB06I=")</f>
        <v>#REF!</v>
      </c>
      <c r="FH17" t="e">
        <f>IF(#REF!,"alO1szmB06M=",0)</f>
        <v>#REF!</v>
      </c>
      <c r="FI17" t="e">
        <f>AND(#REF!,"alO1szmB06Q=")</f>
        <v>#REF!</v>
      </c>
      <c r="FJ17" t="e">
        <f>AND(#REF!,"alO1szmB06U=")</f>
        <v>#REF!</v>
      </c>
      <c r="FK17" t="e">
        <f>AND(#REF!,"alO1szmB06Y=")</f>
        <v>#REF!</v>
      </c>
      <c r="FL17" t="e">
        <f>AND(#REF!,"alO1szmB06c=")</f>
        <v>#REF!</v>
      </c>
      <c r="FM17" t="e">
        <f>AND(#REF!,"alO1szmB06g=")</f>
        <v>#REF!</v>
      </c>
      <c r="FN17" t="e">
        <f>AND(#REF!,"alO1szmB06k=")</f>
        <v>#REF!</v>
      </c>
      <c r="FO17" t="e">
        <f>AND(#REF!,"alO1szmB06o=")</f>
        <v>#REF!</v>
      </c>
      <c r="FP17" t="e">
        <f>AND(#REF!,"alO1szmB06s=")</f>
        <v>#REF!</v>
      </c>
      <c r="FQ17" t="e">
        <f>IF(#REF!,"alO1szmB06w=",0)</f>
        <v>#REF!</v>
      </c>
      <c r="FR17" t="e">
        <f>AND(#REF!,"alO1szmB060=")</f>
        <v>#REF!</v>
      </c>
      <c r="FS17" t="e">
        <f>AND(#REF!,"alO1szmB064=")</f>
        <v>#REF!</v>
      </c>
      <c r="FT17" t="e">
        <f>AND(#REF!,"alO1szmB068=")</f>
        <v>#REF!</v>
      </c>
      <c r="FU17" t="e">
        <f>AND(#REF!,"alO1szmB07A=")</f>
        <v>#REF!</v>
      </c>
      <c r="FV17" t="e">
        <f>AND(#REF!,"alO1szmB07E=")</f>
        <v>#REF!</v>
      </c>
      <c r="FW17" t="e">
        <f>AND(#REF!,"alO1szmB07I=")</f>
        <v>#REF!</v>
      </c>
      <c r="FX17" t="e">
        <f>AND(#REF!,"alO1szmB07M=")</f>
        <v>#REF!</v>
      </c>
      <c r="FY17" t="e">
        <f>AND(#REF!,"alO1szmB07Q=")</f>
        <v>#REF!</v>
      </c>
      <c r="FZ17" t="e">
        <f>IF(#REF!,"alO1szmB07U=",0)</f>
        <v>#REF!</v>
      </c>
      <c r="GA17" t="e">
        <f>AND(#REF!,"alO1szmB07Y=")</f>
        <v>#REF!</v>
      </c>
      <c r="GB17" t="e">
        <f>AND(#REF!,"alO1szmB07c=")</f>
        <v>#REF!</v>
      </c>
      <c r="GC17" t="e">
        <f>AND(#REF!,"alO1szmB07g=")</f>
        <v>#REF!</v>
      </c>
      <c r="GD17" t="e">
        <f>AND(#REF!,"alO1szmB07k=")</f>
        <v>#REF!</v>
      </c>
      <c r="GE17" t="e">
        <f>AND(#REF!,"alO1szmB07o=")</f>
        <v>#REF!</v>
      </c>
      <c r="GF17" t="e">
        <f>AND(#REF!,"alO1szmB07s=")</f>
        <v>#REF!</v>
      </c>
      <c r="GG17" t="e">
        <f>AND(#REF!,"alO1szmB07w=")</f>
        <v>#REF!</v>
      </c>
      <c r="GH17" t="e">
        <f>AND(#REF!,"alO1szmB070=")</f>
        <v>#REF!</v>
      </c>
      <c r="GI17" t="e">
        <f>IF(#REF!,"alO1szmB074=",0)</f>
        <v>#REF!</v>
      </c>
      <c r="GJ17" t="e">
        <f>AND(#REF!,"alO1szmB078=")</f>
        <v>#REF!</v>
      </c>
      <c r="GK17" t="e">
        <f>AND(#REF!,"alO1szmB08A=")</f>
        <v>#REF!</v>
      </c>
      <c r="GL17" t="e">
        <f>AND(#REF!,"alO1szmB08E=")</f>
        <v>#REF!</v>
      </c>
      <c r="GM17" t="e">
        <f>AND(#REF!,"alO1szmB08I=")</f>
        <v>#REF!</v>
      </c>
      <c r="GN17" t="e">
        <f>AND(#REF!,"alO1szmB08M=")</f>
        <v>#REF!</v>
      </c>
      <c r="GO17" t="e">
        <f>AND(#REF!,"alO1szmB08Q=")</f>
        <v>#REF!</v>
      </c>
      <c r="GP17" t="e">
        <f>AND(#REF!,"alO1szmB08U=")</f>
        <v>#REF!</v>
      </c>
      <c r="GQ17" t="e">
        <f>AND(#REF!,"alO1szmB08Y=")</f>
        <v>#REF!</v>
      </c>
      <c r="GR17" t="e">
        <f>IF(#REF!,"alO1szmB08c=",0)</f>
        <v>#REF!</v>
      </c>
      <c r="GS17" t="e">
        <f>AND(#REF!,"alO1szmB08g=")</f>
        <v>#REF!</v>
      </c>
      <c r="GT17" t="e">
        <f>AND(#REF!,"alO1szmB08k=")</f>
        <v>#REF!</v>
      </c>
      <c r="GU17" t="e">
        <f>AND(#REF!,"alO1szmB08o=")</f>
        <v>#REF!</v>
      </c>
      <c r="GV17" t="e">
        <f>AND(#REF!,"alO1szmB08s=")</f>
        <v>#REF!</v>
      </c>
      <c r="GW17" t="e">
        <f>AND(#REF!,"alO1szmB08w=")</f>
        <v>#REF!</v>
      </c>
      <c r="GX17" t="e">
        <f>AND(#REF!,"alO1szmB080=")</f>
        <v>#REF!</v>
      </c>
      <c r="GY17" t="e">
        <f>AND(#REF!,"alO1szmB084=")</f>
        <v>#REF!</v>
      </c>
      <c r="GZ17" t="e">
        <f>AND(#REF!,"alO1szmB088=")</f>
        <v>#REF!</v>
      </c>
      <c r="HA17" t="e">
        <f>IF(#REF!,"alO1szmB09A=",0)</f>
        <v>#REF!</v>
      </c>
      <c r="HB17" t="e">
        <f>AND(#REF!,"alO1szmB09E=")</f>
        <v>#REF!</v>
      </c>
      <c r="HC17" t="e">
        <f>AND(#REF!,"alO1szmB09I=")</f>
        <v>#REF!</v>
      </c>
      <c r="HD17" t="e">
        <f>AND(#REF!,"alO1szmB09M=")</f>
        <v>#REF!</v>
      </c>
      <c r="HE17" t="e">
        <f>AND(#REF!,"alO1szmB09Q=")</f>
        <v>#REF!</v>
      </c>
      <c r="HF17" t="e">
        <f>AND(#REF!,"alO1szmB09U=")</f>
        <v>#REF!</v>
      </c>
      <c r="HG17" t="e">
        <f>AND(#REF!,"alO1szmB09Y=")</f>
        <v>#REF!</v>
      </c>
      <c r="HH17" t="e">
        <f>AND(#REF!,"alO1szmB09c=")</f>
        <v>#REF!</v>
      </c>
      <c r="HI17" t="e">
        <f>AND(#REF!,"alO1szmB09g=")</f>
        <v>#REF!</v>
      </c>
      <c r="HJ17" t="e">
        <f>IF(#REF!,"alO1szmB09k=",0)</f>
        <v>#REF!</v>
      </c>
      <c r="HK17" t="e">
        <f>AND(#REF!,"alO1szmB09o=")</f>
        <v>#REF!</v>
      </c>
      <c r="HL17" t="e">
        <f>AND(#REF!,"alO1szmB09s=")</f>
        <v>#REF!</v>
      </c>
      <c r="HM17" t="e">
        <f>AND(#REF!,"alO1szmB09w=")</f>
        <v>#REF!</v>
      </c>
      <c r="HN17" t="e">
        <f>AND(#REF!,"alO1szmB090=")</f>
        <v>#REF!</v>
      </c>
      <c r="HO17" t="e">
        <f>AND(#REF!,"alO1szmB094=")</f>
        <v>#REF!</v>
      </c>
      <c r="HP17" t="e">
        <f>AND(#REF!,"alO1szmB098=")</f>
        <v>#REF!</v>
      </c>
      <c r="HQ17" t="e">
        <f>AND(#REF!,"alO1szmB0+A=")</f>
        <v>#REF!</v>
      </c>
      <c r="HR17" t="e">
        <f>AND(#REF!,"alO1szmB0+E=")</f>
        <v>#REF!</v>
      </c>
      <c r="HS17" t="e">
        <f>IF(#REF!,"alO1szmB0+I=",0)</f>
        <v>#REF!</v>
      </c>
      <c r="HT17" t="e">
        <f>AND(#REF!,"alO1szmB0+M=")</f>
        <v>#REF!</v>
      </c>
      <c r="HU17" t="e">
        <f>AND(#REF!,"alO1szmB0+Q=")</f>
        <v>#REF!</v>
      </c>
      <c r="HV17" t="e">
        <f>AND(#REF!,"alO1szmB0+U=")</f>
        <v>#REF!</v>
      </c>
      <c r="HW17" t="e">
        <f>AND(#REF!,"alO1szmB0+Y=")</f>
        <v>#REF!</v>
      </c>
      <c r="HX17" t="e">
        <f>AND(#REF!,"alO1szmB0+c=")</f>
        <v>#REF!</v>
      </c>
      <c r="HY17" t="e">
        <f>AND(#REF!,"alO1szmB0+g=")</f>
        <v>#REF!</v>
      </c>
      <c r="HZ17" t="e">
        <f>AND(#REF!,"alO1szmB0+k=")</f>
        <v>#REF!</v>
      </c>
      <c r="IA17" t="e">
        <f>AND(#REF!,"alO1szmB0+o=")</f>
        <v>#REF!</v>
      </c>
      <c r="IB17" t="e">
        <f>IF(#REF!,"alO1szmB0+s=",0)</f>
        <v>#REF!</v>
      </c>
      <c r="IC17" t="e">
        <f>AND(#REF!,"alO1szmB0+w=")</f>
        <v>#REF!</v>
      </c>
      <c r="ID17" t="e">
        <f>AND(#REF!,"alO1szmB0+0=")</f>
        <v>#REF!</v>
      </c>
      <c r="IE17" t="e">
        <f>AND(#REF!,"alO1szmB0+4=")</f>
        <v>#REF!</v>
      </c>
      <c r="IF17" t="e">
        <f>AND(#REF!,"alO1szmB0+8=")</f>
        <v>#REF!</v>
      </c>
      <c r="IG17" t="e">
        <f>AND(#REF!,"alO1szmB0/A=")</f>
        <v>#REF!</v>
      </c>
      <c r="IH17" t="e">
        <f>AND(#REF!,"alO1szmB0/E=")</f>
        <v>#REF!</v>
      </c>
      <c r="II17" t="e">
        <f>AND(#REF!,"alO1szmB0/I=")</f>
        <v>#REF!</v>
      </c>
      <c r="IJ17" t="e">
        <f>AND(#REF!,"alO1szmB0/M=")</f>
        <v>#REF!</v>
      </c>
      <c r="IK17" t="e">
        <f>IF(#REF!,"alO1szmB0/Q=",0)</f>
        <v>#REF!</v>
      </c>
      <c r="IL17" t="e">
        <f>AND(#REF!,"alO1szmB0/U=")</f>
        <v>#REF!</v>
      </c>
      <c r="IM17" t="e">
        <f>AND(#REF!,"alO1szmB0/Y=")</f>
        <v>#REF!</v>
      </c>
      <c r="IN17" t="e">
        <f>AND(#REF!,"alO1szmB0/c=")</f>
        <v>#REF!</v>
      </c>
      <c r="IO17" t="e">
        <f>AND(#REF!,"alO1szmB0/g=")</f>
        <v>#REF!</v>
      </c>
      <c r="IP17" t="e">
        <f>AND(#REF!,"alO1szmB0/k=")</f>
        <v>#REF!</v>
      </c>
      <c r="IQ17" t="e">
        <f>AND(#REF!,"alO1szmB0/o=")</f>
        <v>#REF!</v>
      </c>
      <c r="IR17" t="e">
        <f>AND(#REF!,"alO1szmB0/s=")</f>
        <v>#REF!</v>
      </c>
      <c r="IS17" t="e">
        <f>AND(#REF!,"alO1szmB0/w=")</f>
        <v>#REF!</v>
      </c>
      <c r="IT17" t="e">
        <f>IF(#REF!,"alO1szmB0/0=",0)</f>
        <v>#REF!</v>
      </c>
      <c r="IU17" t="e">
        <f>AND(#REF!,"alO1szmB0/4=")</f>
        <v>#REF!</v>
      </c>
      <c r="IV17" t="e">
        <f>AND(#REF!,"alO1szmB0/8=")</f>
        <v>#REF!</v>
      </c>
    </row>
    <row r="18" spans="1:256" x14ac:dyDescent="0.2">
      <c r="A18" t="e">
        <f>AND(#REF!,"fzcMKnSpZQA=")</f>
        <v>#REF!</v>
      </c>
      <c r="B18" t="e">
        <f>AND(#REF!,"fzcMKnSpZQE=")</f>
        <v>#REF!</v>
      </c>
      <c r="C18" t="e">
        <f>AND(#REF!,"fzcMKnSpZQI=")</f>
        <v>#REF!</v>
      </c>
      <c r="D18" t="e">
        <f>AND(#REF!,"fzcMKnSpZQM=")</f>
        <v>#REF!</v>
      </c>
      <c r="E18" t="e">
        <f>AND(#REF!,"fzcMKnSpZQQ=")</f>
        <v>#REF!</v>
      </c>
      <c r="F18" t="e">
        <f>AND(#REF!,"fzcMKnSpZQU=")</f>
        <v>#REF!</v>
      </c>
      <c r="G18" t="e">
        <f>IF(#REF!,"fzcMKnSpZQY=",0)</f>
        <v>#REF!</v>
      </c>
      <c r="H18" t="e">
        <f>AND(#REF!,"fzcMKnSpZQc=")</f>
        <v>#REF!</v>
      </c>
      <c r="I18" t="e">
        <f>AND(#REF!,"fzcMKnSpZQg=")</f>
        <v>#REF!</v>
      </c>
      <c r="J18" t="e">
        <f>AND(#REF!,"fzcMKnSpZQk=")</f>
        <v>#REF!</v>
      </c>
      <c r="K18" t="e">
        <f>AND(#REF!,"fzcMKnSpZQo=")</f>
        <v>#REF!</v>
      </c>
      <c r="L18" t="e">
        <f>AND(#REF!,"fzcMKnSpZQs=")</f>
        <v>#REF!</v>
      </c>
      <c r="M18" t="e">
        <f>AND(#REF!,"fzcMKnSpZQw=")</f>
        <v>#REF!</v>
      </c>
      <c r="N18" t="e">
        <f>AND(#REF!,"fzcMKnSpZQ0=")</f>
        <v>#REF!</v>
      </c>
      <c r="O18" t="e">
        <f>AND(#REF!,"fzcMKnSpZQ4=")</f>
        <v>#REF!</v>
      </c>
      <c r="P18" t="e">
        <f>IF(#REF!,"fzcMKnSpZQ8=",0)</f>
        <v>#REF!</v>
      </c>
      <c r="Q18" t="e">
        <f>AND(#REF!,"fzcMKnSpZRA=")</f>
        <v>#REF!</v>
      </c>
      <c r="R18" t="e">
        <f>AND(#REF!,"fzcMKnSpZRE=")</f>
        <v>#REF!</v>
      </c>
      <c r="S18" t="e">
        <f>AND(#REF!,"fzcMKnSpZRI=")</f>
        <v>#REF!</v>
      </c>
      <c r="T18" t="e">
        <f>AND(#REF!,"fzcMKnSpZRM=")</f>
        <v>#REF!</v>
      </c>
      <c r="U18" t="e">
        <f>AND(#REF!,"fzcMKnSpZRQ=")</f>
        <v>#REF!</v>
      </c>
      <c r="V18" t="e">
        <f>AND(#REF!,"fzcMKnSpZRU=")</f>
        <v>#REF!</v>
      </c>
      <c r="W18" t="e">
        <f>AND(#REF!,"fzcMKnSpZRY=")</f>
        <v>#REF!</v>
      </c>
      <c r="X18" t="e">
        <f>AND(#REF!,"fzcMKnSpZRc=")</f>
        <v>#REF!</v>
      </c>
      <c r="Y18" t="e">
        <f>IF(#REF!,"fzcMKnSpZRg=",0)</f>
        <v>#REF!</v>
      </c>
      <c r="Z18" t="e">
        <f>AND(#REF!,"fzcMKnSpZRk=")</f>
        <v>#REF!</v>
      </c>
      <c r="AA18" t="e">
        <f>AND(#REF!,"fzcMKnSpZRo=")</f>
        <v>#REF!</v>
      </c>
      <c r="AB18" t="e">
        <f>AND(#REF!,"fzcMKnSpZRs=")</f>
        <v>#REF!</v>
      </c>
      <c r="AC18" t="e">
        <f>AND(#REF!,"fzcMKnSpZRw=")</f>
        <v>#REF!</v>
      </c>
      <c r="AD18" t="e">
        <f>AND(#REF!,"fzcMKnSpZR0=")</f>
        <v>#REF!</v>
      </c>
      <c r="AE18" t="e">
        <f>AND(#REF!,"fzcMKnSpZR4=")</f>
        <v>#REF!</v>
      </c>
      <c r="AF18" t="e">
        <f>AND(#REF!,"fzcMKnSpZR8=")</f>
        <v>#REF!</v>
      </c>
      <c r="AG18" t="e">
        <f>AND(#REF!,"fzcMKnSpZSA=")</f>
        <v>#REF!</v>
      </c>
      <c r="AH18" t="e">
        <f>IF(#REF!,"fzcMKnSpZSE=",0)</f>
        <v>#REF!</v>
      </c>
      <c r="AI18" t="e">
        <f>AND(#REF!,"fzcMKnSpZSI=")</f>
        <v>#REF!</v>
      </c>
      <c r="AJ18" t="e">
        <f>AND(#REF!,"fzcMKnSpZSM=")</f>
        <v>#REF!</v>
      </c>
      <c r="AK18" t="e">
        <f>AND(#REF!,"fzcMKnSpZSQ=")</f>
        <v>#REF!</v>
      </c>
      <c r="AL18" t="e">
        <f>AND(#REF!,"fzcMKnSpZSU=")</f>
        <v>#REF!</v>
      </c>
      <c r="AM18" t="e">
        <f>AND(#REF!,"fzcMKnSpZSY=")</f>
        <v>#REF!</v>
      </c>
      <c r="AN18" t="e">
        <f>AND(#REF!,"fzcMKnSpZSc=")</f>
        <v>#REF!</v>
      </c>
      <c r="AO18" t="e">
        <f>AND(#REF!,"fzcMKnSpZSg=")</f>
        <v>#REF!</v>
      </c>
      <c r="AP18" t="e">
        <f>AND(#REF!,"fzcMKnSpZSk=")</f>
        <v>#REF!</v>
      </c>
      <c r="AQ18" t="e">
        <f>IF(#REF!,"fzcMKnSpZSo=",0)</f>
        <v>#REF!</v>
      </c>
      <c r="AR18" t="e">
        <f>AND(#REF!,"fzcMKnSpZSs=")</f>
        <v>#REF!</v>
      </c>
      <c r="AS18" t="e">
        <f>AND(#REF!,"fzcMKnSpZSw=")</f>
        <v>#REF!</v>
      </c>
      <c r="AT18" t="e">
        <f>AND(#REF!,"fzcMKnSpZS0=")</f>
        <v>#REF!</v>
      </c>
      <c r="AU18" t="e">
        <f>AND(#REF!,"fzcMKnSpZS4=")</f>
        <v>#REF!</v>
      </c>
      <c r="AV18" t="e">
        <f>AND(#REF!,"fzcMKnSpZS8=")</f>
        <v>#REF!</v>
      </c>
      <c r="AW18" t="e">
        <f>AND(#REF!,"fzcMKnSpZTA=")</f>
        <v>#REF!</v>
      </c>
      <c r="AX18" t="e">
        <f>AND(#REF!,"fzcMKnSpZTE=")</f>
        <v>#REF!</v>
      </c>
      <c r="AY18" t="e">
        <f>AND(#REF!,"fzcMKnSpZTI=")</f>
        <v>#REF!</v>
      </c>
      <c r="AZ18" t="e">
        <f>IF(#REF!,"fzcMKnSpZTM=",0)</f>
        <v>#REF!</v>
      </c>
      <c r="BA18" t="e">
        <f>AND(#REF!,"fzcMKnSpZTQ=")</f>
        <v>#REF!</v>
      </c>
      <c r="BB18" t="e">
        <f>AND(#REF!,"fzcMKnSpZTU=")</f>
        <v>#REF!</v>
      </c>
      <c r="BC18" t="e">
        <f>AND(#REF!,"fzcMKnSpZTY=")</f>
        <v>#REF!</v>
      </c>
      <c r="BD18" t="e">
        <f>AND(#REF!,"fzcMKnSpZTc=")</f>
        <v>#REF!</v>
      </c>
      <c r="BE18" t="e">
        <f>AND(#REF!,"fzcMKnSpZTg=")</f>
        <v>#REF!</v>
      </c>
      <c r="BF18" t="e">
        <f>AND(#REF!,"fzcMKnSpZTk=")</f>
        <v>#REF!</v>
      </c>
      <c r="BG18" t="e">
        <f>AND(#REF!,"fzcMKnSpZTo=")</f>
        <v>#REF!</v>
      </c>
      <c r="BH18" t="e">
        <f>AND(#REF!,"fzcMKnSpZTs=")</f>
        <v>#REF!</v>
      </c>
      <c r="BI18" t="e">
        <f>IF(#REF!,"fzcMKnSpZTw=",0)</f>
        <v>#REF!</v>
      </c>
      <c r="BJ18" t="e">
        <f>AND(#REF!,"fzcMKnSpZT0=")</f>
        <v>#REF!</v>
      </c>
      <c r="BK18" t="e">
        <f>AND(#REF!,"fzcMKnSpZT4=")</f>
        <v>#REF!</v>
      </c>
      <c r="BL18" t="e">
        <f>AND(#REF!,"fzcMKnSpZT8=")</f>
        <v>#REF!</v>
      </c>
      <c r="BM18" t="e">
        <f>AND(#REF!,"fzcMKnSpZUA=")</f>
        <v>#REF!</v>
      </c>
      <c r="BN18" t="e">
        <f>AND(#REF!,"fzcMKnSpZUE=")</f>
        <v>#REF!</v>
      </c>
      <c r="BO18" t="e">
        <f>AND(#REF!,"fzcMKnSpZUI=")</f>
        <v>#REF!</v>
      </c>
      <c r="BP18" t="e">
        <f>AND(#REF!,"fzcMKnSpZUM=")</f>
        <v>#REF!</v>
      </c>
      <c r="BQ18" t="e">
        <f>AND(#REF!,"fzcMKnSpZUQ=")</f>
        <v>#REF!</v>
      </c>
      <c r="BR18" t="e">
        <f>IF(#REF!,"fzcMKnSpZUU=",0)</f>
        <v>#REF!</v>
      </c>
      <c r="BS18" t="e">
        <f>AND(#REF!,"fzcMKnSpZUY=")</f>
        <v>#REF!</v>
      </c>
      <c r="BT18" t="e">
        <f>AND(#REF!,"fzcMKnSpZUc=")</f>
        <v>#REF!</v>
      </c>
      <c r="BU18" t="e">
        <f>AND(#REF!,"fzcMKnSpZUg=")</f>
        <v>#REF!</v>
      </c>
      <c r="BV18" t="e">
        <f>AND(#REF!,"fzcMKnSpZUk=")</f>
        <v>#REF!</v>
      </c>
      <c r="BW18" t="e">
        <f>AND(#REF!,"fzcMKnSpZUo=")</f>
        <v>#REF!</v>
      </c>
      <c r="BX18" t="e">
        <f>AND(#REF!,"fzcMKnSpZUs=")</f>
        <v>#REF!</v>
      </c>
      <c r="BY18" t="e">
        <f>AND(#REF!,"fzcMKnSpZUw=")</f>
        <v>#REF!</v>
      </c>
      <c r="BZ18" t="e">
        <f>AND(#REF!,"fzcMKnSpZU0=")</f>
        <v>#REF!</v>
      </c>
      <c r="CA18" t="e">
        <f>IF(#REF!,"fzcMKnSpZU4=",0)</f>
        <v>#REF!</v>
      </c>
      <c r="CB18" t="e">
        <f>AND(#REF!,"fzcMKnSpZU8=")</f>
        <v>#REF!</v>
      </c>
      <c r="CC18" t="e">
        <f>AND(#REF!,"fzcMKnSpZVA=")</f>
        <v>#REF!</v>
      </c>
      <c r="CD18" t="e">
        <f>AND(#REF!,"fzcMKnSpZVE=")</f>
        <v>#REF!</v>
      </c>
      <c r="CE18" t="e">
        <f>AND(#REF!,"fzcMKnSpZVI=")</f>
        <v>#REF!</v>
      </c>
      <c r="CF18" t="e">
        <f>AND(#REF!,"fzcMKnSpZVM=")</f>
        <v>#REF!</v>
      </c>
      <c r="CG18" t="e">
        <f>AND(#REF!,"fzcMKnSpZVQ=")</f>
        <v>#REF!</v>
      </c>
      <c r="CH18" t="e">
        <f>AND(#REF!,"fzcMKnSpZVU=")</f>
        <v>#REF!</v>
      </c>
      <c r="CI18" t="e">
        <f>AND(#REF!,"fzcMKnSpZVY=")</f>
        <v>#REF!</v>
      </c>
      <c r="CJ18" t="e">
        <f>IF(#REF!,"fzcMKnSpZVc=",0)</f>
        <v>#REF!</v>
      </c>
      <c r="CK18" t="e">
        <f>AND(#REF!,"fzcMKnSpZVg=")</f>
        <v>#REF!</v>
      </c>
      <c r="CL18" t="e">
        <f>AND(#REF!,"fzcMKnSpZVk=")</f>
        <v>#REF!</v>
      </c>
      <c r="CM18" t="e">
        <f>AND(#REF!,"fzcMKnSpZVo=")</f>
        <v>#REF!</v>
      </c>
      <c r="CN18" t="e">
        <f>AND(#REF!,"fzcMKnSpZVs=")</f>
        <v>#REF!</v>
      </c>
      <c r="CO18" t="e">
        <f>AND(#REF!,"fzcMKnSpZVw=")</f>
        <v>#REF!</v>
      </c>
      <c r="CP18" t="e">
        <f>AND(#REF!,"fzcMKnSpZV0=")</f>
        <v>#REF!</v>
      </c>
      <c r="CQ18" t="e">
        <f>AND(#REF!,"fzcMKnSpZV4=")</f>
        <v>#REF!</v>
      </c>
      <c r="CR18" t="e">
        <f>AND(#REF!,"fzcMKnSpZV8=")</f>
        <v>#REF!</v>
      </c>
      <c r="CS18" t="e">
        <f>IF(#REF!,"fzcMKnSpZWA=",0)</f>
        <v>#REF!</v>
      </c>
      <c r="CT18" t="e">
        <f>AND(#REF!,"fzcMKnSpZWE=")</f>
        <v>#REF!</v>
      </c>
      <c r="CU18" t="e">
        <f>AND(#REF!,"fzcMKnSpZWI=")</f>
        <v>#REF!</v>
      </c>
      <c r="CV18" t="e">
        <f>AND(#REF!,"fzcMKnSpZWM=")</f>
        <v>#REF!</v>
      </c>
      <c r="CW18" t="e">
        <f>AND(#REF!,"fzcMKnSpZWQ=")</f>
        <v>#REF!</v>
      </c>
      <c r="CX18" t="e">
        <f>AND(#REF!,"fzcMKnSpZWU=")</f>
        <v>#REF!</v>
      </c>
      <c r="CY18" t="e">
        <f>AND(#REF!,"fzcMKnSpZWY=")</f>
        <v>#REF!</v>
      </c>
      <c r="CZ18" t="e">
        <f>AND(#REF!,"fzcMKnSpZWc=")</f>
        <v>#REF!</v>
      </c>
      <c r="DA18" t="e">
        <f>AND(#REF!,"fzcMKnSpZWg=")</f>
        <v>#REF!</v>
      </c>
      <c r="DB18" t="e">
        <f>IF(#REF!,"fzcMKnSpZWk=",0)</f>
        <v>#REF!</v>
      </c>
      <c r="DC18" t="e">
        <f>AND(#REF!,"fzcMKnSpZWo=")</f>
        <v>#REF!</v>
      </c>
      <c r="DD18" t="e">
        <f>AND(#REF!,"fzcMKnSpZWs=")</f>
        <v>#REF!</v>
      </c>
      <c r="DE18" t="e">
        <f>AND(#REF!,"fzcMKnSpZWw=")</f>
        <v>#REF!</v>
      </c>
      <c r="DF18" t="e">
        <f>AND(#REF!,"fzcMKnSpZW0=")</f>
        <v>#REF!</v>
      </c>
      <c r="DG18" t="e">
        <f>AND(#REF!,"fzcMKnSpZW4=")</f>
        <v>#REF!</v>
      </c>
      <c r="DH18" t="e">
        <f>AND(#REF!,"fzcMKnSpZW8=")</f>
        <v>#REF!</v>
      </c>
      <c r="DI18" t="e">
        <f>AND(#REF!,"fzcMKnSpZXA=")</f>
        <v>#REF!</v>
      </c>
      <c r="DJ18" t="e">
        <f>AND(#REF!,"fzcMKnSpZXE=")</f>
        <v>#REF!</v>
      </c>
      <c r="DK18" t="e">
        <f>IF(#REF!,"fzcMKnSpZXI=",0)</f>
        <v>#REF!</v>
      </c>
      <c r="DL18" t="e">
        <f>AND(#REF!,"fzcMKnSpZXM=")</f>
        <v>#REF!</v>
      </c>
      <c r="DM18" t="e">
        <f>AND(#REF!,"fzcMKnSpZXQ=")</f>
        <v>#REF!</v>
      </c>
      <c r="DN18" t="e">
        <f>AND(#REF!,"fzcMKnSpZXU=")</f>
        <v>#REF!</v>
      </c>
      <c r="DO18" t="e">
        <f>AND(#REF!,"fzcMKnSpZXY=")</f>
        <v>#REF!</v>
      </c>
      <c r="DP18" t="e">
        <f>AND(#REF!,"fzcMKnSpZXc=")</f>
        <v>#REF!</v>
      </c>
      <c r="DQ18" t="e">
        <f>AND(#REF!,"fzcMKnSpZXg=")</f>
        <v>#REF!</v>
      </c>
      <c r="DR18" t="e">
        <f>AND(#REF!,"fzcMKnSpZXk=")</f>
        <v>#REF!</v>
      </c>
      <c r="DS18" t="e">
        <f>AND(#REF!,"fzcMKnSpZXo=")</f>
        <v>#REF!</v>
      </c>
      <c r="DT18" t="e">
        <f>IF(#REF!,"fzcMKnSpZXs=",0)</f>
        <v>#REF!</v>
      </c>
      <c r="DU18" t="e">
        <f>AND(#REF!,"fzcMKnSpZXw=")</f>
        <v>#REF!</v>
      </c>
      <c r="DV18" t="e">
        <f>AND(#REF!,"fzcMKnSpZX0=")</f>
        <v>#REF!</v>
      </c>
      <c r="DW18" t="e">
        <f>AND(#REF!,"fzcMKnSpZX4=")</f>
        <v>#REF!</v>
      </c>
      <c r="DX18" t="e">
        <f>AND(#REF!,"fzcMKnSpZX8=")</f>
        <v>#REF!</v>
      </c>
      <c r="DY18" t="e">
        <f>AND(#REF!,"fzcMKnSpZYA=")</f>
        <v>#REF!</v>
      </c>
      <c r="DZ18" t="e">
        <f>AND(#REF!,"fzcMKnSpZYE=")</f>
        <v>#REF!</v>
      </c>
      <c r="EA18" t="e">
        <f>AND(#REF!,"fzcMKnSpZYI=")</f>
        <v>#REF!</v>
      </c>
      <c r="EB18" t="e">
        <f>AND(#REF!,"fzcMKnSpZYM=")</f>
        <v>#REF!</v>
      </c>
      <c r="EC18" t="e">
        <f>IF(#REF!,"fzcMKnSpZYQ=",0)</f>
        <v>#REF!</v>
      </c>
      <c r="ED18" t="e">
        <f>AND(#REF!,"fzcMKnSpZYU=")</f>
        <v>#REF!</v>
      </c>
      <c r="EE18" t="e">
        <f>AND(#REF!,"fzcMKnSpZYY=")</f>
        <v>#REF!</v>
      </c>
      <c r="EF18" t="e">
        <f>AND(#REF!,"fzcMKnSpZYc=")</f>
        <v>#REF!</v>
      </c>
      <c r="EG18" t="e">
        <f>AND(#REF!,"fzcMKnSpZYg=")</f>
        <v>#REF!</v>
      </c>
      <c r="EH18" t="e">
        <f>AND(#REF!,"fzcMKnSpZYk=")</f>
        <v>#REF!</v>
      </c>
      <c r="EI18" t="e">
        <f>AND(#REF!,"fzcMKnSpZYo=")</f>
        <v>#REF!</v>
      </c>
      <c r="EJ18" t="e">
        <f>AND(#REF!,"fzcMKnSpZYs=")</f>
        <v>#REF!</v>
      </c>
      <c r="EK18" t="e">
        <f>AND(#REF!,"fzcMKnSpZYw=")</f>
        <v>#REF!</v>
      </c>
      <c r="EL18" t="e">
        <f>IF(#REF!,"fzcMKnSpZY0=",0)</f>
        <v>#REF!</v>
      </c>
      <c r="EM18" t="e">
        <f>AND(#REF!,"fzcMKnSpZY4=")</f>
        <v>#REF!</v>
      </c>
      <c r="EN18" t="e">
        <f>AND(#REF!,"fzcMKnSpZY8=")</f>
        <v>#REF!</v>
      </c>
      <c r="EO18" t="e">
        <f>AND(#REF!,"fzcMKnSpZZA=")</f>
        <v>#REF!</v>
      </c>
      <c r="EP18" t="e">
        <f>AND(#REF!,"fzcMKnSpZZE=")</f>
        <v>#REF!</v>
      </c>
      <c r="EQ18" t="e">
        <f>AND(#REF!,"fzcMKnSpZZI=")</f>
        <v>#REF!</v>
      </c>
      <c r="ER18" t="e">
        <f>AND(#REF!,"fzcMKnSpZZM=")</f>
        <v>#REF!</v>
      </c>
      <c r="ES18" t="e">
        <f>AND(#REF!,"fzcMKnSpZZQ=")</f>
        <v>#REF!</v>
      </c>
      <c r="ET18" t="e">
        <f>AND(#REF!,"fzcMKnSpZZU=")</f>
        <v>#REF!</v>
      </c>
      <c r="EU18" t="e">
        <f>IF(#REF!,"fzcMKnSpZZY=",0)</f>
        <v>#REF!</v>
      </c>
      <c r="EV18" t="e">
        <f>AND(#REF!,"fzcMKnSpZZc=")</f>
        <v>#REF!</v>
      </c>
      <c r="EW18" t="e">
        <f>AND(#REF!,"fzcMKnSpZZg=")</f>
        <v>#REF!</v>
      </c>
      <c r="EX18" t="e">
        <f>AND(#REF!,"fzcMKnSpZZk=")</f>
        <v>#REF!</v>
      </c>
      <c r="EY18" t="e">
        <f>AND(#REF!,"fzcMKnSpZZo=")</f>
        <v>#REF!</v>
      </c>
      <c r="EZ18" t="e">
        <f>AND(#REF!,"fzcMKnSpZZs=")</f>
        <v>#REF!</v>
      </c>
      <c r="FA18" t="e">
        <f>AND(#REF!,"fzcMKnSpZZw=")</f>
        <v>#REF!</v>
      </c>
      <c r="FB18" t="e">
        <f>AND(#REF!,"fzcMKnSpZZ0=")</f>
        <v>#REF!</v>
      </c>
      <c r="FC18" t="e">
        <f>AND(#REF!,"fzcMKnSpZZ4=")</f>
        <v>#REF!</v>
      </c>
      <c r="FD18" t="e">
        <f>IF(#REF!,"fzcMKnSpZZ8=",0)</f>
        <v>#REF!</v>
      </c>
      <c r="FE18" t="e">
        <f>AND(#REF!,"fzcMKnSpZaA=")</f>
        <v>#REF!</v>
      </c>
      <c r="FF18" t="e">
        <f>AND(#REF!,"fzcMKnSpZaE=")</f>
        <v>#REF!</v>
      </c>
      <c r="FG18" t="e">
        <f>AND(#REF!,"fzcMKnSpZaI=")</f>
        <v>#REF!</v>
      </c>
      <c r="FH18" t="e">
        <f>AND(#REF!,"fzcMKnSpZaM=")</f>
        <v>#REF!</v>
      </c>
      <c r="FI18" t="e">
        <f>AND(#REF!,"fzcMKnSpZaQ=")</f>
        <v>#REF!</v>
      </c>
      <c r="FJ18" t="e">
        <f>AND(#REF!,"fzcMKnSpZaU=")</f>
        <v>#REF!</v>
      </c>
      <c r="FK18" t="e">
        <f>AND(#REF!,"fzcMKnSpZaY=")</f>
        <v>#REF!</v>
      </c>
      <c r="FL18" t="e">
        <f>AND(#REF!,"fzcMKnSpZac=")</f>
        <v>#REF!</v>
      </c>
      <c r="FM18" t="e">
        <f>IF(#REF!,"fzcMKnSpZag=",0)</f>
        <v>#REF!</v>
      </c>
      <c r="FN18" t="e">
        <f>AND(#REF!,"fzcMKnSpZak=")</f>
        <v>#REF!</v>
      </c>
      <c r="FO18" t="e">
        <f>AND(#REF!,"fzcMKnSpZao=")</f>
        <v>#REF!</v>
      </c>
      <c r="FP18" t="e">
        <f>AND(#REF!,"fzcMKnSpZas=")</f>
        <v>#REF!</v>
      </c>
      <c r="FQ18" t="e">
        <f>AND(#REF!,"fzcMKnSpZaw=")</f>
        <v>#REF!</v>
      </c>
      <c r="FR18" t="e">
        <f>AND(#REF!,"fzcMKnSpZa0=")</f>
        <v>#REF!</v>
      </c>
      <c r="FS18" t="e">
        <f>AND(#REF!,"fzcMKnSpZa4=")</f>
        <v>#REF!</v>
      </c>
      <c r="FT18" t="e">
        <f>AND(#REF!,"fzcMKnSpZa8=")</f>
        <v>#REF!</v>
      </c>
      <c r="FU18" t="e">
        <f>AND(#REF!,"fzcMKnSpZbA=")</f>
        <v>#REF!</v>
      </c>
      <c r="FV18" t="e">
        <f>IF(#REF!,"fzcMKnSpZbE=",0)</f>
        <v>#REF!</v>
      </c>
      <c r="FW18" t="e">
        <f>AND(#REF!,"fzcMKnSpZbI=")</f>
        <v>#REF!</v>
      </c>
      <c r="FX18" t="e">
        <f>AND(#REF!,"fzcMKnSpZbM=")</f>
        <v>#REF!</v>
      </c>
      <c r="FY18" t="e">
        <f>AND(#REF!,"fzcMKnSpZbQ=")</f>
        <v>#REF!</v>
      </c>
      <c r="FZ18" t="e">
        <f>AND(#REF!,"fzcMKnSpZbU=")</f>
        <v>#REF!</v>
      </c>
      <c r="GA18" t="e">
        <f>AND(#REF!,"fzcMKnSpZbY=")</f>
        <v>#REF!</v>
      </c>
      <c r="GB18" t="e">
        <f>AND(#REF!,"fzcMKnSpZbc=")</f>
        <v>#REF!</v>
      </c>
      <c r="GC18" t="e">
        <f>AND(#REF!,"fzcMKnSpZbg=")</f>
        <v>#REF!</v>
      </c>
      <c r="GD18" t="e">
        <f>AND(#REF!,"fzcMKnSpZbk=")</f>
        <v>#REF!</v>
      </c>
      <c r="GE18" t="e">
        <f>IF(#REF!,"fzcMKnSpZbo=",0)</f>
        <v>#REF!</v>
      </c>
      <c r="GF18" t="e">
        <f>AND(#REF!,"fzcMKnSpZbs=")</f>
        <v>#REF!</v>
      </c>
      <c r="GG18" t="e">
        <f>AND(#REF!,"fzcMKnSpZbw=")</f>
        <v>#REF!</v>
      </c>
      <c r="GH18" t="e">
        <f>AND(#REF!,"fzcMKnSpZb0=")</f>
        <v>#REF!</v>
      </c>
      <c r="GI18" t="e">
        <f>AND(#REF!,"fzcMKnSpZb4=")</f>
        <v>#REF!</v>
      </c>
      <c r="GJ18" t="e">
        <f>AND(#REF!,"fzcMKnSpZb8=")</f>
        <v>#REF!</v>
      </c>
      <c r="GK18" t="e">
        <f>AND(#REF!,"fzcMKnSpZcA=")</f>
        <v>#REF!</v>
      </c>
      <c r="GL18" t="e">
        <f>AND(#REF!,"fzcMKnSpZcE=")</f>
        <v>#REF!</v>
      </c>
      <c r="GM18" t="e">
        <f>AND(#REF!,"fzcMKnSpZcI=")</f>
        <v>#REF!</v>
      </c>
      <c r="GN18" t="e">
        <f>IF(#REF!,"fzcMKnSpZcM=",0)</f>
        <v>#REF!</v>
      </c>
      <c r="GO18" t="e">
        <f>AND(#REF!,"fzcMKnSpZcQ=")</f>
        <v>#REF!</v>
      </c>
      <c r="GP18" t="e">
        <f>AND(#REF!,"fzcMKnSpZcU=")</f>
        <v>#REF!</v>
      </c>
      <c r="GQ18" t="e">
        <f>AND(#REF!,"fzcMKnSpZcY=")</f>
        <v>#REF!</v>
      </c>
      <c r="GR18" t="e">
        <f>AND(#REF!,"fzcMKnSpZcc=")</f>
        <v>#REF!</v>
      </c>
      <c r="GS18" t="e">
        <f>AND(#REF!,"fzcMKnSpZcg=")</f>
        <v>#REF!</v>
      </c>
      <c r="GT18" t="e">
        <f>AND(#REF!,"fzcMKnSpZck=")</f>
        <v>#REF!</v>
      </c>
      <c r="GU18" t="e">
        <f>AND(#REF!,"fzcMKnSpZco=")</f>
        <v>#REF!</v>
      </c>
      <c r="GV18" t="e">
        <f>AND(#REF!,"fzcMKnSpZcs=")</f>
        <v>#REF!</v>
      </c>
      <c r="GW18" t="e">
        <f>IF(#REF!,"fzcMKnSpZcw=",0)</f>
        <v>#REF!</v>
      </c>
      <c r="GX18" t="e">
        <f>AND(#REF!,"fzcMKnSpZc0=")</f>
        <v>#REF!</v>
      </c>
      <c r="GY18" t="e">
        <f>AND(#REF!,"fzcMKnSpZc4=")</f>
        <v>#REF!</v>
      </c>
      <c r="GZ18" t="e">
        <f>AND(#REF!,"fzcMKnSpZc8=")</f>
        <v>#REF!</v>
      </c>
      <c r="HA18" t="e">
        <f>AND(#REF!,"fzcMKnSpZdA=")</f>
        <v>#REF!</v>
      </c>
      <c r="HB18" t="e">
        <f>AND(#REF!,"fzcMKnSpZdE=")</f>
        <v>#REF!</v>
      </c>
      <c r="HC18" t="e">
        <f>AND(#REF!,"fzcMKnSpZdI=")</f>
        <v>#REF!</v>
      </c>
      <c r="HD18" t="e">
        <f>AND(#REF!,"fzcMKnSpZdM=")</f>
        <v>#REF!</v>
      </c>
      <c r="HE18" t="e">
        <f>AND(#REF!,"fzcMKnSpZdQ=")</f>
        <v>#REF!</v>
      </c>
      <c r="HF18" t="e">
        <f>IF(#REF!,"fzcMKnSpZdU=",0)</f>
        <v>#REF!</v>
      </c>
      <c r="HG18" t="e">
        <f>AND(#REF!,"fzcMKnSpZdY=")</f>
        <v>#REF!</v>
      </c>
      <c r="HH18" t="e">
        <f>AND(#REF!,"fzcMKnSpZdc=")</f>
        <v>#REF!</v>
      </c>
      <c r="HI18" t="e">
        <f>AND(#REF!,"fzcMKnSpZdg=")</f>
        <v>#REF!</v>
      </c>
      <c r="HJ18" t="e">
        <f>AND(#REF!,"fzcMKnSpZdk=")</f>
        <v>#REF!</v>
      </c>
      <c r="HK18" t="e">
        <f>AND(#REF!,"fzcMKnSpZdo=")</f>
        <v>#REF!</v>
      </c>
      <c r="HL18" t="e">
        <f>AND(#REF!,"fzcMKnSpZds=")</f>
        <v>#REF!</v>
      </c>
      <c r="HM18" t="e">
        <f>AND(#REF!,"fzcMKnSpZdw=")</f>
        <v>#REF!</v>
      </c>
      <c r="HN18" t="e">
        <f>AND(#REF!,"fzcMKnSpZd0=")</f>
        <v>#REF!</v>
      </c>
      <c r="HO18" t="e">
        <f>IF(#REF!,"fzcMKnSpZd4=",0)</f>
        <v>#REF!</v>
      </c>
      <c r="HP18" t="e">
        <f>AND(#REF!,"fzcMKnSpZd8=")</f>
        <v>#REF!</v>
      </c>
      <c r="HQ18" t="e">
        <f>AND(#REF!,"fzcMKnSpZeA=")</f>
        <v>#REF!</v>
      </c>
      <c r="HR18" t="e">
        <f>AND(#REF!,"fzcMKnSpZeE=")</f>
        <v>#REF!</v>
      </c>
      <c r="HS18" t="e">
        <f>AND(#REF!,"fzcMKnSpZeI=")</f>
        <v>#REF!</v>
      </c>
      <c r="HT18" t="e">
        <f>AND(#REF!,"fzcMKnSpZeM=")</f>
        <v>#REF!</v>
      </c>
      <c r="HU18" t="e">
        <f>AND(#REF!,"fzcMKnSpZeQ=")</f>
        <v>#REF!</v>
      </c>
      <c r="HV18" t="e">
        <f>AND(#REF!,"fzcMKnSpZeU=")</f>
        <v>#REF!</v>
      </c>
      <c r="HW18" t="e">
        <f>AND(#REF!,"fzcMKnSpZeY=")</f>
        <v>#REF!</v>
      </c>
      <c r="HX18" t="e">
        <f>IF(#REF!,"fzcMKnSpZec=",0)</f>
        <v>#REF!</v>
      </c>
      <c r="HY18" t="e">
        <f>AND(#REF!,"fzcMKnSpZeg=")</f>
        <v>#REF!</v>
      </c>
      <c r="HZ18" t="e">
        <f>AND(#REF!,"fzcMKnSpZek=")</f>
        <v>#REF!</v>
      </c>
      <c r="IA18" t="e">
        <f>AND(#REF!,"fzcMKnSpZeo=")</f>
        <v>#REF!</v>
      </c>
      <c r="IB18" t="e">
        <f>AND(#REF!,"fzcMKnSpZes=")</f>
        <v>#REF!</v>
      </c>
      <c r="IC18" t="e">
        <f>AND(#REF!,"fzcMKnSpZew=")</f>
        <v>#REF!</v>
      </c>
      <c r="ID18" t="e">
        <f>AND(#REF!,"fzcMKnSpZe0=")</f>
        <v>#REF!</v>
      </c>
      <c r="IE18" t="e">
        <f>AND(#REF!,"fzcMKnSpZe4=")</f>
        <v>#REF!</v>
      </c>
      <c r="IF18" t="e">
        <f>AND(#REF!,"fzcMKnSpZe8=")</f>
        <v>#REF!</v>
      </c>
      <c r="IG18" t="e">
        <f>IF(#REF!,"fzcMKnSpZfA=",0)</f>
        <v>#REF!</v>
      </c>
      <c r="IH18" t="e">
        <f>AND(#REF!,"fzcMKnSpZfE=")</f>
        <v>#REF!</v>
      </c>
      <c r="II18" t="e">
        <f>AND(#REF!,"fzcMKnSpZfI=")</f>
        <v>#REF!</v>
      </c>
      <c r="IJ18" t="e">
        <f>AND(#REF!,"fzcMKnSpZfM=")</f>
        <v>#REF!</v>
      </c>
      <c r="IK18" t="e">
        <f>AND(#REF!,"fzcMKnSpZfQ=")</f>
        <v>#REF!</v>
      </c>
      <c r="IL18" t="e">
        <f>AND(#REF!,"fzcMKnSpZfU=")</f>
        <v>#REF!</v>
      </c>
      <c r="IM18" t="e">
        <f>AND(#REF!,"fzcMKnSpZfY=")</f>
        <v>#REF!</v>
      </c>
      <c r="IN18" t="e">
        <f>AND(#REF!,"fzcMKnSpZfc=")</f>
        <v>#REF!</v>
      </c>
      <c r="IO18" t="e">
        <f>AND(#REF!,"fzcMKnSpZfg=")</f>
        <v>#REF!</v>
      </c>
      <c r="IP18" t="e">
        <f>IF(#REF!,"fzcMKnSpZfk=",0)</f>
        <v>#REF!</v>
      </c>
      <c r="IQ18" t="e">
        <f>AND(#REF!,"fzcMKnSpZfo=")</f>
        <v>#REF!</v>
      </c>
      <c r="IR18" t="e">
        <f>AND(#REF!,"fzcMKnSpZfs=")</f>
        <v>#REF!</v>
      </c>
      <c r="IS18" t="e">
        <f>AND(#REF!,"fzcMKnSpZfw=")</f>
        <v>#REF!</v>
      </c>
      <c r="IT18" t="e">
        <f>AND(#REF!,"fzcMKnSpZf0=")</f>
        <v>#REF!</v>
      </c>
      <c r="IU18" t="e">
        <f>AND(#REF!,"fzcMKnSpZf4=")</f>
        <v>#REF!</v>
      </c>
      <c r="IV18" t="e">
        <f>AND(#REF!,"fzcMKnSpZf8=")</f>
        <v>#REF!</v>
      </c>
    </row>
    <row r="19" spans="1:256" x14ac:dyDescent="0.2">
      <c r="A19" t="e">
        <f>AND(#REF!,"fr6h/WnH7AA=")</f>
        <v>#REF!</v>
      </c>
      <c r="B19" t="e">
        <f>AND(#REF!,"fr6h/WnH7AE=")</f>
        <v>#REF!</v>
      </c>
      <c r="C19" t="e">
        <f>IF(#REF!,"fr6h/WnH7AI=",0)</f>
        <v>#REF!</v>
      </c>
      <c r="D19" t="e">
        <f>AND(#REF!,"fr6h/WnH7AM=")</f>
        <v>#REF!</v>
      </c>
      <c r="E19" t="e">
        <f>AND(#REF!,"fr6h/WnH7AQ=")</f>
        <v>#REF!</v>
      </c>
      <c r="F19" t="e">
        <f>AND(#REF!,"fr6h/WnH7AU=")</f>
        <v>#REF!</v>
      </c>
      <c r="G19" t="e">
        <f>AND(#REF!,"fr6h/WnH7AY=")</f>
        <v>#REF!</v>
      </c>
      <c r="H19" t="e">
        <f>AND(#REF!,"fr6h/WnH7Ac=")</f>
        <v>#REF!</v>
      </c>
      <c r="I19" t="e">
        <f>AND(#REF!,"fr6h/WnH7Ag=")</f>
        <v>#REF!</v>
      </c>
      <c r="J19" t="e">
        <f>AND(#REF!,"fr6h/WnH7Ak=")</f>
        <v>#REF!</v>
      </c>
      <c r="K19" t="e">
        <f>AND(#REF!,"fr6h/WnH7Ao=")</f>
        <v>#REF!</v>
      </c>
      <c r="L19" t="e">
        <f>IF(#REF!,"fr6h/WnH7As=",0)</f>
        <v>#REF!</v>
      </c>
      <c r="M19" t="e">
        <f>AND(#REF!,"fr6h/WnH7Aw=")</f>
        <v>#REF!</v>
      </c>
      <c r="N19" t="e">
        <f>AND(#REF!,"fr6h/WnH7A0=")</f>
        <v>#REF!</v>
      </c>
      <c r="O19" t="e">
        <f>AND(#REF!,"fr6h/WnH7A4=")</f>
        <v>#REF!</v>
      </c>
      <c r="P19" t="e">
        <f>AND(#REF!,"fr6h/WnH7A8=")</f>
        <v>#REF!</v>
      </c>
      <c r="Q19" t="e">
        <f>AND(#REF!,"fr6h/WnH7BA=")</f>
        <v>#REF!</v>
      </c>
      <c r="R19" t="e">
        <f>AND(#REF!,"fr6h/WnH7BE=")</f>
        <v>#REF!</v>
      </c>
      <c r="S19" t="e">
        <f>AND(#REF!,"fr6h/WnH7BI=")</f>
        <v>#REF!</v>
      </c>
      <c r="T19" t="e">
        <f>AND(#REF!,"fr6h/WnH7BM=")</f>
        <v>#REF!</v>
      </c>
      <c r="U19" t="e">
        <f>IF(#REF!,"fr6h/WnH7BQ=",0)</f>
        <v>#REF!</v>
      </c>
      <c r="V19" t="e">
        <f>AND(#REF!,"fr6h/WnH7BU=")</f>
        <v>#REF!</v>
      </c>
      <c r="W19" t="e">
        <f>AND(#REF!,"fr6h/WnH7BY=")</f>
        <v>#REF!</v>
      </c>
      <c r="X19" t="e">
        <f>AND(#REF!,"fr6h/WnH7Bc=")</f>
        <v>#REF!</v>
      </c>
      <c r="Y19" t="e">
        <f>AND(#REF!,"fr6h/WnH7Bg=")</f>
        <v>#REF!</v>
      </c>
      <c r="Z19" t="e">
        <f>AND(#REF!,"fr6h/WnH7Bk=")</f>
        <v>#REF!</v>
      </c>
      <c r="AA19" t="e">
        <f>AND(#REF!,"fr6h/WnH7Bo=")</f>
        <v>#REF!</v>
      </c>
      <c r="AB19" t="e">
        <f>AND(#REF!,"fr6h/WnH7Bs=")</f>
        <v>#REF!</v>
      </c>
      <c r="AC19" t="e">
        <f>AND(#REF!,"fr6h/WnH7Bw=")</f>
        <v>#REF!</v>
      </c>
      <c r="AD19" t="e">
        <f>IF(#REF!,"fr6h/WnH7B0=",0)</f>
        <v>#REF!</v>
      </c>
      <c r="AE19" t="e">
        <f>AND(#REF!,"fr6h/WnH7B4=")</f>
        <v>#REF!</v>
      </c>
      <c r="AF19" t="e">
        <f>AND(#REF!,"fr6h/WnH7B8=")</f>
        <v>#REF!</v>
      </c>
      <c r="AG19" t="e">
        <f>AND(#REF!,"fr6h/WnH7CA=")</f>
        <v>#REF!</v>
      </c>
      <c r="AH19" t="e">
        <f>AND(#REF!,"fr6h/WnH7CE=")</f>
        <v>#REF!</v>
      </c>
      <c r="AI19" t="e">
        <f>AND(#REF!,"fr6h/WnH7CI=")</f>
        <v>#REF!</v>
      </c>
      <c r="AJ19" t="e">
        <f>AND(#REF!,"fr6h/WnH7CM=")</f>
        <v>#REF!</v>
      </c>
      <c r="AK19" t="e">
        <f>AND(#REF!,"fr6h/WnH7CQ=")</f>
        <v>#REF!</v>
      </c>
      <c r="AL19" t="e">
        <f>AND(#REF!,"fr6h/WnH7CU=")</f>
        <v>#REF!</v>
      </c>
      <c r="AM19" t="e">
        <f>IF(#REF!,"fr6h/WnH7CY=",0)</f>
        <v>#REF!</v>
      </c>
      <c r="AN19" t="e">
        <f>AND(#REF!,"fr6h/WnH7Cc=")</f>
        <v>#REF!</v>
      </c>
      <c r="AO19" t="e">
        <f>AND(#REF!,"fr6h/WnH7Cg=")</f>
        <v>#REF!</v>
      </c>
      <c r="AP19" t="e">
        <f>AND(#REF!,"fr6h/WnH7Ck=")</f>
        <v>#REF!</v>
      </c>
      <c r="AQ19" t="e">
        <f>AND(#REF!,"fr6h/WnH7Co=")</f>
        <v>#REF!</v>
      </c>
      <c r="AR19" t="e">
        <f>AND(#REF!,"fr6h/WnH7Cs=")</f>
        <v>#REF!</v>
      </c>
      <c r="AS19" t="e">
        <f>AND(#REF!,"fr6h/WnH7Cw=")</f>
        <v>#REF!</v>
      </c>
      <c r="AT19" t="e">
        <f>AND(#REF!,"fr6h/WnH7C0=")</f>
        <v>#REF!</v>
      </c>
      <c r="AU19" t="e">
        <f>AND(#REF!,"fr6h/WnH7C4=")</f>
        <v>#REF!</v>
      </c>
      <c r="AV19" t="e">
        <f>IF(#REF!,"fr6h/WnH7C8=",0)</f>
        <v>#REF!</v>
      </c>
      <c r="AW19" t="e">
        <f>AND(#REF!,"fr6h/WnH7DA=")</f>
        <v>#REF!</v>
      </c>
      <c r="AX19" t="e">
        <f>AND(#REF!,"fr6h/WnH7DE=")</f>
        <v>#REF!</v>
      </c>
      <c r="AY19" t="e">
        <f>AND(#REF!,"fr6h/WnH7DI=")</f>
        <v>#REF!</v>
      </c>
      <c r="AZ19" t="e">
        <f>AND(#REF!,"fr6h/WnH7DM=")</f>
        <v>#REF!</v>
      </c>
      <c r="BA19" t="e">
        <f>AND(#REF!,"fr6h/WnH7DQ=")</f>
        <v>#REF!</v>
      </c>
      <c r="BB19" t="e">
        <f>AND(#REF!,"fr6h/WnH7DU=")</f>
        <v>#REF!</v>
      </c>
      <c r="BC19" t="e">
        <f>AND(#REF!,"fr6h/WnH7DY=")</f>
        <v>#REF!</v>
      </c>
      <c r="BD19" t="e">
        <f>AND(#REF!,"fr6h/WnH7Dc=")</f>
        <v>#REF!</v>
      </c>
      <c r="BE19" t="e">
        <f>IF(#REF!,"fr6h/WnH7Dg=",0)</f>
        <v>#REF!</v>
      </c>
      <c r="BF19" t="e">
        <f>AND(#REF!,"fr6h/WnH7Dk=")</f>
        <v>#REF!</v>
      </c>
      <c r="BG19" t="e">
        <f>AND(#REF!,"fr6h/WnH7Do=")</f>
        <v>#REF!</v>
      </c>
      <c r="BH19" t="e">
        <f>AND(#REF!,"fr6h/WnH7Ds=")</f>
        <v>#REF!</v>
      </c>
      <c r="BI19" t="e">
        <f>AND(#REF!,"fr6h/WnH7Dw=")</f>
        <v>#REF!</v>
      </c>
      <c r="BJ19" t="e">
        <f>AND(#REF!,"fr6h/WnH7D0=")</f>
        <v>#REF!</v>
      </c>
      <c r="BK19" t="e">
        <f>AND(#REF!,"fr6h/WnH7D4=")</f>
        <v>#REF!</v>
      </c>
      <c r="BL19" t="e">
        <f>AND(#REF!,"fr6h/WnH7D8=")</f>
        <v>#REF!</v>
      </c>
      <c r="BM19" t="e">
        <f>AND(#REF!,"fr6h/WnH7EA=")</f>
        <v>#REF!</v>
      </c>
      <c r="BN19" t="e">
        <f>IF(#REF!,"fr6h/WnH7EE=",0)</f>
        <v>#REF!</v>
      </c>
      <c r="BO19" t="e">
        <f>AND(#REF!,"fr6h/WnH7EI=")</f>
        <v>#REF!</v>
      </c>
      <c r="BP19" t="e">
        <f>AND(#REF!,"fr6h/WnH7EM=")</f>
        <v>#REF!</v>
      </c>
      <c r="BQ19" t="e">
        <f>AND(#REF!,"fr6h/WnH7EQ=")</f>
        <v>#REF!</v>
      </c>
      <c r="BR19" t="e">
        <f>AND(#REF!,"fr6h/WnH7EU=")</f>
        <v>#REF!</v>
      </c>
      <c r="BS19" t="e">
        <f>AND(#REF!,"fr6h/WnH7EY=")</f>
        <v>#REF!</v>
      </c>
      <c r="BT19" t="e">
        <f>AND(#REF!,"fr6h/WnH7Ec=")</f>
        <v>#REF!</v>
      </c>
      <c r="BU19" t="e">
        <f>AND(#REF!,"fr6h/WnH7Eg=")</f>
        <v>#REF!</v>
      </c>
      <c r="BV19" t="e">
        <f>AND(#REF!,"fr6h/WnH7Ek=")</f>
        <v>#REF!</v>
      </c>
      <c r="BW19" t="e">
        <f>IF(#REF!,"fr6h/WnH7Eo=",0)</f>
        <v>#REF!</v>
      </c>
      <c r="BX19" t="e">
        <f>AND(#REF!,"fr6h/WnH7Es=")</f>
        <v>#REF!</v>
      </c>
      <c r="BY19" t="e">
        <f>AND(#REF!,"fr6h/WnH7Ew=")</f>
        <v>#REF!</v>
      </c>
      <c r="BZ19" t="e">
        <f>AND(#REF!,"fr6h/WnH7E0=")</f>
        <v>#REF!</v>
      </c>
      <c r="CA19" t="e">
        <f>AND(#REF!,"fr6h/WnH7E4=")</f>
        <v>#REF!</v>
      </c>
      <c r="CB19" t="e">
        <f>AND(#REF!,"fr6h/WnH7E8=")</f>
        <v>#REF!</v>
      </c>
      <c r="CC19" t="e">
        <f>AND(#REF!,"fr6h/WnH7FA=")</f>
        <v>#REF!</v>
      </c>
      <c r="CD19" t="e">
        <f>AND(#REF!,"fr6h/WnH7FE=")</f>
        <v>#REF!</v>
      </c>
      <c r="CE19" t="e">
        <f>AND(#REF!,"fr6h/WnH7FI=")</f>
        <v>#REF!</v>
      </c>
      <c r="CF19" t="e">
        <f>IF(#REF!,"fr6h/WnH7FM=",0)</f>
        <v>#REF!</v>
      </c>
      <c r="CG19" t="e">
        <f>AND(#REF!,"fr6h/WnH7FQ=")</f>
        <v>#REF!</v>
      </c>
      <c r="CH19" t="e">
        <f>AND(#REF!,"fr6h/WnH7FU=")</f>
        <v>#REF!</v>
      </c>
      <c r="CI19" t="e">
        <f>AND(#REF!,"fr6h/WnH7FY=")</f>
        <v>#REF!</v>
      </c>
      <c r="CJ19" t="e">
        <f>AND(#REF!,"fr6h/WnH7Fc=")</f>
        <v>#REF!</v>
      </c>
      <c r="CK19" t="e">
        <f>AND(#REF!,"fr6h/WnH7Fg=")</f>
        <v>#REF!</v>
      </c>
      <c r="CL19" t="e">
        <f>AND(#REF!,"fr6h/WnH7Fk=")</f>
        <v>#REF!</v>
      </c>
      <c r="CM19" t="e">
        <f>AND(#REF!,"fr6h/WnH7Fo=")</f>
        <v>#REF!</v>
      </c>
      <c r="CN19" t="e">
        <f>AND(#REF!,"fr6h/WnH7Fs=")</f>
        <v>#REF!</v>
      </c>
      <c r="CO19" t="e">
        <f>IF(#REF!,"fr6h/WnH7Fw=",0)</f>
        <v>#REF!</v>
      </c>
      <c r="CP19" t="e">
        <f>AND(#REF!,"fr6h/WnH7F0=")</f>
        <v>#REF!</v>
      </c>
      <c r="CQ19" t="e">
        <f>AND(#REF!,"fr6h/WnH7F4=")</f>
        <v>#REF!</v>
      </c>
      <c r="CR19" t="e">
        <f>AND(#REF!,"fr6h/WnH7F8=")</f>
        <v>#REF!</v>
      </c>
      <c r="CS19" t="e">
        <f>AND(#REF!,"fr6h/WnH7GA=")</f>
        <v>#REF!</v>
      </c>
      <c r="CT19" t="e">
        <f>AND(#REF!,"fr6h/WnH7GE=")</f>
        <v>#REF!</v>
      </c>
      <c r="CU19" t="e">
        <f>AND(#REF!,"fr6h/WnH7GI=")</f>
        <v>#REF!</v>
      </c>
      <c r="CV19" t="e">
        <f>AND(#REF!,"fr6h/WnH7GM=")</f>
        <v>#REF!</v>
      </c>
      <c r="CW19" t="e">
        <f>AND(#REF!,"fr6h/WnH7GQ=")</f>
        <v>#REF!</v>
      </c>
      <c r="CX19" t="e">
        <f>IF(#REF!,"fr6h/WnH7GU=",0)</f>
        <v>#REF!</v>
      </c>
      <c r="CY19" t="e">
        <f>AND(#REF!,"fr6h/WnH7GY=")</f>
        <v>#REF!</v>
      </c>
      <c r="CZ19" t="e">
        <f>AND(#REF!,"fr6h/WnH7Gc=")</f>
        <v>#REF!</v>
      </c>
      <c r="DA19" t="e">
        <f>AND(#REF!,"fr6h/WnH7Gg=")</f>
        <v>#REF!</v>
      </c>
      <c r="DB19" t="e">
        <f>AND(#REF!,"fr6h/WnH7Gk=")</f>
        <v>#REF!</v>
      </c>
      <c r="DC19" t="e">
        <f>AND(#REF!,"fr6h/WnH7Go=")</f>
        <v>#REF!</v>
      </c>
      <c r="DD19" t="e">
        <f>AND(#REF!,"fr6h/WnH7Gs=")</f>
        <v>#REF!</v>
      </c>
      <c r="DE19" t="e">
        <f>AND(#REF!,"fr6h/WnH7Gw=")</f>
        <v>#REF!</v>
      </c>
      <c r="DF19" t="e">
        <f>AND(#REF!,"fr6h/WnH7G0=")</f>
        <v>#REF!</v>
      </c>
      <c r="DG19" t="e">
        <f>IF(#REF!,"fr6h/WnH7G4=",0)</f>
        <v>#REF!</v>
      </c>
      <c r="DH19" t="e">
        <f>AND(#REF!,"fr6h/WnH7G8=")</f>
        <v>#REF!</v>
      </c>
      <c r="DI19" t="e">
        <f>AND(#REF!,"fr6h/WnH7HA=")</f>
        <v>#REF!</v>
      </c>
      <c r="DJ19" t="e">
        <f>AND(#REF!,"fr6h/WnH7HE=")</f>
        <v>#REF!</v>
      </c>
      <c r="DK19" t="e">
        <f>AND(#REF!,"fr6h/WnH7HI=")</f>
        <v>#REF!</v>
      </c>
      <c r="DL19" t="e">
        <f>AND(#REF!,"fr6h/WnH7HM=")</f>
        <v>#REF!</v>
      </c>
      <c r="DM19" t="e">
        <f>AND(#REF!,"fr6h/WnH7HQ=")</f>
        <v>#REF!</v>
      </c>
      <c r="DN19" t="e">
        <f>AND(#REF!,"fr6h/WnH7HU=")</f>
        <v>#REF!</v>
      </c>
      <c r="DO19" t="e">
        <f>AND(#REF!,"fr6h/WnH7HY=")</f>
        <v>#REF!</v>
      </c>
      <c r="DP19" t="e">
        <f>IF(#REF!,"fr6h/WnH7Hc=",0)</f>
        <v>#REF!</v>
      </c>
      <c r="DQ19" t="e">
        <f>AND(#REF!,"fr6h/WnH7Hg=")</f>
        <v>#REF!</v>
      </c>
      <c r="DR19" t="e">
        <f>AND(#REF!,"fr6h/WnH7Hk=")</f>
        <v>#REF!</v>
      </c>
      <c r="DS19" t="e">
        <f>AND(#REF!,"fr6h/WnH7Ho=")</f>
        <v>#REF!</v>
      </c>
      <c r="DT19" t="e">
        <f>AND(#REF!,"fr6h/WnH7Hs=")</f>
        <v>#REF!</v>
      </c>
      <c r="DU19" t="e">
        <f>AND(#REF!,"fr6h/WnH7Hw=")</f>
        <v>#REF!</v>
      </c>
      <c r="DV19" t="e">
        <f>AND(#REF!,"fr6h/WnH7H0=")</f>
        <v>#REF!</v>
      </c>
      <c r="DW19" t="e">
        <f>AND(#REF!,"fr6h/WnH7H4=")</f>
        <v>#REF!</v>
      </c>
      <c r="DX19" t="e">
        <f>AND(#REF!,"fr6h/WnH7H8=")</f>
        <v>#REF!</v>
      </c>
      <c r="DY19" t="e">
        <f>IF(#REF!,"fr6h/WnH7IA=",0)</f>
        <v>#REF!</v>
      </c>
      <c r="DZ19" t="e">
        <f>AND(#REF!,"fr6h/WnH7IE=")</f>
        <v>#REF!</v>
      </c>
      <c r="EA19" t="e">
        <f>AND(#REF!,"fr6h/WnH7II=")</f>
        <v>#REF!</v>
      </c>
      <c r="EB19" t="e">
        <f>AND(#REF!,"fr6h/WnH7IM=")</f>
        <v>#REF!</v>
      </c>
      <c r="EC19" t="e">
        <f>AND(#REF!,"fr6h/WnH7IQ=")</f>
        <v>#REF!</v>
      </c>
      <c r="ED19" t="e">
        <f>AND(#REF!,"fr6h/WnH7IU=")</f>
        <v>#REF!</v>
      </c>
      <c r="EE19" t="e">
        <f>AND(#REF!,"fr6h/WnH7IY=")</f>
        <v>#REF!</v>
      </c>
      <c r="EF19" t="e">
        <f>AND(#REF!,"fr6h/WnH7Ic=")</f>
        <v>#REF!</v>
      </c>
      <c r="EG19" t="e">
        <f>AND(#REF!,"fr6h/WnH7Ig=")</f>
        <v>#REF!</v>
      </c>
      <c r="EH19" t="e">
        <f>IF(#REF!,"fr6h/WnH7Ik=",0)</f>
        <v>#REF!</v>
      </c>
      <c r="EI19" t="e">
        <f>AND(#REF!,"fr6h/WnH7Io=")</f>
        <v>#REF!</v>
      </c>
      <c r="EJ19" t="e">
        <f>AND(#REF!,"fr6h/WnH7Is=")</f>
        <v>#REF!</v>
      </c>
      <c r="EK19" t="e">
        <f>AND(#REF!,"fr6h/WnH7Iw=")</f>
        <v>#REF!</v>
      </c>
      <c r="EL19" t="e">
        <f>AND(#REF!,"fr6h/WnH7I0=")</f>
        <v>#REF!</v>
      </c>
      <c r="EM19" t="e">
        <f>AND(#REF!,"fr6h/WnH7I4=")</f>
        <v>#REF!</v>
      </c>
      <c r="EN19" t="e">
        <f>AND(#REF!,"fr6h/WnH7I8=")</f>
        <v>#REF!</v>
      </c>
      <c r="EO19" t="e">
        <f>AND(#REF!,"fr6h/WnH7JA=")</f>
        <v>#REF!</v>
      </c>
      <c r="EP19" t="e">
        <f>AND(#REF!,"fr6h/WnH7JE=")</f>
        <v>#REF!</v>
      </c>
      <c r="EQ19" t="e">
        <f>IF(#REF!,"fr6h/WnH7JI=",0)</f>
        <v>#REF!</v>
      </c>
      <c r="ER19" t="e">
        <f>AND(#REF!,"fr6h/WnH7JM=")</f>
        <v>#REF!</v>
      </c>
      <c r="ES19" t="e">
        <f>AND(#REF!,"fr6h/WnH7JQ=")</f>
        <v>#REF!</v>
      </c>
      <c r="ET19" t="e">
        <f>AND(#REF!,"fr6h/WnH7JU=")</f>
        <v>#REF!</v>
      </c>
      <c r="EU19" t="e">
        <f>AND(#REF!,"fr6h/WnH7JY=")</f>
        <v>#REF!</v>
      </c>
      <c r="EV19" t="e">
        <f>AND(#REF!,"fr6h/WnH7Jc=")</f>
        <v>#REF!</v>
      </c>
      <c r="EW19" t="e">
        <f>AND(#REF!,"fr6h/WnH7Jg=")</f>
        <v>#REF!</v>
      </c>
      <c r="EX19" t="e">
        <f>AND(#REF!,"fr6h/WnH7Jk=")</f>
        <v>#REF!</v>
      </c>
      <c r="EY19" t="e">
        <f>AND(#REF!,"fr6h/WnH7Jo=")</f>
        <v>#REF!</v>
      </c>
      <c r="EZ19" t="e">
        <f>IF(#REF!,"fr6h/WnH7Js=",0)</f>
        <v>#REF!</v>
      </c>
      <c r="FA19" t="e">
        <f>AND(#REF!,"fr6h/WnH7Jw=")</f>
        <v>#REF!</v>
      </c>
      <c r="FB19" t="e">
        <f>AND(#REF!,"fr6h/WnH7J0=")</f>
        <v>#REF!</v>
      </c>
      <c r="FC19" t="e">
        <f>AND(#REF!,"fr6h/WnH7J4=")</f>
        <v>#REF!</v>
      </c>
      <c r="FD19" t="e">
        <f>AND(#REF!,"fr6h/WnH7J8=")</f>
        <v>#REF!</v>
      </c>
      <c r="FE19" t="e">
        <f>AND(#REF!,"fr6h/WnH7KA=")</f>
        <v>#REF!</v>
      </c>
      <c r="FF19" t="e">
        <f>AND(#REF!,"fr6h/WnH7KE=")</f>
        <v>#REF!</v>
      </c>
      <c r="FG19" t="e">
        <f>AND(#REF!,"fr6h/WnH7KI=")</f>
        <v>#REF!</v>
      </c>
      <c r="FH19" t="e">
        <f>AND(#REF!,"fr6h/WnH7KM=")</f>
        <v>#REF!</v>
      </c>
      <c r="FI19" t="e">
        <f>IF(#REF!,"fr6h/WnH7KQ=",0)</f>
        <v>#REF!</v>
      </c>
      <c r="FJ19" t="e">
        <f>AND(#REF!,"fr6h/WnH7KU=")</f>
        <v>#REF!</v>
      </c>
      <c r="FK19" t="e">
        <f>AND(#REF!,"fr6h/WnH7KY=")</f>
        <v>#REF!</v>
      </c>
      <c r="FL19" t="e">
        <f>AND(#REF!,"fr6h/WnH7Kc=")</f>
        <v>#REF!</v>
      </c>
      <c r="FM19" t="e">
        <f>AND(#REF!,"fr6h/WnH7Kg=")</f>
        <v>#REF!</v>
      </c>
      <c r="FN19" t="e">
        <f>AND(#REF!,"fr6h/WnH7Kk=")</f>
        <v>#REF!</v>
      </c>
      <c r="FO19" t="e">
        <f>AND(#REF!,"fr6h/WnH7Ko=")</f>
        <v>#REF!</v>
      </c>
      <c r="FP19" t="e">
        <f>AND(#REF!,"fr6h/WnH7Ks=")</f>
        <v>#REF!</v>
      </c>
      <c r="FQ19" t="e">
        <f>AND(#REF!,"fr6h/WnH7Kw=")</f>
        <v>#REF!</v>
      </c>
      <c r="FR19" t="e">
        <f>IF(#REF!,"fr6h/WnH7K0=",0)</f>
        <v>#REF!</v>
      </c>
      <c r="FS19" t="e">
        <f>AND(#REF!,"fr6h/WnH7K4=")</f>
        <v>#REF!</v>
      </c>
      <c r="FT19" t="e">
        <f>AND(#REF!,"fr6h/WnH7K8=")</f>
        <v>#REF!</v>
      </c>
      <c r="FU19" t="e">
        <f>AND(#REF!,"fr6h/WnH7LA=")</f>
        <v>#REF!</v>
      </c>
      <c r="FV19" t="e">
        <f>AND(#REF!,"fr6h/WnH7LE=")</f>
        <v>#REF!</v>
      </c>
      <c r="FW19" t="e">
        <f>AND(#REF!,"fr6h/WnH7LI=")</f>
        <v>#REF!</v>
      </c>
      <c r="FX19" t="e">
        <f>AND(#REF!,"fr6h/WnH7LM=")</f>
        <v>#REF!</v>
      </c>
      <c r="FY19" t="e">
        <f>AND(#REF!,"fr6h/WnH7LQ=")</f>
        <v>#REF!</v>
      </c>
      <c r="FZ19" t="e">
        <f>AND(#REF!,"fr6h/WnH7LU=")</f>
        <v>#REF!</v>
      </c>
      <c r="GA19" t="e">
        <f>IF(#REF!,"fr6h/WnH7LY=",0)</f>
        <v>#REF!</v>
      </c>
      <c r="GB19" t="e">
        <f>AND(#REF!,"fr6h/WnH7Lc=")</f>
        <v>#REF!</v>
      </c>
      <c r="GC19" t="e">
        <f>AND(#REF!,"fr6h/WnH7Lg=")</f>
        <v>#REF!</v>
      </c>
      <c r="GD19" t="e">
        <f>AND(#REF!,"fr6h/WnH7Lk=")</f>
        <v>#REF!</v>
      </c>
      <c r="GE19" t="e">
        <f>AND(#REF!,"fr6h/WnH7Lo=")</f>
        <v>#REF!</v>
      </c>
      <c r="GF19" t="e">
        <f>AND(#REF!,"fr6h/WnH7Ls=")</f>
        <v>#REF!</v>
      </c>
      <c r="GG19" t="e">
        <f>AND(#REF!,"fr6h/WnH7Lw=")</f>
        <v>#REF!</v>
      </c>
      <c r="GH19" t="e">
        <f>AND(#REF!,"fr6h/WnH7L0=")</f>
        <v>#REF!</v>
      </c>
      <c r="GI19" t="e">
        <f>AND(#REF!,"fr6h/WnH7L4=")</f>
        <v>#REF!</v>
      </c>
      <c r="GJ19" t="e">
        <f>IF(#REF!,"fr6h/WnH7L8=",0)</f>
        <v>#REF!</v>
      </c>
      <c r="GK19" t="e">
        <f>AND(#REF!,"fr6h/WnH7MA=")</f>
        <v>#REF!</v>
      </c>
      <c r="GL19" t="e">
        <f>AND(#REF!,"fr6h/WnH7ME=")</f>
        <v>#REF!</v>
      </c>
      <c r="GM19" t="e">
        <f>AND(#REF!,"fr6h/WnH7MI=")</f>
        <v>#REF!</v>
      </c>
      <c r="GN19" t="e">
        <f>AND(#REF!,"fr6h/WnH7MM=")</f>
        <v>#REF!</v>
      </c>
      <c r="GO19" t="e">
        <f>AND(#REF!,"fr6h/WnH7MQ=")</f>
        <v>#REF!</v>
      </c>
      <c r="GP19" t="e">
        <f>AND(#REF!,"fr6h/WnH7MU=")</f>
        <v>#REF!</v>
      </c>
      <c r="GQ19" t="e">
        <f>AND(#REF!,"fr6h/WnH7MY=")</f>
        <v>#REF!</v>
      </c>
      <c r="GR19" t="e">
        <f>AND(#REF!,"fr6h/WnH7Mc=")</f>
        <v>#REF!</v>
      </c>
      <c r="GS19" t="e">
        <f>IF(#REF!,"fr6h/WnH7Mg=",0)</f>
        <v>#REF!</v>
      </c>
      <c r="GT19" t="e">
        <f>AND(#REF!,"fr6h/WnH7Mk=")</f>
        <v>#REF!</v>
      </c>
      <c r="GU19" t="e">
        <f>AND(#REF!,"fr6h/WnH7Mo=")</f>
        <v>#REF!</v>
      </c>
      <c r="GV19" t="e">
        <f>AND(#REF!,"fr6h/WnH7Ms=")</f>
        <v>#REF!</v>
      </c>
      <c r="GW19" t="e">
        <f>AND(#REF!,"fr6h/WnH7Mw=")</f>
        <v>#REF!</v>
      </c>
      <c r="GX19" t="e">
        <f>AND(#REF!,"fr6h/WnH7M0=")</f>
        <v>#REF!</v>
      </c>
      <c r="GY19" t="e">
        <f>AND(#REF!,"fr6h/WnH7M4=")</f>
        <v>#REF!</v>
      </c>
      <c r="GZ19" t="e">
        <f>AND(#REF!,"fr6h/WnH7M8=")</f>
        <v>#REF!</v>
      </c>
      <c r="HA19" t="e">
        <f>AND(#REF!,"fr6h/WnH7NA=")</f>
        <v>#REF!</v>
      </c>
      <c r="HB19" t="e">
        <f>IF(#REF!,"fr6h/WnH7NE=",0)</f>
        <v>#REF!</v>
      </c>
      <c r="HC19" t="e">
        <f>AND(#REF!,"fr6h/WnH7NI=")</f>
        <v>#REF!</v>
      </c>
      <c r="HD19" t="e">
        <f>AND(#REF!,"fr6h/WnH7NM=")</f>
        <v>#REF!</v>
      </c>
      <c r="HE19" t="e">
        <f>AND(#REF!,"fr6h/WnH7NQ=")</f>
        <v>#REF!</v>
      </c>
      <c r="HF19" t="e">
        <f>AND(#REF!,"fr6h/WnH7NU=")</f>
        <v>#REF!</v>
      </c>
      <c r="HG19" t="e">
        <f>AND(#REF!,"fr6h/WnH7NY=")</f>
        <v>#REF!</v>
      </c>
      <c r="HH19" t="e">
        <f>AND(#REF!,"fr6h/WnH7Nc=")</f>
        <v>#REF!</v>
      </c>
      <c r="HI19" t="e">
        <f>AND(#REF!,"fr6h/WnH7Ng=")</f>
        <v>#REF!</v>
      </c>
      <c r="HJ19" t="e">
        <f>AND(#REF!,"fr6h/WnH7Nk=")</f>
        <v>#REF!</v>
      </c>
      <c r="HK19" t="e">
        <f>IF(#REF!,"fr6h/WnH7No=",0)</f>
        <v>#REF!</v>
      </c>
      <c r="HL19" t="e">
        <f>AND(#REF!,"fr6h/WnH7Ns=")</f>
        <v>#REF!</v>
      </c>
      <c r="HM19" t="e">
        <f>AND(#REF!,"fr6h/WnH7Nw=")</f>
        <v>#REF!</v>
      </c>
      <c r="HN19" t="e">
        <f>AND(#REF!,"fr6h/WnH7N0=")</f>
        <v>#REF!</v>
      </c>
      <c r="HO19" t="e">
        <f>AND(#REF!,"fr6h/WnH7N4=")</f>
        <v>#REF!</v>
      </c>
      <c r="HP19" t="e">
        <f>AND(#REF!,"fr6h/WnH7N8=")</f>
        <v>#REF!</v>
      </c>
      <c r="HQ19" t="e">
        <f>AND(#REF!,"fr6h/WnH7OA=")</f>
        <v>#REF!</v>
      </c>
      <c r="HR19" t="e">
        <f>AND(#REF!,"fr6h/WnH7OE=")</f>
        <v>#REF!</v>
      </c>
      <c r="HS19" t="e">
        <f>AND(#REF!,"fr6h/WnH7OI=")</f>
        <v>#REF!</v>
      </c>
      <c r="HT19" t="e">
        <f>IF(#REF!,"fr6h/WnH7OM=",0)</f>
        <v>#REF!</v>
      </c>
      <c r="HU19" t="e">
        <f>AND(#REF!,"fr6h/WnH7OQ=")</f>
        <v>#REF!</v>
      </c>
      <c r="HV19" t="e">
        <f>AND(#REF!,"fr6h/WnH7OU=")</f>
        <v>#REF!</v>
      </c>
      <c r="HW19" t="e">
        <f>AND(#REF!,"fr6h/WnH7OY=")</f>
        <v>#REF!</v>
      </c>
      <c r="HX19" t="e">
        <f>AND(#REF!,"fr6h/WnH7Oc=")</f>
        <v>#REF!</v>
      </c>
      <c r="HY19" t="e">
        <f>AND(#REF!,"fr6h/WnH7Og=")</f>
        <v>#REF!</v>
      </c>
      <c r="HZ19" t="e">
        <f>AND(#REF!,"fr6h/WnH7Ok=")</f>
        <v>#REF!</v>
      </c>
      <c r="IA19" t="e">
        <f>AND(#REF!,"fr6h/WnH7Oo=")</f>
        <v>#REF!</v>
      </c>
      <c r="IB19" t="e">
        <f>AND(#REF!,"fr6h/WnH7Os=")</f>
        <v>#REF!</v>
      </c>
      <c r="IC19" t="e">
        <f>IF(#REF!,"fr6h/WnH7Ow=",0)</f>
        <v>#REF!</v>
      </c>
      <c r="ID19" t="e">
        <f>AND(#REF!,"fr6h/WnH7O0=")</f>
        <v>#REF!</v>
      </c>
      <c r="IE19" t="e">
        <f>AND(#REF!,"fr6h/WnH7O4=")</f>
        <v>#REF!</v>
      </c>
      <c r="IF19" t="e">
        <f>AND(#REF!,"fr6h/WnH7O8=")</f>
        <v>#REF!</v>
      </c>
      <c r="IG19" t="e">
        <f>AND(#REF!,"fr6h/WnH7PA=")</f>
        <v>#REF!</v>
      </c>
      <c r="IH19" t="e">
        <f>AND(#REF!,"fr6h/WnH7PE=")</f>
        <v>#REF!</v>
      </c>
      <c r="II19" t="e">
        <f>AND(#REF!,"fr6h/WnH7PI=")</f>
        <v>#REF!</v>
      </c>
      <c r="IJ19" t="e">
        <f>AND(#REF!,"fr6h/WnH7PM=")</f>
        <v>#REF!</v>
      </c>
      <c r="IK19" t="e">
        <f>AND(#REF!,"fr6h/WnH7PQ=")</f>
        <v>#REF!</v>
      </c>
      <c r="IL19" t="e">
        <f>IF(#REF!,"fr6h/WnH7PU=",0)</f>
        <v>#REF!</v>
      </c>
      <c r="IM19" t="e">
        <f>AND(#REF!,"fr6h/WnH7PY=")</f>
        <v>#REF!</v>
      </c>
      <c r="IN19" t="e">
        <f>AND(#REF!,"fr6h/WnH7Pc=")</f>
        <v>#REF!</v>
      </c>
      <c r="IO19" t="e">
        <f>AND(#REF!,"fr6h/WnH7Pg=")</f>
        <v>#REF!</v>
      </c>
      <c r="IP19" t="e">
        <f>AND(#REF!,"fr6h/WnH7Pk=")</f>
        <v>#REF!</v>
      </c>
      <c r="IQ19" t="e">
        <f>AND(#REF!,"fr6h/WnH7Po=")</f>
        <v>#REF!</v>
      </c>
      <c r="IR19" t="e">
        <f>AND(#REF!,"fr6h/WnH7Ps=")</f>
        <v>#REF!</v>
      </c>
      <c r="IS19" t="e">
        <f>AND(#REF!,"fr6h/WnH7Pw=")</f>
        <v>#REF!</v>
      </c>
      <c r="IT19" t="e">
        <f>AND(#REF!,"fr6h/WnH7P0=")</f>
        <v>#REF!</v>
      </c>
      <c r="IU19" t="e">
        <f>IF(#REF!,"fr6h/WnH7P4=",0)</f>
        <v>#REF!</v>
      </c>
      <c r="IV19" t="e">
        <f>AND(#REF!,"fr6h/WnH7P8=")</f>
        <v>#REF!</v>
      </c>
    </row>
    <row r="20" spans="1:256" x14ac:dyDescent="0.2">
      <c r="A20" t="e">
        <f>AND(#REF!,"dkCObT8JywA=")</f>
        <v>#REF!</v>
      </c>
      <c r="B20" t="e">
        <f>AND(#REF!,"dkCObT8JywE=")</f>
        <v>#REF!</v>
      </c>
      <c r="C20" t="e">
        <f>AND(#REF!,"dkCObT8JywI=")</f>
        <v>#REF!</v>
      </c>
      <c r="D20" t="e">
        <f>AND(#REF!,"dkCObT8JywM=")</f>
        <v>#REF!</v>
      </c>
      <c r="E20" t="e">
        <f>AND(#REF!,"dkCObT8JywQ=")</f>
        <v>#REF!</v>
      </c>
      <c r="F20" t="e">
        <f>AND(#REF!,"dkCObT8JywU=")</f>
        <v>#REF!</v>
      </c>
      <c r="G20" t="e">
        <f>AND(#REF!,"dkCObT8JywY=")</f>
        <v>#REF!</v>
      </c>
      <c r="H20" t="e">
        <f>IF(#REF!,"dkCObT8Jywc=",0)</f>
        <v>#REF!</v>
      </c>
      <c r="I20" t="e">
        <f>AND(#REF!,"dkCObT8Jywg=")</f>
        <v>#REF!</v>
      </c>
      <c r="J20" t="e">
        <f>AND(#REF!,"dkCObT8Jywk=")</f>
        <v>#REF!</v>
      </c>
      <c r="K20" t="e">
        <f>AND(#REF!,"dkCObT8Jywo=")</f>
        <v>#REF!</v>
      </c>
      <c r="L20" t="e">
        <f>AND(#REF!,"dkCObT8Jyws=")</f>
        <v>#REF!</v>
      </c>
      <c r="M20" t="e">
        <f>AND(#REF!,"dkCObT8Jyww=")</f>
        <v>#REF!</v>
      </c>
      <c r="N20" t="e">
        <f>AND(#REF!,"dkCObT8Jyw0=")</f>
        <v>#REF!</v>
      </c>
      <c r="O20" t="e">
        <f>AND(#REF!,"dkCObT8Jyw4=")</f>
        <v>#REF!</v>
      </c>
      <c r="P20" t="e">
        <f>AND(#REF!,"dkCObT8Jyw8=")</f>
        <v>#REF!</v>
      </c>
      <c r="Q20" t="e">
        <f>IF(#REF!,"dkCObT8JyxA=",0)</f>
        <v>#REF!</v>
      </c>
      <c r="R20" t="e">
        <f>AND(#REF!,"dkCObT8JyxE=")</f>
        <v>#REF!</v>
      </c>
      <c r="S20" t="e">
        <f>AND(#REF!,"dkCObT8JyxI=")</f>
        <v>#REF!</v>
      </c>
      <c r="T20" t="e">
        <f>AND(#REF!,"dkCObT8JyxM=")</f>
        <v>#REF!</v>
      </c>
      <c r="U20" t="e">
        <f>AND(#REF!,"dkCObT8JyxQ=")</f>
        <v>#REF!</v>
      </c>
      <c r="V20" t="e">
        <f>AND(#REF!,"dkCObT8JyxU=")</f>
        <v>#REF!</v>
      </c>
      <c r="W20" t="e">
        <f>AND(#REF!,"dkCObT8JyxY=")</f>
        <v>#REF!</v>
      </c>
      <c r="X20" t="e">
        <f>AND(#REF!,"dkCObT8Jyxc=")</f>
        <v>#REF!</v>
      </c>
      <c r="Y20" t="e">
        <f>AND(#REF!,"dkCObT8Jyxg=")</f>
        <v>#REF!</v>
      </c>
      <c r="Z20" t="e">
        <f>IF(#REF!,"dkCObT8Jyxk=",0)</f>
        <v>#REF!</v>
      </c>
      <c r="AA20" t="e">
        <f>AND(#REF!,"dkCObT8Jyxo=")</f>
        <v>#REF!</v>
      </c>
      <c r="AB20" t="e">
        <f>AND(#REF!,"dkCObT8Jyxs=")</f>
        <v>#REF!</v>
      </c>
      <c r="AC20" t="e">
        <f>AND(#REF!,"dkCObT8Jyxw=")</f>
        <v>#REF!</v>
      </c>
      <c r="AD20" t="e">
        <f>AND(#REF!,"dkCObT8Jyx0=")</f>
        <v>#REF!</v>
      </c>
      <c r="AE20" t="e">
        <f>AND(#REF!,"dkCObT8Jyx4=")</f>
        <v>#REF!</v>
      </c>
      <c r="AF20" t="e">
        <f>AND(#REF!,"dkCObT8Jyx8=")</f>
        <v>#REF!</v>
      </c>
      <c r="AG20" t="e">
        <f>AND(#REF!,"dkCObT8JyyA=")</f>
        <v>#REF!</v>
      </c>
      <c r="AH20" t="e">
        <f>AND(#REF!,"dkCObT8JyyE=")</f>
        <v>#REF!</v>
      </c>
      <c r="AI20" t="e">
        <f>IF(#REF!,"dkCObT8JyyI=",0)</f>
        <v>#REF!</v>
      </c>
      <c r="AJ20" t="e">
        <f>IF(#REF!,"dkCObT8JyyM=",0)</f>
        <v>#REF!</v>
      </c>
      <c r="AK20" t="e">
        <f>IF(#REF!,"dkCObT8JyyQ=",0)</f>
        <v>#REF!</v>
      </c>
      <c r="AL20" t="e">
        <f>IF(#REF!,"dkCObT8JyyU=",0)</f>
        <v>#REF!</v>
      </c>
      <c r="AM20" t="e">
        <f>IF(#REF!,"dkCObT8JyyY=",0)</f>
        <v>#REF!</v>
      </c>
      <c r="AN20" t="e">
        <f>IF(#REF!,"dkCObT8Jyyc=",0)</f>
        <v>#REF!</v>
      </c>
      <c r="AO20" t="e">
        <f>IF(#REF!,"dkCObT8Jyyg=",0)</f>
        <v>#REF!</v>
      </c>
      <c r="AP20" t="e">
        <f>IF(#REF!,"dkCObT8Jyyk=",0)</f>
        <v>#REF!</v>
      </c>
      <c r="AQ20" t="e">
        <f>IF(#REF!,"dkCObT8Jyyo=",0)</f>
        <v>#REF!</v>
      </c>
      <c r="AR20" t="e">
        <f>IF(#REF!,"dkCObT8Jyys=",0)</f>
        <v>#REF!</v>
      </c>
      <c r="AS20" t="e">
        <f>IF(#REF!,"dkCObT8Jyyw=",0)</f>
        <v>#REF!</v>
      </c>
      <c r="AT20" t="e">
        <f>IF(#REF!,"dkCObT8Jyy0=",0)</f>
        <v>#REF!</v>
      </c>
      <c r="AU20" t="e">
        <f>IF(#REF!,"dkCObT8Jyy4=",0)</f>
        <v>#REF!</v>
      </c>
      <c r="AV20" t="e">
        <f>IF(#REF!,"dkCObT8Jyy8=",0)</f>
        <v>#REF!</v>
      </c>
      <c r="AW20" t="e">
        <f>IF(#REF!,"dkCObT8JyzA=",0)</f>
        <v>#REF!</v>
      </c>
      <c r="AX20" t="e">
        <f>IF(#REF!,"dkCObT8JyzE=",0)</f>
        <v>#REF!</v>
      </c>
      <c r="AY20" t="e">
        <f>IF(#REF!,"dkCObT8JyzI=",0)</f>
        <v>#REF!</v>
      </c>
      <c r="AZ20" t="e">
        <f>IF(#REF!,"dkCObT8JyzM=",0)</f>
        <v>#REF!</v>
      </c>
      <c r="BA20" t="e">
        <f>IF(#REF!,"dkCObT8JyzQ=",0)</f>
        <v>#REF!</v>
      </c>
      <c r="BB20" t="e">
        <f>IF(#REF!,"dkCObT8JyzU=",0)</f>
        <v>#REF!</v>
      </c>
      <c r="BC20" t="e">
        <f>IF(#REF!,"dkCObT8JyzY=",0)</f>
        <v>#REF!</v>
      </c>
      <c r="BD20" t="e">
        <f>IF(#REF!,"dkCObT8Jyzc=",0)</f>
        <v>#REF!</v>
      </c>
      <c r="BE20" t="e">
        <f>IF(#REF!,"dkCObT8Jyzg=",0)</f>
        <v>#REF!</v>
      </c>
      <c r="BF20" t="e">
        <f>IF(#REF!,"dkCObT8Jyzk=",0)</f>
        <v>#REF!</v>
      </c>
      <c r="BG20" t="e">
        <f>AND(#REF!,"dkCObT8Jyzo=")</f>
        <v>#REF!</v>
      </c>
      <c r="BH20" t="e">
        <f>AND(#REF!,"dkCObT8Jyzs=")</f>
        <v>#REF!</v>
      </c>
      <c r="BI20" t="e">
        <f>AND(#REF!,"dkCObT8Jyzw=")</f>
        <v>#REF!</v>
      </c>
      <c r="BJ20" t="e">
        <f>AND(#REF!,"dkCObT8Jyz0=")</f>
        <v>#REF!</v>
      </c>
      <c r="BK20" t="e">
        <f>AND(#REF!,"dkCObT8Jyz4=")</f>
        <v>#REF!</v>
      </c>
      <c r="BL20" t="e">
        <f>AND(#REF!,"dkCObT8Jyz8=")</f>
        <v>#REF!</v>
      </c>
      <c r="BM20" t="e">
        <f>AND(#REF!,"dkCObT8Jy0A=")</f>
        <v>#REF!</v>
      </c>
      <c r="BN20" t="e">
        <f>AND(#REF!,"dkCObT8Jy0E=")</f>
        <v>#REF!</v>
      </c>
      <c r="BO20" t="e">
        <f>AND(#REF!,"dkCObT8Jy0I=")</f>
        <v>#REF!</v>
      </c>
      <c r="BP20" t="e">
        <f>AND(#REF!,"dkCObT8Jy0M=")</f>
        <v>#REF!</v>
      </c>
      <c r="BQ20" t="e">
        <f>AND(#REF!,"dkCObT8Jy0Q=")</f>
        <v>#REF!</v>
      </c>
      <c r="BR20" t="e">
        <f>AND(#REF!,"dkCObT8Jy0U=")</f>
        <v>#REF!</v>
      </c>
      <c r="BS20" t="e">
        <f>AND(#REF!,"dkCObT8Jy0Y=")</f>
        <v>#REF!</v>
      </c>
      <c r="BT20" t="e">
        <f>AND(#REF!,"dkCObT8Jy0c=")</f>
        <v>#REF!</v>
      </c>
      <c r="BU20" t="e">
        <f>AND(#REF!,"dkCObT8Jy0g=")</f>
        <v>#REF!</v>
      </c>
      <c r="BV20" t="e">
        <f>AND(#REF!,"dkCObT8Jy0k=")</f>
        <v>#REF!</v>
      </c>
      <c r="BW20" t="e">
        <f>AND(#REF!,"dkCObT8Jy0o=")</f>
        <v>#REF!</v>
      </c>
      <c r="BX20" t="e">
        <f>AND(#REF!,"dkCObT8Jy0s=")</f>
        <v>#REF!</v>
      </c>
      <c r="BY20" t="e">
        <f>AND(#REF!,"dkCObT8Jy0w=")</f>
        <v>#REF!</v>
      </c>
      <c r="BZ20" t="e">
        <f>AND(#REF!,"dkCObT8Jy00=")</f>
        <v>#REF!</v>
      </c>
      <c r="CA20" t="e">
        <f>AND(#REF!,"dkCObT8Jy04=")</f>
        <v>#REF!</v>
      </c>
      <c r="CB20" t="e">
        <f>AND(#REF!,"dkCObT8Jy08=")</f>
        <v>#REF!</v>
      </c>
      <c r="CC20" t="e">
        <f>AND(#REF!,"dkCObT8Jy1A=")</f>
        <v>#REF!</v>
      </c>
      <c r="CD20" t="e">
        <f>AND(#REF!,"dkCObT8Jy1E=")</f>
        <v>#REF!</v>
      </c>
      <c r="CE20" t="e">
        <f>AND(#REF!,"dkCObT8Jy1I=")</f>
        <v>#REF!</v>
      </c>
      <c r="CF20" t="e">
        <f>AND(#REF!,"dkCObT8Jy1M=")</f>
        <v>#REF!</v>
      </c>
      <c r="CG20" t="e">
        <f>AND(#REF!,"dkCObT8Jy1Q=")</f>
        <v>#REF!</v>
      </c>
      <c r="CH20" t="e">
        <f>AND(#REF!,"dkCObT8Jy1U=")</f>
        <v>#REF!</v>
      </c>
      <c r="CI20" t="e">
        <f>AND(#REF!,"dkCObT8Jy1Y=")</f>
        <v>#REF!</v>
      </c>
      <c r="CJ20" t="e">
        <f>AND(#REF!,"dkCObT8Jy1c=")</f>
        <v>#REF!</v>
      </c>
      <c r="CK20" t="e">
        <f>AND(#REF!,"dkCObT8Jy1g=")</f>
        <v>#REF!</v>
      </c>
      <c r="CL20" t="e">
        <f>AND(#REF!,"dkCObT8Jy1k=")</f>
        <v>#REF!</v>
      </c>
      <c r="CM20" t="e">
        <f>AND(#REF!,"dkCObT8Jy1o=")</f>
        <v>#REF!</v>
      </c>
      <c r="CN20" t="e">
        <f>AND(#REF!,"dkCObT8Jy1s=")</f>
        <v>#REF!</v>
      </c>
      <c r="CO20" t="e">
        <f>AND(#REF!,"dkCObT8Jy1w=")</f>
        <v>#REF!</v>
      </c>
      <c r="CP20" t="e">
        <f>AND(#REF!,"dkCObT8Jy10=")</f>
        <v>#REF!</v>
      </c>
      <c r="CQ20" t="e">
        <f>AND(#REF!,"dkCObT8Jy14=")</f>
        <v>#REF!</v>
      </c>
      <c r="CR20" t="e">
        <f>AND(#REF!,"dkCObT8Jy18=")</f>
        <v>#REF!</v>
      </c>
      <c r="CS20" t="e">
        <f>AND(#REF!,"dkCObT8Jy2A=")</f>
        <v>#REF!</v>
      </c>
      <c r="CT20" t="e">
        <f>AND(#REF!,"dkCObT8Jy2E=")</f>
        <v>#REF!</v>
      </c>
      <c r="CU20" t="e">
        <f>AND(#REF!,"dkCObT8Jy2I=")</f>
        <v>#REF!</v>
      </c>
      <c r="CV20" t="e">
        <f>AND(#REF!,"dkCObT8Jy2M=")</f>
        <v>#REF!</v>
      </c>
      <c r="CW20" t="e">
        <f>AND(#REF!,"dkCObT8Jy2Q=")</f>
        <v>#REF!</v>
      </c>
      <c r="CX20" t="e">
        <f>AND(#REF!,"dkCObT8Jy2U=")</f>
        <v>#REF!</v>
      </c>
      <c r="CY20" t="e">
        <f>AND(#REF!,"dkCObT8Jy2Y=")</f>
        <v>#REF!</v>
      </c>
      <c r="CZ20" t="e">
        <f>AND(#REF!,"dkCObT8Jy2c=")</f>
        <v>#REF!</v>
      </c>
      <c r="DA20" t="e">
        <f>AND(#REF!,"dkCObT8Jy2g=")</f>
        <v>#REF!</v>
      </c>
      <c r="DB20" t="e">
        <f>AND(#REF!,"dkCObT8Jy2k=")</f>
        <v>#REF!</v>
      </c>
      <c r="DC20" t="e">
        <f>AND(#REF!,"dkCObT8Jy2o=")</f>
        <v>#REF!</v>
      </c>
      <c r="DD20" t="e">
        <f>AND(#REF!,"dkCObT8Jy2s=")</f>
        <v>#REF!</v>
      </c>
      <c r="DE20" t="e">
        <f>AND(#REF!,"dkCObT8Jy2w=")</f>
        <v>#REF!</v>
      </c>
      <c r="DF20" t="e">
        <f>AND(#REF!,"dkCObT8Jy20=")</f>
        <v>#REF!</v>
      </c>
      <c r="DG20" t="e">
        <f>AND(#REF!,"dkCObT8Jy24=")</f>
        <v>#REF!</v>
      </c>
      <c r="DH20" t="e">
        <f>AND(#REF!,"dkCObT8Jy28=")</f>
        <v>#REF!</v>
      </c>
      <c r="DI20" t="e">
        <f>AND(#REF!,"dkCObT8Jy3A=")</f>
        <v>#REF!</v>
      </c>
      <c r="DJ20" t="e">
        <f>AND(#REF!,"dkCObT8Jy3E=")</f>
        <v>#REF!</v>
      </c>
      <c r="DK20" t="e">
        <f>AND(#REF!,"dkCObT8Jy3I=")</f>
        <v>#REF!</v>
      </c>
      <c r="DL20" t="e">
        <f>AND(#REF!,"dkCObT8Jy3M=")</f>
        <v>#REF!</v>
      </c>
      <c r="DM20" t="e">
        <f>AND(#REF!,"dkCObT8Jy3Q=")</f>
        <v>#REF!</v>
      </c>
      <c r="DN20" t="e">
        <f>AND(#REF!,"dkCObT8Jy3U=")</f>
        <v>#REF!</v>
      </c>
      <c r="DO20" t="e">
        <f>AND(#REF!,"dkCObT8Jy3Y=")</f>
        <v>#REF!</v>
      </c>
      <c r="DP20" t="e">
        <f>AND(#REF!,"dkCObT8Jy3c=")</f>
        <v>#REF!</v>
      </c>
      <c r="DQ20" t="e">
        <f>AND(#REF!,"dkCObT8Jy3g=")</f>
        <v>#REF!</v>
      </c>
      <c r="DR20" t="e">
        <f>AND(#REF!,"dkCObT8Jy3k=")</f>
        <v>#REF!</v>
      </c>
      <c r="DS20" t="e">
        <f>AND(#REF!,"dkCObT8Jy3o=")</f>
        <v>#REF!</v>
      </c>
      <c r="DT20" t="e">
        <f>AND(#REF!,"dkCObT8Jy3s=")</f>
        <v>#REF!</v>
      </c>
      <c r="DU20" t="e">
        <f>AND(#REF!,"dkCObT8Jy3w=")</f>
        <v>#REF!</v>
      </c>
      <c r="DV20" t="e">
        <f>AND(#REF!,"dkCObT8Jy30=")</f>
        <v>#REF!</v>
      </c>
      <c r="DW20" t="e">
        <f>AND(#REF!,"dkCObT8Jy34=")</f>
        <v>#REF!</v>
      </c>
      <c r="DX20" t="e">
        <f>AND(#REF!,"dkCObT8Jy38=")</f>
        <v>#REF!</v>
      </c>
      <c r="DY20" t="e">
        <f>AND(#REF!,"dkCObT8Jy4A=")</f>
        <v>#REF!</v>
      </c>
      <c r="DZ20" t="e">
        <f>AND(#REF!,"dkCObT8Jy4E=")</f>
        <v>#REF!</v>
      </c>
      <c r="EA20" t="e">
        <f>AND(#REF!,"dkCObT8Jy4I=")</f>
        <v>#REF!</v>
      </c>
      <c r="EB20" t="e">
        <f>AND(#REF!,"dkCObT8Jy4M=")</f>
        <v>#REF!</v>
      </c>
      <c r="EC20" t="e">
        <f>AND(#REF!,"dkCObT8Jy4Q=")</f>
        <v>#REF!</v>
      </c>
      <c r="ED20" t="e">
        <f>AND(#REF!,"dkCObT8Jy4U=")</f>
        <v>#REF!</v>
      </c>
      <c r="EE20" t="e">
        <f>AND(#REF!,"dkCObT8Jy4Y=")</f>
        <v>#REF!</v>
      </c>
      <c r="EF20" t="e">
        <f>AND(#REF!,"dkCObT8Jy4c=")</f>
        <v>#REF!</v>
      </c>
      <c r="EG20" t="e">
        <f>AND(#REF!,"dkCObT8Jy4g=")</f>
        <v>#REF!</v>
      </c>
      <c r="EH20" t="e">
        <f>AND(#REF!,"dkCObT8Jy4k=")</f>
        <v>#REF!</v>
      </c>
      <c r="EI20" t="e">
        <f>AND(#REF!,"dkCObT8Jy4o=")</f>
        <v>#REF!</v>
      </c>
      <c r="EJ20" t="e">
        <f>AND(#REF!,"dkCObT8Jy4s=")</f>
        <v>#REF!</v>
      </c>
      <c r="EK20" t="e">
        <f>AND(#REF!,"dkCObT8Jy4w=")</f>
        <v>#REF!</v>
      </c>
      <c r="EL20" t="e">
        <f>AND(#REF!,"dkCObT8Jy40=")</f>
        <v>#REF!</v>
      </c>
      <c r="EM20" t="e">
        <f>AND(#REF!,"dkCObT8Jy44=")</f>
        <v>#REF!</v>
      </c>
      <c r="EN20" t="e">
        <f>AND(#REF!,"dkCObT8Jy48=")</f>
        <v>#REF!</v>
      </c>
      <c r="EO20" t="e">
        <f>AND(#REF!,"dkCObT8Jy5A=")</f>
        <v>#REF!</v>
      </c>
      <c r="EP20" t="e">
        <f>AND(#REF!,"dkCObT8Jy5E=")</f>
        <v>#REF!</v>
      </c>
      <c r="EQ20" t="e">
        <f>AND(#REF!,"dkCObT8Jy5I=")</f>
        <v>#REF!</v>
      </c>
      <c r="ER20" t="e">
        <f>AND(#REF!,"dkCObT8Jy5M=")</f>
        <v>#REF!</v>
      </c>
      <c r="ES20" t="e">
        <f>AND(#REF!,"dkCObT8Jy5Q=")</f>
        <v>#REF!</v>
      </c>
      <c r="ET20" t="e">
        <f>AND(#REF!,"dkCObT8Jy5U=")</f>
        <v>#REF!</v>
      </c>
      <c r="EU20" t="e">
        <f>AND(#REF!,"dkCObT8Jy5Y=")</f>
        <v>#REF!</v>
      </c>
      <c r="EV20" t="e">
        <f>AND(#REF!,"dkCObT8Jy5c=")</f>
        <v>#REF!</v>
      </c>
      <c r="EW20" t="e">
        <f>AND(#REF!,"dkCObT8Jy5g=")</f>
        <v>#REF!</v>
      </c>
      <c r="EX20" t="e">
        <f>AND(#REF!,"dkCObT8Jy5k=")</f>
        <v>#REF!</v>
      </c>
      <c r="EY20" t="e">
        <f>AND(#REF!,"dkCObT8Jy5o=")</f>
        <v>#REF!</v>
      </c>
      <c r="EZ20" t="e">
        <f>AND(#REF!,"dkCObT8Jy5s=")</f>
        <v>#REF!</v>
      </c>
      <c r="FA20" t="e">
        <f>AND(#REF!,"dkCObT8Jy5w=")</f>
        <v>#REF!</v>
      </c>
      <c r="FB20" t="e">
        <f>AND(#REF!,"dkCObT8Jy50=")</f>
        <v>#REF!</v>
      </c>
      <c r="FC20" t="e">
        <f>AND(#REF!,"dkCObT8Jy54=")</f>
        <v>#REF!</v>
      </c>
      <c r="FD20" t="e">
        <f>AND(#REF!,"dkCObT8Jy58=")</f>
        <v>#REF!</v>
      </c>
      <c r="FE20" t="e">
        <f>AND(#REF!,"dkCObT8Jy6A=")</f>
        <v>#REF!</v>
      </c>
      <c r="FF20" t="e">
        <f>AND(#REF!,"dkCObT8Jy6E=")</f>
        <v>#REF!</v>
      </c>
      <c r="FG20" t="e">
        <f>AND(#REF!,"dkCObT8Jy6I=")</f>
        <v>#REF!</v>
      </c>
      <c r="FH20" t="e">
        <f>AND(#REF!,"dkCObT8Jy6M=")</f>
        <v>#REF!</v>
      </c>
      <c r="FI20" t="e">
        <f>AND(#REF!,"dkCObT8Jy6Q=")</f>
        <v>#REF!</v>
      </c>
      <c r="FJ20" t="e">
        <f>AND(#REF!,"dkCObT8Jy6U=")</f>
        <v>#REF!</v>
      </c>
      <c r="FK20" t="e">
        <f>AND(#REF!,"dkCObT8Jy6Y=")</f>
        <v>#REF!</v>
      </c>
      <c r="FL20" t="e">
        <f>AND(#REF!,"dkCObT8Jy6c=")</f>
        <v>#REF!</v>
      </c>
      <c r="FM20" t="e">
        <f>AND(#REF!,"dkCObT8Jy6g=")</f>
        <v>#REF!</v>
      </c>
      <c r="FN20" t="e">
        <f>AND(#REF!,"dkCObT8Jy6k=")</f>
        <v>#REF!</v>
      </c>
      <c r="FO20" t="e">
        <f>AND(#REF!,"dkCObT8Jy6o=")</f>
        <v>#REF!</v>
      </c>
      <c r="FP20" t="e">
        <f>AND(#REF!,"dkCObT8Jy6s=")</f>
        <v>#REF!</v>
      </c>
      <c r="FQ20" t="e">
        <f>AND(#REF!,"dkCObT8Jy6w=")</f>
        <v>#REF!</v>
      </c>
      <c r="FR20" t="e">
        <f>AND(#REF!,"dkCObT8Jy60=")</f>
        <v>#REF!</v>
      </c>
      <c r="FS20" t="e">
        <f>AND(#REF!,"dkCObT8Jy64=")</f>
        <v>#REF!</v>
      </c>
      <c r="FT20" t="e">
        <f>AND(#REF!,"dkCObT8Jy68=")</f>
        <v>#REF!</v>
      </c>
      <c r="FU20" t="e">
        <f>AND(#REF!,"dkCObT8Jy7A=")</f>
        <v>#REF!</v>
      </c>
      <c r="FV20" t="e">
        <f>AND(#REF!,"dkCObT8Jy7E=")</f>
        <v>#REF!</v>
      </c>
      <c r="FW20" t="e">
        <f>AND(#REF!,"dkCObT8Jy7I=")</f>
        <v>#REF!</v>
      </c>
      <c r="FX20" t="e">
        <f>AND(#REF!,"dkCObT8Jy7M=")</f>
        <v>#REF!</v>
      </c>
      <c r="FY20" t="e">
        <f>AND(#REF!,"dkCObT8Jy7Q=")</f>
        <v>#REF!</v>
      </c>
      <c r="FZ20" t="e">
        <f>AND(#REF!,"dkCObT8Jy7U=")</f>
        <v>#REF!</v>
      </c>
      <c r="GA20" t="e">
        <f>AND(#REF!,"dkCObT8Jy7Y=")</f>
        <v>#REF!</v>
      </c>
      <c r="GB20" t="e">
        <f>AND(#REF!,"dkCObT8Jy7c=")</f>
        <v>#REF!</v>
      </c>
      <c r="GC20" t="e">
        <f>AND(#REF!,"dkCObT8Jy7g=")</f>
        <v>#REF!</v>
      </c>
      <c r="GD20" t="e">
        <f>AND(#REF!,"dkCObT8Jy7k=")</f>
        <v>#REF!</v>
      </c>
      <c r="GE20" t="e">
        <f>AND(#REF!,"dkCObT8Jy7o=")</f>
        <v>#REF!</v>
      </c>
      <c r="GF20" t="e">
        <f>AND(#REF!,"dkCObT8Jy7s=")</f>
        <v>#REF!</v>
      </c>
      <c r="GG20" t="e">
        <f>AND(#REF!,"dkCObT8Jy7w=")</f>
        <v>#REF!</v>
      </c>
      <c r="GH20" t="e">
        <f>AND(#REF!,"dkCObT8Jy70=")</f>
        <v>#REF!</v>
      </c>
      <c r="GI20" t="e">
        <f>AND(#REF!,"dkCObT8Jy74=")</f>
        <v>#REF!</v>
      </c>
      <c r="GJ20" t="e">
        <f>AND(#REF!,"dkCObT8Jy78=")</f>
        <v>#REF!</v>
      </c>
      <c r="GK20" t="e">
        <f>AND(#REF!,"dkCObT8Jy8A=")</f>
        <v>#REF!</v>
      </c>
      <c r="GL20" t="e">
        <f>AND(#REF!,"dkCObT8Jy8E=")</f>
        <v>#REF!</v>
      </c>
      <c r="GM20" t="e">
        <f>AND(#REF!,"dkCObT8Jy8I=")</f>
        <v>#REF!</v>
      </c>
      <c r="GN20" t="e">
        <f>AND(#REF!,"dkCObT8Jy8M=")</f>
        <v>#REF!</v>
      </c>
      <c r="GO20" t="e">
        <f>AND(#REF!,"dkCObT8Jy8Q=")</f>
        <v>#REF!</v>
      </c>
      <c r="GP20" t="e">
        <f>AND(#REF!,"dkCObT8Jy8U=")</f>
        <v>#REF!</v>
      </c>
      <c r="GQ20" t="e">
        <f>AND(#REF!,"dkCObT8Jy8Y=")</f>
        <v>#REF!</v>
      </c>
      <c r="GR20" t="e">
        <f>AND(#REF!,"dkCObT8Jy8c=")</f>
        <v>#REF!</v>
      </c>
      <c r="GS20" t="e">
        <f>AND(#REF!,"dkCObT8Jy8g=")</f>
        <v>#REF!</v>
      </c>
      <c r="GT20" t="e">
        <f>AND(#REF!,"dkCObT8Jy8k=")</f>
        <v>#REF!</v>
      </c>
      <c r="GU20" t="e">
        <f>AND(#REF!,"dkCObT8Jy8o=")</f>
        <v>#REF!</v>
      </c>
      <c r="GV20" t="e">
        <f>AND(#REF!,"dkCObT8Jy8s=")</f>
        <v>#REF!</v>
      </c>
      <c r="GW20" t="e">
        <f>AND(#REF!,"dkCObT8Jy8w=")</f>
        <v>#REF!</v>
      </c>
      <c r="GX20" t="e">
        <f>AND(#REF!,"dkCObT8Jy80=")</f>
        <v>#REF!</v>
      </c>
      <c r="GY20" t="e">
        <f>AND(#REF!,"dkCObT8Jy84=")</f>
        <v>#REF!</v>
      </c>
      <c r="GZ20" t="e">
        <f>AND(#REF!,"dkCObT8Jy88=")</f>
        <v>#REF!</v>
      </c>
      <c r="HA20" t="e">
        <f>AND(#REF!,"dkCObT8Jy9A=")</f>
        <v>#REF!</v>
      </c>
      <c r="HB20" t="e">
        <f>AND(#REF!,"dkCObT8Jy9E=")</f>
        <v>#REF!</v>
      </c>
      <c r="HC20" t="e">
        <f>AND(#REF!,"dkCObT8Jy9I=")</f>
        <v>#REF!</v>
      </c>
      <c r="HD20" t="e">
        <f>AND(#REF!,"dkCObT8Jy9M=")</f>
        <v>#REF!</v>
      </c>
      <c r="HE20" t="e">
        <f>AND(#REF!,"dkCObT8Jy9Q=")</f>
        <v>#REF!</v>
      </c>
      <c r="HF20" t="e">
        <f>AND(#REF!,"dkCObT8Jy9U=")</f>
        <v>#REF!</v>
      </c>
      <c r="HG20" t="e">
        <f>AND(#REF!,"dkCObT8Jy9Y=")</f>
        <v>#REF!</v>
      </c>
      <c r="HH20" t="e">
        <f>AND(#REF!,"dkCObT8Jy9c=")</f>
        <v>#REF!</v>
      </c>
      <c r="HI20" t="e">
        <f>AND(#REF!,"dkCObT8Jy9g=")</f>
        <v>#REF!</v>
      </c>
      <c r="HJ20" t="e">
        <f>AND(#REF!,"dkCObT8Jy9k=")</f>
        <v>#REF!</v>
      </c>
      <c r="HK20" t="e">
        <f>AND(#REF!,"dkCObT8Jy9o=")</f>
        <v>#REF!</v>
      </c>
      <c r="HL20" t="e">
        <f>AND(#REF!,"dkCObT8Jy9s=")</f>
        <v>#REF!</v>
      </c>
      <c r="HM20" t="e">
        <f>AND(#REF!,"dkCObT8Jy9w=")</f>
        <v>#REF!</v>
      </c>
      <c r="HN20" t="e">
        <f>AND(#REF!,"dkCObT8Jy90=")</f>
        <v>#REF!</v>
      </c>
      <c r="HO20" t="e">
        <f>AND(#REF!,"dkCObT8Jy94=")</f>
        <v>#REF!</v>
      </c>
      <c r="HP20" t="e">
        <f>AND(#REF!,"dkCObT8Jy98=")</f>
        <v>#REF!</v>
      </c>
      <c r="HQ20" t="e">
        <f>AND(#REF!,"dkCObT8Jy+A=")</f>
        <v>#REF!</v>
      </c>
      <c r="HR20" t="e">
        <f>AND(#REF!,"dkCObT8Jy+E=")</f>
        <v>#REF!</v>
      </c>
      <c r="HS20" t="e">
        <f>AND(#REF!,"dkCObT8Jy+I=")</f>
        <v>#REF!</v>
      </c>
      <c r="HT20" t="e">
        <f>AND(#REF!,"dkCObT8Jy+M=")</f>
        <v>#REF!</v>
      </c>
      <c r="HU20" t="e">
        <f>AND(#REF!,"dkCObT8Jy+Q=")</f>
        <v>#REF!</v>
      </c>
      <c r="HV20" t="e">
        <f>AND(#REF!,"dkCObT8Jy+U=")</f>
        <v>#REF!</v>
      </c>
      <c r="HW20" t="e">
        <f>AND(#REF!,"dkCObT8Jy+Y=")</f>
        <v>#REF!</v>
      </c>
      <c r="HX20" t="e">
        <f>AND(#REF!,"dkCObT8Jy+c=")</f>
        <v>#REF!</v>
      </c>
      <c r="HY20" t="e">
        <f>AND(#REF!,"dkCObT8Jy+g=")</f>
        <v>#REF!</v>
      </c>
      <c r="HZ20" t="e">
        <f>AND(#REF!,"dkCObT8Jy+k=")</f>
        <v>#REF!</v>
      </c>
      <c r="IA20" t="e">
        <f>AND(#REF!,"dkCObT8Jy+o=")</f>
        <v>#REF!</v>
      </c>
      <c r="IB20" t="e">
        <f>AND(#REF!,"dkCObT8Jy+s=")</f>
        <v>#REF!</v>
      </c>
      <c r="IC20" t="e">
        <f>AND(#REF!,"dkCObT8Jy+w=")</f>
        <v>#REF!</v>
      </c>
      <c r="ID20" t="e">
        <f>AND(#REF!,"dkCObT8Jy+0=")</f>
        <v>#REF!</v>
      </c>
      <c r="IE20" t="e">
        <f>AND(#REF!,"dkCObT8Jy+4=")</f>
        <v>#REF!</v>
      </c>
      <c r="IF20" t="e">
        <f>AND(#REF!,"dkCObT8Jy+8=")</f>
        <v>#REF!</v>
      </c>
      <c r="IG20" t="e">
        <f>AND(#REF!,"dkCObT8Jy/A=")</f>
        <v>#REF!</v>
      </c>
      <c r="IH20" t="e">
        <f>AND(#REF!,"dkCObT8Jy/E=")</f>
        <v>#REF!</v>
      </c>
      <c r="II20" t="e">
        <f>AND(#REF!,"dkCObT8Jy/I=")</f>
        <v>#REF!</v>
      </c>
      <c r="IJ20" t="e">
        <f>AND(#REF!,"dkCObT8Jy/M=")</f>
        <v>#REF!</v>
      </c>
      <c r="IK20" t="e">
        <f>AND(#REF!,"dkCObT8Jy/Q=")</f>
        <v>#REF!</v>
      </c>
      <c r="IL20" t="e">
        <f>AND(#REF!,"dkCObT8Jy/U=")</f>
        <v>#REF!</v>
      </c>
      <c r="IM20" t="e">
        <f>AND(#REF!,"dkCObT8Jy/Y=")</f>
        <v>#REF!</v>
      </c>
      <c r="IN20" t="e">
        <f>AND(#REF!,"dkCObT8Jy/c=")</f>
        <v>#REF!</v>
      </c>
      <c r="IO20" t="e">
        <f>AND(#REF!,"dkCObT8Jy/g=")</f>
        <v>#REF!</v>
      </c>
      <c r="IP20" t="e">
        <f>AND(#REF!,"dkCObT8Jy/k=")</f>
        <v>#REF!</v>
      </c>
      <c r="IQ20" t="e">
        <f>AND(#REF!,"dkCObT8Jy/o=")</f>
        <v>#REF!</v>
      </c>
      <c r="IR20" t="e">
        <f>AND(#REF!,"dkCObT8Jy/s=")</f>
        <v>#REF!</v>
      </c>
      <c r="IS20" t="e">
        <f>AND(#REF!,"dkCObT8Jy/w=")</f>
        <v>#REF!</v>
      </c>
      <c r="IT20" t="e">
        <f>AND(#REF!,"dkCObT8Jy/0=")</f>
        <v>#REF!</v>
      </c>
      <c r="IU20" t="e">
        <f>AND(#REF!,"dkCObT8Jy/4=")</f>
        <v>#REF!</v>
      </c>
      <c r="IV20" t="e">
        <f>AND(#REF!,"dkCObT8Jy/8=")</f>
        <v>#REF!</v>
      </c>
    </row>
    <row r="21" spans="1:256" x14ac:dyDescent="0.2">
      <c r="A21" t="e">
        <f>IF(#REF!,"aco112bjdQA=",0)</f>
        <v>#REF!</v>
      </c>
      <c r="B21" t="e">
        <f>AND(#REF!,"aco112bjdQE=")</f>
        <v>#REF!</v>
      </c>
      <c r="C21" t="e">
        <f>AND(#REF!,"aco112bjdQI=")</f>
        <v>#REF!</v>
      </c>
      <c r="D21" t="e">
        <f>AND(#REF!,"aco112bjdQM=")</f>
        <v>#REF!</v>
      </c>
      <c r="E21" t="e">
        <f>AND(#REF!,"aco112bjdQQ=")</f>
        <v>#REF!</v>
      </c>
      <c r="F21" t="e">
        <f>AND(#REF!,"aco112bjdQU=")</f>
        <v>#REF!</v>
      </c>
      <c r="G21" t="e">
        <f>AND(#REF!,"aco112bjdQY=")</f>
        <v>#REF!</v>
      </c>
      <c r="H21" t="e">
        <f>AND(#REF!,"aco112bjdQc=")</f>
        <v>#REF!</v>
      </c>
      <c r="I21" t="e">
        <f>AND(#REF!,"aco112bjdQg=")</f>
        <v>#REF!</v>
      </c>
      <c r="J21" t="e">
        <f>AND(#REF!,"aco112bjdQk=")</f>
        <v>#REF!</v>
      </c>
      <c r="K21" t="e">
        <f>AND(#REF!,"aco112bjdQo=")</f>
        <v>#REF!</v>
      </c>
      <c r="L21" t="e">
        <f>AND(#REF!,"aco112bjdQs=")</f>
        <v>#REF!</v>
      </c>
      <c r="M21" t="e">
        <f>AND(#REF!,"aco112bjdQw=")</f>
        <v>#REF!</v>
      </c>
      <c r="N21" t="e">
        <f>AND(#REF!,"aco112bjdQ0=")</f>
        <v>#REF!</v>
      </c>
      <c r="O21" t="e">
        <f>AND(#REF!,"aco112bjdQ4=")</f>
        <v>#REF!</v>
      </c>
      <c r="P21" t="e">
        <f>AND(#REF!,"aco112bjdQ8=")</f>
        <v>#REF!</v>
      </c>
      <c r="Q21" t="e">
        <f>AND(#REF!,"aco112bjdRA=")</f>
        <v>#REF!</v>
      </c>
      <c r="R21" t="e">
        <f>AND(#REF!,"aco112bjdRE=")</f>
        <v>#REF!</v>
      </c>
      <c r="S21" t="e">
        <f>AND(#REF!,"aco112bjdRI=")</f>
        <v>#REF!</v>
      </c>
      <c r="T21" t="e">
        <f>AND(#REF!,"aco112bjdRM=")</f>
        <v>#REF!</v>
      </c>
      <c r="U21" t="e">
        <f>AND(#REF!,"aco112bjdRQ=")</f>
        <v>#REF!</v>
      </c>
      <c r="V21" t="e">
        <f>AND(#REF!,"aco112bjdRU=")</f>
        <v>#REF!</v>
      </c>
      <c r="W21" t="e">
        <f>AND(#REF!,"aco112bjdRY=")</f>
        <v>#REF!</v>
      </c>
      <c r="X21" t="e">
        <f>AND(#REF!,"aco112bjdRc=")</f>
        <v>#REF!</v>
      </c>
      <c r="Y21" t="e">
        <f>AND(#REF!,"aco112bjdRg=")</f>
        <v>#REF!</v>
      </c>
      <c r="Z21" t="e">
        <f>AND(#REF!,"aco112bjdRk=")</f>
        <v>#REF!</v>
      </c>
      <c r="AA21" t="e">
        <f>AND(#REF!,"aco112bjdRo=")</f>
        <v>#REF!</v>
      </c>
      <c r="AB21" t="e">
        <f>AND(#REF!,"aco112bjdRs=")</f>
        <v>#REF!</v>
      </c>
      <c r="AC21" t="e">
        <f>AND(#REF!,"aco112bjdRw=")</f>
        <v>#REF!</v>
      </c>
      <c r="AD21" t="e">
        <f>AND(#REF!,"aco112bjdR0=")</f>
        <v>#REF!</v>
      </c>
      <c r="AE21" t="e">
        <f>AND(#REF!,"aco112bjdR4=")</f>
        <v>#REF!</v>
      </c>
      <c r="AF21" t="e">
        <f>AND(#REF!,"aco112bjdR8=")</f>
        <v>#REF!</v>
      </c>
      <c r="AG21" t="e">
        <f>AND(#REF!,"aco112bjdSA=")</f>
        <v>#REF!</v>
      </c>
      <c r="AH21" t="e">
        <f>AND(#REF!,"aco112bjdSE=")</f>
        <v>#REF!</v>
      </c>
      <c r="AI21" t="e">
        <f>AND(#REF!,"aco112bjdSI=")</f>
        <v>#REF!</v>
      </c>
      <c r="AJ21" t="e">
        <f>AND(#REF!,"aco112bjdSM=")</f>
        <v>#REF!</v>
      </c>
      <c r="AK21" t="e">
        <f>AND(#REF!,"aco112bjdSQ=")</f>
        <v>#REF!</v>
      </c>
      <c r="AL21" t="e">
        <f>AND(#REF!,"aco112bjdSU=")</f>
        <v>#REF!</v>
      </c>
      <c r="AM21" t="e">
        <f>AND(#REF!,"aco112bjdSY=")</f>
        <v>#REF!</v>
      </c>
      <c r="AN21" t="e">
        <f>AND(#REF!,"aco112bjdSc=")</f>
        <v>#REF!</v>
      </c>
      <c r="AO21" t="e">
        <f>AND(#REF!,"aco112bjdSg=")</f>
        <v>#REF!</v>
      </c>
      <c r="AP21" t="e">
        <f>AND(#REF!,"aco112bjdSk=")</f>
        <v>#REF!</v>
      </c>
      <c r="AQ21" t="e">
        <f>AND(#REF!,"aco112bjdSo=")</f>
        <v>#REF!</v>
      </c>
      <c r="AR21" t="e">
        <f>AND(#REF!,"aco112bjdSs=")</f>
        <v>#REF!</v>
      </c>
      <c r="AS21" t="e">
        <f>AND(#REF!,"aco112bjdSw=")</f>
        <v>#REF!</v>
      </c>
      <c r="AT21" t="e">
        <f>AND(#REF!,"aco112bjdS0=")</f>
        <v>#REF!</v>
      </c>
      <c r="AU21" t="e">
        <f>AND(#REF!,"aco112bjdS4=")</f>
        <v>#REF!</v>
      </c>
      <c r="AV21" t="e">
        <f>AND(#REF!,"aco112bjdS8=")</f>
        <v>#REF!</v>
      </c>
      <c r="AW21" t="e">
        <f>AND(#REF!,"aco112bjdTA=")</f>
        <v>#REF!</v>
      </c>
      <c r="AX21" t="e">
        <f>AND(#REF!,"aco112bjdTE=")</f>
        <v>#REF!</v>
      </c>
      <c r="AY21" t="e">
        <f>AND(#REF!,"aco112bjdTI=")</f>
        <v>#REF!</v>
      </c>
      <c r="AZ21" t="e">
        <f>AND(#REF!,"aco112bjdTM=")</f>
        <v>#REF!</v>
      </c>
      <c r="BA21" t="e">
        <f>AND(#REF!,"aco112bjdTQ=")</f>
        <v>#REF!</v>
      </c>
      <c r="BB21" t="e">
        <f>AND(#REF!,"aco112bjdTU=")</f>
        <v>#REF!</v>
      </c>
      <c r="BC21" t="e">
        <f>AND(#REF!,"aco112bjdTY=")</f>
        <v>#REF!</v>
      </c>
      <c r="BD21" t="e">
        <f>AND(#REF!,"aco112bjdTc=")</f>
        <v>#REF!</v>
      </c>
      <c r="BE21" t="e">
        <f>AND(#REF!,"aco112bjdTg=")</f>
        <v>#REF!</v>
      </c>
      <c r="BF21" t="e">
        <f>AND(#REF!,"aco112bjdTk=")</f>
        <v>#REF!</v>
      </c>
      <c r="BG21" t="e">
        <f>AND(#REF!,"aco112bjdTo=")</f>
        <v>#REF!</v>
      </c>
      <c r="BH21" t="e">
        <f>AND(#REF!,"aco112bjdTs=")</f>
        <v>#REF!</v>
      </c>
      <c r="BI21" t="e">
        <f>AND(#REF!,"aco112bjdTw=")</f>
        <v>#REF!</v>
      </c>
      <c r="BJ21" t="e">
        <f>AND(#REF!,"aco112bjdT0=")</f>
        <v>#REF!</v>
      </c>
      <c r="BK21" t="e">
        <f>AND(#REF!,"aco112bjdT4=")</f>
        <v>#REF!</v>
      </c>
      <c r="BL21" t="e">
        <f>AND(#REF!,"aco112bjdT8=")</f>
        <v>#REF!</v>
      </c>
      <c r="BM21" t="e">
        <f>AND(#REF!,"aco112bjdUA=")</f>
        <v>#REF!</v>
      </c>
      <c r="BN21" t="e">
        <f>AND(#REF!,"aco112bjdUE=")</f>
        <v>#REF!</v>
      </c>
      <c r="BO21" t="e">
        <f>AND(#REF!,"aco112bjdUI=")</f>
        <v>#REF!</v>
      </c>
      <c r="BP21" t="e">
        <f>AND(#REF!,"aco112bjdUM=")</f>
        <v>#REF!</v>
      </c>
      <c r="BQ21" t="e">
        <f>AND(#REF!,"aco112bjdUQ=")</f>
        <v>#REF!</v>
      </c>
      <c r="BR21" t="e">
        <f>AND(#REF!,"aco112bjdUU=")</f>
        <v>#REF!</v>
      </c>
      <c r="BS21" t="e">
        <f>AND(#REF!,"aco112bjdUY=")</f>
        <v>#REF!</v>
      </c>
      <c r="BT21" t="e">
        <f>AND(#REF!,"aco112bjdUc=")</f>
        <v>#REF!</v>
      </c>
      <c r="BU21" t="e">
        <f>AND(#REF!,"aco112bjdUg=")</f>
        <v>#REF!</v>
      </c>
      <c r="BV21" t="e">
        <f>AND(#REF!,"aco112bjdUk=")</f>
        <v>#REF!</v>
      </c>
      <c r="BW21" t="e">
        <f>AND(#REF!,"aco112bjdUo=")</f>
        <v>#REF!</v>
      </c>
      <c r="BX21" t="e">
        <f>AND(#REF!,"aco112bjdUs=")</f>
        <v>#REF!</v>
      </c>
      <c r="BY21" t="e">
        <f>AND(#REF!,"aco112bjdUw=")</f>
        <v>#REF!</v>
      </c>
      <c r="BZ21" t="e">
        <f>AND(#REF!,"aco112bjdU0=")</f>
        <v>#REF!</v>
      </c>
      <c r="CA21" t="e">
        <f>AND(#REF!,"aco112bjdU4=")</f>
        <v>#REF!</v>
      </c>
      <c r="CB21" t="e">
        <f>AND(#REF!,"aco112bjdU8=")</f>
        <v>#REF!</v>
      </c>
      <c r="CC21" t="e">
        <f>AND(#REF!,"aco112bjdVA=")</f>
        <v>#REF!</v>
      </c>
      <c r="CD21" t="e">
        <f>AND(#REF!,"aco112bjdVE=")</f>
        <v>#REF!</v>
      </c>
      <c r="CE21" t="e">
        <f>AND(#REF!,"aco112bjdVI=")</f>
        <v>#REF!</v>
      </c>
      <c r="CF21" t="e">
        <f>AND(#REF!,"aco112bjdVM=")</f>
        <v>#REF!</v>
      </c>
      <c r="CG21" t="e">
        <f>AND(#REF!,"aco112bjdVQ=")</f>
        <v>#REF!</v>
      </c>
      <c r="CH21" t="e">
        <f>AND(#REF!,"aco112bjdVU=")</f>
        <v>#REF!</v>
      </c>
      <c r="CI21" t="e">
        <f>AND(#REF!,"aco112bjdVY=")</f>
        <v>#REF!</v>
      </c>
      <c r="CJ21" t="e">
        <f>AND(#REF!,"aco112bjdVc=")</f>
        <v>#REF!</v>
      </c>
      <c r="CK21" t="e">
        <f>AND(#REF!,"aco112bjdVg=")</f>
        <v>#REF!</v>
      </c>
      <c r="CL21" t="e">
        <f>AND(#REF!,"aco112bjdVk=")</f>
        <v>#REF!</v>
      </c>
      <c r="CM21" t="e">
        <f>AND(#REF!,"aco112bjdVo=")</f>
        <v>#REF!</v>
      </c>
      <c r="CN21" t="e">
        <f>AND(#REF!,"aco112bjdVs=")</f>
        <v>#REF!</v>
      </c>
      <c r="CO21" t="e">
        <f>AND(#REF!,"aco112bjdVw=")</f>
        <v>#REF!</v>
      </c>
      <c r="CP21" t="e">
        <f>AND(#REF!,"aco112bjdV0=")</f>
        <v>#REF!</v>
      </c>
      <c r="CQ21" t="e">
        <f>AND(#REF!,"aco112bjdV4=")</f>
        <v>#REF!</v>
      </c>
      <c r="CR21" t="e">
        <f>AND(#REF!,"aco112bjdV8=")</f>
        <v>#REF!</v>
      </c>
      <c r="CS21" t="e">
        <f>AND(#REF!,"aco112bjdWA=")</f>
        <v>#REF!</v>
      </c>
      <c r="CT21" t="e">
        <f>AND(#REF!,"aco112bjdWE=")</f>
        <v>#REF!</v>
      </c>
      <c r="CU21" t="e">
        <f>AND(#REF!,"aco112bjdWI=")</f>
        <v>#REF!</v>
      </c>
      <c r="CV21" t="e">
        <f>AND(#REF!,"aco112bjdWM=")</f>
        <v>#REF!</v>
      </c>
      <c r="CW21" t="e">
        <f>AND(#REF!,"aco112bjdWQ=")</f>
        <v>#REF!</v>
      </c>
      <c r="CX21" t="e">
        <f>AND(#REF!,"aco112bjdWU=")</f>
        <v>#REF!</v>
      </c>
      <c r="CY21" t="e">
        <f>AND(#REF!,"aco112bjdWY=")</f>
        <v>#REF!</v>
      </c>
      <c r="CZ21" t="e">
        <f>AND(#REF!,"aco112bjdWc=")</f>
        <v>#REF!</v>
      </c>
      <c r="DA21" t="e">
        <f>AND(#REF!,"aco112bjdWg=")</f>
        <v>#REF!</v>
      </c>
      <c r="DB21" t="e">
        <f>AND(#REF!,"aco112bjdWk=")</f>
        <v>#REF!</v>
      </c>
      <c r="DC21" t="e">
        <f>AND(#REF!,"aco112bjdWo=")</f>
        <v>#REF!</v>
      </c>
      <c r="DD21" t="e">
        <f>AND(#REF!,"aco112bjdWs=")</f>
        <v>#REF!</v>
      </c>
      <c r="DE21" t="e">
        <f>AND(#REF!,"aco112bjdWw=")</f>
        <v>#REF!</v>
      </c>
      <c r="DF21" t="e">
        <f>AND(#REF!,"aco112bjdW0=")</f>
        <v>#REF!</v>
      </c>
      <c r="DG21" t="e">
        <f>AND(#REF!,"aco112bjdW4=")</f>
        <v>#REF!</v>
      </c>
      <c r="DH21" t="e">
        <f>AND(#REF!,"aco112bjdW8=")</f>
        <v>#REF!</v>
      </c>
      <c r="DI21" t="e">
        <f>AND(#REF!,"aco112bjdXA=")</f>
        <v>#REF!</v>
      </c>
      <c r="DJ21" t="e">
        <f>AND(#REF!,"aco112bjdXE=")</f>
        <v>#REF!</v>
      </c>
      <c r="DK21" t="e">
        <f>AND(#REF!,"aco112bjdXI=")</f>
        <v>#REF!</v>
      </c>
      <c r="DL21" t="e">
        <f>AND(#REF!,"aco112bjdXM=")</f>
        <v>#REF!</v>
      </c>
      <c r="DM21" t="e">
        <f>AND(#REF!,"aco112bjdXQ=")</f>
        <v>#REF!</v>
      </c>
      <c r="DN21" t="e">
        <f>AND(#REF!,"aco112bjdXU=")</f>
        <v>#REF!</v>
      </c>
      <c r="DO21" t="e">
        <f>AND(#REF!,"aco112bjdXY=")</f>
        <v>#REF!</v>
      </c>
      <c r="DP21" t="e">
        <f>AND(#REF!,"aco112bjdXc=")</f>
        <v>#REF!</v>
      </c>
      <c r="DQ21" t="e">
        <f>AND(#REF!,"aco112bjdXg=")</f>
        <v>#REF!</v>
      </c>
      <c r="DR21" t="e">
        <f>AND(#REF!,"aco112bjdXk=")</f>
        <v>#REF!</v>
      </c>
      <c r="DS21" t="e">
        <f>AND(#REF!,"aco112bjdXo=")</f>
        <v>#REF!</v>
      </c>
      <c r="DT21" t="e">
        <f>AND(#REF!,"aco112bjdXs=")</f>
        <v>#REF!</v>
      </c>
      <c r="DU21" t="e">
        <f>AND(#REF!,"aco112bjdXw=")</f>
        <v>#REF!</v>
      </c>
      <c r="DV21" t="e">
        <f>AND(#REF!,"aco112bjdX0=")</f>
        <v>#REF!</v>
      </c>
      <c r="DW21" t="e">
        <f>AND(#REF!,"aco112bjdX4=")</f>
        <v>#REF!</v>
      </c>
      <c r="DX21" t="e">
        <f>AND(#REF!,"aco112bjdX8=")</f>
        <v>#REF!</v>
      </c>
      <c r="DY21" t="e">
        <f>AND(#REF!,"aco112bjdYA=")</f>
        <v>#REF!</v>
      </c>
      <c r="DZ21" t="e">
        <f>AND(#REF!,"aco112bjdYE=")</f>
        <v>#REF!</v>
      </c>
      <c r="EA21" t="e">
        <f>AND(#REF!,"aco112bjdYI=")</f>
        <v>#REF!</v>
      </c>
      <c r="EB21" t="e">
        <f>AND(#REF!,"aco112bjdYM=")</f>
        <v>#REF!</v>
      </c>
      <c r="EC21" t="e">
        <f>AND(#REF!,"aco112bjdYQ=")</f>
        <v>#REF!</v>
      </c>
      <c r="ED21" t="e">
        <f>AND(#REF!,"aco112bjdYU=")</f>
        <v>#REF!</v>
      </c>
      <c r="EE21" t="e">
        <f>AND(#REF!,"aco112bjdYY=")</f>
        <v>#REF!</v>
      </c>
      <c r="EF21" t="e">
        <f>AND(#REF!,"aco112bjdYc=")</f>
        <v>#REF!</v>
      </c>
      <c r="EG21" t="e">
        <f>AND(#REF!,"aco112bjdYg=")</f>
        <v>#REF!</v>
      </c>
      <c r="EH21" t="e">
        <f>AND(#REF!,"aco112bjdYk=")</f>
        <v>#REF!</v>
      </c>
      <c r="EI21" t="e">
        <f>AND(#REF!,"aco112bjdYo=")</f>
        <v>#REF!</v>
      </c>
      <c r="EJ21" t="e">
        <f>AND(#REF!,"aco112bjdYs=")</f>
        <v>#REF!</v>
      </c>
      <c r="EK21" t="e">
        <f>AND(#REF!,"aco112bjdYw=")</f>
        <v>#REF!</v>
      </c>
      <c r="EL21" t="e">
        <f>AND(#REF!,"aco112bjdY0=")</f>
        <v>#REF!</v>
      </c>
      <c r="EM21" t="e">
        <f>AND(#REF!,"aco112bjdY4=")</f>
        <v>#REF!</v>
      </c>
      <c r="EN21" t="e">
        <f>AND(#REF!,"aco112bjdY8=")</f>
        <v>#REF!</v>
      </c>
      <c r="EO21" t="e">
        <f>AND(#REF!,"aco112bjdZA=")</f>
        <v>#REF!</v>
      </c>
      <c r="EP21" t="e">
        <f>AND(#REF!,"aco112bjdZE=")</f>
        <v>#REF!</v>
      </c>
      <c r="EQ21" t="e">
        <f>AND(#REF!,"aco112bjdZI=")</f>
        <v>#REF!</v>
      </c>
      <c r="ER21" t="e">
        <f>AND(#REF!,"aco112bjdZM=")</f>
        <v>#REF!</v>
      </c>
      <c r="ES21" t="e">
        <f>AND(#REF!,"aco112bjdZQ=")</f>
        <v>#REF!</v>
      </c>
      <c r="ET21" t="e">
        <f>AND(#REF!,"aco112bjdZU=")</f>
        <v>#REF!</v>
      </c>
      <c r="EU21" t="e">
        <f>AND(#REF!,"aco112bjdZY=")</f>
        <v>#REF!</v>
      </c>
      <c r="EV21" t="e">
        <f>AND(#REF!,"aco112bjdZc=")</f>
        <v>#REF!</v>
      </c>
      <c r="EW21" t="e">
        <f>AND(#REF!,"aco112bjdZg=")</f>
        <v>#REF!</v>
      </c>
      <c r="EX21" t="e">
        <f>AND(#REF!,"aco112bjdZk=")</f>
        <v>#REF!</v>
      </c>
      <c r="EY21" t="e">
        <f>AND(#REF!,"aco112bjdZo=")</f>
        <v>#REF!</v>
      </c>
      <c r="EZ21" t="e">
        <f>AND(#REF!,"aco112bjdZs=")</f>
        <v>#REF!</v>
      </c>
      <c r="FA21" t="e">
        <f>AND(#REF!,"aco112bjdZw=")</f>
        <v>#REF!</v>
      </c>
      <c r="FB21" t="e">
        <f>AND(#REF!,"aco112bjdZ0=")</f>
        <v>#REF!</v>
      </c>
      <c r="FC21" t="e">
        <f>AND(#REF!,"aco112bjdZ4=")</f>
        <v>#REF!</v>
      </c>
      <c r="FD21" t="e">
        <f>AND(#REF!,"aco112bjdZ8=")</f>
        <v>#REF!</v>
      </c>
      <c r="FE21" t="e">
        <f>AND(#REF!,"aco112bjdaA=")</f>
        <v>#REF!</v>
      </c>
      <c r="FF21" t="e">
        <f>AND(#REF!,"aco112bjdaE=")</f>
        <v>#REF!</v>
      </c>
      <c r="FG21" t="e">
        <f>AND(#REF!,"aco112bjdaI=")</f>
        <v>#REF!</v>
      </c>
      <c r="FH21" t="e">
        <f>AND(#REF!,"aco112bjdaM=")</f>
        <v>#REF!</v>
      </c>
      <c r="FI21" t="e">
        <f>AND(#REF!,"aco112bjdaQ=")</f>
        <v>#REF!</v>
      </c>
      <c r="FJ21" t="e">
        <f>AND(#REF!,"aco112bjdaU=")</f>
        <v>#REF!</v>
      </c>
      <c r="FK21" t="e">
        <f>AND(#REF!,"aco112bjdaY=")</f>
        <v>#REF!</v>
      </c>
      <c r="FL21" t="e">
        <f>AND(#REF!,"aco112bjdac=")</f>
        <v>#REF!</v>
      </c>
      <c r="FM21" t="e">
        <f>AND(#REF!,"aco112bjdag=")</f>
        <v>#REF!</v>
      </c>
      <c r="FN21" t="e">
        <f>AND(#REF!,"aco112bjdak=")</f>
        <v>#REF!</v>
      </c>
      <c r="FO21" t="e">
        <f>AND(#REF!,"aco112bjdao=")</f>
        <v>#REF!</v>
      </c>
      <c r="FP21" t="e">
        <f>AND(#REF!,"aco112bjdas=")</f>
        <v>#REF!</v>
      </c>
      <c r="FQ21" t="e">
        <f>AND(#REF!,"aco112bjdaw=")</f>
        <v>#REF!</v>
      </c>
      <c r="FR21" t="e">
        <f>AND(#REF!,"aco112bjda0=")</f>
        <v>#REF!</v>
      </c>
      <c r="FS21" t="e">
        <f>AND(#REF!,"aco112bjda4=")</f>
        <v>#REF!</v>
      </c>
      <c r="FT21" t="e">
        <f>AND(#REF!,"aco112bjda8=")</f>
        <v>#REF!</v>
      </c>
      <c r="FU21" t="e">
        <f>AND(#REF!,"aco112bjdbA=")</f>
        <v>#REF!</v>
      </c>
      <c r="FV21" t="e">
        <f>AND(#REF!,"aco112bjdbE=")</f>
        <v>#REF!</v>
      </c>
      <c r="FW21" t="e">
        <f>AND(#REF!,"aco112bjdbI=")</f>
        <v>#REF!</v>
      </c>
      <c r="FX21" t="e">
        <f>AND(#REF!,"aco112bjdbM=")</f>
        <v>#REF!</v>
      </c>
      <c r="FY21" t="e">
        <f>AND(#REF!,"aco112bjdbQ=")</f>
        <v>#REF!</v>
      </c>
      <c r="FZ21" t="e">
        <f>AND(#REF!,"aco112bjdbU=")</f>
        <v>#REF!</v>
      </c>
      <c r="GA21" t="e">
        <f>AND(#REF!,"aco112bjdbY=")</f>
        <v>#REF!</v>
      </c>
      <c r="GB21" t="e">
        <f>AND(#REF!,"aco112bjdbc=")</f>
        <v>#REF!</v>
      </c>
      <c r="GC21" t="e">
        <f>AND(#REF!,"aco112bjdbg=")</f>
        <v>#REF!</v>
      </c>
      <c r="GD21" t="e">
        <f>AND(#REF!,"aco112bjdbk=")</f>
        <v>#REF!</v>
      </c>
      <c r="GE21" t="e">
        <f>AND(#REF!,"aco112bjdbo=")</f>
        <v>#REF!</v>
      </c>
      <c r="GF21" t="e">
        <f>AND(#REF!,"aco112bjdbs=")</f>
        <v>#REF!</v>
      </c>
      <c r="GG21" t="e">
        <f>AND(#REF!,"aco112bjdbw=")</f>
        <v>#REF!</v>
      </c>
      <c r="GH21" t="e">
        <f>AND(#REF!,"aco112bjdb0=")</f>
        <v>#REF!</v>
      </c>
      <c r="GI21" t="e">
        <f>AND(#REF!,"aco112bjdb4=")</f>
        <v>#REF!</v>
      </c>
      <c r="GJ21" t="e">
        <f>AND(#REF!,"aco112bjdb8=")</f>
        <v>#REF!</v>
      </c>
      <c r="GK21" t="e">
        <f>AND(#REF!,"aco112bjdcA=")</f>
        <v>#REF!</v>
      </c>
      <c r="GL21" t="e">
        <f>AND(#REF!,"aco112bjdcE=")</f>
        <v>#REF!</v>
      </c>
      <c r="GM21" t="e">
        <f>AND(#REF!,"aco112bjdcI=")</f>
        <v>#REF!</v>
      </c>
      <c r="GN21" t="e">
        <f>AND(#REF!,"aco112bjdcM=")</f>
        <v>#REF!</v>
      </c>
      <c r="GO21" t="e">
        <f>AND(#REF!,"aco112bjdcQ=")</f>
        <v>#REF!</v>
      </c>
      <c r="GP21" t="e">
        <f>AND(#REF!,"aco112bjdcU=")</f>
        <v>#REF!</v>
      </c>
      <c r="GQ21" t="e">
        <f>AND(#REF!,"aco112bjdcY=")</f>
        <v>#REF!</v>
      </c>
      <c r="GR21" t="e">
        <f>IF(#REF!,"aco112bjdcc=",0)</f>
        <v>#REF!</v>
      </c>
      <c r="GS21" t="e">
        <f>AND(#REF!,"aco112bjdcg=")</f>
        <v>#REF!</v>
      </c>
      <c r="GT21" t="e">
        <f>AND(#REF!,"aco112bjdck=")</f>
        <v>#REF!</v>
      </c>
      <c r="GU21" t="e">
        <f>AND(#REF!,"aco112bjdco=")</f>
        <v>#REF!</v>
      </c>
      <c r="GV21" t="e">
        <f>AND(#REF!,"aco112bjdcs=")</f>
        <v>#REF!</v>
      </c>
      <c r="GW21" t="e">
        <f>AND(#REF!,"aco112bjdcw=")</f>
        <v>#REF!</v>
      </c>
      <c r="GX21" t="e">
        <f>AND(#REF!,"aco112bjdc0=")</f>
        <v>#REF!</v>
      </c>
      <c r="GY21" t="e">
        <f>AND(#REF!,"aco112bjdc4=")</f>
        <v>#REF!</v>
      </c>
      <c r="GZ21" t="e">
        <f>AND(#REF!,"aco112bjdc8=")</f>
        <v>#REF!</v>
      </c>
      <c r="HA21" t="e">
        <f>AND(#REF!,"aco112bjddA=")</f>
        <v>#REF!</v>
      </c>
      <c r="HB21" t="e">
        <f>AND(#REF!,"aco112bjddE=")</f>
        <v>#REF!</v>
      </c>
      <c r="HC21" t="e">
        <f>AND(#REF!,"aco112bjddI=")</f>
        <v>#REF!</v>
      </c>
      <c r="HD21" t="e">
        <f>AND(#REF!,"aco112bjddM=")</f>
        <v>#REF!</v>
      </c>
      <c r="HE21" t="e">
        <f>AND(#REF!,"aco112bjddQ=")</f>
        <v>#REF!</v>
      </c>
      <c r="HF21" t="e">
        <f>AND(#REF!,"aco112bjddU=")</f>
        <v>#REF!</v>
      </c>
      <c r="HG21" t="e">
        <f>AND(#REF!,"aco112bjddY=")</f>
        <v>#REF!</v>
      </c>
      <c r="HH21" t="e">
        <f>AND(#REF!,"aco112bjddc=")</f>
        <v>#REF!</v>
      </c>
      <c r="HI21" t="e">
        <f>AND(#REF!,"aco112bjddg=")</f>
        <v>#REF!</v>
      </c>
      <c r="HJ21" t="e">
        <f>AND(#REF!,"aco112bjddk=")</f>
        <v>#REF!</v>
      </c>
      <c r="HK21" t="e">
        <f>AND(#REF!,"aco112bjddo=")</f>
        <v>#REF!</v>
      </c>
      <c r="HL21" t="e">
        <f>AND(#REF!,"aco112bjdds=")</f>
        <v>#REF!</v>
      </c>
      <c r="HM21" t="e">
        <f>AND(#REF!,"aco112bjddw=")</f>
        <v>#REF!</v>
      </c>
      <c r="HN21" t="e">
        <f>AND(#REF!,"aco112bjdd0=")</f>
        <v>#REF!</v>
      </c>
      <c r="HO21" t="e">
        <f>AND(#REF!,"aco112bjdd4=")</f>
        <v>#REF!</v>
      </c>
      <c r="HP21" t="e">
        <f>AND(#REF!,"aco112bjdd8=")</f>
        <v>#REF!</v>
      </c>
      <c r="HQ21" t="e">
        <f>AND(#REF!,"aco112bjdeA=")</f>
        <v>#REF!</v>
      </c>
      <c r="HR21" t="e">
        <f>AND(#REF!,"aco112bjdeE=")</f>
        <v>#REF!</v>
      </c>
      <c r="HS21" t="e">
        <f>AND(#REF!,"aco112bjdeI=")</f>
        <v>#REF!</v>
      </c>
      <c r="HT21" t="e">
        <f>AND(#REF!,"aco112bjdeM=")</f>
        <v>#REF!</v>
      </c>
      <c r="HU21" t="e">
        <f>AND(#REF!,"aco112bjdeQ=")</f>
        <v>#REF!</v>
      </c>
      <c r="HV21" t="e">
        <f>AND(#REF!,"aco112bjdeU=")</f>
        <v>#REF!</v>
      </c>
      <c r="HW21" t="e">
        <f>AND(#REF!,"aco112bjdeY=")</f>
        <v>#REF!</v>
      </c>
      <c r="HX21" t="e">
        <f>AND(#REF!,"aco112bjdec=")</f>
        <v>#REF!</v>
      </c>
      <c r="HY21" t="e">
        <f>AND(#REF!,"aco112bjdeg=")</f>
        <v>#REF!</v>
      </c>
      <c r="HZ21" t="e">
        <f>AND(#REF!,"aco112bjdek=")</f>
        <v>#REF!</v>
      </c>
      <c r="IA21" t="e">
        <f>AND(#REF!,"aco112bjdeo=")</f>
        <v>#REF!</v>
      </c>
      <c r="IB21" t="e">
        <f>AND(#REF!,"aco112bjdes=")</f>
        <v>#REF!</v>
      </c>
      <c r="IC21" t="e">
        <f>AND(#REF!,"aco112bjdew=")</f>
        <v>#REF!</v>
      </c>
      <c r="ID21" t="e">
        <f>AND(#REF!,"aco112bjde0=")</f>
        <v>#REF!</v>
      </c>
      <c r="IE21" t="e">
        <f>AND(#REF!,"aco112bjde4=")</f>
        <v>#REF!</v>
      </c>
      <c r="IF21" t="e">
        <f>AND(#REF!,"aco112bjde8=")</f>
        <v>#REF!</v>
      </c>
      <c r="IG21" t="e">
        <f>AND(#REF!,"aco112bjdfA=")</f>
        <v>#REF!</v>
      </c>
      <c r="IH21" t="e">
        <f>AND(#REF!,"aco112bjdfE=")</f>
        <v>#REF!</v>
      </c>
      <c r="II21" t="e">
        <f>AND(#REF!,"aco112bjdfI=")</f>
        <v>#REF!</v>
      </c>
      <c r="IJ21" t="e">
        <f>AND(#REF!,"aco112bjdfM=")</f>
        <v>#REF!</v>
      </c>
      <c r="IK21" t="e">
        <f>AND(#REF!,"aco112bjdfQ=")</f>
        <v>#REF!</v>
      </c>
      <c r="IL21" t="e">
        <f>AND(#REF!,"aco112bjdfU=")</f>
        <v>#REF!</v>
      </c>
      <c r="IM21" t="e">
        <f>AND(#REF!,"aco112bjdfY=")</f>
        <v>#REF!</v>
      </c>
      <c r="IN21" t="e">
        <f>AND(#REF!,"aco112bjdfc=")</f>
        <v>#REF!</v>
      </c>
      <c r="IO21" t="e">
        <f>AND(#REF!,"aco112bjdfg=")</f>
        <v>#REF!</v>
      </c>
      <c r="IP21" t="e">
        <f>AND(#REF!,"aco112bjdfk=")</f>
        <v>#REF!</v>
      </c>
      <c r="IQ21" t="e">
        <f>AND(#REF!,"aco112bjdfo=")</f>
        <v>#REF!</v>
      </c>
      <c r="IR21" t="e">
        <f>AND(#REF!,"aco112bjdfs=")</f>
        <v>#REF!</v>
      </c>
      <c r="IS21" t="e">
        <f>AND(#REF!,"aco112bjdfw=")</f>
        <v>#REF!</v>
      </c>
      <c r="IT21" t="e">
        <f>AND(#REF!,"aco112bjdf0=")</f>
        <v>#REF!</v>
      </c>
      <c r="IU21" t="e">
        <f>AND(#REF!,"aco112bjdf4=")</f>
        <v>#REF!</v>
      </c>
      <c r="IV21" t="e">
        <f>AND(#REF!,"aco112bjdf8=")</f>
        <v>#REF!</v>
      </c>
    </row>
    <row r="22" spans="1:256" x14ac:dyDescent="0.2">
      <c r="A22" t="e">
        <f>AND(#REF!,"Coks6A1eZAA=")</f>
        <v>#REF!</v>
      </c>
      <c r="B22" t="e">
        <f>AND(#REF!,"Coks6A1eZAE=")</f>
        <v>#REF!</v>
      </c>
      <c r="C22" t="e">
        <f>AND(#REF!,"Coks6A1eZAI=")</f>
        <v>#REF!</v>
      </c>
      <c r="D22" t="e">
        <f>AND(#REF!,"Coks6A1eZAM=")</f>
        <v>#REF!</v>
      </c>
      <c r="E22" t="e">
        <f>AND(#REF!,"Coks6A1eZAQ=")</f>
        <v>#REF!</v>
      </c>
      <c r="F22" t="e">
        <f>AND(#REF!,"Coks6A1eZAU=")</f>
        <v>#REF!</v>
      </c>
      <c r="G22" t="e">
        <f>AND(#REF!,"Coks6A1eZAY=")</f>
        <v>#REF!</v>
      </c>
      <c r="H22" t="e">
        <f>AND(#REF!,"Coks6A1eZAc=")</f>
        <v>#REF!</v>
      </c>
      <c r="I22" t="e">
        <f>AND(#REF!,"Coks6A1eZAg=")</f>
        <v>#REF!</v>
      </c>
      <c r="J22" t="e">
        <f>AND(#REF!,"Coks6A1eZAk=")</f>
        <v>#REF!</v>
      </c>
      <c r="K22" t="e">
        <f>AND(#REF!,"Coks6A1eZAo=")</f>
        <v>#REF!</v>
      </c>
      <c r="L22" t="e">
        <f>AND(#REF!,"Coks6A1eZAs=")</f>
        <v>#REF!</v>
      </c>
      <c r="M22" t="e">
        <f>AND(#REF!,"Coks6A1eZAw=")</f>
        <v>#REF!</v>
      </c>
      <c r="N22" t="e">
        <f>AND(#REF!,"Coks6A1eZA0=")</f>
        <v>#REF!</v>
      </c>
      <c r="O22" t="e">
        <f>AND(#REF!,"Coks6A1eZA4=")</f>
        <v>#REF!</v>
      </c>
      <c r="P22" t="e">
        <f>AND(#REF!,"Coks6A1eZA8=")</f>
        <v>#REF!</v>
      </c>
      <c r="Q22" t="e">
        <f>AND(#REF!,"Coks6A1eZBA=")</f>
        <v>#REF!</v>
      </c>
      <c r="R22" t="e">
        <f>AND(#REF!,"Coks6A1eZBE=")</f>
        <v>#REF!</v>
      </c>
      <c r="S22" t="e">
        <f>AND(#REF!,"Coks6A1eZBI=")</f>
        <v>#REF!</v>
      </c>
      <c r="T22" t="e">
        <f>AND(#REF!,"Coks6A1eZBM=")</f>
        <v>#REF!</v>
      </c>
      <c r="U22" t="e">
        <f>AND(#REF!,"Coks6A1eZBQ=")</f>
        <v>#REF!</v>
      </c>
      <c r="V22" t="e">
        <f>AND(#REF!,"Coks6A1eZBU=")</f>
        <v>#REF!</v>
      </c>
      <c r="W22" t="e">
        <f>AND(#REF!,"Coks6A1eZBY=")</f>
        <v>#REF!</v>
      </c>
      <c r="X22" t="e">
        <f>AND(#REF!,"Coks6A1eZBc=")</f>
        <v>#REF!</v>
      </c>
      <c r="Y22" t="e">
        <f>AND(#REF!,"Coks6A1eZBg=")</f>
        <v>#REF!</v>
      </c>
      <c r="Z22" t="e">
        <f>AND(#REF!,"Coks6A1eZBk=")</f>
        <v>#REF!</v>
      </c>
      <c r="AA22" t="e">
        <f>AND(#REF!,"Coks6A1eZBo=")</f>
        <v>#REF!</v>
      </c>
      <c r="AB22" t="e">
        <f>AND(#REF!,"Coks6A1eZBs=")</f>
        <v>#REF!</v>
      </c>
      <c r="AC22" t="e">
        <f>AND(#REF!,"Coks6A1eZBw=")</f>
        <v>#REF!</v>
      </c>
      <c r="AD22" t="e">
        <f>AND(#REF!,"Coks6A1eZB0=")</f>
        <v>#REF!</v>
      </c>
      <c r="AE22" t="e">
        <f>AND(#REF!,"Coks6A1eZB4=")</f>
        <v>#REF!</v>
      </c>
      <c r="AF22" t="e">
        <f>AND(#REF!,"Coks6A1eZB8=")</f>
        <v>#REF!</v>
      </c>
      <c r="AG22" t="e">
        <f>AND(#REF!,"Coks6A1eZCA=")</f>
        <v>#REF!</v>
      </c>
      <c r="AH22" t="e">
        <f>AND(#REF!,"Coks6A1eZCE=")</f>
        <v>#REF!</v>
      </c>
      <c r="AI22" t="e">
        <f>AND(#REF!,"Coks6A1eZCI=")</f>
        <v>#REF!</v>
      </c>
      <c r="AJ22" t="e">
        <f>AND(#REF!,"Coks6A1eZCM=")</f>
        <v>#REF!</v>
      </c>
      <c r="AK22" t="e">
        <f>AND(#REF!,"Coks6A1eZCQ=")</f>
        <v>#REF!</v>
      </c>
      <c r="AL22" t="e">
        <f>AND(#REF!,"Coks6A1eZCU=")</f>
        <v>#REF!</v>
      </c>
      <c r="AM22" t="e">
        <f>AND(#REF!,"Coks6A1eZCY=")</f>
        <v>#REF!</v>
      </c>
      <c r="AN22" t="e">
        <f>AND(#REF!,"Coks6A1eZCc=")</f>
        <v>#REF!</v>
      </c>
      <c r="AO22" t="e">
        <f>AND(#REF!,"Coks6A1eZCg=")</f>
        <v>#REF!</v>
      </c>
      <c r="AP22" t="e">
        <f>AND(#REF!,"Coks6A1eZCk=")</f>
        <v>#REF!</v>
      </c>
      <c r="AQ22" t="e">
        <f>AND(#REF!,"Coks6A1eZCo=")</f>
        <v>#REF!</v>
      </c>
      <c r="AR22" t="e">
        <f>AND(#REF!,"Coks6A1eZCs=")</f>
        <v>#REF!</v>
      </c>
      <c r="AS22" t="e">
        <f>AND(#REF!,"Coks6A1eZCw=")</f>
        <v>#REF!</v>
      </c>
      <c r="AT22" t="e">
        <f>AND(#REF!,"Coks6A1eZC0=")</f>
        <v>#REF!</v>
      </c>
      <c r="AU22" t="e">
        <f>AND(#REF!,"Coks6A1eZC4=")</f>
        <v>#REF!</v>
      </c>
      <c r="AV22" t="e">
        <f>AND(#REF!,"Coks6A1eZC8=")</f>
        <v>#REF!</v>
      </c>
      <c r="AW22" t="e">
        <f>AND(#REF!,"Coks6A1eZDA=")</f>
        <v>#REF!</v>
      </c>
      <c r="AX22" t="e">
        <f>AND(#REF!,"Coks6A1eZDE=")</f>
        <v>#REF!</v>
      </c>
      <c r="AY22" t="e">
        <f>AND(#REF!,"Coks6A1eZDI=")</f>
        <v>#REF!</v>
      </c>
      <c r="AZ22" t="e">
        <f>AND(#REF!,"Coks6A1eZDM=")</f>
        <v>#REF!</v>
      </c>
      <c r="BA22" t="e">
        <f>AND(#REF!,"Coks6A1eZDQ=")</f>
        <v>#REF!</v>
      </c>
      <c r="BB22" t="e">
        <f>AND(#REF!,"Coks6A1eZDU=")</f>
        <v>#REF!</v>
      </c>
      <c r="BC22" t="e">
        <f>AND(#REF!,"Coks6A1eZDY=")</f>
        <v>#REF!</v>
      </c>
      <c r="BD22" t="e">
        <f>AND(#REF!,"Coks6A1eZDc=")</f>
        <v>#REF!</v>
      </c>
      <c r="BE22" t="e">
        <f>AND(#REF!,"Coks6A1eZDg=")</f>
        <v>#REF!</v>
      </c>
      <c r="BF22" t="e">
        <f>AND(#REF!,"Coks6A1eZDk=")</f>
        <v>#REF!</v>
      </c>
      <c r="BG22" t="e">
        <f>AND(#REF!,"Coks6A1eZDo=")</f>
        <v>#REF!</v>
      </c>
      <c r="BH22" t="e">
        <f>AND(#REF!,"Coks6A1eZDs=")</f>
        <v>#REF!</v>
      </c>
      <c r="BI22" t="e">
        <f>AND(#REF!,"Coks6A1eZDw=")</f>
        <v>#REF!</v>
      </c>
      <c r="BJ22" t="e">
        <f>AND(#REF!,"Coks6A1eZD0=")</f>
        <v>#REF!</v>
      </c>
      <c r="BK22" t="e">
        <f>AND(#REF!,"Coks6A1eZD4=")</f>
        <v>#REF!</v>
      </c>
      <c r="BL22" t="e">
        <f>AND(#REF!,"Coks6A1eZD8=")</f>
        <v>#REF!</v>
      </c>
      <c r="BM22" t="e">
        <f>AND(#REF!,"Coks6A1eZEA=")</f>
        <v>#REF!</v>
      </c>
      <c r="BN22" t="e">
        <f>AND(#REF!,"Coks6A1eZEE=")</f>
        <v>#REF!</v>
      </c>
      <c r="BO22" t="e">
        <f>AND(#REF!,"Coks6A1eZEI=")</f>
        <v>#REF!</v>
      </c>
      <c r="BP22" t="e">
        <f>AND(#REF!,"Coks6A1eZEM=")</f>
        <v>#REF!</v>
      </c>
      <c r="BQ22" t="e">
        <f>AND(#REF!,"Coks6A1eZEQ=")</f>
        <v>#REF!</v>
      </c>
      <c r="BR22" t="e">
        <f>AND(#REF!,"Coks6A1eZEU=")</f>
        <v>#REF!</v>
      </c>
      <c r="BS22" t="e">
        <f>AND(#REF!,"Coks6A1eZEY=")</f>
        <v>#REF!</v>
      </c>
      <c r="BT22" t="e">
        <f>AND(#REF!,"Coks6A1eZEc=")</f>
        <v>#REF!</v>
      </c>
      <c r="BU22" t="e">
        <f>AND(#REF!,"Coks6A1eZEg=")</f>
        <v>#REF!</v>
      </c>
      <c r="BV22" t="e">
        <f>AND(#REF!,"Coks6A1eZEk=")</f>
        <v>#REF!</v>
      </c>
      <c r="BW22" t="e">
        <f>AND(#REF!,"Coks6A1eZEo=")</f>
        <v>#REF!</v>
      </c>
      <c r="BX22" t="e">
        <f>AND(#REF!,"Coks6A1eZEs=")</f>
        <v>#REF!</v>
      </c>
      <c r="BY22" t="e">
        <f>AND(#REF!,"Coks6A1eZEw=")</f>
        <v>#REF!</v>
      </c>
      <c r="BZ22" t="e">
        <f>AND(#REF!,"Coks6A1eZE0=")</f>
        <v>#REF!</v>
      </c>
      <c r="CA22" t="e">
        <f>AND(#REF!,"Coks6A1eZE4=")</f>
        <v>#REF!</v>
      </c>
      <c r="CB22" t="e">
        <f>AND(#REF!,"Coks6A1eZE8=")</f>
        <v>#REF!</v>
      </c>
      <c r="CC22" t="e">
        <f>AND(#REF!,"Coks6A1eZFA=")</f>
        <v>#REF!</v>
      </c>
      <c r="CD22" t="e">
        <f>AND(#REF!,"Coks6A1eZFE=")</f>
        <v>#REF!</v>
      </c>
      <c r="CE22" t="e">
        <f>AND(#REF!,"Coks6A1eZFI=")</f>
        <v>#REF!</v>
      </c>
      <c r="CF22" t="e">
        <f>AND(#REF!,"Coks6A1eZFM=")</f>
        <v>#REF!</v>
      </c>
      <c r="CG22" t="e">
        <f>AND(#REF!,"Coks6A1eZFQ=")</f>
        <v>#REF!</v>
      </c>
      <c r="CH22" t="e">
        <f>AND(#REF!,"Coks6A1eZFU=")</f>
        <v>#REF!</v>
      </c>
      <c r="CI22" t="e">
        <f>AND(#REF!,"Coks6A1eZFY=")</f>
        <v>#REF!</v>
      </c>
      <c r="CJ22" t="e">
        <f>AND(#REF!,"Coks6A1eZFc=")</f>
        <v>#REF!</v>
      </c>
      <c r="CK22" t="e">
        <f>AND(#REF!,"Coks6A1eZFg=")</f>
        <v>#REF!</v>
      </c>
      <c r="CL22" t="e">
        <f>AND(#REF!,"Coks6A1eZFk=")</f>
        <v>#REF!</v>
      </c>
      <c r="CM22" t="e">
        <f>AND(#REF!,"Coks6A1eZFo=")</f>
        <v>#REF!</v>
      </c>
      <c r="CN22" t="e">
        <f>AND(#REF!,"Coks6A1eZFs=")</f>
        <v>#REF!</v>
      </c>
      <c r="CO22" t="e">
        <f>AND(#REF!,"Coks6A1eZFw=")</f>
        <v>#REF!</v>
      </c>
      <c r="CP22" t="e">
        <f>AND(#REF!,"Coks6A1eZF0=")</f>
        <v>#REF!</v>
      </c>
      <c r="CQ22" t="e">
        <f>AND(#REF!,"Coks6A1eZF4=")</f>
        <v>#REF!</v>
      </c>
      <c r="CR22" t="e">
        <f>AND(#REF!,"Coks6A1eZF8=")</f>
        <v>#REF!</v>
      </c>
      <c r="CS22" t="e">
        <f>AND(#REF!,"Coks6A1eZGA=")</f>
        <v>#REF!</v>
      </c>
      <c r="CT22" t="e">
        <f>AND(#REF!,"Coks6A1eZGE=")</f>
        <v>#REF!</v>
      </c>
      <c r="CU22" t="e">
        <f>AND(#REF!,"Coks6A1eZGI=")</f>
        <v>#REF!</v>
      </c>
      <c r="CV22" t="e">
        <f>AND(#REF!,"Coks6A1eZGM=")</f>
        <v>#REF!</v>
      </c>
      <c r="CW22" t="e">
        <f>AND(#REF!,"Coks6A1eZGQ=")</f>
        <v>#REF!</v>
      </c>
      <c r="CX22" t="e">
        <f>AND(#REF!,"Coks6A1eZGU=")</f>
        <v>#REF!</v>
      </c>
      <c r="CY22" t="e">
        <f>AND(#REF!,"Coks6A1eZGY=")</f>
        <v>#REF!</v>
      </c>
      <c r="CZ22" t="e">
        <f>AND(#REF!,"Coks6A1eZGc=")</f>
        <v>#REF!</v>
      </c>
      <c r="DA22" t="e">
        <f>AND(#REF!,"Coks6A1eZGg=")</f>
        <v>#REF!</v>
      </c>
      <c r="DB22" t="e">
        <f>AND(#REF!,"Coks6A1eZGk=")</f>
        <v>#REF!</v>
      </c>
      <c r="DC22" t="e">
        <f>AND(#REF!,"Coks6A1eZGo=")</f>
        <v>#REF!</v>
      </c>
      <c r="DD22" t="e">
        <f>AND(#REF!,"Coks6A1eZGs=")</f>
        <v>#REF!</v>
      </c>
      <c r="DE22" t="e">
        <f>AND(#REF!,"Coks6A1eZGw=")</f>
        <v>#REF!</v>
      </c>
      <c r="DF22" t="e">
        <f>AND(#REF!,"Coks6A1eZG0=")</f>
        <v>#REF!</v>
      </c>
      <c r="DG22" t="e">
        <f>AND(#REF!,"Coks6A1eZG4=")</f>
        <v>#REF!</v>
      </c>
      <c r="DH22" t="e">
        <f>AND(#REF!,"Coks6A1eZG8=")</f>
        <v>#REF!</v>
      </c>
      <c r="DI22" t="e">
        <f>AND(#REF!,"Coks6A1eZHA=")</f>
        <v>#REF!</v>
      </c>
      <c r="DJ22" t="e">
        <f>AND(#REF!,"Coks6A1eZHE=")</f>
        <v>#REF!</v>
      </c>
      <c r="DK22" t="e">
        <f>AND(#REF!,"Coks6A1eZHI=")</f>
        <v>#REF!</v>
      </c>
      <c r="DL22" t="e">
        <f>AND(#REF!,"Coks6A1eZHM=")</f>
        <v>#REF!</v>
      </c>
      <c r="DM22" t="e">
        <f>AND(#REF!,"Coks6A1eZHQ=")</f>
        <v>#REF!</v>
      </c>
      <c r="DN22" t="e">
        <f>AND(#REF!,"Coks6A1eZHU=")</f>
        <v>#REF!</v>
      </c>
      <c r="DO22" t="e">
        <f>AND(#REF!,"Coks6A1eZHY=")</f>
        <v>#REF!</v>
      </c>
      <c r="DP22" t="e">
        <f>AND(#REF!,"Coks6A1eZHc=")</f>
        <v>#REF!</v>
      </c>
      <c r="DQ22" t="e">
        <f>AND(#REF!,"Coks6A1eZHg=")</f>
        <v>#REF!</v>
      </c>
      <c r="DR22" t="e">
        <f>AND(#REF!,"Coks6A1eZHk=")</f>
        <v>#REF!</v>
      </c>
      <c r="DS22" t="e">
        <f>AND(#REF!,"Coks6A1eZHo=")</f>
        <v>#REF!</v>
      </c>
      <c r="DT22" t="e">
        <f>AND(#REF!,"Coks6A1eZHs=")</f>
        <v>#REF!</v>
      </c>
      <c r="DU22" t="e">
        <f>AND(#REF!,"Coks6A1eZHw=")</f>
        <v>#REF!</v>
      </c>
      <c r="DV22" t="e">
        <f>AND(#REF!,"Coks6A1eZH0=")</f>
        <v>#REF!</v>
      </c>
      <c r="DW22" t="e">
        <f>AND(#REF!,"Coks6A1eZH4=")</f>
        <v>#REF!</v>
      </c>
      <c r="DX22" t="e">
        <f>AND(#REF!,"Coks6A1eZH8=")</f>
        <v>#REF!</v>
      </c>
      <c r="DY22" t="e">
        <f>AND(#REF!,"Coks6A1eZIA=")</f>
        <v>#REF!</v>
      </c>
      <c r="DZ22" t="e">
        <f>AND(#REF!,"Coks6A1eZIE=")</f>
        <v>#REF!</v>
      </c>
      <c r="EA22" t="e">
        <f>AND(#REF!,"Coks6A1eZII=")</f>
        <v>#REF!</v>
      </c>
      <c r="EB22" t="e">
        <f>AND(#REF!,"Coks6A1eZIM=")</f>
        <v>#REF!</v>
      </c>
      <c r="EC22" t="e">
        <f>AND(#REF!,"Coks6A1eZIQ=")</f>
        <v>#REF!</v>
      </c>
      <c r="ED22" t="e">
        <f>AND(#REF!,"Coks6A1eZIU=")</f>
        <v>#REF!</v>
      </c>
      <c r="EE22" t="e">
        <f>AND(#REF!,"Coks6A1eZIY=")</f>
        <v>#REF!</v>
      </c>
      <c r="EF22" t="e">
        <f>AND(#REF!,"Coks6A1eZIc=")</f>
        <v>#REF!</v>
      </c>
      <c r="EG22" t="e">
        <f>AND(#REF!,"Coks6A1eZIg=")</f>
        <v>#REF!</v>
      </c>
      <c r="EH22" t="e">
        <f>AND(#REF!,"Coks6A1eZIk=")</f>
        <v>#REF!</v>
      </c>
      <c r="EI22" t="e">
        <f>AND(#REF!,"Coks6A1eZIo=")</f>
        <v>#REF!</v>
      </c>
      <c r="EJ22" t="e">
        <f>AND(#REF!,"Coks6A1eZIs=")</f>
        <v>#REF!</v>
      </c>
      <c r="EK22" t="e">
        <f>AND(#REF!,"Coks6A1eZIw=")</f>
        <v>#REF!</v>
      </c>
      <c r="EL22" t="e">
        <f>AND(#REF!,"Coks6A1eZI0=")</f>
        <v>#REF!</v>
      </c>
      <c r="EM22" t="e">
        <f>IF(#REF!,"Coks6A1eZI4=",0)</f>
        <v>#REF!</v>
      </c>
      <c r="EN22" t="e">
        <f>AND(#REF!,"Coks6A1eZI8=")</f>
        <v>#REF!</v>
      </c>
      <c r="EO22" t="e">
        <f>AND(#REF!,"Coks6A1eZJA=")</f>
        <v>#REF!</v>
      </c>
      <c r="EP22" t="e">
        <f>AND(#REF!,"Coks6A1eZJE=")</f>
        <v>#REF!</v>
      </c>
      <c r="EQ22" t="e">
        <f>AND(#REF!,"Coks6A1eZJI=")</f>
        <v>#REF!</v>
      </c>
      <c r="ER22" t="e">
        <f>AND(#REF!,"Coks6A1eZJM=")</f>
        <v>#REF!</v>
      </c>
      <c r="ES22" t="e">
        <f>AND(#REF!,"Coks6A1eZJQ=")</f>
        <v>#REF!</v>
      </c>
      <c r="ET22" t="e">
        <f>AND(#REF!,"Coks6A1eZJU=")</f>
        <v>#REF!</v>
      </c>
      <c r="EU22" t="e">
        <f>AND(#REF!,"Coks6A1eZJY=")</f>
        <v>#REF!</v>
      </c>
      <c r="EV22" t="e">
        <f>AND(#REF!,"Coks6A1eZJc=")</f>
        <v>#REF!</v>
      </c>
      <c r="EW22" t="e">
        <f>AND(#REF!,"Coks6A1eZJg=")</f>
        <v>#REF!</v>
      </c>
      <c r="EX22" t="e">
        <f>AND(#REF!,"Coks6A1eZJk=")</f>
        <v>#REF!</v>
      </c>
      <c r="EY22" t="e">
        <f>AND(#REF!,"Coks6A1eZJo=")</f>
        <v>#REF!</v>
      </c>
      <c r="EZ22" t="e">
        <f>AND(#REF!,"Coks6A1eZJs=")</f>
        <v>#REF!</v>
      </c>
      <c r="FA22" t="e">
        <f>AND(#REF!,"Coks6A1eZJw=")</f>
        <v>#REF!</v>
      </c>
      <c r="FB22" t="e">
        <f>AND(#REF!,"Coks6A1eZJ0=")</f>
        <v>#REF!</v>
      </c>
      <c r="FC22" t="e">
        <f>AND(#REF!,"Coks6A1eZJ4=")</f>
        <v>#REF!</v>
      </c>
      <c r="FD22" t="e">
        <f>AND(#REF!,"Coks6A1eZJ8=")</f>
        <v>#REF!</v>
      </c>
      <c r="FE22" t="e">
        <f>AND(#REF!,"Coks6A1eZKA=")</f>
        <v>#REF!</v>
      </c>
      <c r="FF22" t="e">
        <f>AND(#REF!,"Coks6A1eZKE=")</f>
        <v>#REF!</v>
      </c>
      <c r="FG22" t="e">
        <f>AND(#REF!,"Coks6A1eZKI=")</f>
        <v>#REF!</v>
      </c>
      <c r="FH22" t="e">
        <f>AND(#REF!,"Coks6A1eZKM=")</f>
        <v>#REF!</v>
      </c>
      <c r="FI22" t="e">
        <f>AND(#REF!,"Coks6A1eZKQ=")</f>
        <v>#REF!</v>
      </c>
      <c r="FJ22" t="e">
        <f>AND(#REF!,"Coks6A1eZKU=")</f>
        <v>#REF!</v>
      </c>
      <c r="FK22" t="e">
        <f>AND(#REF!,"Coks6A1eZKY=")</f>
        <v>#REF!</v>
      </c>
      <c r="FL22" t="e">
        <f>AND(#REF!,"Coks6A1eZKc=")</f>
        <v>#REF!</v>
      </c>
      <c r="FM22" t="e">
        <f>AND(#REF!,"Coks6A1eZKg=")</f>
        <v>#REF!</v>
      </c>
      <c r="FN22" t="e">
        <f>AND(#REF!,"Coks6A1eZKk=")</f>
        <v>#REF!</v>
      </c>
      <c r="FO22" t="e">
        <f>AND(#REF!,"Coks6A1eZKo=")</f>
        <v>#REF!</v>
      </c>
      <c r="FP22" t="e">
        <f>AND(#REF!,"Coks6A1eZKs=")</f>
        <v>#REF!</v>
      </c>
      <c r="FQ22" t="e">
        <f>AND(#REF!,"Coks6A1eZKw=")</f>
        <v>#REF!</v>
      </c>
      <c r="FR22" t="e">
        <f>AND(#REF!,"Coks6A1eZK0=")</f>
        <v>#REF!</v>
      </c>
      <c r="FS22" t="e">
        <f>AND(#REF!,"Coks6A1eZK4=")</f>
        <v>#REF!</v>
      </c>
      <c r="FT22" t="e">
        <f>AND(#REF!,"Coks6A1eZK8=")</f>
        <v>#REF!</v>
      </c>
      <c r="FU22" t="e">
        <f>AND(#REF!,"Coks6A1eZLA=")</f>
        <v>#REF!</v>
      </c>
      <c r="FV22" t="e">
        <f>AND(#REF!,"Coks6A1eZLE=")</f>
        <v>#REF!</v>
      </c>
      <c r="FW22" t="e">
        <f>AND(#REF!,"Coks6A1eZLI=")</f>
        <v>#REF!</v>
      </c>
      <c r="FX22" t="e">
        <f>AND(#REF!,"Coks6A1eZLM=")</f>
        <v>#REF!</v>
      </c>
      <c r="FY22" t="e">
        <f>AND(#REF!,"Coks6A1eZLQ=")</f>
        <v>#REF!</v>
      </c>
      <c r="FZ22" t="e">
        <f>AND(#REF!,"Coks6A1eZLU=")</f>
        <v>#REF!</v>
      </c>
      <c r="GA22" t="e">
        <f>AND(#REF!,"Coks6A1eZLY=")</f>
        <v>#REF!</v>
      </c>
      <c r="GB22" t="e">
        <f>AND(#REF!,"Coks6A1eZLc=")</f>
        <v>#REF!</v>
      </c>
      <c r="GC22" t="e">
        <f>AND(#REF!,"Coks6A1eZLg=")</f>
        <v>#REF!</v>
      </c>
      <c r="GD22" t="e">
        <f>AND(#REF!,"Coks6A1eZLk=")</f>
        <v>#REF!</v>
      </c>
      <c r="GE22" t="e">
        <f>AND(#REF!,"Coks6A1eZLo=")</f>
        <v>#REF!</v>
      </c>
      <c r="GF22" t="e">
        <f>AND(#REF!,"Coks6A1eZLs=")</f>
        <v>#REF!</v>
      </c>
      <c r="GG22" t="e">
        <f>AND(#REF!,"Coks6A1eZLw=")</f>
        <v>#REF!</v>
      </c>
      <c r="GH22" t="e">
        <f>AND(#REF!,"Coks6A1eZL0=")</f>
        <v>#REF!</v>
      </c>
      <c r="GI22" t="e">
        <f>AND(#REF!,"Coks6A1eZL4=")</f>
        <v>#REF!</v>
      </c>
      <c r="GJ22" t="e">
        <f>AND(#REF!,"Coks6A1eZL8=")</f>
        <v>#REF!</v>
      </c>
      <c r="GK22" t="e">
        <f>AND(#REF!,"Coks6A1eZMA=")</f>
        <v>#REF!</v>
      </c>
      <c r="GL22" t="e">
        <f>AND(#REF!,"Coks6A1eZME=")</f>
        <v>#REF!</v>
      </c>
      <c r="GM22" t="e">
        <f>AND(#REF!,"Coks6A1eZMI=")</f>
        <v>#REF!</v>
      </c>
      <c r="GN22" t="e">
        <f>AND(#REF!,"Coks6A1eZMM=")</f>
        <v>#REF!</v>
      </c>
      <c r="GO22" t="e">
        <f>AND(#REF!,"Coks6A1eZMQ=")</f>
        <v>#REF!</v>
      </c>
      <c r="GP22" t="e">
        <f>AND(#REF!,"Coks6A1eZMU=")</f>
        <v>#REF!</v>
      </c>
      <c r="GQ22" t="e">
        <f>AND(#REF!,"Coks6A1eZMY=")</f>
        <v>#REF!</v>
      </c>
      <c r="GR22" t="e">
        <f>AND(#REF!,"Coks6A1eZMc=")</f>
        <v>#REF!</v>
      </c>
      <c r="GS22" t="e">
        <f>AND(#REF!,"Coks6A1eZMg=")</f>
        <v>#REF!</v>
      </c>
      <c r="GT22" t="e">
        <f>AND(#REF!,"Coks6A1eZMk=")</f>
        <v>#REF!</v>
      </c>
      <c r="GU22" t="e">
        <f>AND(#REF!,"Coks6A1eZMo=")</f>
        <v>#REF!</v>
      </c>
      <c r="GV22" t="e">
        <f>AND(#REF!,"Coks6A1eZMs=")</f>
        <v>#REF!</v>
      </c>
      <c r="GW22" t="e">
        <f>AND(#REF!,"Coks6A1eZMw=")</f>
        <v>#REF!</v>
      </c>
      <c r="GX22" t="e">
        <f>AND(#REF!,"Coks6A1eZM0=")</f>
        <v>#REF!</v>
      </c>
      <c r="GY22" t="e">
        <f>AND(#REF!,"Coks6A1eZM4=")</f>
        <v>#REF!</v>
      </c>
      <c r="GZ22" t="e">
        <f>AND(#REF!,"Coks6A1eZM8=")</f>
        <v>#REF!</v>
      </c>
      <c r="HA22" t="e">
        <f>AND(#REF!,"Coks6A1eZNA=")</f>
        <v>#REF!</v>
      </c>
      <c r="HB22" t="e">
        <f>AND(#REF!,"Coks6A1eZNE=")</f>
        <v>#REF!</v>
      </c>
      <c r="HC22" t="e">
        <f>AND(#REF!,"Coks6A1eZNI=")</f>
        <v>#REF!</v>
      </c>
      <c r="HD22" t="e">
        <f>AND(#REF!,"Coks6A1eZNM=")</f>
        <v>#REF!</v>
      </c>
      <c r="HE22" t="e">
        <f>AND(#REF!,"Coks6A1eZNQ=")</f>
        <v>#REF!</v>
      </c>
      <c r="HF22" t="e">
        <f>AND(#REF!,"Coks6A1eZNU=")</f>
        <v>#REF!</v>
      </c>
      <c r="HG22" t="e">
        <f>AND(#REF!,"Coks6A1eZNY=")</f>
        <v>#REF!</v>
      </c>
      <c r="HH22" t="e">
        <f>AND(#REF!,"Coks6A1eZNc=")</f>
        <v>#REF!</v>
      </c>
      <c r="HI22" t="e">
        <f>AND(#REF!,"Coks6A1eZNg=")</f>
        <v>#REF!</v>
      </c>
      <c r="HJ22" t="e">
        <f>AND(#REF!,"Coks6A1eZNk=")</f>
        <v>#REF!</v>
      </c>
      <c r="HK22" t="e">
        <f>AND(#REF!,"Coks6A1eZNo=")</f>
        <v>#REF!</v>
      </c>
      <c r="HL22" t="e">
        <f>AND(#REF!,"Coks6A1eZNs=")</f>
        <v>#REF!</v>
      </c>
      <c r="HM22" t="e">
        <f>AND(#REF!,"Coks6A1eZNw=")</f>
        <v>#REF!</v>
      </c>
      <c r="HN22" t="e">
        <f>AND(#REF!,"Coks6A1eZN0=")</f>
        <v>#REF!</v>
      </c>
      <c r="HO22" t="e">
        <f>AND(#REF!,"Coks6A1eZN4=")</f>
        <v>#REF!</v>
      </c>
      <c r="HP22" t="e">
        <f>AND(#REF!,"Coks6A1eZN8=")</f>
        <v>#REF!</v>
      </c>
      <c r="HQ22" t="e">
        <f>AND(#REF!,"Coks6A1eZOA=")</f>
        <v>#REF!</v>
      </c>
      <c r="HR22" t="e">
        <f>AND(#REF!,"Coks6A1eZOE=")</f>
        <v>#REF!</v>
      </c>
      <c r="HS22" t="e">
        <f>AND(#REF!,"Coks6A1eZOI=")</f>
        <v>#REF!</v>
      </c>
      <c r="HT22" t="e">
        <f>AND(#REF!,"Coks6A1eZOM=")</f>
        <v>#REF!</v>
      </c>
      <c r="HU22" t="e">
        <f>AND(#REF!,"Coks6A1eZOQ=")</f>
        <v>#REF!</v>
      </c>
      <c r="HV22" t="e">
        <f>AND(#REF!,"Coks6A1eZOU=")</f>
        <v>#REF!</v>
      </c>
      <c r="HW22" t="e">
        <f>AND(#REF!,"Coks6A1eZOY=")</f>
        <v>#REF!</v>
      </c>
      <c r="HX22" t="e">
        <f>AND(#REF!,"Coks6A1eZOc=")</f>
        <v>#REF!</v>
      </c>
      <c r="HY22" t="e">
        <f>AND(#REF!,"Coks6A1eZOg=")</f>
        <v>#REF!</v>
      </c>
      <c r="HZ22" t="e">
        <f>AND(#REF!,"Coks6A1eZOk=")</f>
        <v>#REF!</v>
      </c>
      <c r="IA22" t="e">
        <f>AND(#REF!,"Coks6A1eZOo=")</f>
        <v>#REF!</v>
      </c>
      <c r="IB22" t="e">
        <f>AND(#REF!,"Coks6A1eZOs=")</f>
        <v>#REF!</v>
      </c>
      <c r="IC22" t="e">
        <f>AND(#REF!,"Coks6A1eZOw=")</f>
        <v>#REF!</v>
      </c>
      <c r="ID22" t="e">
        <f>AND(#REF!,"Coks6A1eZO0=")</f>
        <v>#REF!</v>
      </c>
      <c r="IE22" t="e">
        <f>AND(#REF!,"Coks6A1eZO4=")</f>
        <v>#REF!</v>
      </c>
      <c r="IF22" t="e">
        <f>AND(#REF!,"Coks6A1eZO8=")</f>
        <v>#REF!</v>
      </c>
      <c r="IG22" t="e">
        <f>AND(#REF!,"Coks6A1eZPA=")</f>
        <v>#REF!</v>
      </c>
      <c r="IH22" t="e">
        <f>AND(#REF!,"Coks6A1eZPE=")</f>
        <v>#REF!</v>
      </c>
      <c r="II22" t="e">
        <f>AND(#REF!,"Coks6A1eZPI=")</f>
        <v>#REF!</v>
      </c>
      <c r="IJ22" t="e">
        <f>AND(#REF!,"Coks6A1eZPM=")</f>
        <v>#REF!</v>
      </c>
      <c r="IK22" t="e">
        <f>AND(#REF!,"Coks6A1eZPQ=")</f>
        <v>#REF!</v>
      </c>
      <c r="IL22" t="e">
        <f>AND(#REF!,"Coks6A1eZPU=")</f>
        <v>#REF!</v>
      </c>
      <c r="IM22" t="e">
        <f>AND(#REF!,"Coks6A1eZPY=")</f>
        <v>#REF!</v>
      </c>
      <c r="IN22" t="e">
        <f>AND(#REF!,"Coks6A1eZPc=")</f>
        <v>#REF!</v>
      </c>
      <c r="IO22" t="e">
        <f>AND(#REF!,"Coks6A1eZPg=")</f>
        <v>#REF!</v>
      </c>
      <c r="IP22" t="e">
        <f>AND(#REF!,"Coks6A1eZPk=")</f>
        <v>#REF!</v>
      </c>
      <c r="IQ22" t="e">
        <f>AND(#REF!,"Coks6A1eZPo=")</f>
        <v>#REF!</v>
      </c>
      <c r="IR22" t="e">
        <f>AND(#REF!,"Coks6A1eZPs=")</f>
        <v>#REF!</v>
      </c>
      <c r="IS22" t="e">
        <f>AND(#REF!,"Coks6A1eZPw=")</f>
        <v>#REF!</v>
      </c>
      <c r="IT22" t="e">
        <f>AND(#REF!,"Coks6A1eZP0=")</f>
        <v>#REF!</v>
      </c>
      <c r="IU22" t="e">
        <f>AND(#REF!,"Coks6A1eZP4=")</f>
        <v>#REF!</v>
      </c>
      <c r="IV22" t="e">
        <f>AND(#REF!,"Coks6A1eZP8=")</f>
        <v>#REF!</v>
      </c>
    </row>
    <row r="23" spans="1:256" x14ac:dyDescent="0.2">
      <c r="A23" t="e">
        <f>AND(#REF!,"G79YbRp5DwA=")</f>
        <v>#REF!</v>
      </c>
      <c r="B23" t="e">
        <f>AND(#REF!,"G79YbRp5DwE=")</f>
        <v>#REF!</v>
      </c>
      <c r="C23" t="e">
        <f>AND(#REF!,"G79YbRp5DwI=")</f>
        <v>#REF!</v>
      </c>
      <c r="D23" t="e">
        <f>AND(#REF!,"G79YbRp5DwM=")</f>
        <v>#REF!</v>
      </c>
      <c r="E23" t="e">
        <f>AND(#REF!,"G79YbRp5DwQ=")</f>
        <v>#REF!</v>
      </c>
      <c r="F23" t="e">
        <f>AND(#REF!,"G79YbRp5DwU=")</f>
        <v>#REF!</v>
      </c>
      <c r="G23" t="e">
        <f>AND(#REF!,"G79YbRp5DwY=")</f>
        <v>#REF!</v>
      </c>
      <c r="H23" t="e">
        <f>AND(#REF!,"G79YbRp5Dwc=")</f>
        <v>#REF!</v>
      </c>
      <c r="I23" t="e">
        <f>AND(#REF!,"G79YbRp5Dwg=")</f>
        <v>#REF!</v>
      </c>
      <c r="J23" t="e">
        <f>AND(#REF!,"G79YbRp5Dwk=")</f>
        <v>#REF!</v>
      </c>
      <c r="K23" t="e">
        <f>AND(#REF!,"G79YbRp5Dwo=")</f>
        <v>#REF!</v>
      </c>
      <c r="L23" t="e">
        <f>AND(#REF!,"G79YbRp5Dws=")</f>
        <v>#REF!</v>
      </c>
      <c r="M23" t="e">
        <f>AND(#REF!,"G79YbRp5Dww=")</f>
        <v>#REF!</v>
      </c>
      <c r="N23" t="e">
        <f>AND(#REF!,"G79YbRp5Dw0=")</f>
        <v>#REF!</v>
      </c>
      <c r="O23" t="e">
        <f>AND(#REF!,"G79YbRp5Dw4=")</f>
        <v>#REF!</v>
      </c>
      <c r="P23" t="e">
        <f>AND(#REF!,"G79YbRp5Dw8=")</f>
        <v>#REF!</v>
      </c>
      <c r="Q23" t="e">
        <f>AND(#REF!,"G79YbRp5DxA=")</f>
        <v>#REF!</v>
      </c>
      <c r="R23" t="e">
        <f>AND(#REF!,"G79YbRp5DxE=")</f>
        <v>#REF!</v>
      </c>
      <c r="S23" t="e">
        <f>AND(#REF!,"G79YbRp5DxI=")</f>
        <v>#REF!</v>
      </c>
      <c r="T23" t="e">
        <f>AND(#REF!,"G79YbRp5DxM=")</f>
        <v>#REF!</v>
      </c>
      <c r="U23" t="e">
        <f>AND(#REF!,"G79YbRp5DxQ=")</f>
        <v>#REF!</v>
      </c>
      <c r="V23" t="e">
        <f>AND(#REF!,"G79YbRp5DxU=")</f>
        <v>#REF!</v>
      </c>
      <c r="W23" t="e">
        <f>AND(#REF!,"G79YbRp5DxY=")</f>
        <v>#REF!</v>
      </c>
      <c r="X23" t="e">
        <f>AND(#REF!,"G79YbRp5Dxc=")</f>
        <v>#REF!</v>
      </c>
      <c r="Y23" t="e">
        <f>AND(#REF!,"G79YbRp5Dxg=")</f>
        <v>#REF!</v>
      </c>
      <c r="Z23" t="e">
        <f>AND(#REF!,"G79YbRp5Dxk=")</f>
        <v>#REF!</v>
      </c>
      <c r="AA23" t="e">
        <f>AND(#REF!,"G79YbRp5Dxo=")</f>
        <v>#REF!</v>
      </c>
      <c r="AB23" t="e">
        <f>AND(#REF!,"G79YbRp5Dxs=")</f>
        <v>#REF!</v>
      </c>
      <c r="AC23" t="e">
        <f>AND(#REF!,"G79YbRp5Dxw=")</f>
        <v>#REF!</v>
      </c>
      <c r="AD23" t="e">
        <f>AND(#REF!,"G79YbRp5Dx0=")</f>
        <v>#REF!</v>
      </c>
      <c r="AE23" t="e">
        <f>AND(#REF!,"G79YbRp5Dx4=")</f>
        <v>#REF!</v>
      </c>
      <c r="AF23" t="e">
        <f>AND(#REF!,"G79YbRp5Dx8=")</f>
        <v>#REF!</v>
      </c>
      <c r="AG23" t="e">
        <f>AND(#REF!,"G79YbRp5DyA=")</f>
        <v>#REF!</v>
      </c>
      <c r="AH23" t="e">
        <f>AND(#REF!,"G79YbRp5DyE=")</f>
        <v>#REF!</v>
      </c>
      <c r="AI23" t="e">
        <f>AND(#REF!,"G79YbRp5DyI=")</f>
        <v>#REF!</v>
      </c>
      <c r="AJ23" t="e">
        <f>AND(#REF!,"G79YbRp5DyM=")</f>
        <v>#REF!</v>
      </c>
      <c r="AK23" t="e">
        <f>AND(#REF!,"G79YbRp5DyQ=")</f>
        <v>#REF!</v>
      </c>
      <c r="AL23" t="e">
        <f>AND(#REF!,"G79YbRp5DyU=")</f>
        <v>#REF!</v>
      </c>
      <c r="AM23" t="e">
        <f>AND(#REF!,"G79YbRp5DyY=")</f>
        <v>#REF!</v>
      </c>
      <c r="AN23" t="e">
        <f>AND(#REF!,"G79YbRp5Dyc=")</f>
        <v>#REF!</v>
      </c>
      <c r="AO23" t="e">
        <f>AND(#REF!,"G79YbRp5Dyg=")</f>
        <v>#REF!</v>
      </c>
      <c r="AP23" t="e">
        <f>AND(#REF!,"G79YbRp5Dyk=")</f>
        <v>#REF!</v>
      </c>
      <c r="AQ23" t="e">
        <f>AND(#REF!,"G79YbRp5Dyo=")</f>
        <v>#REF!</v>
      </c>
      <c r="AR23" t="e">
        <f>AND(#REF!,"G79YbRp5Dys=")</f>
        <v>#REF!</v>
      </c>
      <c r="AS23" t="e">
        <f>AND(#REF!,"G79YbRp5Dyw=")</f>
        <v>#REF!</v>
      </c>
      <c r="AT23" t="e">
        <f>AND(#REF!,"G79YbRp5Dy0=")</f>
        <v>#REF!</v>
      </c>
      <c r="AU23" t="e">
        <f>AND(#REF!,"G79YbRp5Dy4=")</f>
        <v>#REF!</v>
      </c>
      <c r="AV23" t="e">
        <f>AND(#REF!,"G79YbRp5Dy8=")</f>
        <v>#REF!</v>
      </c>
      <c r="AW23" t="e">
        <f>AND(#REF!,"G79YbRp5DzA=")</f>
        <v>#REF!</v>
      </c>
      <c r="AX23" t="e">
        <f>AND(#REF!,"G79YbRp5DzE=")</f>
        <v>#REF!</v>
      </c>
      <c r="AY23" t="e">
        <f>AND(#REF!,"G79YbRp5DzI=")</f>
        <v>#REF!</v>
      </c>
      <c r="AZ23" t="e">
        <f>AND(#REF!,"G79YbRp5DzM=")</f>
        <v>#REF!</v>
      </c>
      <c r="BA23" t="e">
        <f>AND(#REF!,"G79YbRp5DzQ=")</f>
        <v>#REF!</v>
      </c>
      <c r="BB23" t="e">
        <f>AND(#REF!,"G79YbRp5DzU=")</f>
        <v>#REF!</v>
      </c>
      <c r="BC23" t="e">
        <f>AND(#REF!,"G79YbRp5DzY=")</f>
        <v>#REF!</v>
      </c>
      <c r="BD23" t="e">
        <f>AND(#REF!,"G79YbRp5Dzc=")</f>
        <v>#REF!</v>
      </c>
      <c r="BE23" t="e">
        <f>AND(#REF!,"G79YbRp5Dzg=")</f>
        <v>#REF!</v>
      </c>
      <c r="BF23" t="e">
        <f>AND(#REF!,"G79YbRp5Dzk=")</f>
        <v>#REF!</v>
      </c>
      <c r="BG23" t="e">
        <f>AND(#REF!,"G79YbRp5Dzo=")</f>
        <v>#REF!</v>
      </c>
      <c r="BH23" t="e">
        <f>AND(#REF!,"G79YbRp5Dzs=")</f>
        <v>#REF!</v>
      </c>
      <c r="BI23" t="e">
        <f>AND(#REF!,"G79YbRp5Dzw=")</f>
        <v>#REF!</v>
      </c>
      <c r="BJ23" t="e">
        <f>AND(#REF!,"G79YbRp5Dz0=")</f>
        <v>#REF!</v>
      </c>
      <c r="BK23" t="e">
        <f>AND(#REF!,"G79YbRp5Dz4=")</f>
        <v>#REF!</v>
      </c>
      <c r="BL23" t="e">
        <f>AND(#REF!,"G79YbRp5Dz8=")</f>
        <v>#REF!</v>
      </c>
      <c r="BM23" t="e">
        <f>AND(#REF!,"G79YbRp5D0A=")</f>
        <v>#REF!</v>
      </c>
      <c r="BN23" t="e">
        <f>AND(#REF!,"G79YbRp5D0E=")</f>
        <v>#REF!</v>
      </c>
      <c r="BO23" t="e">
        <f>AND(#REF!,"G79YbRp5D0I=")</f>
        <v>#REF!</v>
      </c>
      <c r="BP23" t="e">
        <f>AND(#REF!,"G79YbRp5D0M=")</f>
        <v>#REF!</v>
      </c>
      <c r="BQ23" t="e">
        <f>AND(#REF!,"G79YbRp5D0Q=")</f>
        <v>#REF!</v>
      </c>
      <c r="BR23" t="e">
        <f>AND(#REF!,"G79YbRp5D0U=")</f>
        <v>#REF!</v>
      </c>
      <c r="BS23" t="e">
        <f>AND(#REF!,"G79YbRp5D0Y=")</f>
        <v>#REF!</v>
      </c>
      <c r="BT23" t="e">
        <f>AND(#REF!,"G79YbRp5D0c=")</f>
        <v>#REF!</v>
      </c>
      <c r="BU23" t="e">
        <f>AND(#REF!,"G79YbRp5D0g=")</f>
        <v>#REF!</v>
      </c>
      <c r="BV23" t="e">
        <f>AND(#REF!,"G79YbRp5D0k=")</f>
        <v>#REF!</v>
      </c>
      <c r="BW23" t="e">
        <f>AND(#REF!,"G79YbRp5D0o=")</f>
        <v>#REF!</v>
      </c>
      <c r="BX23" t="e">
        <f>AND(#REF!,"G79YbRp5D0s=")</f>
        <v>#REF!</v>
      </c>
      <c r="BY23" t="e">
        <f>AND(#REF!,"G79YbRp5D0w=")</f>
        <v>#REF!</v>
      </c>
      <c r="BZ23" t="e">
        <f>AND(#REF!,"G79YbRp5D00=")</f>
        <v>#REF!</v>
      </c>
      <c r="CA23" t="e">
        <f>AND(#REF!,"G79YbRp5D04=")</f>
        <v>#REF!</v>
      </c>
      <c r="CB23" t="e">
        <f>AND(#REF!,"G79YbRp5D08=")</f>
        <v>#REF!</v>
      </c>
      <c r="CC23" t="e">
        <f>AND(#REF!,"G79YbRp5D1A=")</f>
        <v>#REF!</v>
      </c>
      <c r="CD23" t="e">
        <f>AND(#REF!,"G79YbRp5D1E=")</f>
        <v>#REF!</v>
      </c>
      <c r="CE23" t="e">
        <f>AND(#REF!,"G79YbRp5D1I=")</f>
        <v>#REF!</v>
      </c>
      <c r="CF23" t="e">
        <f>AND(#REF!,"G79YbRp5D1M=")</f>
        <v>#REF!</v>
      </c>
      <c r="CG23" t="e">
        <f>AND(#REF!,"G79YbRp5D1Q=")</f>
        <v>#REF!</v>
      </c>
      <c r="CH23" t="e">
        <f>IF(#REF!,"G79YbRp5D1U=",0)</f>
        <v>#REF!</v>
      </c>
      <c r="CI23" t="e">
        <f>AND(#REF!,"G79YbRp5D1Y=")</f>
        <v>#REF!</v>
      </c>
      <c r="CJ23" t="e">
        <f>AND(#REF!,"G79YbRp5D1c=")</f>
        <v>#REF!</v>
      </c>
      <c r="CK23" t="e">
        <f>AND(#REF!,"G79YbRp5D1g=")</f>
        <v>#REF!</v>
      </c>
      <c r="CL23" t="e">
        <f>AND(#REF!,"G79YbRp5D1k=")</f>
        <v>#REF!</v>
      </c>
      <c r="CM23" t="e">
        <f>AND(#REF!,"G79YbRp5D1o=")</f>
        <v>#REF!</v>
      </c>
      <c r="CN23" t="e">
        <f>AND(#REF!,"G79YbRp5D1s=")</f>
        <v>#REF!</v>
      </c>
      <c r="CO23" t="e">
        <f>AND(#REF!,"G79YbRp5D1w=")</f>
        <v>#REF!</v>
      </c>
      <c r="CP23" t="e">
        <f>AND(#REF!,"G79YbRp5D10=")</f>
        <v>#REF!</v>
      </c>
      <c r="CQ23" t="e">
        <f>AND(#REF!,"G79YbRp5D14=")</f>
        <v>#REF!</v>
      </c>
      <c r="CR23" t="e">
        <f>AND(#REF!,"G79YbRp5D18=")</f>
        <v>#REF!</v>
      </c>
      <c r="CS23" t="e">
        <f>AND(#REF!,"G79YbRp5D2A=")</f>
        <v>#REF!</v>
      </c>
      <c r="CT23" t="e">
        <f>AND(#REF!,"G79YbRp5D2E=")</f>
        <v>#REF!</v>
      </c>
      <c r="CU23" t="e">
        <f>AND(#REF!,"G79YbRp5D2I=")</f>
        <v>#REF!</v>
      </c>
      <c r="CV23" t="e">
        <f>AND(#REF!,"G79YbRp5D2M=")</f>
        <v>#REF!</v>
      </c>
      <c r="CW23" t="e">
        <f>AND(#REF!,"G79YbRp5D2Q=")</f>
        <v>#REF!</v>
      </c>
      <c r="CX23" t="e">
        <f>AND(#REF!,"G79YbRp5D2U=")</f>
        <v>#REF!</v>
      </c>
      <c r="CY23" t="e">
        <f>AND(#REF!,"G79YbRp5D2Y=")</f>
        <v>#REF!</v>
      </c>
      <c r="CZ23" t="e">
        <f>AND(#REF!,"G79YbRp5D2c=")</f>
        <v>#REF!</v>
      </c>
      <c r="DA23" t="e">
        <f>AND(#REF!,"G79YbRp5D2g=")</f>
        <v>#REF!</v>
      </c>
      <c r="DB23" t="e">
        <f>AND(#REF!,"G79YbRp5D2k=")</f>
        <v>#REF!</v>
      </c>
      <c r="DC23" t="e">
        <f>AND(#REF!,"G79YbRp5D2o=")</f>
        <v>#REF!</v>
      </c>
      <c r="DD23" t="e">
        <f>AND(#REF!,"G79YbRp5D2s=")</f>
        <v>#REF!</v>
      </c>
      <c r="DE23" t="e">
        <f>AND(#REF!,"G79YbRp5D2w=")</f>
        <v>#REF!</v>
      </c>
      <c r="DF23" t="e">
        <f>AND(#REF!,"G79YbRp5D20=")</f>
        <v>#REF!</v>
      </c>
      <c r="DG23" t="e">
        <f>AND(#REF!,"G79YbRp5D24=")</f>
        <v>#REF!</v>
      </c>
      <c r="DH23" t="e">
        <f>AND(#REF!,"G79YbRp5D28=")</f>
        <v>#REF!</v>
      </c>
      <c r="DI23" t="e">
        <f>AND(#REF!,"G79YbRp5D3A=")</f>
        <v>#REF!</v>
      </c>
      <c r="DJ23" t="e">
        <f>AND(#REF!,"G79YbRp5D3E=")</f>
        <v>#REF!</v>
      </c>
      <c r="DK23" t="e">
        <f>AND(#REF!,"G79YbRp5D3I=")</f>
        <v>#REF!</v>
      </c>
      <c r="DL23" t="e">
        <f>AND(#REF!,"G79YbRp5D3M=")</f>
        <v>#REF!</v>
      </c>
      <c r="DM23" t="e">
        <f>AND(#REF!,"G79YbRp5D3Q=")</f>
        <v>#REF!</v>
      </c>
      <c r="DN23" t="e">
        <f>AND(#REF!,"G79YbRp5D3U=")</f>
        <v>#REF!</v>
      </c>
      <c r="DO23" t="e">
        <f>AND(#REF!,"G79YbRp5D3Y=")</f>
        <v>#REF!</v>
      </c>
      <c r="DP23" t="e">
        <f>AND(#REF!,"G79YbRp5D3c=")</f>
        <v>#REF!</v>
      </c>
      <c r="DQ23" t="e">
        <f>AND(#REF!,"G79YbRp5D3g=")</f>
        <v>#REF!</v>
      </c>
      <c r="DR23" t="e">
        <f>AND(#REF!,"G79YbRp5D3k=")</f>
        <v>#REF!</v>
      </c>
      <c r="DS23" t="e">
        <f>AND(#REF!,"G79YbRp5D3o=")</f>
        <v>#REF!</v>
      </c>
      <c r="DT23" t="e">
        <f>AND(#REF!,"G79YbRp5D3s=")</f>
        <v>#REF!</v>
      </c>
      <c r="DU23" t="e">
        <f>AND(#REF!,"G79YbRp5D3w=")</f>
        <v>#REF!</v>
      </c>
      <c r="DV23" t="e">
        <f>AND(#REF!,"G79YbRp5D30=")</f>
        <v>#REF!</v>
      </c>
      <c r="DW23" t="e">
        <f>AND(#REF!,"G79YbRp5D34=")</f>
        <v>#REF!</v>
      </c>
      <c r="DX23" t="e">
        <f>AND(#REF!,"G79YbRp5D38=")</f>
        <v>#REF!</v>
      </c>
      <c r="DY23" t="e">
        <f>AND(#REF!,"G79YbRp5D4A=")</f>
        <v>#REF!</v>
      </c>
      <c r="DZ23" t="e">
        <f>AND(#REF!,"G79YbRp5D4E=")</f>
        <v>#REF!</v>
      </c>
      <c r="EA23" t="e">
        <f>AND(#REF!,"G79YbRp5D4I=")</f>
        <v>#REF!</v>
      </c>
      <c r="EB23" t="e">
        <f>AND(#REF!,"G79YbRp5D4M=")</f>
        <v>#REF!</v>
      </c>
      <c r="EC23" t="e">
        <f>AND(#REF!,"G79YbRp5D4Q=")</f>
        <v>#REF!</v>
      </c>
      <c r="ED23" t="e">
        <f>AND(#REF!,"G79YbRp5D4U=")</f>
        <v>#REF!</v>
      </c>
      <c r="EE23" t="e">
        <f>AND(#REF!,"G79YbRp5D4Y=")</f>
        <v>#REF!</v>
      </c>
      <c r="EF23" t="e">
        <f>AND(#REF!,"G79YbRp5D4c=")</f>
        <v>#REF!</v>
      </c>
      <c r="EG23" t="e">
        <f>AND(#REF!,"G79YbRp5D4g=")</f>
        <v>#REF!</v>
      </c>
      <c r="EH23" t="e">
        <f>AND(#REF!,"G79YbRp5D4k=")</f>
        <v>#REF!</v>
      </c>
      <c r="EI23" t="e">
        <f>AND(#REF!,"G79YbRp5D4o=")</f>
        <v>#REF!</v>
      </c>
      <c r="EJ23" t="e">
        <f>AND(#REF!,"G79YbRp5D4s=")</f>
        <v>#REF!</v>
      </c>
      <c r="EK23" t="e">
        <f>AND(#REF!,"G79YbRp5D4w=")</f>
        <v>#REF!</v>
      </c>
      <c r="EL23" t="e">
        <f>AND(#REF!,"G79YbRp5D40=")</f>
        <v>#REF!</v>
      </c>
      <c r="EM23" t="e">
        <f>AND(#REF!,"G79YbRp5D44=")</f>
        <v>#REF!</v>
      </c>
      <c r="EN23" t="e">
        <f>AND(#REF!,"G79YbRp5D48=")</f>
        <v>#REF!</v>
      </c>
      <c r="EO23" t="e">
        <f>AND(#REF!,"G79YbRp5D5A=")</f>
        <v>#REF!</v>
      </c>
      <c r="EP23" t="e">
        <f>AND(#REF!,"G79YbRp5D5E=")</f>
        <v>#REF!</v>
      </c>
      <c r="EQ23" t="e">
        <f>AND(#REF!,"G79YbRp5D5I=")</f>
        <v>#REF!</v>
      </c>
      <c r="ER23" t="e">
        <f>AND(#REF!,"G79YbRp5D5M=")</f>
        <v>#REF!</v>
      </c>
      <c r="ES23" t="e">
        <f>AND(#REF!,"G79YbRp5D5Q=")</f>
        <v>#REF!</v>
      </c>
      <c r="ET23" t="e">
        <f>AND(#REF!,"G79YbRp5D5U=")</f>
        <v>#REF!</v>
      </c>
      <c r="EU23" t="e">
        <f>AND(#REF!,"G79YbRp5D5Y=")</f>
        <v>#REF!</v>
      </c>
      <c r="EV23" t="e">
        <f>AND(#REF!,"G79YbRp5D5c=")</f>
        <v>#REF!</v>
      </c>
      <c r="EW23" t="e">
        <f>AND(#REF!,"G79YbRp5D5g=")</f>
        <v>#REF!</v>
      </c>
      <c r="EX23" t="e">
        <f>AND(#REF!,"G79YbRp5D5k=")</f>
        <v>#REF!</v>
      </c>
      <c r="EY23" t="e">
        <f>AND(#REF!,"G79YbRp5D5o=")</f>
        <v>#REF!</v>
      </c>
      <c r="EZ23" t="e">
        <f>AND(#REF!,"G79YbRp5D5s=")</f>
        <v>#REF!</v>
      </c>
      <c r="FA23" t="e">
        <f>AND(#REF!,"G79YbRp5D5w=")</f>
        <v>#REF!</v>
      </c>
      <c r="FB23" t="e">
        <f>AND(#REF!,"G79YbRp5D50=")</f>
        <v>#REF!</v>
      </c>
      <c r="FC23" t="e">
        <f>AND(#REF!,"G79YbRp5D54=")</f>
        <v>#REF!</v>
      </c>
      <c r="FD23" t="e">
        <f>AND(#REF!,"G79YbRp5D58=")</f>
        <v>#REF!</v>
      </c>
      <c r="FE23" t="e">
        <f>AND(#REF!,"G79YbRp5D6A=")</f>
        <v>#REF!</v>
      </c>
      <c r="FF23" t="e">
        <f>AND(#REF!,"G79YbRp5D6E=")</f>
        <v>#REF!</v>
      </c>
      <c r="FG23" t="e">
        <f>AND(#REF!,"G79YbRp5D6I=")</f>
        <v>#REF!</v>
      </c>
      <c r="FH23" t="e">
        <f>AND(#REF!,"G79YbRp5D6M=")</f>
        <v>#REF!</v>
      </c>
      <c r="FI23" t="e">
        <f>AND(#REF!,"G79YbRp5D6Q=")</f>
        <v>#REF!</v>
      </c>
      <c r="FJ23" t="e">
        <f>AND(#REF!,"G79YbRp5D6U=")</f>
        <v>#REF!</v>
      </c>
      <c r="FK23" t="e">
        <f>AND(#REF!,"G79YbRp5D6Y=")</f>
        <v>#REF!</v>
      </c>
      <c r="FL23" t="e">
        <f>AND(#REF!,"G79YbRp5D6c=")</f>
        <v>#REF!</v>
      </c>
      <c r="FM23" t="e">
        <f>AND(#REF!,"G79YbRp5D6g=")</f>
        <v>#REF!</v>
      </c>
      <c r="FN23" t="e">
        <f>AND(#REF!,"G79YbRp5D6k=")</f>
        <v>#REF!</v>
      </c>
      <c r="FO23" t="e">
        <f>AND(#REF!,"G79YbRp5D6o=")</f>
        <v>#REF!</v>
      </c>
      <c r="FP23" t="e">
        <f>AND(#REF!,"G79YbRp5D6s=")</f>
        <v>#REF!</v>
      </c>
      <c r="FQ23" t="e">
        <f>AND(#REF!,"G79YbRp5D6w=")</f>
        <v>#REF!</v>
      </c>
      <c r="FR23" t="e">
        <f>AND(#REF!,"G79YbRp5D60=")</f>
        <v>#REF!</v>
      </c>
      <c r="FS23" t="e">
        <f>AND(#REF!,"G79YbRp5D64=")</f>
        <v>#REF!</v>
      </c>
      <c r="FT23" t="e">
        <f>AND(#REF!,"G79YbRp5D68=")</f>
        <v>#REF!</v>
      </c>
      <c r="FU23" t="e">
        <f>AND(#REF!,"G79YbRp5D7A=")</f>
        <v>#REF!</v>
      </c>
      <c r="FV23" t="e">
        <f>AND(#REF!,"G79YbRp5D7E=")</f>
        <v>#REF!</v>
      </c>
      <c r="FW23" t="e">
        <f>AND(#REF!,"G79YbRp5D7I=")</f>
        <v>#REF!</v>
      </c>
      <c r="FX23" t="e">
        <f>AND(#REF!,"G79YbRp5D7M=")</f>
        <v>#REF!</v>
      </c>
      <c r="FY23" t="e">
        <f>AND(#REF!,"G79YbRp5D7Q=")</f>
        <v>#REF!</v>
      </c>
      <c r="FZ23" t="e">
        <f>AND(#REF!,"G79YbRp5D7U=")</f>
        <v>#REF!</v>
      </c>
      <c r="GA23" t="e">
        <f>AND(#REF!,"G79YbRp5D7Y=")</f>
        <v>#REF!</v>
      </c>
      <c r="GB23" t="e">
        <f>AND(#REF!,"G79YbRp5D7c=")</f>
        <v>#REF!</v>
      </c>
      <c r="GC23" t="e">
        <f>AND(#REF!,"G79YbRp5D7g=")</f>
        <v>#REF!</v>
      </c>
      <c r="GD23" t="e">
        <f>AND(#REF!,"G79YbRp5D7k=")</f>
        <v>#REF!</v>
      </c>
      <c r="GE23" t="e">
        <f>AND(#REF!,"G79YbRp5D7o=")</f>
        <v>#REF!</v>
      </c>
      <c r="GF23" t="e">
        <f>AND(#REF!,"G79YbRp5D7s=")</f>
        <v>#REF!</v>
      </c>
      <c r="GG23" t="e">
        <f>AND(#REF!,"G79YbRp5D7w=")</f>
        <v>#REF!</v>
      </c>
      <c r="GH23" t="e">
        <f>AND(#REF!,"G79YbRp5D70=")</f>
        <v>#REF!</v>
      </c>
      <c r="GI23" t="e">
        <f>AND(#REF!,"G79YbRp5D74=")</f>
        <v>#REF!</v>
      </c>
      <c r="GJ23" t="e">
        <f>AND(#REF!,"G79YbRp5D78=")</f>
        <v>#REF!</v>
      </c>
      <c r="GK23" t="e">
        <f>AND(#REF!,"G79YbRp5D8A=")</f>
        <v>#REF!</v>
      </c>
      <c r="GL23" t="e">
        <f>AND(#REF!,"G79YbRp5D8E=")</f>
        <v>#REF!</v>
      </c>
      <c r="GM23" t="e">
        <f>AND(#REF!,"G79YbRp5D8I=")</f>
        <v>#REF!</v>
      </c>
      <c r="GN23" t="e">
        <f>AND(#REF!,"G79YbRp5D8M=")</f>
        <v>#REF!</v>
      </c>
      <c r="GO23" t="e">
        <f>AND(#REF!,"G79YbRp5D8Q=")</f>
        <v>#REF!</v>
      </c>
      <c r="GP23" t="e">
        <f>AND(#REF!,"G79YbRp5D8U=")</f>
        <v>#REF!</v>
      </c>
      <c r="GQ23" t="e">
        <f>AND(#REF!,"G79YbRp5D8Y=")</f>
        <v>#REF!</v>
      </c>
      <c r="GR23" t="e">
        <f>AND(#REF!,"G79YbRp5D8c=")</f>
        <v>#REF!</v>
      </c>
      <c r="GS23" t="e">
        <f>AND(#REF!,"G79YbRp5D8g=")</f>
        <v>#REF!</v>
      </c>
      <c r="GT23" t="e">
        <f>AND(#REF!,"G79YbRp5D8k=")</f>
        <v>#REF!</v>
      </c>
      <c r="GU23" t="e">
        <f>AND(#REF!,"G79YbRp5D8o=")</f>
        <v>#REF!</v>
      </c>
      <c r="GV23" t="e">
        <f>AND(#REF!,"G79YbRp5D8s=")</f>
        <v>#REF!</v>
      </c>
      <c r="GW23" t="e">
        <f>AND(#REF!,"G79YbRp5D8w=")</f>
        <v>#REF!</v>
      </c>
      <c r="GX23" t="e">
        <f>AND(#REF!,"G79YbRp5D80=")</f>
        <v>#REF!</v>
      </c>
      <c r="GY23" t="e">
        <f>AND(#REF!,"G79YbRp5D84=")</f>
        <v>#REF!</v>
      </c>
      <c r="GZ23" t="e">
        <f>AND(#REF!,"G79YbRp5D88=")</f>
        <v>#REF!</v>
      </c>
      <c r="HA23" t="e">
        <f>AND(#REF!,"G79YbRp5D9A=")</f>
        <v>#REF!</v>
      </c>
      <c r="HB23" t="e">
        <f>AND(#REF!,"G79YbRp5D9E=")</f>
        <v>#REF!</v>
      </c>
      <c r="HC23" t="e">
        <f>AND(#REF!,"G79YbRp5D9I=")</f>
        <v>#REF!</v>
      </c>
      <c r="HD23" t="e">
        <f>AND(#REF!,"G79YbRp5D9M=")</f>
        <v>#REF!</v>
      </c>
      <c r="HE23" t="e">
        <f>AND(#REF!,"G79YbRp5D9Q=")</f>
        <v>#REF!</v>
      </c>
      <c r="HF23" t="e">
        <f>AND(#REF!,"G79YbRp5D9U=")</f>
        <v>#REF!</v>
      </c>
      <c r="HG23" t="e">
        <f>AND(#REF!,"G79YbRp5D9Y=")</f>
        <v>#REF!</v>
      </c>
      <c r="HH23" t="e">
        <f>AND(#REF!,"G79YbRp5D9c=")</f>
        <v>#REF!</v>
      </c>
      <c r="HI23" t="e">
        <f>AND(#REF!,"G79YbRp5D9g=")</f>
        <v>#REF!</v>
      </c>
      <c r="HJ23" t="e">
        <f>AND(#REF!,"G79YbRp5D9k=")</f>
        <v>#REF!</v>
      </c>
      <c r="HK23" t="e">
        <f>AND(#REF!,"G79YbRp5D9o=")</f>
        <v>#REF!</v>
      </c>
      <c r="HL23" t="e">
        <f>AND(#REF!,"G79YbRp5D9s=")</f>
        <v>#REF!</v>
      </c>
      <c r="HM23" t="e">
        <f>AND(#REF!,"G79YbRp5D9w=")</f>
        <v>#REF!</v>
      </c>
      <c r="HN23" t="e">
        <f>AND(#REF!,"G79YbRp5D90=")</f>
        <v>#REF!</v>
      </c>
      <c r="HO23" t="e">
        <f>AND(#REF!,"G79YbRp5D94=")</f>
        <v>#REF!</v>
      </c>
      <c r="HP23" t="e">
        <f>AND(#REF!,"G79YbRp5D98=")</f>
        <v>#REF!</v>
      </c>
      <c r="HQ23" t="e">
        <f>AND(#REF!,"G79YbRp5D+A=")</f>
        <v>#REF!</v>
      </c>
      <c r="HR23" t="e">
        <f>AND(#REF!,"G79YbRp5D+E=")</f>
        <v>#REF!</v>
      </c>
      <c r="HS23" t="e">
        <f>AND(#REF!,"G79YbRp5D+I=")</f>
        <v>#REF!</v>
      </c>
      <c r="HT23" t="e">
        <f>AND(#REF!,"G79YbRp5D+M=")</f>
        <v>#REF!</v>
      </c>
      <c r="HU23" t="e">
        <f>AND(#REF!,"G79YbRp5D+Q=")</f>
        <v>#REF!</v>
      </c>
      <c r="HV23" t="e">
        <f>AND(#REF!,"G79YbRp5D+U=")</f>
        <v>#REF!</v>
      </c>
      <c r="HW23" t="e">
        <f>AND(#REF!,"G79YbRp5D+Y=")</f>
        <v>#REF!</v>
      </c>
      <c r="HX23" t="e">
        <f>AND(#REF!,"G79YbRp5D+c=")</f>
        <v>#REF!</v>
      </c>
      <c r="HY23" t="e">
        <f>AND(#REF!,"G79YbRp5D+g=")</f>
        <v>#REF!</v>
      </c>
      <c r="HZ23" t="e">
        <f>AND(#REF!,"G79YbRp5D+k=")</f>
        <v>#REF!</v>
      </c>
      <c r="IA23" t="e">
        <f>AND(#REF!,"G79YbRp5D+o=")</f>
        <v>#REF!</v>
      </c>
      <c r="IB23" t="e">
        <f>AND(#REF!,"G79YbRp5D+s=")</f>
        <v>#REF!</v>
      </c>
      <c r="IC23" t="e">
        <f>AND(#REF!,"G79YbRp5D+w=")</f>
        <v>#REF!</v>
      </c>
      <c r="ID23" t="e">
        <f>AND(#REF!,"G79YbRp5D+0=")</f>
        <v>#REF!</v>
      </c>
      <c r="IE23" t="e">
        <f>AND(#REF!,"G79YbRp5D+4=")</f>
        <v>#REF!</v>
      </c>
      <c r="IF23" t="e">
        <f>AND(#REF!,"G79YbRp5D+8=")</f>
        <v>#REF!</v>
      </c>
      <c r="IG23" t="e">
        <f>AND(#REF!,"G79YbRp5D/A=")</f>
        <v>#REF!</v>
      </c>
      <c r="IH23" t="e">
        <f>AND(#REF!,"G79YbRp5D/E=")</f>
        <v>#REF!</v>
      </c>
      <c r="II23" t="e">
        <f>AND(#REF!,"G79YbRp5D/I=")</f>
        <v>#REF!</v>
      </c>
      <c r="IJ23" t="e">
        <f>AND(#REF!,"G79YbRp5D/M=")</f>
        <v>#REF!</v>
      </c>
      <c r="IK23" t="e">
        <f>AND(#REF!,"G79YbRp5D/Q=")</f>
        <v>#REF!</v>
      </c>
      <c r="IL23" t="e">
        <f>AND(#REF!,"G79YbRp5D/U=")</f>
        <v>#REF!</v>
      </c>
      <c r="IM23" t="e">
        <f>AND(#REF!,"G79YbRp5D/Y=")</f>
        <v>#REF!</v>
      </c>
      <c r="IN23" t="e">
        <f>AND(#REF!,"G79YbRp5D/c=")</f>
        <v>#REF!</v>
      </c>
      <c r="IO23" t="e">
        <f>AND(#REF!,"G79YbRp5D/g=")</f>
        <v>#REF!</v>
      </c>
      <c r="IP23" t="e">
        <f>AND(#REF!,"G79YbRp5D/k=")</f>
        <v>#REF!</v>
      </c>
      <c r="IQ23" t="e">
        <f>AND(#REF!,"G79YbRp5D/o=")</f>
        <v>#REF!</v>
      </c>
      <c r="IR23" t="e">
        <f>AND(#REF!,"G79YbRp5D/s=")</f>
        <v>#REF!</v>
      </c>
      <c r="IS23" t="e">
        <f>AND(#REF!,"G79YbRp5D/w=")</f>
        <v>#REF!</v>
      </c>
      <c r="IT23" t="e">
        <f>AND(#REF!,"G79YbRp5D/0=")</f>
        <v>#REF!</v>
      </c>
      <c r="IU23" t="e">
        <f>AND(#REF!,"G79YbRp5D/4=")</f>
        <v>#REF!</v>
      </c>
      <c r="IV23" t="e">
        <f>AND(#REF!,"G79YbRp5D/8=")</f>
        <v>#REF!</v>
      </c>
    </row>
    <row r="24" spans="1:256" x14ac:dyDescent="0.2">
      <c r="A24" t="e">
        <f>AND(#REF!,"VEseujBkowA=")</f>
        <v>#REF!</v>
      </c>
      <c r="B24" t="e">
        <f>AND(#REF!,"VEseujBkowE=")</f>
        <v>#REF!</v>
      </c>
      <c r="C24" t="e">
        <f>AND(#REF!,"VEseujBkowI=")</f>
        <v>#REF!</v>
      </c>
      <c r="D24" t="e">
        <f>AND(#REF!,"VEseujBkowM=")</f>
        <v>#REF!</v>
      </c>
      <c r="E24" t="e">
        <f>AND(#REF!,"VEseujBkowQ=")</f>
        <v>#REF!</v>
      </c>
      <c r="F24" t="e">
        <f>AND(#REF!,"VEseujBkowU=")</f>
        <v>#REF!</v>
      </c>
      <c r="G24" t="e">
        <f>AND(#REF!,"VEseujBkowY=")</f>
        <v>#REF!</v>
      </c>
      <c r="H24" t="e">
        <f>AND(#REF!,"VEseujBkowc=")</f>
        <v>#REF!</v>
      </c>
      <c r="I24" t="e">
        <f>AND(#REF!,"VEseujBkowg=")</f>
        <v>#REF!</v>
      </c>
      <c r="J24" t="e">
        <f>AND(#REF!,"VEseujBkowk=")</f>
        <v>#REF!</v>
      </c>
      <c r="K24" t="e">
        <f>AND(#REF!,"VEseujBkowo=")</f>
        <v>#REF!</v>
      </c>
      <c r="L24" t="e">
        <f>AND(#REF!,"VEseujBkows=")</f>
        <v>#REF!</v>
      </c>
      <c r="M24" t="e">
        <f>AND(#REF!,"VEseujBkoww=")</f>
        <v>#REF!</v>
      </c>
      <c r="N24" t="e">
        <f>AND(#REF!,"VEseujBkow0=")</f>
        <v>#REF!</v>
      </c>
      <c r="O24" t="e">
        <f>AND(#REF!,"VEseujBkow4=")</f>
        <v>#REF!</v>
      </c>
      <c r="P24" t="e">
        <f>AND(#REF!,"VEseujBkow8=")</f>
        <v>#REF!</v>
      </c>
      <c r="Q24" t="e">
        <f>AND(#REF!,"VEseujBkoxA=")</f>
        <v>#REF!</v>
      </c>
      <c r="R24" t="e">
        <f>AND(#REF!,"VEseujBkoxE=")</f>
        <v>#REF!</v>
      </c>
      <c r="S24" t="e">
        <f>AND(#REF!,"VEseujBkoxI=")</f>
        <v>#REF!</v>
      </c>
      <c r="T24" t="e">
        <f>AND(#REF!,"VEseujBkoxM=")</f>
        <v>#REF!</v>
      </c>
      <c r="U24" t="e">
        <f>AND(#REF!,"VEseujBkoxQ=")</f>
        <v>#REF!</v>
      </c>
      <c r="V24" t="e">
        <f>AND(#REF!,"VEseujBkoxU=")</f>
        <v>#REF!</v>
      </c>
      <c r="W24" t="e">
        <f>AND(#REF!,"VEseujBkoxY=")</f>
        <v>#REF!</v>
      </c>
      <c r="X24" t="e">
        <f>AND(#REF!,"VEseujBkoxc=")</f>
        <v>#REF!</v>
      </c>
      <c r="Y24" t="e">
        <f>AND(#REF!,"VEseujBkoxg=")</f>
        <v>#REF!</v>
      </c>
      <c r="Z24" t="e">
        <f>AND(#REF!,"VEseujBkoxk=")</f>
        <v>#REF!</v>
      </c>
      <c r="AA24" t="e">
        <f>AND(#REF!,"VEseujBkoxo=")</f>
        <v>#REF!</v>
      </c>
      <c r="AB24" t="e">
        <f>AND(#REF!,"VEseujBkoxs=")</f>
        <v>#REF!</v>
      </c>
      <c r="AC24" t="e">
        <f>IF(#REF!,"VEseujBkoxw=",0)</f>
        <v>#REF!</v>
      </c>
      <c r="AD24" t="e">
        <f>AND(#REF!,"VEseujBkox0=")</f>
        <v>#REF!</v>
      </c>
      <c r="AE24" t="e">
        <f>AND(#REF!,"VEseujBkox4=")</f>
        <v>#REF!</v>
      </c>
      <c r="AF24" t="e">
        <f>AND(#REF!,"VEseujBkox8=")</f>
        <v>#REF!</v>
      </c>
      <c r="AG24" t="e">
        <f>AND(#REF!,"VEseujBkoyA=")</f>
        <v>#REF!</v>
      </c>
      <c r="AH24" t="e">
        <f>AND(#REF!,"VEseujBkoyE=")</f>
        <v>#REF!</v>
      </c>
      <c r="AI24" t="e">
        <f>AND(#REF!,"VEseujBkoyI=")</f>
        <v>#REF!</v>
      </c>
      <c r="AJ24" t="e">
        <f>AND(#REF!,"VEseujBkoyM=")</f>
        <v>#REF!</v>
      </c>
      <c r="AK24" t="e">
        <f>AND(#REF!,"VEseujBkoyQ=")</f>
        <v>#REF!</v>
      </c>
      <c r="AL24" t="e">
        <f>AND(#REF!,"VEseujBkoyU=")</f>
        <v>#REF!</v>
      </c>
      <c r="AM24" t="e">
        <f>AND(#REF!,"VEseujBkoyY=")</f>
        <v>#REF!</v>
      </c>
      <c r="AN24" t="e">
        <f>AND(#REF!,"VEseujBkoyc=")</f>
        <v>#REF!</v>
      </c>
      <c r="AO24" t="e">
        <f>AND(#REF!,"VEseujBkoyg=")</f>
        <v>#REF!</v>
      </c>
      <c r="AP24" t="e">
        <f>AND(#REF!,"VEseujBkoyk=")</f>
        <v>#REF!</v>
      </c>
      <c r="AQ24" t="e">
        <f>AND(#REF!,"VEseujBkoyo=")</f>
        <v>#REF!</v>
      </c>
      <c r="AR24" t="e">
        <f>AND(#REF!,"VEseujBkoys=")</f>
        <v>#REF!</v>
      </c>
      <c r="AS24" t="e">
        <f>AND(#REF!,"VEseujBkoyw=")</f>
        <v>#REF!</v>
      </c>
      <c r="AT24" t="e">
        <f>AND(#REF!,"VEseujBkoy0=")</f>
        <v>#REF!</v>
      </c>
      <c r="AU24" t="e">
        <f>AND(#REF!,"VEseujBkoy4=")</f>
        <v>#REF!</v>
      </c>
      <c r="AV24" t="e">
        <f>AND(#REF!,"VEseujBkoy8=")</f>
        <v>#REF!</v>
      </c>
      <c r="AW24" t="e">
        <f>AND(#REF!,"VEseujBkozA=")</f>
        <v>#REF!</v>
      </c>
      <c r="AX24" t="e">
        <f>AND(#REF!,"VEseujBkozE=")</f>
        <v>#REF!</v>
      </c>
      <c r="AY24" t="e">
        <f>AND(#REF!,"VEseujBkozI=")</f>
        <v>#REF!</v>
      </c>
      <c r="AZ24" t="e">
        <f>AND(#REF!,"VEseujBkozM=")</f>
        <v>#REF!</v>
      </c>
      <c r="BA24" t="e">
        <f>AND(#REF!,"VEseujBkozQ=")</f>
        <v>#REF!</v>
      </c>
      <c r="BB24" t="e">
        <f>AND(#REF!,"VEseujBkozU=")</f>
        <v>#REF!</v>
      </c>
      <c r="BC24" t="e">
        <f>AND(#REF!,"VEseujBkozY=")</f>
        <v>#REF!</v>
      </c>
      <c r="BD24" t="e">
        <f>AND(#REF!,"VEseujBkozc=")</f>
        <v>#REF!</v>
      </c>
      <c r="BE24" t="e">
        <f>AND(#REF!,"VEseujBkozg=")</f>
        <v>#REF!</v>
      </c>
      <c r="BF24" t="e">
        <f>AND(#REF!,"VEseujBkozk=")</f>
        <v>#REF!</v>
      </c>
      <c r="BG24" t="e">
        <f>AND(#REF!,"VEseujBkozo=")</f>
        <v>#REF!</v>
      </c>
      <c r="BH24" t="e">
        <f>AND(#REF!,"VEseujBkozs=")</f>
        <v>#REF!</v>
      </c>
      <c r="BI24" t="e">
        <f>AND(#REF!,"VEseujBkozw=")</f>
        <v>#REF!</v>
      </c>
      <c r="BJ24" t="e">
        <f>AND(#REF!,"VEseujBkoz0=")</f>
        <v>#REF!</v>
      </c>
      <c r="BK24" t="e">
        <f>AND(#REF!,"VEseujBkoz4=")</f>
        <v>#REF!</v>
      </c>
      <c r="BL24" t="e">
        <f>AND(#REF!,"VEseujBkoz8=")</f>
        <v>#REF!</v>
      </c>
      <c r="BM24" t="e">
        <f>AND(#REF!,"VEseujBko0A=")</f>
        <v>#REF!</v>
      </c>
      <c r="BN24" t="e">
        <f>AND(#REF!,"VEseujBko0E=")</f>
        <v>#REF!</v>
      </c>
      <c r="BO24" t="e">
        <f>AND(#REF!,"VEseujBko0I=")</f>
        <v>#REF!</v>
      </c>
      <c r="BP24" t="e">
        <f>AND(#REF!,"VEseujBko0M=")</f>
        <v>#REF!</v>
      </c>
      <c r="BQ24" t="e">
        <f>AND(#REF!,"VEseujBko0Q=")</f>
        <v>#REF!</v>
      </c>
      <c r="BR24" t="e">
        <f>AND(#REF!,"VEseujBko0U=")</f>
        <v>#REF!</v>
      </c>
      <c r="BS24" t="e">
        <f>AND(#REF!,"VEseujBko0Y=")</f>
        <v>#REF!</v>
      </c>
      <c r="BT24" t="e">
        <f>AND(#REF!,"VEseujBko0c=")</f>
        <v>#REF!</v>
      </c>
      <c r="BU24" t="e">
        <f>AND(#REF!,"VEseujBko0g=")</f>
        <v>#REF!</v>
      </c>
      <c r="BV24" t="e">
        <f>AND(#REF!,"VEseujBko0k=")</f>
        <v>#REF!</v>
      </c>
      <c r="BW24" t="e">
        <f>AND(#REF!,"VEseujBko0o=")</f>
        <v>#REF!</v>
      </c>
      <c r="BX24" t="e">
        <f>AND(#REF!,"VEseujBko0s=")</f>
        <v>#REF!</v>
      </c>
      <c r="BY24" t="e">
        <f>AND(#REF!,"VEseujBko0w=")</f>
        <v>#REF!</v>
      </c>
      <c r="BZ24" t="e">
        <f>AND(#REF!,"VEseujBko00=")</f>
        <v>#REF!</v>
      </c>
      <c r="CA24" t="e">
        <f>AND(#REF!,"VEseujBko04=")</f>
        <v>#REF!</v>
      </c>
      <c r="CB24" t="e">
        <f>AND(#REF!,"VEseujBko08=")</f>
        <v>#REF!</v>
      </c>
      <c r="CC24" t="e">
        <f>AND(#REF!,"VEseujBko1A=")</f>
        <v>#REF!</v>
      </c>
      <c r="CD24" t="e">
        <f>AND(#REF!,"VEseujBko1E=")</f>
        <v>#REF!</v>
      </c>
      <c r="CE24" t="e">
        <f>AND(#REF!,"VEseujBko1I=")</f>
        <v>#REF!</v>
      </c>
      <c r="CF24" t="e">
        <f>AND(#REF!,"VEseujBko1M=")</f>
        <v>#REF!</v>
      </c>
      <c r="CG24" t="e">
        <f>AND(#REF!,"VEseujBko1Q=")</f>
        <v>#REF!</v>
      </c>
      <c r="CH24" t="e">
        <f>AND(#REF!,"VEseujBko1U=")</f>
        <v>#REF!</v>
      </c>
      <c r="CI24" t="e">
        <f>AND(#REF!,"VEseujBko1Y=")</f>
        <v>#REF!</v>
      </c>
      <c r="CJ24" t="e">
        <f>AND(#REF!,"VEseujBko1c=")</f>
        <v>#REF!</v>
      </c>
      <c r="CK24" t="e">
        <f>AND(#REF!,"VEseujBko1g=")</f>
        <v>#REF!</v>
      </c>
      <c r="CL24" t="e">
        <f>AND(#REF!,"VEseujBko1k=")</f>
        <v>#REF!</v>
      </c>
      <c r="CM24" t="e">
        <f>AND(#REF!,"VEseujBko1o=")</f>
        <v>#REF!</v>
      </c>
      <c r="CN24" t="e">
        <f>AND(#REF!,"VEseujBko1s=")</f>
        <v>#REF!</v>
      </c>
      <c r="CO24" t="e">
        <f>AND(#REF!,"VEseujBko1w=")</f>
        <v>#REF!</v>
      </c>
      <c r="CP24" t="e">
        <f>AND(#REF!,"VEseujBko10=")</f>
        <v>#REF!</v>
      </c>
      <c r="CQ24" t="e">
        <f>AND(#REF!,"VEseujBko14=")</f>
        <v>#REF!</v>
      </c>
      <c r="CR24" t="e">
        <f>AND(#REF!,"VEseujBko18=")</f>
        <v>#REF!</v>
      </c>
      <c r="CS24" t="e">
        <f>AND(#REF!,"VEseujBko2A=")</f>
        <v>#REF!</v>
      </c>
      <c r="CT24" t="e">
        <f>AND(#REF!,"VEseujBko2E=")</f>
        <v>#REF!</v>
      </c>
      <c r="CU24" t="e">
        <f>AND(#REF!,"VEseujBko2I=")</f>
        <v>#REF!</v>
      </c>
      <c r="CV24" t="e">
        <f>AND(#REF!,"VEseujBko2M=")</f>
        <v>#REF!</v>
      </c>
      <c r="CW24" t="e">
        <f>AND(#REF!,"VEseujBko2Q=")</f>
        <v>#REF!</v>
      </c>
      <c r="CX24" t="e">
        <f>AND(#REF!,"VEseujBko2U=")</f>
        <v>#REF!</v>
      </c>
      <c r="CY24" t="e">
        <f>AND(#REF!,"VEseujBko2Y=")</f>
        <v>#REF!</v>
      </c>
      <c r="CZ24" t="e">
        <f>AND(#REF!,"VEseujBko2c=")</f>
        <v>#REF!</v>
      </c>
      <c r="DA24" t="e">
        <f>AND(#REF!,"VEseujBko2g=")</f>
        <v>#REF!</v>
      </c>
      <c r="DB24" t="e">
        <f>AND(#REF!,"VEseujBko2k=")</f>
        <v>#REF!</v>
      </c>
      <c r="DC24" t="e">
        <f>AND(#REF!,"VEseujBko2o=")</f>
        <v>#REF!</v>
      </c>
      <c r="DD24" t="e">
        <f>AND(#REF!,"VEseujBko2s=")</f>
        <v>#REF!</v>
      </c>
      <c r="DE24" t="e">
        <f>AND(#REF!,"VEseujBko2w=")</f>
        <v>#REF!</v>
      </c>
      <c r="DF24" t="e">
        <f>AND(#REF!,"VEseujBko20=")</f>
        <v>#REF!</v>
      </c>
      <c r="DG24" t="e">
        <f>AND(#REF!,"VEseujBko24=")</f>
        <v>#REF!</v>
      </c>
      <c r="DH24" t="e">
        <f>AND(#REF!,"VEseujBko28=")</f>
        <v>#REF!</v>
      </c>
      <c r="DI24" t="e">
        <f>AND(#REF!,"VEseujBko3A=")</f>
        <v>#REF!</v>
      </c>
      <c r="DJ24" t="e">
        <f>AND(#REF!,"VEseujBko3E=")</f>
        <v>#REF!</v>
      </c>
      <c r="DK24" t="e">
        <f>AND(#REF!,"VEseujBko3I=")</f>
        <v>#REF!</v>
      </c>
      <c r="DL24" t="e">
        <f>AND(#REF!,"VEseujBko3M=")</f>
        <v>#REF!</v>
      </c>
      <c r="DM24" t="e">
        <f>AND(#REF!,"VEseujBko3Q=")</f>
        <v>#REF!</v>
      </c>
      <c r="DN24" t="e">
        <f>AND(#REF!,"VEseujBko3U=")</f>
        <v>#REF!</v>
      </c>
      <c r="DO24" t="e">
        <f>AND(#REF!,"VEseujBko3Y=")</f>
        <v>#REF!</v>
      </c>
      <c r="DP24" t="e">
        <f>AND(#REF!,"VEseujBko3c=")</f>
        <v>#REF!</v>
      </c>
      <c r="DQ24" t="e">
        <f>AND(#REF!,"VEseujBko3g=")</f>
        <v>#REF!</v>
      </c>
      <c r="DR24" t="e">
        <f>AND(#REF!,"VEseujBko3k=")</f>
        <v>#REF!</v>
      </c>
      <c r="DS24" t="e">
        <f>AND(#REF!,"VEseujBko3o=")</f>
        <v>#REF!</v>
      </c>
      <c r="DT24" t="e">
        <f>AND(#REF!,"VEseujBko3s=")</f>
        <v>#REF!</v>
      </c>
      <c r="DU24" t="e">
        <f>AND(#REF!,"VEseujBko3w=")</f>
        <v>#REF!</v>
      </c>
      <c r="DV24" t="e">
        <f>AND(#REF!,"VEseujBko30=")</f>
        <v>#REF!</v>
      </c>
      <c r="DW24" t="e">
        <f>AND(#REF!,"VEseujBko34=")</f>
        <v>#REF!</v>
      </c>
      <c r="DX24" t="e">
        <f>AND(#REF!,"VEseujBko38=")</f>
        <v>#REF!</v>
      </c>
      <c r="DY24" t="e">
        <f>AND(#REF!,"VEseujBko4A=")</f>
        <v>#REF!</v>
      </c>
      <c r="DZ24" t="e">
        <f>AND(#REF!,"VEseujBko4E=")</f>
        <v>#REF!</v>
      </c>
      <c r="EA24" t="e">
        <f>AND(#REF!,"VEseujBko4I=")</f>
        <v>#REF!</v>
      </c>
      <c r="EB24" t="e">
        <f>AND(#REF!,"VEseujBko4M=")</f>
        <v>#REF!</v>
      </c>
      <c r="EC24" t="e">
        <f>AND(#REF!,"VEseujBko4Q=")</f>
        <v>#REF!</v>
      </c>
      <c r="ED24" t="e">
        <f>AND(#REF!,"VEseujBko4U=")</f>
        <v>#REF!</v>
      </c>
      <c r="EE24" t="e">
        <f>AND(#REF!,"VEseujBko4Y=")</f>
        <v>#REF!</v>
      </c>
      <c r="EF24" t="e">
        <f>AND(#REF!,"VEseujBko4c=")</f>
        <v>#REF!</v>
      </c>
      <c r="EG24" t="e">
        <f>AND(#REF!,"VEseujBko4g=")</f>
        <v>#REF!</v>
      </c>
      <c r="EH24" t="e">
        <f>AND(#REF!,"VEseujBko4k=")</f>
        <v>#REF!</v>
      </c>
      <c r="EI24" t="e">
        <f>AND(#REF!,"VEseujBko4o=")</f>
        <v>#REF!</v>
      </c>
      <c r="EJ24" t="e">
        <f>AND(#REF!,"VEseujBko4s=")</f>
        <v>#REF!</v>
      </c>
      <c r="EK24" t="e">
        <f>AND(#REF!,"VEseujBko4w=")</f>
        <v>#REF!</v>
      </c>
      <c r="EL24" t="e">
        <f>AND(#REF!,"VEseujBko40=")</f>
        <v>#REF!</v>
      </c>
      <c r="EM24" t="e">
        <f>AND(#REF!,"VEseujBko44=")</f>
        <v>#REF!</v>
      </c>
      <c r="EN24" t="e">
        <f>AND(#REF!,"VEseujBko48=")</f>
        <v>#REF!</v>
      </c>
      <c r="EO24" t="e">
        <f>AND(#REF!,"VEseujBko5A=")</f>
        <v>#REF!</v>
      </c>
      <c r="EP24" t="e">
        <f>AND(#REF!,"VEseujBko5E=")</f>
        <v>#REF!</v>
      </c>
      <c r="EQ24" t="e">
        <f>AND(#REF!,"VEseujBko5I=")</f>
        <v>#REF!</v>
      </c>
      <c r="ER24" t="e">
        <f>AND(#REF!,"VEseujBko5M=")</f>
        <v>#REF!</v>
      </c>
      <c r="ES24" t="e">
        <f>AND(#REF!,"VEseujBko5Q=")</f>
        <v>#REF!</v>
      </c>
      <c r="ET24" t="e">
        <f>AND(#REF!,"VEseujBko5U=")</f>
        <v>#REF!</v>
      </c>
      <c r="EU24" t="e">
        <f>AND(#REF!,"VEseujBko5Y=")</f>
        <v>#REF!</v>
      </c>
      <c r="EV24" t="e">
        <f>AND(#REF!,"VEseujBko5c=")</f>
        <v>#REF!</v>
      </c>
      <c r="EW24" t="e">
        <f>AND(#REF!,"VEseujBko5g=")</f>
        <v>#REF!</v>
      </c>
      <c r="EX24" t="e">
        <f>AND(#REF!,"VEseujBko5k=")</f>
        <v>#REF!</v>
      </c>
      <c r="EY24" t="e">
        <f>AND(#REF!,"VEseujBko5o=")</f>
        <v>#REF!</v>
      </c>
      <c r="EZ24" t="e">
        <f>AND(#REF!,"VEseujBko5s=")</f>
        <v>#REF!</v>
      </c>
      <c r="FA24" t="e">
        <f>AND(#REF!,"VEseujBko5w=")</f>
        <v>#REF!</v>
      </c>
      <c r="FB24" t="e">
        <f>AND(#REF!,"VEseujBko50=")</f>
        <v>#REF!</v>
      </c>
      <c r="FC24" t="e">
        <f>AND(#REF!,"VEseujBko54=")</f>
        <v>#REF!</v>
      </c>
      <c r="FD24" t="e">
        <f>AND(#REF!,"VEseujBko58=")</f>
        <v>#REF!</v>
      </c>
      <c r="FE24" t="e">
        <f>AND(#REF!,"VEseujBko6A=")</f>
        <v>#REF!</v>
      </c>
      <c r="FF24" t="e">
        <f>AND(#REF!,"VEseujBko6E=")</f>
        <v>#REF!</v>
      </c>
      <c r="FG24" t="e">
        <f>AND(#REF!,"VEseujBko6I=")</f>
        <v>#REF!</v>
      </c>
      <c r="FH24" t="e">
        <f>AND(#REF!,"VEseujBko6M=")</f>
        <v>#REF!</v>
      </c>
      <c r="FI24" t="e">
        <f>AND(#REF!,"VEseujBko6Q=")</f>
        <v>#REF!</v>
      </c>
      <c r="FJ24" t="e">
        <f>AND(#REF!,"VEseujBko6U=")</f>
        <v>#REF!</v>
      </c>
      <c r="FK24" t="e">
        <f>AND(#REF!,"VEseujBko6Y=")</f>
        <v>#REF!</v>
      </c>
      <c r="FL24" t="e">
        <f>AND(#REF!,"VEseujBko6c=")</f>
        <v>#REF!</v>
      </c>
      <c r="FM24" t="e">
        <f>AND(#REF!,"VEseujBko6g=")</f>
        <v>#REF!</v>
      </c>
      <c r="FN24" t="e">
        <f>AND(#REF!,"VEseujBko6k=")</f>
        <v>#REF!</v>
      </c>
      <c r="FO24" t="e">
        <f>AND(#REF!,"VEseujBko6o=")</f>
        <v>#REF!</v>
      </c>
      <c r="FP24" t="e">
        <f>AND(#REF!,"VEseujBko6s=")</f>
        <v>#REF!</v>
      </c>
      <c r="FQ24" t="e">
        <f>AND(#REF!,"VEseujBko6w=")</f>
        <v>#REF!</v>
      </c>
      <c r="FR24" t="e">
        <f>AND(#REF!,"VEseujBko60=")</f>
        <v>#REF!</v>
      </c>
      <c r="FS24" t="e">
        <f>AND(#REF!,"VEseujBko64=")</f>
        <v>#REF!</v>
      </c>
      <c r="FT24" t="e">
        <f>AND(#REF!,"VEseujBko68=")</f>
        <v>#REF!</v>
      </c>
      <c r="FU24" t="e">
        <f>AND(#REF!,"VEseujBko7A=")</f>
        <v>#REF!</v>
      </c>
      <c r="FV24" t="e">
        <f>AND(#REF!,"VEseujBko7E=")</f>
        <v>#REF!</v>
      </c>
      <c r="FW24" t="e">
        <f>AND(#REF!,"VEseujBko7I=")</f>
        <v>#REF!</v>
      </c>
      <c r="FX24" t="e">
        <f>AND(#REF!,"VEseujBko7M=")</f>
        <v>#REF!</v>
      </c>
      <c r="FY24" t="e">
        <f>AND(#REF!,"VEseujBko7Q=")</f>
        <v>#REF!</v>
      </c>
      <c r="FZ24" t="e">
        <f>AND(#REF!,"VEseujBko7U=")</f>
        <v>#REF!</v>
      </c>
      <c r="GA24" t="e">
        <f>AND(#REF!,"VEseujBko7Y=")</f>
        <v>#REF!</v>
      </c>
      <c r="GB24" t="e">
        <f>AND(#REF!,"VEseujBko7c=")</f>
        <v>#REF!</v>
      </c>
      <c r="GC24" t="e">
        <f>AND(#REF!,"VEseujBko7g=")</f>
        <v>#REF!</v>
      </c>
      <c r="GD24" t="e">
        <f>AND(#REF!,"VEseujBko7k=")</f>
        <v>#REF!</v>
      </c>
      <c r="GE24" t="e">
        <f>AND(#REF!,"VEseujBko7o=")</f>
        <v>#REF!</v>
      </c>
      <c r="GF24" t="e">
        <f>AND(#REF!,"VEseujBko7s=")</f>
        <v>#REF!</v>
      </c>
      <c r="GG24" t="e">
        <f>AND(#REF!,"VEseujBko7w=")</f>
        <v>#REF!</v>
      </c>
      <c r="GH24" t="e">
        <f>AND(#REF!,"VEseujBko70=")</f>
        <v>#REF!</v>
      </c>
      <c r="GI24" t="e">
        <f>AND(#REF!,"VEseujBko74=")</f>
        <v>#REF!</v>
      </c>
      <c r="GJ24" t="e">
        <f>AND(#REF!,"VEseujBko78=")</f>
        <v>#REF!</v>
      </c>
      <c r="GK24" t="e">
        <f>AND(#REF!,"VEseujBko8A=")</f>
        <v>#REF!</v>
      </c>
      <c r="GL24" t="e">
        <f>AND(#REF!,"VEseujBko8E=")</f>
        <v>#REF!</v>
      </c>
      <c r="GM24" t="e">
        <f>AND(#REF!,"VEseujBko8I=")</f>
        <v>#REF!</v>
      </c>
      <c r="GN24" t="e">
        <f>AND(#REF!,"VEseujBko8M=")</f>
        <v>#REF!</v>
      </c>
      <c r="GO24" t="e">
        <f>AND(#REF!,"VEseujBko8Q=")</f>
        <v>#REF!</v>
      </c>
      <c r="GP24" t="e">
        <f>AND(#REF!,"VEseujBko8U=")</f>
        <v>#REF!</v>
      </c>
      <c r="GQ24" t="e">
        <f>AND(#REF!,"VEseujBko8Y=")</f>
        <v>#REF!</v>
      </c>
      <c r="GR24" t="e">
        <f>AND(#REF!,"VEseujBko8c=")</f>
        <v>#REF!</v>
      </c>
      <c r="GS24" t="e">
        <f>AND(#REF!,"VEseujBko8g=")</f>
        <v>#REF!</v>
      </c>
      <c r="GT24" t="e">
        <f>AND(#REF!,"VEseujBko8k=")</f>
        <v>#REF!</v>
      </c>
      <c r="GU24" t="e">
        <f>AND(#REF!,"VEseujBko8o=")</f>
        <v>#REF!</v>
      </c>
      <c r="GV24" t="e">
        <f>AND(#REF!,"VEseujBko8s=")</f>
        <v>#REF!</v>
      </c>
      <c r="GW24" t="e">
        <f>AND(#REF!,"VEseujBko8w=")</f>
        <v>#REF!</v>
      </c>
      <c r="GX24" t="e">
        <f>AND(#REF!,"VEseujBko80=")</f>
        <v>#REF!</v>
      </c>
      <c r="GY24" t="e">
        <f>AND(#REF!,"VEseujBko84=")</f>
        <v>#REF!</v>
      </c>
      <c r="GZ24" t="e">
        <f>AND(#REF!,"VEseujBko88=")</f>
        <v>#REF!</v>
      </c>
      <c r="HA24" t="e">
        <f>AND(#REF!,"VEseujBko9A=")</f>
        <v>#REF!</v>
      </c>
      <c r="HB24" t="e">
        <f>AND(#REF!,"VEseujBko9E=")</f>
        <v>#REF!</v>
      </c>
      <c r="HC24" t="e">
        <f>AND(#REF!,"VEseujBko9I=")</f>
        <v>#REF!</v>
      </c>
      <c r="HD24" t="e">
        <f>AND(#REF!,"VEseujBko9M=")</f>
        <v>#REF!</v>
      </c>
      <c r="HE24" t="e">
        <f>AND(#REF!,"VEseujBko9Q=")</f>
        <v>#REF!</v>
      </c>
      <c r="HF24" t="e">
        <f>AND(#REF!,"VEseujBko9U=")</f>
        <v>#REF!</v>
      </c>
      <c r="HG24" t="e">
        <f>AND(#REF!,"VEseujBko9Y=")</f>
        <v>#REF!</v>
      </c>
      <c r="HH24" t="e">
        <f>AND(#REF!,"VEseujBko9c=")</f>
        <v>#REF!</v>
      </c>
      <c r="HI24" t="e">
        <f>AND(#REF!,"VEseujBko9g=")</f>
        <v>#REF!</v>
      </c>
      <c r="HJ24" t="e">
        <f>AND(#REF!,"VEseujBko9k=")</f>
        <v>#REF!</v>
      </c>
      <c r="HK24" t="e">
        <f>AND(#REF!,"VEseujBko9o=")</f>
        <v>#REF!</v>
      </c>
      <c r="HL24" t="e">
        <f>AND(#REF!,"VEseujBko9s=")</f>
        <v>#REF!</v>
      </c>
      <c r="HM24" t="e">
        <f>AND(#REF!,"VEseujBko9w=")</f>
        <v>#REF!</v>
      </c>
      <c r="HN24" t="e">
        <f>AND(#REF!,"VEseujBko90=")</f>
        <v>#REF!</v>
      </c>
      <c r="HO24" t="e">
        <f>AND(#REF!,"VEseujBko94=")</f>
        <v>#REF!</v>
      </c>
      <c r="HP24" t="e">
        <f>AND(#REF!,"VEseujBko98=")</f>
        <v>#REF!</v>
      </c>
      <c r="HQ24" t="e">
        <f>AND(#REF!,"VEseujBko+A=")</f>
        <v>#REF!</v>
      </c>
      <c r="HR24" t="e">
        <f>AND(#REF!,"VEseujBko+E=")</f>
        <v>#REF!</v>
      </c>
      <c r="HS24" t="e">
        <f>AND(#REF!,"VEseujBko+I=")</f>
        <v>#REF!</v>
      </c>
      <c r="HT24" t="e">
        <f>IF(#REF!,"VEseujBko+M=",0)</f>
        <v>#REF!</v>
      </c>
      <c r="HU24" t="e">
        <f>AND(#REF!,"VEseujBko+Q=")</f>
        <v>#REF!</v>
      </c>
      <c r="HV24" t="e">
        <f>AND(#REF!,"VEseujBko+U=")</f>
        <v>#REF!</v>
      </c>
      <c r="HW24" t="e">
        <f>AND(#REF!,"VEseujBko+Y=")</f>
        <v>#REF!</v>
      </c>
      <c r="HX24" t="e">
        <f>AND(#REF!,"VEseujBko+c=")</f>
        <v>#REF!</v>
      </c>
      <c r="HY24" t="e">
        <f>AND(#REF!,"VEseujBko+g=")</f>
        <v>#REF!</v>
      </c>
      <c r="HZ24" t="e">
        <f>AND(#REF!,"VEseujBko+k=")</f>
        <v>#REF!</v>
      </c>
      <c r="IA24" t="e">
        <f>AND(#REF!,"VEseujBko+o=")</f>
        <v>#REF!</v>
      </c>
      <c r="IB24" t="e">
        <f>AND(#REF!,"VEseujBko+s=")</f>
        <v>#REF!</v>
      </c>
      <c r="IC24" t="e">
        <f>AND(#REF!,"VEseujBko+w=")</f>
        <v>#REF!</v>
      </c>
      <c r="ID24" t="e">
        <f>AND(#REF!,"VEseujBko+0=")</f>
        <v>#REF!</v>
      </c>
      <c r="IE24" t="e">
        <f>AND(#REF!,"VEseujBko+4=")</f>
        <v>#REF!</v>
      </c>
      <c r="IF24" t="e">
        <f>AND(#REF!,"VEseujBko+8=")</f>
        <v>#REF!</v>
      </c>
      <c r="IG24" t="e">
        <f>AND(#REF!,"VEseujBko/A=")</f>
        <v>#REF!</v>
      </c>
      <c r="IH24" t="e">
        <f>AND(#REF!,"VEseujBko/E=")</f>
        <v>#REF!</v>
      </c>
      <c r="II24" t="e">
        <f>AND(#REF!,"VEseujBko/I=")</f>
        <v>#REF!</v>
      </c>
      <c r="IJ24" t="e">
        <f>AND(#REF!,"VEseujBko/M=")</f>
        <v>#REF!</v>
      </c>
      <c r="IK24" t="e">
        <f>AND(#REF!,"VEseujBko/Q=")</f>
        <v>#REF!</v>
      </c>
      <c r="IL24" t="e">
        <f>AND(#REF!,"VEseujBko/U=")</f>
        <v>#REF!</v>
      </c>
      <c r="IM24" t="e">
        <f>AND(#REF!,"VEseujBko/Y=")</f>
        <v>#REF!</v>
      </c>
      <c r="IN24" t="e">
        <f>AND(#REF!,"VEseujBko/c=")</f>
        <v>#REF!</v>
      </c>
      <c r="IO24" t="e">
        <f>AND(#REF!,"VEseujBko/g=")</f>
        <v>#REF!</v>
      </c>
      <c r="IP24" t="e">
        <f>AND(#REF!,"VEseujBko/k=")</f>
        <v>#REF!</v>
      </c>
      <c r="IQ24" t="e">
        <f>AND(#REF!,"VEseujBko/o=")</f>
        <v>#REF!</v>
      </c>
      <c r="IR24" t="e">
        <f>AND(#REF!,"VEseujBko/s=")</f>
        <v>#REF!</v>
      </c>
      <c r="IS24" t="e">
        <f>AND(#REF!,"VEseujBko/w=")</f>
        <v>#REF!</v>
      </c>
      <c r="IT24" t="e">
        <f>AND(#REF!,"VEseujBko/0=")</f>
        <v>#REF!</v>
      </c>
      <c r="IU24" t="e">
        <f>AND(#REF!,"VEseujBko/4=")</f>
        <v>#REF!</v>
      </c>
      <c r="IV24" t="e">
        <f>AND(#REF!,"VEseujBko/8=")</f>
        <v>#REF!</v>
      </c>
    </row>
    <row r="25" spans="1:256" x14ac:dyDescent="0.2">
      <c r="A25" t="e">
        <f>AND(#REF!,"KHxd9gjRNQA=")</f>
        <v>#REF!</v>
      </c>
      <c r="B25" t="e">
        <f>AND(#REF!,"KHxd9gjRNQE=")</f>
        <v>#REF!</v>
      </c>
      <c r="C25" t="e">
        <f>AND(#REF!,"KHxd9gjRNQI=")</f>
        <v>#REF!</v>
      </c>
      <c r="D25" t="e">
        <f>AND(#REF!,"KHxd9gjRNQM=")</f>
        <v>#REF!</v>
      </c>
      <c r="E25" t="e">
        <f>AND(#REF!,"KHxd9gjRNQQ=")</f>
        <v>#REF!</v>
      </c>
      <c r="F25" t="e">
        <f>AND(#REF!,"KHxd9gjRNQU=")</f>
        <v>#REF!</v>
      </c>
      <c r="G25" t="e">
        <f>AND(#REF!,"KHxd9gjRNQY=")</f>
        <v>#REF!</v>
      </c>
      <c r="H25" t="e">
        <f>AND(#REF!,"KHxd9gjRNQc=")</f>
        <v>#REF!</v>
      </c>
      <c r="I25" t="e">
        <f>AND(#REF!,"KHxd9gjRNQg=")</f>
        <v>#REF!</v>
      </c>
      <c r="J25" t="e">
        <f>AND(#REF!,"KHxd9gjRNQk=")</f>
        <v>#REF!</v>
      </c>
      <c r="K25" t="e">
        <f>AND(#REF!,"KHxd9gjRNQo=")</f>
        <v>#REF!</v>
      </c>
      <c r="L25" t="e">
        <f>AND(#REF!,"KHxd9gjRNQs=")</f>
        <v>#REF!</v>
      </c>
      <c r="M25" t="e">
        <f>AND(#REF!,"KHxd9gjRNQw=")</f>
        <v>#REF!</v>
      </c>
      <c r="N25" t="e">
        <f>AND(#REF!,"KHxd9gjRNQ0=")</f>
        <v>#REF!</v>
      </c>
      <c r="O25" t="e">
        <f>AND(#REF!,"KHxd9gjRNQ4=")</f>
        <v>#REF!</v>
      </c>
      <c r="P25" t="e">
        <f>AND(#REF!,"KHxd9gjRNQ8=")</f>
        <v>#REF!</v>
      </c>
      <c r="Q25" t="e">
        <f>AND(#REF!,"KHxd9gjRNRA=")</f>
        <v>#REF!</v>
      </c>
      <c r="R25" t="e">
        <f>AND(#REF!,"KHxd9gjRNRE=")</f>
        <v>#REF!</v>
      </c>
      <c r="S25" t="e">
        <f>AND(#REF!,"KHxd9gjRNRI=")</f>
        <v>#REF!</v>
      </c>
      <c r="T25" t="e">
        <f>AND(#REF!,"KHxd9gjRNRM=")</f>
        <v>#REF!</v>
      </c>
      <c r="U25" t="e">
        <f>AND(#REF!,"KHxd9gjRNRQ=")</f>
        <v>#REF!</v>
      </c>
      <c r="V25" t="e">
        <f>AND(#REF!,"KHxd9gjRNRU=")</f>
        <v>#REF!</v>
      </c>
      <c r="W25" t="e">
        <f>AND(#REF!,"KHxd9gjRNRY=")</f>
        <v>#REF!</v>
      </c>
      <c r="X25" t="e">
        <f>AND(#REF!,"KHxd9gjRNRc=")</f>
        <v>#REF!</v>
      </c>
      <c r="Y25" t="e">
        <f>AND(#REF!,"KHxd9gjRNRg=")</f>
        <v>#REF!</v>
      </c>
      <c r="Z25" t="e">
        <f>AND(#REF!,"KHxd9gjRNRk=")</f>
        <v>#REF!</v>
      </c>
      <c r="AA25" t="e">
        <f>AND(#REF!,"KHxd9gjRNRo=")</f>
        <v>#REF!</v>
      </c>
      <c r="AB25" t="e">
        <f>AND(#REF!,"KHxd9gjRNRs=")</f>
        <v>#REF!</v>
      </c>
      <c r="AC25" t="e">
        <f>AND(#REF!,"KHxd9gjRNRw=")</f>
        <v>#REF!</v>
      </c>
      <c r="AD25" t="e">
        <f>AND(#REF!,"KHxd9gjRNR0=")</f>
        <v>#REF!</v>
      </c>
      <c r="AE25" t="e">
        <f>AND(#REF!,"KHxd9gjRNR4=")</f>
        <v>#REF!</v>
      </c>
      <c r="AF25" t="e">
        <f>AND(#REF!,"KHxd9gjRNR8=")</f>
        <v>#REF!</v>
      </c>
      <c r="AG25" t="e">
        <f>AND(#REF!,"KHxd9gjRNSA=")</f>
        <v>#REF!</v>
      </c>
      <c r="AH25" t="e">
        <f>AND(#REF!,"KHxd9gjRNSE=")</f>
        <v>#REF!</v>
      </c>
      <c r="AI25" t="e">
        <f>AND(#REF!,"KHxd9gjRNSI=")</f>
        <v>#REF!</v>
      </c>
      <c r="AJ25" t="e">
        <f>AND(#REF!,"KHxd9gjRNSM=")</f>
        <v>#REF!</v>
      </c>
      <c r="AK25" t="e">
        <f>AND(#REF!,"KHxd9gjRNSQ=")</f>
        <v>#REF!</v>
      </c>
      <c r="AL25" t="e">
        <f>AND(#REF!,"KHxd9gjRNSU=")</f>
        <v>#REF!</v>
      </c>
      <c r="AM25" t="e">
        <f>AND(#REF!,"KHxd9gjRNSY=")</f>
        <v>#REF!</v>
      </c>
      <c r="AN25" t="e">
        <f>AND(#REF!,"KHxd9gjRNSc=")</f>
        <v>#REF!</v>
      </c>
      <c r="AO25" t="e">
        <f>AND(#REF!,"KHxd9gjRNSg=")</f>
        <v>#REF!</v>
      </c>
      <c r="AP25" t="e">
        <f>AND(#REF!,"KHxd9gjRNSk=")</f>
        <v>#REF!</v>
      </c>
      <c r="AQ25" t="e">
        <f>AND(#REF!,"KHxd9gjRNSo=")</f>
        <v>#REF!</v>
      </c>
      <c r="AR25" t="e">
        <f>AND(#REF!,"KHxd9gjRNSs=")</f>
        <v>#REF!</v>
      </c>
      <c r="AS25" t="e">
        <f>AND(#REF!,"KHxd9gjRNSw=")</f>
        <v>#REF!</v>
      </c>
      <c r="AT25" t="e">
        <f>AND(#REF!,"KHxd9gjRNS0=")</f>
        <v>#REF!</v>
      </c>
      <c r="AU25" t="e">
        <f>AND(#REF!,"KHxd9gjRNS4=")</f>
        <v>#REF!</v>
      </c>
      <c r="AV25" t="e">
        <f>AND(#REF!,"KHxd9gjRNS8=")</f>
        <v>#REF!</v>
      </c>
      <c r="AW25" t="e">
        <f>AND(#REF!,"KHxd9gjRNTA=")</f>
        <v>#REF!</v>
      </c>
      <c r="AX25" t="e">
        <f>AND(#REF!,"KHxd9gjRNTE=")</f>
        <v>#REF!</v>
      </c>
      <c r="AY25" t="e">
        <f>AND(#REF!,"KHxd9gjRNTI=")</f>
        <v>#REF!</v>
      </c>
      <c r="AZ25" t="e">
        <f>AND(#REF!,"KHxd9gjRNTM=")</f>
        <v>#REF!</v>
      </c>
      <c r="BA25" t="e">
        <f>AND(#REF!,"KHxd9gjRNTQ=")</f>
        <v>#REF!</v>
      </c>
      <c r="BB25" t="e">
        <f>AND(#REF!,"KHxd9gjRNTU=")</f>
        <v>#REF!</v>
      </c>
      <c r="BC25" t="e">
        <f>AND(#REF!,"KHxd9gjRNTY=")</f>
        <v>#REF!</v>
      </c>
      <c r="BD25" t="e">
        <f>AND(#REF!,"KHxd9gjRNTc=")</f>
        <v>#REF!</v>
      </c>
      <c r="BE25" t="e">
        <f>AND(#REF!,"KHxd9gjRNTg=")</f>
        <v>#REF!</v>
      </c>
      <c r="BF25" t="e">
        <f>AND(#REF!,"KHxd9gjRNTk=")</f>
        <v>#REF!</v>
      </c>
      <c r="BG25" t="e">
        <f>AND(#REF!,"KHxd9gjRNTo=")</f>
        <v>#REF!</v>
      </c>
      <c r="BH25" t="e">
        <f>AND(#REF!,"KHxd9gjRNTs=")</f>
        <v>#REF!</v>
      </c>
      <c r="BI25" t="e">
        <f>AND(#REF!,"KHxd9gjRNTw=")</f>
        <v>#REF!</v>
      </c>
      <c r="BJ25" t="e">
        <f>AND(#REF!,"KHxd9gjRNT0=")</f>
        <v>#REF!</v>
      </c>
      <c r="BK25" t="e">
        <f>AND(#REF!,"KHxd9gjRNT4=")</f>
        <v>#REF!</v>
      </c>
      <c r="BL25" t="e">
        <f>AND(#REF!,"KHxd9gjRNT8=")</f>
        <v>#REF!</v>
      </c>
      <c r="BM25" t="e">
        <f>AND(#REF!,"KHxd9gjRNUA=")</f>
        <v>#REF!</v>
      </c>
      <c r="BN25" t="e">
        <f>AND(#REF!,"KHxd9gjRNUE=")</f>
        <v>#REF!</v>
      </c>
      <c r="BO25" t="e">
        <f>AND(#REF!,"KHxd9gjRNUI=")</f>
        <v>#REF!</v>
      </c>
      <c r="BP25" t="e">
        <f>AND(#REF!,"KHxd9gjRNUM=")</f>
        <v>#REF!</v>
      </c>
      <c r="BQ25" t="e">
        <f>AND(#REF!,"KHxd9gjRNUQ=")</f>
        <v>#REF!</v>
      </c>
      <c r="BR25" t="e">
        <f>AND(#REF!,"KHxd9gjRNUU=")</f>
        <v>#REF!</v>
      </c>
      <c r="BS25" t="e">
        <f>AND(#REF!,"KHxd9gjRNUY=")</f>
        <v>#REF!</v>
      </c>
      <c r="BT25" t="e">
        <f>AND(#REF!,"KHxd9gjRNUc=")</f>
        <v>#REF!</v>
      </c>
      <c r="BU25" t="e">
        <f>AND(#REF!,"KHxd9gjRNUg=")</f>
        <v>#REF!</v>
      </c>
      <c r="BV25" t="e">
        <f>AND(#REF!,"KHxd9gjRNUk=")</f>
        <v>#REF!</v>
      </c>
      <c r="BW25" t="e">
        <f>AND(#REF!,"KHxd9gjRNUo=")</f>
        <v>#REF!</v>
      </c>
      <c r="BX25" t="e">
        <f>AND(#REF!,"KHxd9gjRNUs=")</f>
        <v>#REF!</v>
      </c>
      <c r="BY25" t="e">
        <f>AND(#REF!,"KHxd9gjRNUw=")</f>
        <v>#REF!</v>
      </c>
      <c r="BZ25" t="e">
        <f>AND(#REF!,"KHxd9gjRNU0=")</f>
        <v>#REF!</v>
      </c>
      <c r="CA25" t="e">
        <f>AND(#REF!,"KHxd9gjRNU4=")</f>
        <v>#REF!</v>
      </c>
      <c r="CB25" t="e">
        <f>AND(#REF!,"KHxd9gjRNU8=")</f>
        <v>#REF!</v>
      </c>
      <c r="CC25" t="e">
        <f>AND(#REF!,"KHxd9gjRNVA=")</f>
        <v>#REF!</v>
      </c>
      <c r="CD25" t="e">
        <f>AND(#REF!,"KHxd9gjRNVE=")</f>
        <v>#REF!</v>
      </c>
      <c r="CE25" t="e">
        <f>AND(#REF!,"KHxd9gjRNVI=")</f>
        <v>#REF!</v>
      </c>
      <c r="CF25" t="e">
        <f>AND(#REF!,"KHxd9gjRNVM=")</f>
        <v>#REF!</v>
      </c>
      <c r="CG25" t="e">
        <f>AND(#REF!,"KHxd9gjRNVQ=")</f>
        <v>#REF!</v>
      </c>
      <c r="CH25" t="e">
        <f>AND(#REF!,"KHxd9gjRNVU=")</f>
        <v>#REF!</v>
      </c>
      <c r="CI25" t="e">
        <f>AND(#REF!,"KHxd9gjRNVY=")</f>
        <v>#REF!</v>
      </c>
      <c r="CJ25" t="e">
        <f>AND(#REF!,"KHxd9gjRNVc=")</f>
        <v>#REF!</v>
      </c>
      <c r="CK25" t="e">
        <f>AND(#REF!,"KHxd9gjRNVg=")</f>
        <v>#REF!</v>
      </c>
      <c r="CL25" t="e">
        <f>AND(#REF!,"KHxd9gjRNVk=")</f>
        <v>#REF!</v>
      </c>
      <c r="CM25" t="e">
        <f>AND(#REF!,"KHxd9gjRNVo=")</f>
        <v>#REF!</v>
      </c>
      <c r="CN25" t="e">
        <f>AND(#REF!,"KHxd9gjRNVs=")</f>
        <v>#REF!</v>
      </c>
      <c r="CO25" t="e">
        <f>AND(#REF!,"KHxd9gjRNVw=")</f>
        <v>#REF!</v>
      </c>
      <c r="CP25" t="e">
        <f>AND(#REF!,"KHxd9gjRNV0=")</f>
        <v>#REF!</v>
      </c>
      <c r="CQ25" t="e">
        <f>AND(#REF!,"KHxd9gjRNV4=")</f>
        <v>#REF!</v>
      </c>
      <c r="CR25" t="e">
        <f>AND(#REF!,"KHxd9gjRNV8=")</f>
        <v>#REF!</v>
      </c>
      <c r="CS25" t="e">
        <f>AND(#REF!,"KHxd9gjRNWA=")</f>
        <v>#REF!</v>
      </c>
      <c r="CT25" t="e">
        <f>AND(#REF!,"KHxd9gjRNWE=")</f>
        <v>#REF!</v>
      </c>
      <c r="CU25" t="e">
        <f>AND(#REF!,"KHxd9gjRNWI=")</f>
        <v>#REF!</v>
      </c>
      <c r="CV25" t="e">
        <f>AND(#REF!,"KHxd9gjRNWM=")</f>
        <v>#REF!</v>
      </c>
      <c r="CW25" t="e">
        <f>AND(#REF!,"KHxd9gjRNWQ=")</f>
        <v>#REF!</v>
      </c>
      <c r="CX25" t="e">
        <f>AND(#REF!,"KHxd9gjRNWU=")</f>
        <v>#REF!</v>
      </c>
      <c r="CY25" t="e">
        <f>AND(#REF!,"KHxd9gjRNWY=")</f>
        <v>#REF!</v>
      </c>
      <c r="CZ25" t="e">
        <f>AND(#REF!,"KHxd9gjRNWc=")</f>
        <v>#REF!</v>
      </c>
      <c r="DA25" t="e">
        <f>AND(#REF!,"KHxd9gjRNWg=")</f>
        <v>#REF!</v>
      </c>
      <c r="DB25" t="e">
        <f>AND(#REF!,"KHxd9gjRNWk=")</f>
        <v>#REF!</v>
      </c>
      <c r="DC25" t="e">
        <f>AND(#REF!,"KHxd9gjRNWo=")</f>
        <v>#REF!</v>
      </c>
      <c r="DD25" t="e">
        <f>AND(#REF!,"KHxd9gjRNWs=")</f>
        <v>#REF!</v>
      </c>
      <c r="DE25" t="e">
        <f>AND(#REF!,"KHxd9gjRNWw=")</f>
        <v>#REF!</v>
      </c>
      <c r="DF25" t="e">
        <f>AND(#REF!,"KHxd9gjRNW0=")</f>
        <v>#REF!</v>
      </c>
      <c r="DG25" t="e">
        <f>AND(#REF!,"KHxd9gjRNW4=")</f>
        <v>#REF!</v>
      </c>
      <c r="DH25" t="e">
        <f>AND(#REF!,"KHxd9gjRNW8=")</f>
        <v>#REF!</v>
      </c>
      <c r="DI25" t="e">
        <f>AND(#REF!,"KHxd9gjRNXA=")</f>
        <v>#REF!</v>
      </c>
      <c r="DJ25" t="e">
        <f>AND(#REF!,"KHxd9gjRNXE=")</f>
        <v>#REF!</v>
      </c>
      <c r="DK25" t="e">
        <f>AND(#REF!,"KHxd9gjRNXI=")</f>
        <v>#REF!</v>
      </c>
      <c r="DL25" t="e">
        <f>AND(#REF!,"KHxd9gjRNXM=")</f>
        <v>#REF!</v>
      </c>
      <c r="DM25" t="e">
        <f>AND(#REF!,"KHxd9gjRNXQ=")</f>
        <v>#REF!</v>
      </c>
      <c r="DN25" t="e">
        <f>AND(#REF!,"KHxd9gjRNXU=")</f>
        <v>#REF!</v>
      </c>
      <c r="DO25" t="e">
        <f>AND(#REF!,"KHxd9gjRNXY=")</f>
        <v>#REF!</v>
      </c>
      <c r="DP25" t="e">
        <f>AND(#REF!,"KHxd9gjRNXc=")</f>
        <v>#REF!</v>
      </c>
      <c r="DQ25" t="e">
        <f>AND(#REF!,"KHxd9gjRNXg=")</f>
        <v>#REF!</v>
      </c>
      <c r="DR25" t="e">
        <f>AND(#REF!,"KHxd9gjRNXk=")</f>
        <v>#REF!</v>
      </c>
      <c r="DS25" t="e">
        <f>AND(#REF!,"KHxd9gjRNXo=")</f>
        <v>#REF!</v>
      </c>
      <c r="DT25" t="e">
        <f>AND(#REF!,"KHxd9gjRNXs=")</f>
        <v>#REF!</v>
      </c>
      <c r="DU25" t="e">
        <f>AND(#REF!,"KHxd9gjRNXw=")</f>
        <v>#REF!</v>
      </c>
      <c r="DV25" t="e">
        <f>AND(#REF!,"KHxd9gjRNX0=")</f>
        <v>#REF!</v>
      </c>
      <c r="DW25" t="e">
        <f>AND(#REF!,"KHxd9gjRNX4=")</f>
        <v>#REF!</v>
      </c>
      <c r="DX25" t="e">
        <f>AND(#REF!,"KHxd9gjRNX8=")</f>
        <v>#REF!</v>
      </c>
      <c r="DY25" t="e">
        <f>AND(#REF!,"KHxd9gjRNYA=")</f>
        <v>#REF!</v>
      </c>
      <c r="DZ25" t="e">
        <f>AND(#REF!,"KHxd9gjRNYE=")</f>
        <v>#REF!</v>
      </c>
      <c r="EA25" t="e">
        <f>AND(#REF!,"KHxd9gjRNYI=")</f>
        <v>#REF!</v>
      </c>
      <c r="EB25" t="e">
        <f>AND(#REF!,"KHxd9gjRNYM=")</f>
        <v>#REF!</v>
      </c>
      <c r="EC25" t="e">
        <f>AND(#REF!,"KHxd9gjRNYQ=")</f>
        <v>#REF!</v>
      </c>
      <c r="ED25" t="e">
        <f>AND(#REF!,"KHxd9gjRNYU=")</f>
        <v>#REF!</v>
      </c>
      <c r="EE25" t="e">
        <f>AND(#REF!,"KHxd9gjRNYY=")</f>
        <v>#REF!</v>
      </c>
      <c r="EF25" t="e">
        <f>AND(#REF!,"KHxd9gjRNYc=")</f>
        <v>#REF!</v>
      </c>
      <c r="EG25" t="e">
        <f>AND(#REF!,"KHxd9gjRNYg=")</f>
        <v>#REF!</v>
      </c>
      <c r="EH25" t="e">
        <f>AND(#REF!,"KHxd9gjRNYk=")</f>
        <v>#REF!</v>
      </c>
      <c r="EI25" t="e">
        <f>AND(#REF!,"KHxd9gjRNYo=")</f>
        <v>#REF!</v>
      </c>
      <c r="EJ25" t="e">
        <f>AND(#REF!,"KHxd9gjRNYs=")</f>
        <v>#REF!</v>
      </c>
      <c r="EK25" t="e">
        <f>AND(#REF!,"KHxd9gjRNYw=")</f>
        <v>#REF!</v>
      </c>
      <c r="EL25" t="e">
        <f>AND(#REF!,"KHxd9gjRNY0=")</f>
        <v>#REF!</v>
      </c>
      <c r="EM25" t="e">
        <f>AND(#REF!,"KHxd9gjRNY4=")</f>
        <v>#REF!</v>
      </c>
      <c r="EN25" t="e">
        <f>AND(#REF!,"KHxd9gjRNY8=")</f>
        <v>#REF!</v>
      </c>
      <c r="EO25" t="e">
        <f>AND(#REF!,"KHxd9gjRNZA=")</f>
        <v>#REF!</v>
      </c>
      <c r="EP25" t="e">
        <f>AND(#REF!,"KHxd9gjRNZE=")</f>
        <v>#REF!</v>
      </c>
      <c r="EQ25" t="e">
        <f>AND(#REF!,"KHxd9gjRNZI=")</f>
        <v>#REF!</v>
      </c>
      <c r="ER25" t="e">
        <f>AND(#REF!,"KHxd9gjRNZM=")</f>
        <v>#REF!</v>
      </c>
      <c r="ES25" t="e">
        <f>AND(#REF!,"KHxd9gjRNZQ=")</f>
        <v>#REF!</v>
      </c>
      <c r="ET25" t="e">
        <f>AND(#REF!,"KHxd9gjRNZU=")</f>
        <v>#REF!</v>
      </c>
      <c r="EU25" t="e">
        <f>AND(#REF!,"KHxd9gjRNZY=")</f>
        <v>#REF!</v>
      </c>
      <c r="EV25" t="e">
        <f>AND(#REF!,"KHxd9gjRNZc=")</f>
        <v>#REF!</v>
      </c>
      <c r="EW25" t="e">
        <f>AND(#REF!,"KHxd9gjRNZg=")</f>
        <v>#REF!</v>
      </c>
      <c r="EX25" t="e">
        <f>AND(#REF!,"KHxd9gjRNZk=")</f>
        <v>#REF!</v>
      </c>
      <c r="EY25" t="e">
        <f>AND(#REF!,"KHxd9gjRNZo=")</f>
        <v>#REF!</v>
      </c>
      <c r="EZ25" t="e">
        <f>AND(#REF!,"KHxd9gjRNZs=")</f>
        <v>#REF!</v>
      </c>
      <c r="FA25" t="e">
        <f>AND(#REF!,"KHxd9gjRNZw=")</f>
        <v>#REF!</v>
      </c>
      <c r="FB25" t="e">
        <f>AND(#REF!,"KHxd9gjRNZ0=")</f>
        <v>#REF!</v>
      </c>
      <c r="FC25" t="e">
        <f>AND(#REF!,"KHxd9gjRNZ4=")</f>
        <v>#REF!</v>
      </c>
      <c r="FD25" t="e">
        <f>AND(#REF!,"KHxd9gjRNZ8=")</f>
        <v>#REF!</v>
      </c>
      <c r="FE25" t="e">
        <f>AND(#REF!,"KHxd9gjRNaA=")</f>
        <v>#REF!</v>
      </c>
      <c r="FF25" t="e">
        <f>AND(#REF!,"KHxd9gjRNaE=")</f>
        <v>#REF!</v>
      </c>
      <c r="FG25" t="e">
        <f>AND(#REF!,"KHxd9gjRNaI=")</f>
        <v>#REF!</v>
      </c>
      <c r="FH25" t="e">
        <f>AND(#REF!,"KHxd9gjRNaM=")</f>
        <v>#REF!</v>
      </c>
      <c r="FI25" t="e">
        <f>AND(#REF!,"KHxd9gjRNaQ=")</f>
        <v>#REF!</v>
      </c>
      <c r="FJ25" t="e">
        <f>AND(#REF!,"KHxd9gjRNaU=")</f>
        <v>#REF!</v>
      </c>
      <c r="FK25" t="e">
        <f>AND(#REF!,"KHxd9gjRNaY=")</f>
        <v>#REF!</v>
      </c>
      <c r="FL25" t="e">
        <f>AND(#REF!,"KHxd9gjRNac=")</f>
        <v>#REF!</v>
      </c>
      <c r="FM25" t="e">
        <f>AND(#REF!,"KHxd9gjRNag=")</f>
        <v>#REF!</v>
      </c>
      <c r="FN25" t="e">
        <f>AND(#REF!,"KHxd9gjRNak=")</f>
        <v>#REF!</v>
      </c>
      <c r="FO25" t="e">
        <f>IF(#REF!,"KHxd9gjRNao=",0)</f>
        <v>#REF!</v>
      </c>
      <c r="FP25" t="e">
        <f>AND(#REF!,"KHxd9gjRNas=")</f>
        <v>#REF!</v>
      </c>
      <c r="FQ25" t="e">
        <f>AND(#REF!,"KHxd9gjRNaw=")</f>
        <v>#REF!</v>
      </c>
      <c r="FR25" t="e">
        <f>AND(#REF!,"KHxd9gjRNa0=")</f>
        <v>#REF!</v>
      </c>
      <c r="FS25" t="e">
        <f>AND(#REF!,"KHxd9gjRNa4=")</f>
        <v>#REF!</v>
      </c>
      <c r="FT25" t="e">
        <f>AND(#REF!,"KHxd9gjRNa8=")</f>
        <v>#REF!</v>
      </c>
      <c r="FU25" t="e">
        <f>AND(#REF!,"KHxd9gjRNbA=")</f>
        <v>#REF!</v>
      </c>
      <c r="FV25" t="e">
        <f>AND(#REF!,"KHxd9gjRNbE=")</f>
        <v>#REF!</v>
      </c>
      <c r="FW25" t="e">
        <f>AND(#REF!,"KHxd9gjRNbI=")</f>
        <v>#REF!</v>
      </c>
      <c r="FX25" t="e">
        <f>AND(#REF!,"KHxd9gjRNbM=")</f>
        <v>#REF!</v>
      </c>
      <c r="FY25" t="e">
        <f>AND(#REF!,"KHxd9gjRNbQ=")</f>
        <v>#REF!</v>
      </c>
      <c r="FZ25" t="e">
        <f>AND(#REF!,"KHxd9gjRNbU=")</f>
        <v>#REF!</v>
      </c>
      <c r="GA25" t="e">
        <f>AND(#REF!,"KHxd9gjRNbY=")</f>
        <v>#REF!</v>
      </c>
      <c r="GB25" t="e">
        <f>AND(#REF!,"KHxd9gjRNbc=")</f>
        <v>#REF!</v>
      </c>
      <c r="GC25" t="e">
        <f>AND(#REF!,"KHxd9gjRNbg=")</f>
        <v>#REF!</v>
      </c>
      <c r="GD25" t="e">
        <f>AND(#REF!,"KHxd9gjRNbk=")</f>
        <v>#REF!</v>
      </c>
      <c r="GE25" t="e">
        <f>AND(#REF!,"KHxd9gjRNbo=")</f>
        <v>#REF!</v>
      </c>
      <c r="GF25" t="e">
        <f>AND(#REF!,"KHxd9gjRNbs=")</f>
        <v>#REF!</v>
      </c>
      <c r="GG25" t="e">
        <f>AND(#REF!,"KHxd9gjRNbw=")</f>
        <v>#REF!</v>
      </c>
      <c r="GH25" t="e">
        <f>AND(#REF!,"KHxd9gjRNb0=")</f>
        <v>#REF!</v>
      </c>
      <c r="GI25" t="e">
        <f>AND(#REF!,"KHxd9gjRNb4=")</f>
        <v>#REF!</v>
      </c>
      <c r="GJ25" t="e">
        <f>AND(#REF!,"KHxd9gjRNb8=")</f>
        <v>#REF!</v>
      </c>
      <c r="GK25" t="e">
        <f>AND(#REF!,"KHxd9gjRNcA=")</f>
        <v>#REF!</v>
      </c>
      <c r="GL25" t="e">
        <f>AND(#REF!,"KHxd9gjRNcE=")</f>
        <v>#REF!</v>
      </c>
      <c r="GM25" t="e">
        <f>AND(#REF!,"KHxd9gjRNcI=")</f>
        <v>#REF!</v>
      </c>
      <c r="GN25" t="e">
        <f>AND(#REF!,"KHxd9gjRNcM=")</f>
        <v>#REF!</v>
      </c>
      <c r="GO25" t="e">
        <f>AND(#REF!,"KHxd9gjRNcQ=")</f>
        <v>#REF!</v>
      </c>
      <c r="GP25" t="e">
        <f>AND(#REF!,"KHxd9gjRNcU=")</f>
        <v>#REF!</v>
      </c>
      <c r="GQ25" t="e">
        <f>AND(#REF!,"KHxd9gjRNcY=")</f>
        <v>#REF!</v>
      </c>
      <c r="GR25" t="e">
        <f>AND(#REF!,"KHxd9gjRNcc=")</f>
        <v>#REF!</v>
      </c>
      <c r="GS25" t="e">
        <f>AND(#REF!,"KHxd9gjRNcg=")</f>
        <v>#REF!</v>
      </c>
      <c r="GT25" t="e">
        <f>AND(#REF!,"KHxd9gjRNck=")</f>
        <v>#REF!</v>
      </c>
      <c r="GU25" t="e">
        <f>AND(#REF!,"KHxd9gjRNco=")</f>
        <v>#REF!</v>
      </c>
      <c r="GV25" t="e">
        <f>AND(#REF!,"KHxd9gjRNcs=")</f>
        <v>#REF!</v>
      </c>
      <c r="GW25" t="e">
        <f>AND(#REF!,"KHxd9gjRNcw=")</f>
        <v>#REF!</v>
      </c>
      <c r="GX25" t="e">
        <f>AND(#REF!,"KHxd9gjRNc0=")</f>
        <v>#REF!</v>
      </c>
      <c r="GY25" t="e">
        <f>AND(#REF!,"KHxd9gjRNc4=")</f>
        <v>#REF!</v>
      </c>
      <c r="GZ25" t="e">
        <f>AND(#REF!,"KHxd9gjRNc8=")</f>
        <v>#REF!</v>
      </c>
      <c r="HA25" t="e">
        <f>AND(#REF!,"KHxd9gjRNdA=")</f>
        <v>#REF!</v>
      </c>
      <c r="HB25" t="e">
        <f>AND(#REF!,"KHxd9gjRNdE=")</f>
        <v>#REF!</v>
      </c>
      <c r="HC25" t="e">
        <f>AND(#REF!,"KHxd9gjRNdI=")</f>
        <v>#REF!</v>
      </c>
      <c r="HD25" t="e">
        <f>AND(#REF!,"KHxd9gjRNdM=")</f>
        <v>#REF!</v>
      </c>
      <c r="HE25" t="e">
        <f>AND(#REF!,"KHxd9gjRNdQ=")</f>
        <v>#REF!</v>
      </c>
      <c r="HF25" t="e">
        <f>AND(#REF!,"KHxd9gjRNdU=")</f>
        <v>#REF!</v>
      </c>
      <c r="HG25" t="e">
        <f>AND(#REF!,"KHxd9gjRNdY=")</f>
        <v>#REF!</v>
      </c>
      <c r="HH25" t="e">
        <f>AND(#REF!,"KHxd9gjRNdc=")</f>
        <v>#REF!</v>
      </c>
      <c r="HI25" t="e">
        <f>AND(#REF!,"KHxd9gjRNdg=")</f>
        <v>#REF!</v>
      </c>
      <c r="HJ25" t="e">
        <f>AND(#REF!,"KHxd9gjRNdk=")</f>
        <v>#REF!</v>
      </c>
      <c r="HK25" t="e">
        <f>AND(#REF!,"KHxd9gjRNdo=")</f>
        <v>#REF!</v>
      </c>
      <c r="HL25" t="e">
        <f>AND(#REF!,"KHxd9gjRNds=")</f>
        <v>#REF!</v>
      </c>
      <c r="HM25" t="e">
        <f>AND(#REF!,"KHxd9gjRNdw=")</f>
        <v>#REF!</v>
      </c>
      <c r="HN25" t="e">
        <f>AND(#REF!,"KHxd9gjRNd0=")</f>
        <v>#REF!</v>
      </c>
      <c r="HO25" t="e">
        <f>AND(#REF!,"KHxd9gjRNd4=")</f>
        <v>#REF!</v>
      </c>
      <c r="HP25" t="e">
        <f>AND(#REF!,"KHxd9gjRNd8=")</f>
        <v>#REF!</v>
      </c>
      <c r="HQ25" t="e">
        <f>AND(#REF!,"KHxd9gjRNeA=")</f>
        <v>#REF!</v>
      </c>
      <c r="HR25" t="e">
        <f>AND(#REF!,"KHxd9gjRNeE=")</f>
        <v>#REF!</v>
      </c>
      <c r="HS25" t="e">
        <f>AND(#REF!,"KHxd9gjRNeI=")</f>
        <v>#REF!</v>
      </c>
      <c r="HT25" t="e">
        <f>AND(#REF!,"KHxd9gjRNeM=")</f>
        <v>#REF!</v>
      </c>
      <c r="HU25" t="e">
        <f>AND(#REF!,"KHxd9gjRNeQ=")</f>
        <v>#REF!</v>
      </c>
      <c r="HV25" t="e">
        <f>AND(#REF!,"KHxd9gjRNeU=")</f>
        <v>#REF!</v>
      </c>
      <c r="HW25" t="e">
        <f>AND(#REF!,"KHxd9gjRNeY=")</f>
        <v>#REF!</v>
      </c>
      <c r="HX25" t="e">
        <f>AND(#REF!,"KHxd9gjRNec=")</f>
        <v>#REF!</v>
      </c>
      <c r="HY25" t="e">
        <f>AND(#REF!,"KHxd9gjRNeg=")</f>
        <v>#REF!</v>
      </c>
      <c r="HZ25" t="e">
        <f>AND(#REF!,"KHxd9gjRNek=")</f>
        <v>#REF!</v>
      </c>
      <c r="IA25" t="e">
        <f>AND(#REF!,"KHxd9gjRNeo=")</f>
        <v>#REF!</v>
      </c>
      <c r="IB25" t="e">
        <f>AND(#REF!,"KHxd9gjRNes=")</f>
        <v>#REF!</v>
      </c>
      <c r="IC25" t="e">
        <f>AND(#REF!,"KHxd9gjRNew=")</f>
        <v>#REF!</v>
      </c>
      <c r="ID25" t="e">
        <f>AND(#REF!,"KHxd9gjRNe0=")</f>
        <v>#REF!</v>
      </c>
      <c r="IE25" t="e">
        <f>AND(#REF!,"KHxd9gjRNe4=")</f>
        <v>#REF!</v>
      </c>
      <c r="IF25" t="e">
        <f>AND(#REF!,"KHxd9gjRNe8=")</f>
        <v>#REF!</v>
      </c>
      <c r="IG25" t="e">
        <f>AND(#REF!,"KHxd9gjRNfA=")</f>
        <v>#REF!</v>
      </c>
      <c r="IH25" t="e">
        <f>AND(#REF!,"KHxd9gjRNfE=")</f>
        <v>#REF!</v>
      </c>
      <c r="II25" t="e">
        <f>AND(#REF!,"KHxd9gjRNfI=")</f>
        <v>#REF!</v>
      </c>
      <c r="IJ25" t="e">
        <f>AND(#REF!,"KHxd9gjRNfM=")</f>
        <v>#REF!</v>
      </c>
      <c r="IK25" t="e">
        <f>AND(#REF!,"KHxd9gjRNfQ=")</f>
        <v>#REF!</v>
      </c>
      <c r="IL25" t="e">
        <f>AND(#REF!,"KHxd9gjRNfU=")</f>
        <v>#REF!</v>
      </c>
      <c r="IM25" t="e">
        <f>AND(#REF!,"KHxd9gjRNfY=")</f>
        <v>#REF!</v>
      </c>
      <c r="IN25" t="e">
        <f>AND(#REF!,"KHxd9gjRNfc=")</f>
        <v>#REF!</v>
      </c>
      <c r="IO25" t="e">
        <f>AND(#REF!,"KHxd9gjRNfg=")</f>
        <v>#REF!</v>
      </c>
      <c r="IP25" t="e">
        <f>AND(#REF!,"KHxd9gjRNfk=")</f>
        <v>#REF!</v>
      </c>
      <c r="IQ25" t="e">
        <f>AND(#REF!,"KHxd9gjRNfo=")</f>
        <v>#REF!</v>
      </c>
      <c r="IR25" t="e">
        <f>AND(#REF!,"KHxd9gjRNfs=")</f>
        <v>#REF!</v>
      </c>
      <c r="IS25" t="e">
        <f>AND(#REF!,"KHxd9gjRNfw=")</f>
        <v>#REF!</v>
      </c>
      <c r="IT25" t="e">
        <f>AND(#REF!,"KHxd9gjRNf0=")</f>
        <v>#REF!</v>
      </c>
      <c r="IU25" t="e">
        <f>AND(#REF!,"KHxd9gjRNf4=")</f>
        <v>#REF!</v>
      </c>
      <c r="IV25" t="e">
        <f>AND(#REF!,"KHxd9gjRNf8=")</f>
        <v>#REF!</v>
      </c>
    </row>
    <row r="26" spans="1:256" x14ac:dyDescent="0.2">
      <c r="A26" t="e">
        <f>AND(#REF!,"AAPiESsgIgA=")</f>
        <v>#REF!</v>
      </c>
      <c r="B26" t="e">
        <f>AND(#REF!,"AAPiESsgIgE=")</f>
        <v>#REF!</v>
      </c>
      <c r="C26" t="e">
        <f>AND(#REF!,"AAPiESsgIgI=")</f>
        <v>#REF!</v>
      </c>
      <c r="D26" t="e">
        <f>AND(#REF!,"AAPiESsgIgM=")</f>
        <v>#REF!</v>
      </c>
      <c r="E26" t="e">
        <f>AND(#REF!,"AAPiESsgIgQ=")</f>
        <v>#REF!</v>
      </c>
      <c r="F26" t="e">
        <f>AND(#REF!,"AAPiESsgIgU=")</f>
        <v>#REF!</v>
      </c>
      <c r="G26" t="e">
        <f>AND(#REF!,"AAPiESsgIgY=")</f>
        <v>#REF!</v>
      </c>
      <c r="H26" t="e">
        <f>AND(#REF!,"AAPiESsgIgc=")</f>
        <v>#REF!</v>
      </c>
      <c r="I26" t="e">
        <f>AND(#REF!,"AAPiESsgIgg=")</f>
        <v>#REF!</v>
      </c>
      <c r="J26" t="e">
        <f>AND(#REF!,"AAPiESsgIgk=")</f>
        <v>#REF!</v>
      </c>
      <c r="K26" t="e">
        <f>AND(#REF!,"AAPiESsgIgo=")</f>
        <v>#REF!</v>
      </c>
      <c r="L26" t="e">
        <f>AND(#REF!,"AAPiESsgIgs=")</f>
        <v>#REF!</v>
      </c>
      <c r="M26" t="e">
        <f>AND(#REF!,"AAPiESsgIgw=")</f>
        <v>#REF!</v>
      </c>
      <c r="N26" t="e">
        <f>AND(#REF!,"AAPiESsgIg0=")</f>
        <v>#REF!</v>
      </c>
      <c r="O26" t="e">
        <f>AND(#REF!,"AAPiESsgIg4=")</f>
        <v>#REF!</v>
      </c>
      <c r="P26" t="e">
        <f>AND(#REF!,"AAPiESsgIg8=")</f>
        <v>#REF!</v>
      </c>
      <c r="Q26" t="e">
        <f>AND(#REF!,"AAPiESsgIhA=")</f>
        <v>#REF!</v>
      </c>
      <c r="R26" t="e">
        <f>AND(#REF!,"AAPiESsgIhE=")</f>
        <v>#REF!</v>
      </c>
      <c r="S26" t="e">
        <f>AND(#REF!,"AAPiESsgIhI=")</f>
        <v>#REF!</v>
      </c>
      <c r="T26" t="e">
        <f>AND(#REF!,"AAPiESsgIhM=")</f>
        <v>#REF!</v>
      </c>
      <c r="U26" t="e">
        <f>AND(#REF!,"AAPiESsgIhQ=")</f>
        <v>#REF!</v>
      </c>
      <c r="V26" t="e">
        <f>AND(#REF!,"AAPiESsgIhU=")</f>
        <v>#REF!</v>
      </c>
      <c r="W26" t="e">
        <f>AND(#REF!,"AAPiESsgIhY=")</f>
        <v>#REF!</v>
      </c>
      <c r="X26" t="e">
        <f>AND(#REF!,"AAPiESsgIhc=")</f>
        <v>#REF!</v>
      </c>
      <c r="Y26" t="e">
        <f>AND(#REF!,"AAPiESsgIhg=")</f>
        <v>#REF!</v>
      </c>
      <c r="Z26" t="e">
        <f>AND(#REF!,"AAPiESsgIhk=")</f>
        <v>#REF!</v>
      </c>
      <c r="AA26" t="e">
        <f>AND(#REF!,"AAPiESsgIho=")</f>
        <v>#REF!</v>
      </c>
      <c r="AB26" t="e">
        <f>AND(#REF!,"AAPiESsgIhs=")</f>
        <v>#REF!</v>
      </c>
      <c r="AC26" t="e">
        <f>AND(#REF!,"AAPiESsgIhw=")</f>
        <v>#REF!</v>
      </c>
      <c r="AD26" t="e">
        <f>AND(#REF!,"AAPiESsgIh0=")</f>
        <v>#REF!</v>
      </c>
      <c r="AE26" t="e">
        <f>AND(#REF!,"AAPiESsgIh4=")</f>
        <v>#REF!</v>
      </c>
      <c r="AF26" t="e">
        <f>AND(#REF!,"AAPiESsgIh8=")</f>
        <v>#REF!</v>
      </c>
      <c r="AG26" t="e">
        <f>AND(#REF!,"AAPiESsgIiA=")</f>
        <v>#REF!</v>
      </c>
      <c r="AH26" t="e">
        <f>AND(#REF!,"AAPiESsgIiE=")</f>
        <v>#REF!</v>
      </c>
      <c r="AI26" t="e">
        <f>AND(#REF!,"AAPiESsgIiI=")</f>
        <v>#REF!</v>
      </c>
      <c r="AJ26" t="e">
        <f>AND(#REF!,"AAPiESsgIiM=")</f>
        <v>#REF!</v>
      </c>
      <c r="AK26" t="e">
        <f>AND(#REF!,"AAPiESsgIiQ=")</f>
        <v>#REF!</v>
      </c>
      <c r="AL26" t="e">
        <f>AND(#REF!,"AAPiESsgIiU=")</f>
        <v>#REF!</v>
      </c>
      <c r="AM26" t="e">
        <f>AND(#REF!,"AAPiESsgIiY=")</f>
        <v>#REF!</v>
      </c>
      <c r="AN26" t="e">
        <f>AND(#REF!,"AAPiESsgIic=")</f>
        <v>#REF!</v>
      </c>
      <c r="AO26" t="e">
        <f>AND(#REF!,"AAPiESsgIig=")</f>
        <v>#REF!</v>
      </c>
      <c r="AP26" t="e">
        <f>AND(#REF!,"AAPiESsgIik=")</f>
        <v>#REF!</v>
      </c>
      <c r="AQ26" t="e">
        <f>AND(#REF!,"AAPiESsgIio=")</f>
        <v>#REF!</v>
      </c>
      <c r="AR26" t="e">
        <f>AND(#REF!,"AAPiESsgIis=")</f>
        <v>#REF!</v>
      </c>
      <c r="AS26" t="e">
        <f>AND(#REF!,"AAPiESsgIiw=")</f>
        <v>#REF!</v>
      </c>
      <c r="AT26" t="e">
        <f>AND(#REF!,"AAPiESsgIi0=")</f>
        <v>#REF!</v>
      </c>
      <c r="AU26" t="e">
        <f>AND(#REF!,"AAPiESsgIi4=")</f>
        <v>#REF!</v>
      </c>
      <c r="AV26" t="e">
        <f>AND(#REF!,"AAPiESsgIi8=")</f>
        <v>#REF!</v>
      </c>
      <c r="AW26" t="e">
        <f>AND(#REF!,"AAPiESsgIjA=")</f>
        <v>#REF!</v>
      </c>
      <c r="AX26" t="e">
        <f>AND(#REF!,"AAPiESsgIjE=")</f>
        <v>#REF!</v>
      </c>
      <c r="AY26" t="e">
        <f>AND(#REF!,"AAPiESsgIjI=")</f>
        <v>#REF!</v>
      </c>
      <c r="AZ26" t="e">
        <f>AND(#REF!,"AAPiESsgIjM=")</f>
        <v>#REF!</v>
      </c>
      <c r="BA26" t="e">
        <f>AND(#REF!,"AAPiESsgIjQ=")</f>
        <v>#REF!</v>
      </c>
      <c r="BB26" t="e">
        <f>AND(#REF!,"AAPiESsgIjU=")</f>
        <v>#REF!</v>
      </c>
      <c r="BC26" t="e">
        <f>AND(#REF!,"AAPiESsgIjY=")</f>
        <v>#REF!</v>
      </c>
      <c r="BD26" t="e">
        <f>AND(#REF!,"AAPiESsgIjc=")</f>
        <v>#REF!</v>
      </c>
      <c r="BE26" t="e">
        <f>AND(#REF!,"AAPiESsgIjg=")</f>
        <v>#REF!</v>
      </c>
      <c r="BF26" t="e">
        <f>AND(#REF!,"AAPiESsgIjk=")</f>
        <v>#REF!</v>
      </c>
      <c r="BG26" t="e">
        <f>AND(#REF!,"AAPiESsgIjo=")</f>
        <v>#REF!</v>
      </c>
      <c r="BH26" t="e">
        <f>AND(#REF!,"AAPiESsgIjs=")</f>
        <v>#REF!</v>
      </c>
      <c r="BI26" t="e">
        <f>AND(#REF!,"AAPiESsgIjw=")</f>
        <v>#REF!</v>
      </c>
      <c r="BJ26" t="e">
        <f>AND(#REF!,"AAPiESsgIj0=")</f>
        <v>#REF!</v>
      </c>
      <c r="BK26" t="e">
        <f>AND(#REF!,"AAPiESsgIj4=")</f>
        <v>#REF!</v>
      </c>
      <c r="BL26" t="e">
        <f>AND(#REF!,"AAPiESsgIj8=")</f>
        <v>#REF!</v>
      </c>
      <c r="BM26" t="e">
        <f>AND(#REF!,"AAPiESsgIkA=")</f>
        <v>#REF!</v>
      </c>
      <c r="BN26" t="e">
        <f>AND(#REF!,"AAPiESsgIkE=")</f>
        <v>#REF!</v>
      </c>
      <c r="BO26" t="e">
        <f>AND(#REF!,"AAPiESsgIkI=")</f>
        <v>#REF!</v>
      </c>
      <c r="BP26" t="e">
        <f>AND(#REF!,"AAPiESsgIkM=")</f>
        <v>#REF!</v>
      </c>
      <c r="BQ26" t="e">
        <f>AND(#REF!,"AAPiESsgIkQ=")</f>
        <v>#REF!</v>
      </c>
      <c r="BR26" t="e">
        <f>AND(#REF!,"AAPiESsgIkU=")</f>
        <v>#REF!</v>
      </c>
      <c r="BS26" t="e">
        <f>AND(#REF!,"AAPiESsgIkY=")</f>
        <v>#REF!</v>
      </c>
      <c r="BT26" t="e">
        <f>AND(#REF!,"AAPiESsgIkc=")</f>
        <v>#REF!</v>
      </c>
      <c r="BU26" t="e">
        <f>AND(#REF!,"AAPiESsgIkg=")</f>
        <v>#REF!</v>
      </c>
      <c r="BV26" t="e">
        <f>AND(#REF!,"AAPiESsgIkk=")</f>
        <v>#REF!</v>
      </c>
      <c r="BW26" t="e">
        <f>AND(#REF!,"AAPiESsgIko=")</f>
        <v>#REF!</v>
      </c>
      <c r="BX26" t="e">
        <f>AND(#REF!,"AAPiESsgIks=")</f>
        <v>#REF!</v>
      </c>
      <c r="BY26" t="e">
        <f>AND(#REF!,"AAPiESsgIkw=")</f>
        <v>#REF!</v>
      </c>
      <c r="BZ26" t="e">
        <f>AND(#REF!,"AAPiESsgIk0=")</f>
        <v>#REF!</v>
      </c>
      <c r="CA26" t="e">
        <f>AND(#REF!,"AAPiESsgIk4=")</f>
        <v>#REF!</v>
      </c>
      <c r="CB26" t="e">
        <f>AND(#REF!,"AAPiESsgIk8=")</f>
        <v>#REF!</v>
      </c>
      <c r="CC26" t="e">
        <f>AND(#REF!,"AAPiESsgIlA=")</f>
        <v>#REF!</v>
      </c>
      <c r="CD26" t="e">
        <f>AND(#REF!,"AAPiESsgIlE=")</f>
        <v>#REF!</v>
      </c>
      <c r="CE26" t="e">
        <f>AND(#REF!,"AAPiESsgIlI=")</f>
        <v>#REF!</v>
      </c>
      <c r="CF26" t="e">
        <f>AND(#REF!,"AAPiESsgIlM=")</f>
        <v>#REF!</v>
      </c>
      <c r="CG26" t="e">
        <f>AND(#REF!,"AAPiESsgIlQ=")</f>
        <v>#REF!</v>
      </c>
      <c r="CH26" t="e">
        <f>AND(#REF!,"AAPiESsgIlU=")</f>
        <v>#REF!</v>
      </c>
      <c r="CI26" t="e">
        <f>AND(#REF!,"AAPiESsgIlY=")</f>
        <v>#REF!</v>
      </c>
      <c r="CJ26" t="e">
        <f>AND(#REF!,"AAPiESsgIlc=")</f>
        <v>#REF!</v>
      </c>
      <c r="CK26" t="e">
        <f>AND(#REF!,"AAPiESsgIlg=")</f>
        <v>#REF!</v>
      </c>
      <c r="CL26" t="e">
        <f>AND(#REF!,"AAPiESsgIlk=")</f>
        <v>#REF!</v>
      </c>
      <c r="CM26" t="e">
        <f>AND(#REF!,"AAPiESsgIlo=")</f>
        <v>#REF!</v>
      </c>
      <c r="CN26" t="e">
        <f>AND(#REF!,"AAPiESsgIls=")</f>
        <v>#REF!</v>
      </c>
      <c r="CO26" t="e">
        <f>AND(#REF!,"AAPiESsgIlw=")</f>
        <v>#REF!</v>
      </c>
      <c r="CP26" t="e">
        <f>AND(#REF!,"AAPiESsgIl0=")</f>
        <v>#REF!</v>
      </c>
      <c r="CQ26" t="e">
        <f>AND(#REF!,"AAPiESsgIl4=")</f>
        <v>#REF!</v>
      </c>
      <c r="CR26" t="e">
        <f>AND(#REF!,"AAPiESsgIl8=")</f>
        <v>#REF!</v>
      </c>
      <c r="CS26" t="e">
        <f>AND(#REF!,"AAPiESsgImA=")</f>
        <v>#REF!</v>
      </c>
      <c r="CT26" t="e">
        <f>AND(#REF!,"AAPiESsgImE=")</f>
        <v>#REF!</v>
      </c>
      <c r="CU26" t="e">
        <f>AND(#REF!,"AAPiESsgImI=")</f>
        <v>#REF!</v>
      </c>
      <c r="CV26" t="e">
        <f>AND(#REF!,"AAPiESsgImM=")</f>
        <v>#REF!</v>
      </c>
      <c r="CW26" t="e">
        <f>AND(#REF!,"AAPiESsgImQ=")</f>
        <v>#REF!</v>
      </c>
      <c r="CX26" t="e">
        <f>AND(#REF!,"AAPiESsgImU=")</f>
        <v>#REF!</v>
      </c>
      <c r="CY26" t="e">
        <f>AND(#REF!,"AAPiESsgImY=")</f>
        <v>#REF!</v>
      </c>
      <c r="CZ26" t="e">
        <f>AND(#REF!,"AAPiESsgImc=")</f>
        <v>#REF!</v>
      </c>
      <c r="DA26" t="e">
        <f>AND(#REF!,"AAPiESsgImg=")</f>
        <v>#REF!</v>
      </c>
      <c r="DB26" t="e">
        <f>AND(#REF!,"AAPiESsgImk=")</f>
        <v>#REF!</v>
      </c>
      <c r="DC26" t="e">
        <f>AND(#REF!,"AAPiESsgImo=")</f>
        <v>#REF!</v>
      </c>
      <c r="DD26" t="e">
        <f>AND(#REF!,"AAPiESsgIms=")</f>
        <v>#REF!</v>
      </c>
      <c r="DE26" t="e">
        <f>AND(#REF!,"AAPiESsgImw=")</f>
        <v>#REF!</v>
      </c>
      <c r="DF26" t="e">
        <f>AND(#REF!,"AAPiESsgIm0=")</f>
        <v>#REF!</v>
      </c>
      <c r="DG26" t="e">
        <f>AND(#REF!,"AAPiESsgIm4=")</f>
        <v>#REF!</v>
      </c>
      <c r="DH26" t="e">
        <f>AND(#REF!,"AAPiESsgIm8=")</f>
        <v>#REF!</v>
      </c>
      <c r="DI26" t="e">
        <f>AND(#REF!,"AAPiESsgInA=")</f>
        <v>#REF!</v>
      </c>
      <c r="DJ26" t="e">
        <f>IF(#REF!,"AAPiESsgInE=",0)</f>
        <v>#REF!</v>
      </c>
      <c r="DK26" t="e">
        <f>AND(#REF!,"AAPiESsgInI=")</f>
        <v>#REF!</v>
      </c>
      <c r="DL26" t="e">
        <f>AND(#REF!,"AAPiESsgInM=")</f>
        <v>#REF!</v>
      </c>
      <c r="DM26" t="e">
        <f>AND(#REF!,"AAPiESsgInQ=")</f>
        <v>#REF!</v>
      </c>
      <c r="DN26" t="e">
        <f>AND(#REF!,"AAPiESsgInU=")</f>
        <v>#REF!</v>
      </c>
      <c r="DO26" t="e">
        <f>AND(#REF!,"AAPiESsgInY=")</f>
        <v>#REF!</v>
      </c>
      <c r="DP26" t="e">
        <f>AND(#REF!,"AAPiESsgInc=")</f>
        <v>#REF!</v>
      </c>
      <c r="DQ26" t="e">
        <f>AND(#REF!,"AAPiESsgIng=")</f>
        <v>#REF!</v>
      </c>
      <c r="DR26" t="e">
        <f>AND(#REF!,"AAPiESsgInk=")</f>
        <v>#REF!</v>
      </c>
      <c r="DS26" t="e">
        <f>AND(#REF!,"AAPiESsgIno=")</f>
        <v>#REF!</v>
      </c>
      <c r="DT26" t="e">
        <f>AND(#REF!,"AAPiESsgIns=")</f>
        <v>#REF!</v>
      </c>
      <c r="DU26" t="e">
        <f>AND(#REF!,"AAPiESsgInw=")</f>
        <v>#REF!</v>
      </c>
      <c r="DV26" t="e">
        <f>AND(#REF!,"AAPiESsgIn0=")</f>
        <v>#REF!</v>
      </c>
      <c r="DW26" t="e">
        <f>AND(#REF!,"AAPiESsgIn4=")</f>
        <v>#REF!</v>
      </c>
      <c r="DX26" t="e">
        <f>AND(#REF!,"AAPiESsgIn8=")</f>
        <v>#REF!</v>
      </c>
      <c r="DY26" t="e">
        <f>AND(#REF!,"AAPiESsgIoA=")</f>
        <v>#REF!</v>
      </c>
      <c r="DZ26" t="e">
        <f>AND(#REF!,"AAPiESsgIoE=")</f>
        <v>#REF!</v>
      </c>
      <c r="EA26" t="e">
        <f>AND(#REF!,"AAPiESsgIoI=")</f>
        <v>#REF!</v>
      </c>
      <c r="EB26" t="e">
        <f>AND(#REF!,"AAPiESsgIoM=")</f>
        <v>#REF!</v>
      </c>
      <c r="EC26" t="e">
        <f>AND(#REF!,"AAPiESsgIoQ=")</f>
        <v>#REF!</v>
      </c>
      <c r="ED26" t="e">
        <f>AND(#REF!,"AAPiESsgIoU=")</f>
        <v>#REF!</v>
      </c>
      <c r="EE26" t="e">
        <f>AND(#REF!,"AAPiESsgIoY=")</f>
        <v>#REF!</v>
      </c>
      <c r="EF26" t="e">
        <f>AND(#REF!,"AAPiESsgIoc=")</f>
        <v>#REF!</v>
      </c>
      <c r="EG26" t="e">
        <f>AND(#REF!,"AAPiESsgIog=")</f>
        <v>#REF!</v>
      </c>
      <c r="EH26" t="e">
        <f>AND(#REF!,"AAPiESsgIok=")</f>
        <v>#REF!</v>
      </c>
      <c r="EI26" t="e">
        <f>AND(#REF!,"AAPiESsgIoo=")</f>
        <v>#REF!</v>
      </c>
      <c r="EJ26" t="e">
        <f>AND(#REF!,"AAPiESsgIos=")</f>
        <v>#REF!</v>
      </c>
      <c r="EK26" t="e">
        <f>AND(#REF!,"AAPiESsgIow=")</f>
        <v>#REF!</v>
      </c>
      <c r="EL26" t="e">
        <f>AND(#REF!,"AAPiESsgIo0=")</f>
        <v>#REF!</v>
      </c>
      <c r="EM26" t="e">
        <f>AND(#REF!,"AAPiESsgIo4=")</f>
        <v>#REF!</v>
      </c>
      <c r="EN26" t="e">
        <f>AND(#REF!,"AAPiESsgIo8=")</f>
        <v>#REF!</v>
      </c>
      <c r="EO26" t="e">
        <f>AND(#REF!,"AAPiESsgIpA=")</f>
        <v>#REF!</v>
      </c>
      <c r="EP26" t="e">
        <f>AND(#REF!,"AAPiESsgIpE=")</f>
        <v>#REF!</v>
      </c>
      <c r="EQ26" t="e">
        <f>AND(#REF!,"AAPiESsgIpI=")</f>
        <v>#REF!</v>
      </c>
      <c r="ER26" t="e">
        <f>AND(#REF!,"AAPiESsgIpM=")</f>
        <v>#REF!</v>
      </c>
      <c r="ES26" t="e">
        <f>AND(#REF!,"AAPiESsgIpQ=")</f>
        <v>#REF!</v>
      </c>
      <c r="ET26" t="e">
        <f>AND(#REF!,"AAPiESsgIpU=")</f>
        <v>#REF!</v>
      </c>
      <c r="EU26" t="e">
        <f>AND(#REF!,"AAPiESsgIpY=")</f>
        <v>#REF!</v>
      </c>
      <c r="EV26" t="e">
        <f>AND(#REF!,"AAPiESsgIpc=")</f>
        <v>#REF!</v>
      </c>
      <c r="EW26" t="e">
        <f>AND(#REF!,"AAPiESsgIpg=")</f>
        <v>#REF!</v>
      </c>
      <c r="EX26" t="e">
        <f>AND(#REF!,"AAPiESsgIpk=")</f>
        <v>#REF!</v>
      </c>
      <c r="EY26" t="e">
        <f>AND(#REF!,"AAPiESsgIpo=")</f>
        <v>#REF!</v>
      </c>
      <c r="EZ26" t="e">
        <f>AND(#REF!,"AAPiESsgIps=")</f>
        <v>#REF!</v>
      </c>
      <c r="FA26" t="e">
        <f>AND(#REF!,"AAPiESsgIpw=")</f>
        <v>#REF!</v>
      </c>
      <c r="FB26" t="e">
        <f>AND(#REF!,"AAPiESsgIp0=")</f>
        <v>#REF!</v>
      </c>
      <c r="FC26" t="e">
        <f>AND(#REF!,"AAPiESsgIp4=")</f>
        <v>#REF!</v>
      </c>
      <c r="FD26" t="e">
        <f>AND(#REF!,"AAPiESsgIp8=")</f>
        <v>#REF!</v>
      </c>
      <c r="FE26" t="e">
        <f>AND(#REF!,"AAPiESsgIqA=")</f>
        <v>#REF!</v>
      </c>
      <c r="FF26" t="e">
        <f>AND(#REF!,"AAPiESsgIqE=")</f>
        <v>#REF!</v>
      </c>
      <c r="FG26" t="e">
        <f>AND(#REF!,"AAPiESsgIqI=")</f>
        <v>#REF!</v>
      </c>
      <c r="FH26" t="e">
        <f>AND(#REF!,"AAPiESsgIqM=")</f>
        <v>#REF!</v>
      </c>
      <c r="FI26" t="e">
        <f>AND(#REF!,"AAPiESsgIqQ=")</f>
        <v>#REF!</v>
      </c>
      <c r="FJ26" t="e">
        <f>AND(#REF!,"AAPiESsgIqU=")</f>
        <v>#REF!</v>
      </c>
      <c r="FK26" t="e">
        <f>AND(#REF!,"AAPiESsgIqY=")</f>
        <v>#REF!</v>
      </c>
      <c r="FL26" t="e">
        <f>AND(#REF!,"AAPiESsgIqc=")</f>
        <v>#REF!</v>
      </c>
      <c r="FM26" t="e">
        <f>AND(#REF!,"AAPiESsgIqg=")</f>
        <v>#REF!</v>
      </c>
      <c r="FN26" t="e">
        <f>AND(#REF!,"AAPiESsgIqk=")</f>
        <v>#REF!</v>
      </c>
      <c r="FO26" t="e">
        <f>AND(#REF!,"AAPiESsgIqo=")</f>
        <v>#REF!</v>
      </c>
      <c r="FP26" t="e">
        <f>AND(#REF!,"AAPiESsgIqs=")</f>
        <v>#REF!</v>
      </c>
      <c r="FQ26" t="e">
        <f>AND(#REF!,"AAPiESsgIqw=")</f>
        <v>#REF!</v>
      </c>
      <c r="FR26" t="e">
        <f>AND(#REF!,"AAPiESsgIq0=")</f>
        <v>#REF!</v>
      </c>
      <c r="FS26" t="e">
        <f>AND(#REF!,"AAPiESsgIq4=")</f>
        <v>#REF!</v>
      </c>
      <c r="FT26" t="e">
        <f>AND(#REF!,"AAPiESsgIq8=")</f>
        <v>#REF!</v>
      </c>
      <c r="FU26" t="e">
        <f>AND(#REF!,"AAPiESsgIrA=")</f>
        <v>#REF!</v>
      </c>
      <c r="FV26" t="e">
        <f>AND(#REF!,"AAPiESsgIrE=")</f>
        <v>#REF!</v>
      </c>
      <c r="FW26" t="e">
        <f>AND(#REF!,"AAPiESsgIrI=")</f>
        <v>#REF!</v>
      </c>
      <c r="FX26" t="e">
        <f>AND(#REF!,"AAPiESsgIrM=")</f>
        <v>#REF!</v>
      </c>
      <c r="FY26" t="e">
        <f>AND(#REF!,"AAPiESsgIrQ=")</f>
        <v>#REF!</v>
      </c>
      <c r="FZ26" t="e">
        <f>AND(#REF!,"AAPiESsgIrU=")</f>
        <v>#REF!</v>
      </c>
      <c r="GA26" t="e">
        <f>AND(#REF!,"AAPiESsgIrY=")</f>
        <v>#REF!</v>
      </c>
      <c r="GB26" t="e">
        <f>AND(#REF!,"AAPiESsgIrc=")</f>
        <v>#REF!</v>
      </c>
      <c r="GC26" t="e">
        <f>AND(#REF!,"AAPiESsgIrg=")</f>
        <v>#REF!</v>
      </c>
      <c r="GD26" t="e">
        <f>AND(#REF!,"AAPiESsgIrk=")</f>
        <v>#REF!</v>
      </c>
      <c r="GE26" t="e">
        <f>AND(#REF!,"AAPiESsgIro=")</f>
        <v>#REF!</v>
      </c>
      <c r="GF26" t="e">
        <f>AND(#REF!,"AAPiESsgIrs=")</f>
        <v>#REF!</v>
      </c>
      <c r="GG26" t="e">
        <f>AND(#REF!,"AAPiESsgIrw=")</f>
        <v>#REF!</v>
      </c>
      <c r="GH26" t="e">
        <f>AND(#REF!,"AAPiESsgIr0=")</f>
        <v>#REF!</v>
      </c>
      <c r="GI26" t="e">
        <f>AND(#REF!,"AAPiESsgIr4=")</f>
        <v>#REF!</v>
      </c>
      <c r="GJ26" t="e">
        <f>AND(#REF!,"AAPiESsgIr8=")</f>
        <v>#REF!</v>
      </c>
      <c r="GK26" t="e">
        <f>AND(#REF!,"AAPiESsgIsA=")</f>
        <v>#REF!</v>
      </c>
      <c r="GL26" t="e">
        <f>AND(#REF!,"AAPiESsgIsE=")</f>
        <v>#REF!</v>
      </c>
      <c r="GM26" t="e">
        <f>AND(#REF!,"AAPiESsgIsI=")</f>
        <v>#REF!</v>
      </c>
      <c r="GN26" t="e">
        <f>AND(#REF!,"AAPiESsgIsM=")</f>
        <v>#REF!</v>
      </c>
      <c r="GO26" t="e">
        <f>AND(#REF!,"AAPiESsgIsQ=")</f>
        <v>#REF!</v>
      </c>
      <c r="GP26" t="e">
        <f>AND(#REF!,"AAPiESsgIsU=")</f>
        <v>#REF!</v>
      </c>
      <c r="GQ26" t="e">
        <f>AND(#REF!,"AAPiESsgIsY=")</f>
        <v>#REF!</v>
      </c>
      <c r="GR26" t="e">
        <f>AND(#REF!,"AAPiESsgIsc=")</f>
        <v>#REF!</v>
      </c>
      <c r="GS26" t="e">
        <f>AND(#REF!,"AAPiESsgIsg=")</f>
        <v>#REF!</v>
      </c>
      <c r="GT26" t="e">
        <f>AND(#REF!,"AAPiESsgIsk=")</f>
        <v>#REF!</v>
      </c>
      <c r="GU26" t="e">
        <f>AND(#REF!,"AAPiESsgIso=")</f>
        <v>#REF!</v>
      </c>
      <c r="GV26" t="e">
        <f>AND(#REF!,"AAPiESsgIss=")</f>
        <v>#REF!</v>
      </c>
      <c r="GW26" t="e">
        <f>AND(#REF!,"AAPiESsgIsw=")</f>
        <v>#REF!</v>
      </c>
      <c r="GX26" t="e">
        <f>AND(#REF!,"AAPiESsgIs0=")</f>
        <v>#REF!</v>
      </c>
      <c r="GY26" t="e">
        <f>AND(#REF!,"AAPiESsgIs4=")</f>
        <v>#REF!</v>
      </c>
      <c r="GZ26" t="e">
        <f>AND(#REF!,"AAPiESsgIs8=")</f>
        <v>#REF!</v>
      </c>
      <c r="HA26" t="e">
        <f>AND(#REF!,"AAPiESsgItA=")</f>
        <v>#REF!</v>
      </c>
      <c r="HB26" t="e">
        <f>AND(#REF!,"AAPiESsgItE=")</f>
        <v>#REF!</v>
      </c>
      <c r="HC26" t="e">
        <f>AND(#REF!,"AAPiESsgItI=")</f>
        <v>#REF!</v>
      </c>
      <c r="HD26" t="e">
        <f>AND(#REF!,"AAPiESsgItM=")</f>
        <v>#REF!</v>
      </c>
      <c r="HE26" t="e">
        <f>AND(#REF!,"AAPiESsgItQ=")</f>
        <v>#REF!</v>
      </c>
      <c r="HF26" t="e">
        <f>AND(#REF!,"AAPiESsgItU=")</f>
        <v>#REF!</v>
      </c>
      <c r="HG26" t="e">
        <f>AND(#REF!,"AAPiESsgItY=")</f>
        <v>#REF!</v>
      </c>
      <c r="HH26" t="e">
        <f>AND(#REF!,"AAPiESsgItc=")</f>
        <v>#REF!</v>
      </c>
      <c r="HI26" t="e">
        <f>AND(#REF!,"AAPiESsgItg=")</f>
        <v>#REF!</v>
      </c>
      <c r="HJ26" t="e">
        <f>AND(#REF!,"AAPiESsgItk=")</f>
        <v>#REF!</v>
      </c>
      <c r="HK26" t="e">
        <f>AND(#REF!,"AAPiESsgIto=")</f>
        <v>#REF!</v>
      </c>
      <c r="HL26" t="e">
        <f>AND(#REF!,"AAPiESsgIts=")</f>
        <v>#REF!</v>
      </c>
      <c r="HM26" t="e">
        <f>AND(#REF!,"AAPiESsgItw=")</f>
        <v>#REF!</v>
      </c>
      <c r="HN26" t="e">
        <f>AND(#REF!,"AAPiESsgIt0=")</f>
        <v>#REF!</v>
      </c>
      <c r="HO26" t="e">
        <f>AND(#REF!,"AAPiESsgIt4=")</f>
        <v>#REF!</v>
      </c>
      <c r="HP26" t="e">
        <f>AND(#REF!,"AAPiESsgIt8=")</f>
        <v>#REF!</v>
      </c>
      <c r="HQ26" t="e">
        <f>AND(#REF!,"AAPiESsgIuA=")</f>
        <v>#REF!</v>
      </c>
      <c r="HR26" t="e">
        <f>AND(#REF!,"AAPiESsgIuE=")</f>
        <v>#REF!</v>
      </c>
      <c r="HS26" t="e">
        <f>AND(#REF!,"AAPiESsgIuI=")</f>
        <v>#REF!</v>
      </c>
      <c r="HT26" t="e">
        <f>AND(#REF!,"AAPiESsgIuM=")</f>
        <v>#REF!</v>
      </c>
      <c r="HU26" t="e">
        <f>AND(#REF!,"AAPiESsgIuQ=")</f>
        <v>#REF!</v>
      </c>
      <c r="HV26" t="e">
        <f>AND(#REF!,"AAPiESsgIuU=")</f>
        <v>#REF!</v>
      </c>
      <c r="HW26" t="e">
        <f>AND(#REF!,"AAPiESsgIuY=")</f>
        <v>#REF!</v>
      </c>
      <c r="HX26" t="e">
        <f>AND(#REF!,"AAPiESsgIuc=")</f>
        <v>#REF!</v>
      </c>
      <c r="HY26" t="e">
        <f>AND(#REF!,"AAPiESsgIug=")</f>
        <v>#REF!</v>
      </c>
      <c r="HZ26" t="e">
        <f>AND(#REF!,"AAPiESsgIuk=")</f>
        <v>#REF!</v>
      </c>
      <c r="IA26" t="e">
        <f>AND(#REF!,"AAPiESsgIuo=")</f>
        <v>#REF!</v>
      </c>
      <c r="IB26" t="e">
        <f>AND(#REF!,"AAPiESsgIus=")</f>
        <v>#REF!</v>
      </c>
      <c r="IC26" t="e">
        <f>AND(#REF!,"AAPiESsgIuw=")</f>
        <v>#REF!</v>
      </c>
      <c r="ID26" t="e">
        <f>AND(#REF!,"AAPiESsgIu0=")</f>
        <v>#REF!</v>
      </c>
      <c r="IE26" t="e">
        <f>AND(#REF!,"AAPiESsgIu4=")</f>
        <v>#REF!</v>
      </c>
      <c r="IF26" t="e">
        <f>AND(#REF!,"AAPiESsgIu8=")</f>
        <v>#REF!</v>
      </c>
      <c r="IG26" t="e">
        <f>AND(#REF!,"AAPiESsgIvA=")</f>
        <v>#REF!</v>
      </c>
      <c r="IH26" t="e">
        <f>AND(#REF!,"AAPiESsgIvE=")</f>
        <v>#REF!</v>
      </c>
      <c r="II26" t="e">
        <f>AND(#REF!,"AAPiESsgIvI=")</f>
        <v>#REF!</v>
      </c>
      <c r="IJ26" t="e">
        <f>AND(#REF!,"AAPiESsgIvM=")</f>
        <v>#REF!</v>
      </c>
      <c r="IK26" t="e">
        <f>AND(#REF!,"AAPiESsgIvQ=")</f>
        <v>#REF!</v>
      </c>
      <c r="IL26" t="e">
        <f>AND(#REF!,"AAPiESsgIvU=")</f>
        <v>#REF!</v>
      </c>
      <c r="IM26" t="e">
        <f>AND(#REF!,"AAPiESsgIvY=")</f>
        <v>#REF!</v>
      </c>
      <c r="IN26" t="e">
        <f>AND(#REF!,"AAPiESsgIvc=")</f>
        <v>#REF!</v>
      </c>
      <c r="IO26" t="e">
        <f>AND(#REF!,"AAPiESsgIvg=")</f>
        <v>#REF!</v>
      </c>
      <c r="IP26" t="e">
        <f>AND(#REF!,"AAPiESsgIvk=")</f>
        <v>#REF!</v>
      </c>
      <c r="IQ26" t="e">
        <f>AND(#REF!,"AAPiESsgIvo=")</f>
        <v>#REF!</v>
      </c>
      <c r="IR26" t="e">
        <f>AND(#REF!,"AAPiESsgIvs=")</f>
        <v>#REF!</v>
      </c>
      <c r="IS26" t="e">
        <f>AND(#REF!,"AAPiESsgIvw=")</f>
        <v>#REF!</v>
      </c>
      <c r="IT26" t="e">
        <f>AND(#REF!,"AAPiESsgIv0=")</f>
        <v>#REF!</v>
      </c>
      <c r="IU26" t="e">
        <f>AND(#REF!,"AAPiESsgIv4=")</f>
        <v>#REF!</v>
      </c>
      <c r="IV26" t="e">
        <f>AND(#REF!,"AAPiESsgIv8=")</f>
        <v>#REF!</v>
      </c>
    </row>
    <row r="27" spans="1:256" x14ac:dyDescent="0.2">
      <c r="A27" t="e">
        <f>AND(#REF!,"cLR4uX1CQAA=")</f>
        <v>#REF!</v>
      </c>
      <c r="B27" t="e">
        <f>AND(#REF!,"cLR4uX1CQAE=")</f>
        <v>#REF!</v>
      </c>
      <c r="C27" t="e">
        <f>AND(#REF!,"cLR4uX1CQAI=")</f>
        <v>#REF!</v>
      </c>
      <c r="D27" t="e">
        <f>AND(#REF!,"cLR4uX1CQAM=")</f>
        <v>#REF!</v>
      </c>
      <c r="E27" t="e">
        <f>AND(#REF!,"cLR4uX1CQAQ=")</f>
        <v>#REF!</v>
      </c>
      <c r="F27" t="e">
        <f>AND(#REF!,"cLR4uX1CQAU=")</f>
        <v>#REF!</v>
      </c>
      <c r="G27" t="e">
        <f>AND(#REF!,"cLR4uX1CQAY=")</f>
        <v>#REF!</v>
      </c>
      <c r="H27" t="e">
        <f>AND(#REF!,"cLR4uX1CQAc=")</f>
        <v>#REF!</v>
      </c>
      <c r="I27" t="e">
        <f>AND(#REF!,"cLR4uX1CQAg=")</f>
        <v>#REF!</v>
      </c>
      <c r="J27" t="e">
        <f>AND(#REF!,"cLR4uX1CQAk=")</f>
        <v>#REF!</v>
      </c>
      <c r="K27" t="e">
        <f>AND(#REF!,"cLR4uX1CQAo=")</f>
        <v>#REF!</v>
      </c>
      <c r="L27" t="e">
        <f>AND(#REF!,"cLR4uX1CQAs=")</f>
        <v>#REF!</v>
      </c>
      <c r="M27" t="e">
        <f>AND(#REF!,"cLR4uX1CQAw=")</f>
        <v>#REF!</v>
      </c>
      <c r="N27" t="e">
        <f>AND(#REF!,"cLR4uX1CQA0=")</f>
        <v>#REF!</v>
      </c>
      <c r="O27" t="e">
        <f>AND(#REF!,"cLR4uX1CQA4=")</f>
        <v>#REF!</v>
      </c>
      <c r="P27" t="e">
        <f>AND(#REF!,"cLR4uX1CQA8=")</f>
        <v>#REF!</v>
      </c>
      <c r="Q27" t="e">
        <f>AND(#REF!,"cLR4uX1CQBA=")</f>
        <v>#REF!</v>
      </c>
      <c r="R27" t="e">
        <f>AND(#REF!,"cLR4uX1CQBE=")</f>
        <v>#REF!</v>
      </c>
      <c r="S27" t="e">
        <f>AND(#REF!,"cLR4uX1CQBI=")</f>
        <v>#REF!</v>
      </c>
      <c r="T27" t="e">
        <f>AND(#REF!,"cLR4uX1CQBM=")</f>
        <v>#REF!</v>
      </c>
      <c r="U27" t="e">
        <f>AND(#REF!,"cLR4uX1CQBQ=")</f>
        <v>#REF!</v>
      </c>
      <c r="V27" t="e">
        <f>AND(#REF!,"cLR4uX1CQBU=")</f>
        <v>#REF!</v>
      </c>
      <c r="W27" t="e">
        <f>AND(#REF!,"cLR4uX1CQBY=")</f>
        <v>#REF!</v>
      </c>
      <c r="X27" t="e">
        <f>AND(#REF!,"cLR4uX1CQBc=")</f>
        <v>#REF!</v>
      </c>
      <c r="Y27" t="e">
        <f>AND(#REF!,"cLR4uX1CQBg=")</f>
        <v>#REF!</v>
      </c>
      <c r="Z27" t="e">
        <f>AND(#REF!,"cLR4uX1CQBk=")</f>
        <v>#REF!</v>
      </c>
      <c r="AA27" t="e">
        <f>AND(#REF!,"cLR4uX1CQBo=")</f>
        <v>#REF!</v>
      </c>
      <c r="AB27" t="e">
        <f>AND(#REF!,"cLR4uX1CQBs=")</f>
        <v>#REF!</v>
      </c>
      <c r="AC27" t="e">
        <f>AND(#REF!,"cLR4uX1CQBw=")</f>
        <v>#REF!</v>
      </c>
      <c r="AD27" t="e">
        <f>AND(#REF!,"cLR4uX1CQB0=")</f>
        <v>#REF!</v>
      </c>
      <c r="AE27" t="e">
        <f>AND(#REF!,"cLR4uX1CQB4=")</f>
        <v>#REF!</v>
      </c>
      <c r="AF27" t="e">
        <f>AND(#REF!,"cLR4uX1CQB8=")</f>
        <v>#REF!</v>
      </c>
      <c r="AG27" t="e">
        <f>AND(#REF!,"cLR4uX1CQCA=")</f>
        <v>#REF!</v>
      </c>
      <c r="AH27" t="e">
        <f>AND(#REF!,"cLR4uX1CQCE=")</f>
        <v>#REF!</v>
      </c>
      <c r="AI27" t="e">
        <f>AND(#REF!,"cLR4uX1CQCI=")</f>
        <v>#REF!</v>
      </c>
      <c r="AJ27" t="e">
        <f>AND(#REF!,"cLR4uX1CQCM=")</f>
        <v>#REF!</v>
      </c>
      <c r="AK27" t="e">
        <f>AND(#REF!,"cLR4uX1CQCQ=")</f>
        <v>#REF!</v>
      </c>
      <c r="AL27" t="e">
        <f>AND(#REF!,"cLR4uX1CQCU=")</f>
        <v>#REF!</v>
      </c>
      <c r="AM27" t="e">
        <f>AND(#REF!,"cLR4uX1CQCY=")</f>
        <v>#REF!</v>
      </c>
      <c r="AN27" t="e">
        <f>AND(#REF!,"cLR4uX1CQCc=")</f>
        <v>#REF!</v>
      </c>
      <c r="AO27" t="e">
        <f>AND(#REF!,"cLR4uX1CQCg=")</f>
        <v>#REF!</v>
      </c>
      <c r="AP27" t="e">
        <f>AND(#REF!,"cLR4uX1CQCk=")</f>
        <v>#REF!</v>
      </c>
      <c r="AQ27" t="e">
        <f>AND(#REF!,"cLR4uX1CQCo=")</f>
        <v>#REF!</v>
      </c>
      <c r="AR27" t="e">
        <f>AND(#REF!,"cLR4uX1CQCs=")</f>
        <v>#REF!</v>
      </c>
      <c r="AS27" t="e">
        <f>AND(#REF!,"cLR4uX1CQCw=")</f>
        <v>#REF!</v>
      </c>
      <c r="AT27" t="e">
        <f>AND(#REF!,"cLR4uX1CQC0=")</f>
        <v>#REF!</v>
      </c>
      <c r="AU27" t="e">
        <f>AND(#REF!,"cLR4uX1CQC4=")</f>
        <v>#REF!</v>
      </c>
      <c r="AV27" t="e">
        <f>AND(#REF!,"cLR4uX1CQC8=")</f>
        <v>#REF!</v>
      </c>
      <c r="AW27" t="e">
        <f>AND(#REF!,"cLR4uX1CQDA=")</f>
        <v>#REF!</v>
      </c>
      <c r="AX27" t="e">
        <f>AND(#REF!,"cLR4uX1CQDE=")</f>
        <v>#REF!</v>
      </c>
      <c r="AY27" t="e">
        <f>AND(#REF!,"cLR4uX1CQDI=")</f>
        <v>#REF!</v>
      </c>
      <c r="AZ27" t="e">
        <f>AND(#REF!,"cLR4uX1CQDM=")</f>
        <v>#REF!</v>
      </c>
      <c r="BA27" t="e">
        <f>AND(#REF!,"cLR4uX1CQDQ=")</f>
        <v>#REF!</v>
      </c>
      <c r="BB27" t="e">
        <f>AND(#REF!,"cLR4uX1CQDU=")</f>
        <v>#REF!</v>
      </c>
      <c r="BC27" t="e">
        <f>AND(#REF!,"cLR4uX1CQDY=")</f>
        <v>#REF!</v>
      </c>
      <c r="BD27" t="e">
        <f>AND(#REF!,"cLR4uX1CQDc=")</f>
        <v>#REF!</v>
      </c>
      <c r="BE27" t="e">
        <f>IF(#REF!,"cLR4uX1CQDg=",0)</f>
        <v>#REF!</v>
      </c>
      <c r="BF27" t="e">
        <f>AND(#REF!,"cLR4uX1CQDk=")</f>
        <v>#REF!</v>
      </c>
      <c r="BG27" t="e">
        <f>AND(#REF!,"cLR4uX1CQDo=")</f>
        <v>#REF!</v>
      </c>
      <c r="BH27" t="e">
        <f>AND(#REF!,"cLR4uX1CQDs=")</f>
        <v>#REF!</v>
      </c>
      <c r="BI27" t="e">
        <f>AND(#REF!,"cLR4uX1CQDw=")</f>
        <v>#REF!</v>
      </c>
      <c r="BJ27" t="e">
        <f>AND(#REF!,"cLR4uX1CQD0=")</f>
        <v>#REF!</v>
      </c>
      <c r="BK27" t="e">
        <f>AND(#REF!,"cLR4uX1CQD4=")</f>
        <v>#REF!</v>
      </c>
      <c r="BL27" t="e">
        <f>AND(#REF!,"cLR4uX1CQD8=")</f>
        <v>#REF!</v>
      </c>
      <c r="BM27" t="e">
        <f>AND(#REF!,"cLR4uX1CQEA=")</f>
        <v>#REF!</v>
      </c>
      <c r="BN27" t="e">
        <f>AND(#REF!,"cLR4uX1CQEE=")</f>
        <v>#REF!</v>
      </c>
      <c r="BO27" t="e">
        <f>AND(#REF!,"cLR4uX1CQEI=")</f>
        <v>#REF!</v>
      </c>
      <c r="BP27" t="e">
        <f>AND(#REF!,"cLR4uX1CQEM=")</f>
        <v>#REF!</v>
      </c>
      <c r="BQ27" t="e">
        <f>AND(#REF!,"cLR4uX1CQEQ=")</f>
        <v>#REF!</v>
      </c>
      <c r="BR27" t="e">
        <f>AND(#REF!,"cLR4uX1CQEU=")</f>
        <v>#REF!</v>
      </c>
      <c r="BS27" t="e">
        <f>AND(#REF!,"cLR4uX1CQEY=")</f>
        <v>#REF!</v>
      </c>
      <c r="BT27" t="e">
        <f>AND(#REF!,"cLR4uX1CQEc=")</f>
        <v>#REF!</v>
      </c>
      <c r="BU27" t="e">
        <f>AND(#REF!,"cLR4uX1CQEg=")</f>
        <v>#REF!</v>
      </c>
      <c r="BV27" t="e">
        <f>AND(#REF!,"cLR4uX1CQEk=")</f>
        <v>#REF!</v>
      </c>
      <c r="BW27" t="e">
        <f>AND(#REF!,"cLR4uX1CQEo=")</f>
        <v>#REF!</v>
      </c>
      <c r="BX27" t="e">
        <f>AND(#REF!,"cLR4uX1CQEs=")</f>
        <v>#REF!</v>
      </c>
      <c r="BY27" t="e">
        <f>AND(#REF!,"cLR4uX1CQEw=")</f>
        <v>#REF!</v>
      </c>
      <c r="BZ27" t="e">
        <f>AND(#REF!,"cLR4uX1CQE0=")</f>
        <v>#REF!</v>
      </c>
      <c r="CA27" t="e">
        <f>AND(#REF!,"cLR4uX1CQE4=")</f>
        <v>#REF!</v>
      </c>
      <c r="CB27" t="e">
        <f>AND(#REF!,"cLR4uX1CQE8=")</f>
        <v>#REF!</v>
      </c>
      <c r="CC27" t="e">
        <f>AND(#REF!,"cLR4uX1CQFA=")</f>
        <v>#REF!</v>
      </c>
      <c r="CD27" t="e">
        <f>AND(#REF!,"cLR4uX1CQFE=")</f>
        <v>#REF!</v>
      </c>
      <c r="CE27" t="e">
        <f>AND(#REF!,"cLR4uX1CQFI=")</f>
        <v>#REF!</v>
      </c>
      <c r="CF27" t="e">
        <f>AND(#REF!,"cLR4uX1CQFM=")</f>
        <v>#REF!</v>
      </c>
      <c r="CG27" t="e">
        <f>AND(#REF!,"cLR4uX1CQFQ=")</f>
        <v>#REF!</v>
      </c>
      <c r="CH27" t="e">
        <f>AND(#REF!,"cLR4uX1CQFU=")</f>
        <v>#REF!</v>
      </c>
      <c r="CI27" t="e">
        <f>AND(#REF!,"cLR4uX1CQFY=")</f>
        <v>#REF!</v>
      </c>
      <c r="CJ27" t="e">
        <f>AND(#REF!,"cLR4uX1CQFc=")</f>
        <v>#REF!</v>
      </c>
      <c r="CK27" t="e">
        <f>AND(#REF!,"cLR4uX1CQFg=")</f>
        <v>#REF!</v>
      </c>
      <c r="CL27" t="e">
        <f>AND(#REF!,"cLR4uX1CQFk=")</f>
        <v>#REF!</v>
      </c>
      <c r="CM27" t="e">
        <f>AND(#REF!,"cLR4uX1CQFo=")</f>
        <v>#REF!</v>
      </c>
      <c r="CN27" t="e">
        <f>AND(#REF!,"cLR4uX1CQFs=")</f>
        <v>#REF!</v>
      </c>
      <c r="CO27" t="e">
        <f>AND(#REF!,"cLR4uX1CQFw=")</f>
        <v>#REF!</v>
      </c>
      <c r="CP27" t="e">
        <f>AND(#REF!,"cLR4uX1CQF0=")</f>
        <v>#REF!</v>
      </c>
      <c r="CQ27" t="e">
        <f>AND(#REF!,"cLR4uX1CQF4=")</f>
        <v>#REF!</v>
      </c>
      <c r="CR27" t="e">
        <f>AND(#REF!,"cLR4uX1CQF8=")</f>
        <v>#REF!</v>
      </c>
      <c r="CS27" t="e">
        <f>AND(#REF!,"cLR4uX1CQGA=")</f>
        <v>#REF!</v>
      </c>
      <c r="CT27" t="e">
        <f>AND(#REF!,"cLR4uX1CQGE=")</f>
        <v>#REF!</v>
      </c>
      <c r="CU27" t="e">
        <f>AND(#REF!,"cLR4uX1CQGI=")</f>
        <v>#REF!</v>
      </c>
      <c r="CV27" t="e">
        <f>AND(#REF!,"cLR4uX1CQGM=")</f>
        <v>#REF!</v>
      </c>
      <c r="CW27" t="e">
        <f>AND(#REF!,"cLR4uX1CQGQ=")</f>
        <v>#REF!</v>
      </c>
      <c r="CX27" t="e">
        <f>AND(#REF!,"cLR4uX1CQGU=")</f>
        <v>#REF!</v>
      </c>
      <c r="CY27" t="e">
        <f>AND(#REF!,"cLR4uX1CQGY=")</f>
        <v>#REF!</v>
      </c>
      <c r="CZ27" t="e">
        <f>AND(#REF!,"cLR4uX1CQGc=")</f>
        <v>#REF!</v>
      </c>
      <c r="DA27" t="e">
        <f>AND(#REF!,"cLR4uX1CQGg=")</f>
        <v>#REF!</v>
      </c>
      <c r="DB27" t="e">
        <f>AND(#REF!,"cLR4uX1CQGk=")</f>
        <v>#REF!</v>
      </c>
      <c r="DC27" t="e">
        <f>AND(#REF!,"cLR4uX1CQGo=")</f>
        <v>#REF!</v>
      </c>
      <c r="DD27" t="e">
        <f>AND(#REF!,"cLR4uX1CQGs=")</f>
        <v>#REF!</v>
      </c>
      <c r="DE27" t="e">
        <f>AND(#REF!,"cLR4uX1CQGw=")</f>
        <v>#REF!</v>
      </c>
      <c r="DF27" t="e">
        <f>AND(#REF!,"cLR4uX1CQG0=")</f>
        <v>#REF!</v>
      </c>
      <c r="DG27" t="e">
        <f>AND(#REF!,"cLR4uX1CQG4=")</f>
        <v>#REF!</v>
      </c>
      <c r="DH27" t="e">
        <f>AND(#REF!,"cLR4uX1CQG8=")</f>
        <v>#REF!</v>
      </c>
      <c r="DI27" t="e">
        <f>AND(#REF!,"cLR4uX1CQHA=")</f>
        <v>#REF!</v>
      </c>
      <c r="DJ27" t="e">
        <f>AND(#REF!,"cLR4uX1CQHE=")</f>
        <v>#REF!</v>
      </c>
      <c r="DK27" t="e">
        <f>AND(#REF!,"cLR4uX1CQHI=")</f>
        <v>#REF!</v>
      </c>
      <c r="DL27" t="e">
        <f>AND(#REF!,"cLR4uX1CQHM=")</f>
        <v>#REF!</v>
      </c>
      <c r="DM27" t="e">
        <f>AND(#REF!,"cLR4uX1CQHQ=")</f>
        <v>#REF!</v>
      </c>
      <c r="DN27" t="e">
        <f>AND(#REF!,"cLR4uX1CQHU=")</f>
        <v>#REF!</v>
      </c>
      <c r="DO27" t="e">
        <f>AND(#REF!,"cLR4uX1CQHY=")</f>
        <v>#REF!</v>
      </c>
      <c r="DP27" t="e">
        <f>AND(#REF!,"cLR4uX1CQHc=")</f>
        <v>#REF!</v>
      </c>
      <c r="DQ27" t="e">
        <f>AND(#REF!,"cLR4uX1CQHg=")</f>
        <v>#REF!</v>
      </c>
      <c r="DR27" t="e">
        <f>AND(#REF!,"cLR4uX1CQHk=")</f>
        <v>#REF!</v>
      </c>
      <c r="DS27" t="e">
        <f>AND(#REF!,"cLR4uX1CQHo=")</f>
        <v>#REF!</v>
      </c>
      <c r="DT27" t="e">
        <f>AND(#REF!,"cLR4uX1CQHs=")</f>
        <v>#REF!</v>
      </c>
      <c r="DU27" t="e">
        <f>AND(#REF!,"cLR4uX1CQHw=")</f>
        <v>#REF!</v>
      </c>
      <c r="DV27" t="e">
        <f>AND(#REF!,"cLR4uX1CQH0=")</f>
        <v>#REF!</v>
      </c>
      <c r="DW27" t="e">
        <f>AND(#REF!,"cLR4uX1CQH4=")</f>
        <v>#REF!</v>
      </c>
      <c r="DX27" t="e">
        <f>AND(#REF!,"cLR4uX1CQH8=")</f>
        <v>#REF!</v>
      </c>
      <c r="DY27" t="e">
        <f>AND(#REF!,"cLR4uX1CQIA=")</f>
        <v>#REF!</v>
      </c>
      <c r="DZ27" t="e">
        <f>AND(#REF!,"cLR4uX1CQIE=")</f>
        <v>#REF!</v>
      </c>
      <c r="EA27" t="e">
        <f>AND(#REF!,"cLR4uX1CQII=")</f>
        <v>#REF!</v>
      </c>
      <c r="EB27" t="e">
        <f>AND(#REF!,"cLR4uX1CQIM=")</f>
        <v>#REF!</v>
      </c>
      <c r="EC27" t="e">
        <f>AND(#REF!,"cLR4uX1CQIQ=")</f>
        <v>#REF!</v>
      </c>
      <c r="ED27" t="e">
        <f>AND(#REF!,"cLR4uX1CQIU=")</f>
        <v>#REF!</v>
      </c>
      <c r="EE27" t="e">
        <f>AND(#REF!,"cLR4uX1CQIY=")</f>
        <v>#REF!</v>
      </c>
      <c r="EF27" t="e">
        <f>AND(#REF!,"cLR4uX1CQIc=")</f>
        <v>#REF!</v>
      </c>
      <c r="EG27" t="e">
        <f>AND(#REF!,"cLR4uX1CQIg=")</f>
        <v>#REF!</v>
      </c>
      <c r="EH27" t="e">
        <f>AND(#REF!,"cLR4uX1CQIk=")</f>
        <v>#REF!</v>
      </c>
      <c r="EI27" t="e">
        <f>AND(#REF!,"cLR4uX1CQIo=")</f>
        <v>#REF!</v>
      </c>
      <c r="EJ27" t="e">
        <f>AND(#REF!,"cLR4uX1CQIs=")</f>
        <v>#REF!</v>
      </c>
      <c r="EK27" t="e">
        <f>AND(#REF!,"cLR4uX1CQIw=")</f>
        <v>#REF!</v>
      </c>
      <c r="EL27" t="e">
        <f>AND(#REF!,"cLR4uX1CQI0=")</f>
        <v>#REF!</v>
      </c>
      <c r="EM27" t="e">
        <f>AND(#REF!,"cLR4uX1CQI4=")</f>
        <v>#REF!</v>
      </c>
      <c r="EN27" t="e">
        <f>AND(#REF!,"cLR4uX1CQI8=")</f>
        <v>#REF!</v>
      </c>
      <c r="EO27" t="e">
        <f>AND(#REF!,"cLR4uX1CQJA=")</f>
        <v>#REF!</v>
      </c>
      <c r="EP27" t="e">
        <f>AND(#REF!,"cLR4uX1CQJE=")</f>
        <v>#REF!</v>
      </c>
      <c r="EQ27" t="e">
        <f>AND(#REF!,"cLR4uX1CQJI=")</f>
        <v>#REF!</v>
      </c>
      <c r="ER27" t="e">
        <f>AND(#REF!,"cLR4uX1CQJM=")</f>
        <v>#REF!</v>
      </c>
      <c r="ES27" t="e">
        <f>AND(#REF!,"cLR4uX1CQJQ=")</f>
        <v>#REF!</v>
      </c>
      <c r="ET27" t="e">
        <f>AND(#REF!,"cLR4uX1CQJU=")</f>
        <v>#REF!</v>
      </c>
      <c r="EU27" t="e">
        <f>AND(#REF!,"cLR4uX1CQJY=")</f>
        <v>#REF!</v>
      </c>
      <c r="EV27" t="e">
        <f>AND(#REF!,"cLR4uX1CQJc=")</f>
        <v>#REF!</v>
      </c>
      <c r="EW27" t="e">
        <f>AND(#REF!,"cLR4uX1CQJg=")</f>
        <v>#REF!</v>
      </c>
      <c r="EX27" t="e">
        <f>AND(#REF!,"cLR4uX1CQJk=")</f>
        <v>#REF!</v>
      </c>
      <c r="EY27" t="e">
        <f>AND(#REF!,"cLR4uX1CQJo=")</f>
        <v>#REF!</v>
      </c>
      <c r="EZ27" t="e">
        <f>AND(#REF!,"cLR4uX1CQJs=")</f>
        <v>#REF!</v>
      </c>
      <c r="FA27" t="e">
        <f>AND(#REF!,"cLR4uX1CQJw=")</f>
        <v>#REF!</v>
      </c>
      <c r="FB27" t="e">
        <f>AND(#REF!,"cLR4uX1CQJ0=")</f>
        <v>#REF!</v>
      </c>
      <c r="FC27" t="e">
        <f>AND(#REF!,"cLR4uX1CQJ4=")</f>
        <v>#REF!</v>
      </c>
      <c r="FD27" t="e">
        <f>AND(#REF!,"cLR4uX1CQJ8=")</f>
        <v>#REF!</v>
      </c>
      <c r="FE27" t="e">
        <f>AND(#REF!,"cLR4uX1CQKA=")</f>
        <v>#REF!</v>
      </c>
      <c r="FF27" t="e">
        <f>AND(#REF!,"cLR4uX1CQKE=")</f>
        <v>#REF!</v>
      </c>
      <c r="FG27" t="e">
        <f>AND(#REF!,"cLR4uX1CQKI=")</f>
        <v>#REF!</v>
      </c>
      <c r="FH27" t="e">
        <f>AND(#REF!,"cLR4uX1CQKM=")</f>
        <v>#REF!</v>
      </c>
      <c r="FI27" t="e">
        <f>AND(#REF!,"cLR4uX1CQKQ=")</f>
        <v>#REF!</v>
      </c>
      <c r="FJ27" t="e">
        <f>AND(#REF!,"cLR4uX1CQKU=")</f>
        <v>#REF!</v>
      </c>
      <c r="FK27" t="e">
        <f>AND(#REF!,"cLR4uX1CQKY=")</f>
        <v>#REF!</v>
      </c>
      <c r="FL27" t="e">
        <f>AND(#REF!,"cLR4uX1CQKc=")</f>
        <v>#REF!</v>
      </c>
      <c r="FM27" t="e">
        <f>AND(#REF!,"cLR4uX1CQKg=")</f>
        <v>#REF!</v>
      </c>
      <c r="FN27" t="e">
        <f>AND(#REF!,"cLR4uX1CQKk=")</f>
        <v>#REF!</v>
      </c>
      <c r="FO27" t="e">
        <f>AND(#REF!,"cLR4uX1CQKo=")</f>
        <v>#REF!</v>
      </c>
      <c r="FP27" t="e">
        <f>AND(#REF!,"cLR4uX1CQKs=")</f>
        <v>#REF!</v>
      </c>
      <c r="FQ27" t="e">
        <f>AND(#REF!,"cLR4uX1CQKw=")</f>
        <v>#REF!</v>
      </c>
      <c r="FR27" t="e">
        <f>AND(#REF!,"cLR4uX1CQK0=")</f>
        <v>#REF!</v>
      </c>
      <c r="FS27" t="e">
        <f>AND(#REF!,"cLR4uX1CQK4=")</f>
        <v>#REF!</v>
      </c>
      <c r="FT27" t="e">
        <f>AND(#REF!,"cLR4uX1CQK8=")</f>
        <v>#REF!</v>
      </c>
      <c r="FU27" t="e">
        <f>AND(#REF!,"cLR4uX1CQLA=")</f>
        <v>#REF!</v>
      </c>
      <c r="FV27" t="e">
        <f>AND(#REF!,"cLR4uX1CQLE=")</f>
        <v>#REF!</v>
      </c>
      <c r="FW27" t="e">
        <f>AND(#REF!,"cLR4uX1CQLI=")</f>
        <v>#REF!</v>
      </c>
      <c r="FX27" t="e">
        <f>AND(#REF!,"cLR4uX1CQLM=")</f>
        <v>#REF!</v>
      </c>
      <c r="FY27" t="e">
        <f>AND(#REF!,"cLR4uX1CQLQ=")</f>
        <v>#REF!</v>
      </c>
      <c r="FZ27" t="e">
        <f>AND(#REF!,"cLR4uX1CQLU=")</f>
        <v>#REF!</v>
      </c>
      <c r="GA27" t="e">
        <f>AND(#REF!,"cLR4uX1CQLY=")</f>
        <v>#REF!</v>
      </c>
      <c r="GB27" t="e">
        <f>AND(#REF!,"cLR4uX1CQLc=")</f>
        <v>#REF!</v>
      </c>
      <c r="GC27" t="e">
        <f>AND(#REF!,"cLR4uX1CQLg=")</f>
        <v>#REF!</v>
      </c>
      <c r="GD27" t="e">
        <f>AND(#REF!,"cLR4uX1CQLk=")</f>
        <v>#REF!</v>
      </c>
      <c r="GE27" t="e">
        <f>AND(#REF!,"cLR4uX1CQLo=")</f>
        <v>#REF!</v>
      </c>
      <c r="GF27" t="e">
        <f>AND(#REF!,"cLR4uX1CQLs=")</f>
        <v>#REF!</v>
      </c>
      <c r="GG27" t="e">
        <f>AND(#REF!,"cLR4uX1CQLw=")</f>
        <v>#REF!</v>
      </c>
      <c r="GH27" t="e">
        <f>AND(#REF!,"cLR4uX1CQL0=")</f>
        <v>#REF!</v>
      </c>
      <c r="GI27" t="e">
        <f>AND(#REF!,"cLR4uX1CQL4=")</f>
        <v>#REF!</v>
      </c>
      <c r="GJ27" t="e">
        <f>AND(#REF!,"cLR4uX1CQL8=")</f>
        <v>#REF!</v>
      </c>
      <c r="GK27" t="e">
        <f>AND(#REF!,"cLR4uX1CQMA=")</f>
        <v>#REF!</v>
      </c>
      <c r="GL27" t="e">
        <f>AND(#REF!,"cLR4uX1CQME=")</f>
        <v>#REF!</v>
      </c>
      <c r="GM27" t="e">
        <f>AND(#REF!,"cLR4uX1CQMI=")</f>
        <v>#REF!</v>
      </c>
      <c r="GN27" t="e">
        <f>AND(#REF!,"cLR4uX1CQMM=")</f>
        <v>#REF!</v>
      </c>
      <c r="GO27" t="e">
        <f>AND(#REF!,"cLR4uX1CQMQ=")</f>
        <v>#REF!</v>
      </c>
      <c r="GP27" t="e">
        <f>AND(#REF!,"cLR4uX1CQMU=")</f>
        <v>#REF!</v>
      </c>
      <c r="GQ27" t="e">
        <f>AND(#REF!,"cLR4uX1CQMY=")</f>
        <v>#REF!</v>
      </c>
      <c r="GR27" t="e">
        <f>AND(#REF!,"cLR4uX1CQMc=")</f>
        <v>#REF!</v>
      </c>
      <c r="GS27" t="e">
        <f>AND(#REF!,"cLR4uX1CQMg=")</f>
        <v>#REF!</v>
      </c>
      <c r="GT27" t="e">
        <f>AND(#REF!,"cLR4uX1CQMk=")</f>
        <v>#REF!</v>
      </c>
      <c r="GU27" t="e">
        <f>AND(#REF!,"cLR4uX1CQMo=")</f>
        <v>#REF!</v>
      </c>
      <c r="GV27" t="e">
        <f>AND(#REF!,"cLR4uX1CQMs=")</f>
        <v>#REF!</v>
      </c>
      <c r="GW27" t="e">
        <f>AND(#REF!,"cLR4uX1CQMw=")</f>
        <v>#REF!</v>
      </c>
      <c r="GX27" t="e">
        <f>AND(#REF!,"cLR4uX1CQM0=")</f>
        <v>#REF!</v>
      </c>
      <c r="GY27" t="e">
        <f>AND(#REF!,"cLR4uX1CQM4=")</f>
        <v>#REF!</v>
      </c>
      <c r="GZ27" t="e">
        <f>AND(#REF!,"cLR4uX1CQM8=")</f>
        <v>#REF!</v>
      </c>
      <c r="HA27" t="e">
        <f>AND(#REF!,"cLR4uX1CQNA=")</f>
        <v>#REF!</v>
      </c>
      <c r="HB27" t="e">
        <f>AND(#REF!,"cLR4uX1CQNE=")</f>
        <v>#REF!</v>
      </c>
      <c r="HC27" t="e">
        <f>AND(#REF!,"cLR4uX1CQNI=")</f>
        <v>#REF!</v>
      </c>
      <c r="HD27" t="e">
        <f>AND(#REF!,"cLR4uX1CQNM=")</f>
        <v>#REF!</v>
      </c>
      <c r="HE27" t="e">
        <f>AND(#REF!,"cLR4uX1CQNQ=")</f>
        <v>#REF!</v>
      </c>
      <c r="HF27" t="e">
        <f>AND(#REF!,"cLR4uX1CQNU=")</f>
        <v>#REF!</v>
      </c>
      <c r="HG27" t="e">
        <f>AND(#REF!,"cLR4uX1CQNY=")</f>
        <v>#REF!</v>
      </c>
      <c r="HH27" t="e">
        <f>AND(#REF!,"cLR4uX1CQNc=")</f>
        <v>#REF!</v>
      </c>
      <c r="HI27" t="e">
        <f>AND(#REF!,"cLR4uX1CQNg=")</f>
        <v>#REF!</v>
      </c>
      <c r="HJ27" t="e">
        <f>AND(#REF!,"cLR4uX1CQNk=")</f>
        <v>#REF!</v>
      </c>
      <c r="HK27" t="e">
        <f>AND(#REF!,"cLR4uX1CQNo=")</f>
        <v>#REF!</v>
      </c>
      <c r="HL27" t="e">
        <f>AND(#REF!,"cLR4uX1CQNs=")</f>
        <v>#REF!</v>
      </c>
      <c r="HM27" t="e">
        <f>AND(#REF!,"cLR4uX1CQNw=")</f>
        <v>#REF!</v>
      </c>
      <c r="HN27" t="e">
        <f>AND(#REF!,"cLR4uX1CQN0=")</f>
        <v>#REF!</v>
      </c>
      <c r="HO27" t="e">
        <f>AND(#REF!,"cLR4uX1CQN4=")</f>
        <v>#REF!</v>
      </c>
      <c r="HP27" t="e">
        <f>AND(#REF!,"cLR4uX1CQN8=")</f>
        <v>#REF!</v>
      </c>
      <c r="HQ27" t="e">
        <f>AND(#REF!,"cLR4uX1CQOA=")</f>
        <v>#REF!</v>
      </c>
      <c r="HR27" t="e">
        <f>AND(#REF!,"cLR4uX1CQOE=")</f>
        <v>#REF!</v>
      </c>
      <c r="HS27" t="e">
        <f>AND(#REF!,"cLR4uX1CQOI=")</f>
        <v>#REF!</v>
      </c>
      <c r="HT27" t="e">
        <f>AND(#REF!,"cLR4uX1CQOM=")</f>
        <v>#REF!</v>
      </c>
      <c r="HU27" t="e">
        <f>AND(#REF!,"cLR4uX1CQOQ=")</f>
        <v>#REF!</v>
      </c>
      <c r="HV27" t="e">
        <f>AND(#REF!,"cLR4uX1CQOU=")</f>
        <v>#REF!</v>
      </c>
      <c r="HW27" t="e">
        <f>AND(#REF!,"cLR4uX1CQOY=")</f>
        <v>#REF!</v>
      </c>
      <c r="HX27" t="e">
        <f>AND(#REF!,"cLR4uX1CQOc=")</f>
        <v>#REF!</v>
      </c>
      <c r="HY27" t="e">
        <f>AND(#REF!,"cLR4uX1CQOg=")</f>
        <v>#REF!</v>
      </c>
      <c r="HZ27" t="e">
        <f>AND(#REF!,"cLR4uX1CQOk=")</f>
        <v>#REF!</v>
      </c>
      <c r="IA27" t="e">
        <f>AND(#REF!,"cLR4uX1CQOo=")</f>
        <v>#REF!</v>
      </c>
      <c r="IB27" t="e">
        <f>AND(#REF!,"cLR4uX1CQOs=")</f>
        <v>#REF!</v>
      </c>
      <c r="IC27" t="e">
        <f>AND(#REF!,"cLR4uX1CQOw=")</f>
        <v>#REF!</v>
      </c>
      <c r="ID27" t="e">
        <f>AND(#REF!,"cLR4uX1CQO0=")</f>
        <v>#REF!</v>
      </c>
      <c r="IE27" t="e">
        <f>AND(#REF!,"cLR4uX1CQO4=")</f>
        <v>#REF!</v>
      </c>
      <c r="IF27" t="e">
        <f>AND(#REF!,"cLR4uX1CQO8=")</f>
        <v>#REF!</v>
      </c>
      <c r="IG27" t="e">
        <f>AND(#REF!,"cLR4uX1CQPA=")</f>
        <v>#REF!</v>
      </c>
      <c r="IH27" t="e">
        <f>AND(#REF!,"cLR4uX1CQPE=")</f>
        <v>#REF!</v>
      </c>
      <c r="II27" t="e">
        <f>AND(#REF!,"cLR4uX1CQPI=")</f>
        <v>#REF!</v>
      </c>
      <c r="IJ27" t="e">
        <f>AND(#REF!,"cLR4uX1CQPM=")</f>
        <v>#REF!</v>
      </c>
      <c r="IK27" t="e">
        <f>AND(#REF!,"cLR4uX1CQPQ=")</f>
        <v>#REF!</v>
      </c>
      <c r="IL27" t="e">
        <f>AND(#REF!,"cLR4uX1CQPU=")</f>
        <v>#REF!</v>
      </c>
      <c r="IM27" t="e">
        <f>AND(#REF!,"cLR4uX1CQPY=")</f>
        <v>#REF!</v>
      </c>
      <c r="IN27" t="e">
        <f>AND(#REF!,"cLR4uX1CQPc=")</f>
        <v>#REF!</v>
      </c>
      <c r="IO27" t="e">
        <f>AND(#REF!,"cLR4uX1CQPg=")</f>
        <v>#REF!</v>
      </c>
      <c r="IP27" t="e">
        <f>AND(#REF!,"cLR4uX1CQPk=")</f>
        <v>#REF!</v>
      </c>
      <c r="IQ27" t="e">
        <f>AND(#REF!,"cLR4uX1CQPo=")</f>
        <v>#REF!</v>
      </c>
      <c r="IR27" t="e">
        <f>AND(#REF!,"cLR4uX1CQPs=")</f>
        <v>#REF!</v>
      </c>
      <c r="IS27" t="e">
        <f>AND(#REF!,"cLR4uX1CQPw=")</f>
        <v>#REF!</v>
      </c>
      <c r="IT27" t="e">
        <f>AND(#REF!,"cLR4uX1CQP0=")</f>
        <v>#REF!</v>
      </c>
      <c r="IU27" t="e">
        <f>AND(#REF!,"cLR4uX1CQP4=")</f>
        <v>#REF!</v>
      </c>
      <c r="IV27" t="e">
        <f>IF(#REF!,"cLR4uX1CQP8=",0)</f>
        <v>#REF!</v>
      </c>
    </row>
    <row r="28" spans="1:256" x14ac:dyDescent="0.2">
      <c r="A28" t="e">
        <f>AND(#REF!,"dUOzcBXqEQA=")</f>
        <v>#REF!</v>
      </c>
      <c r="B28" t="e">
        <f>AND(#REF!,"dUOzcBXqEQE=")</f>
        <v>#REF!</v>
      </c>
      <c r="C28" t="e">
        <f>AND(#REF!,"dUOzcBXqEQI=")</f>
        <v>#REF!</v>
      </c>
      <c r="D28" t="e">
        <f>AND(#REF!,"dUOzcBXqEQM=")</f>
        <v>#REF!</v>
      </c>
      <c r="E28" t="e">
        <f>AND(#REF!,"dUOzcBXqEQQ=")</f>
        <v>#REF!</v>
      </c>
      <c r="F28" t="e">
        <f>AND(#REF!,"dUOzcBXqEQU=")</f>
        <v>#REF!</v>
      </c>
      <c r="G28" t="e">
        <f>AND(#REF!,"dUOzcBXqEQY=")</f>
        <v>#REF!</v>
      </c>
      <c r="H28" t="e">
        <f>AND(#REF!,"dUOzcBXqEQc=")</f>
        <v>#REF!</v>
      </c>
      <c r="I28" t="e">
        <f>AND(#REF!,"dUOzcBXqEQg=")</f>
        <v>#REF!</v>
      </c>
      <c r="J28" t="e">
        <f>AND(#REF!,"dUOzcBXqEQk=")</f>
        <v>#REF!</v>
      </c>
      <c r="K28" t="e">
        <f>AND(#REF!,"dUOzcBXqEQo=")</f>
        <v>#REF!</v>
      </c>
      <c r="L28" t="e">
        <f>AND(#REF!,"dUOzcBXqEQs=")</f>
        <v>#REF!</v>
      </c>
      <c r="M28" t="e">
        <f>AND(#REF!,"dUOzcBXqEQw=")</f>
        <v>#REF!</v>
      </c>
      <c r="N28" t="e">
        <f>AND(#REF!,"dUOzcBXqEQ0=")</f>
        <v>#REF!</v>
      </c>
      <c r="O28" t="e">
        <f>AND(#REF!,"dUOzcBXqEQ4=")</f>
        <v>#REF!</v>
      </c>
      <c r="P28" t="e">
        <f>AND(#REF!,"dUOzcBXqEQ8=")</f>
        <v>#REF!</v>
      </c>
      <c r="Q28" t="e">
        <f>AND(#REF!,"dUOzcBXqERA=")</f>
        <v>#REF!</v>
      </c>
      <c r="R28" t="e">
        <f>AND(#REF!,"dUOzcBXqERE=")</f>
        <v>#REF!</v>
      </c>
      <c r="S28" t="e">
        <f>AND(#REF!,"dUOzcBXqERI=")</f>
        <v>#REF!</v>
      </c>
      <c r="T28" t="e">
        <f>AND(#REF!,"dUOzcBXqERM=")</f>
        <v>#REF!</v>
      </c>
      <c r="U28" t="e">
        <f>AND(#REF!,"dUOzcBXqERQ=")</f>
        <v>#REF!</v>
      </c>
      <c r="V28" t="e">
        <f>AND(#REF!,"dUOzcBXqERU=")</f>
        <v>#REF!</v>
      </c>
      <c r="W28" t="e">
        <f>AND(#REF!,"dUOzcBXqERY=")</f>
        <v>#REF!</v>
      </c>
      <c r="X28" t="e">
        <f>AND(#REF!,"dUOzcBXqERc=")</f>
        <v>#REF!</v>
      </c>
      <c r="Y28" t="e">
        <f>AND(#REF!,"dUOzcBXqERg=")</f>
        <v>#REF!</v>
      </c>
      <c r="Z28" t="e">
        <f>AND(#REF!,"dUOzcBXqERk=")</f>
        <v>#REF!</v>
      </c>
      <c r="AA28" t="e">
        <f>AND(#REF!,"dUOzcBXqERo=")</f>
        <v>#REF!</v>
      </c>
      <c r="AB28" t="e">
        <f>AND(#REF!,"dUOzcBXqERs=")</f>
        <v>#REF!</v>
      </c>
      <c r="AC28" t="e">
        <f>AND(#REF!,"dUOzcBXqERw=")</f>
        <v>#REF!</v>
      </c>
      <c r="AD28" t="e">
        <f>AND(#REF!,"dUOzcBXqER0=")</f>
        <v>#REF!</v>
      </c>
      <c r="AE28" t="e">
        <f>AND(#REF!,"dUOzcBXqER4=")</f>
        <v>#REF!</v>
      </c>
      <c r="AF28" t="e">
        <f>AND(#REF!,"dUOzcBXqER8=")</f>
        <v>#REF!</v>
      </c>
      <c r="AG28" t="e">
        <f>AND(#REF!,"dUOzcBXqESA=")</f>
        <v>#REF!</v>
      </c>
      <c r="AH28" t="e">
        <f>AND(#REF!,"dUOzcBXqESE=")</f>
        <v>#REF!</v>
      </c>
      <c r="AI28" t="e">
        <f>AND(#REF!,"dUOzcBXqESI=")</f>
        <v>#REF!</v>
      </c>
      <c r="AJ28" t="e">
        <f>AND(#REF!,"dUOzcBXqESM=")</f>
        <v>#REF!</v>
      </c>
      <c r="AK28" t="e">
        <f>AND(#REF!,"dUOzcBXqESQ=")</f>
        <v>#REF!</v>
      </c>
      <c r="AL28" t="e">
        <f>AND(#REF!,"dUOzcBXqESU=")</f>
        <v>#REF!</v>
      </c>
      <c r="AM28" t="e">
        <f>AND(#REF!,"dUOzcBXqESY=")</f>
        <v>#REF!</v>
      </c>
      <c r="AN28" t="e">
        <f>AND(#REF!,"dUOzcBXqESc=")</f>
        <v>#REF!</v>
      </c>
      <c r="AO28" t="e">
        <f>AND(#REF!,"dUOzcBXqESg=")</f>
        <v>#REF!</v>
      </c>
      <c r="AP28" t="e">
        <f>AND(#REF!,"dUOzcBXqESk=")</f>
        <v>#REF!</v>
      </c>
      <c r="AQ28" t="e">
        <f>AND(#REF!,"dUOzcBXqESo=")</f>
        <v>#REF!</v>
      </c>
      <c r="AR28" t="e">
        <f>AND(#REF!,"dUOzcBXqESs=")</f>
        <v>#REF!</v>
      </c>
      <c r="AS28" t="e">
        <f>AND(#REF!,"dUOzcBXqESw=")</f>
        <v>#REF!</v>
      </c>
      <c r="AT28" t="e">
        <f>AND(#REF!,"dUOzcBXqES0=")</f>
        <v>#REF!</v>
      </c>
      <c r="AU28" t="e">
        <f>AND(#REF!,"dUOzcBXqES4=")</f>
        <v>#REF!</v>
      </c>
      <c r="AV28" t="e">
        <f>AND(#REF!,"dUOzcBXqES8=")</f>
        <v>#REF!</v>
      </c>
      <c r="AW28" t="e">
        <f>AND(#REF!,"dUOzcBXqETA=")</f>
        <v>#REF!</v>
      </c>
      <c r="AX28" t="e">
        <f>AND(#REF!,"dUOzcBXqETE=")</f>
        <v>#REF!</v>
      </c>
      <c r="AY28" t="e">
        <f>AND(#REF!,"dUOzcBXqETI=")</f>
        <v>#REF!</v>
      </c>
      <c r="AZ28" t="e">
        <f>AND(#REF!,"dUOzcBXqETM=")</f>
        <v>#REF!</v>
      </c>
      <c r="BA28" t="e">
        <f>AND(#REF!,"dUOzcBXqETQ=")</f>
        <v>#REF!</v>
      </c>
      <c r="BB28" t="e">
        <f>AND(#REF!,"dUOzcBXqETU=")</f>
        <v>#REF!</v>
      </c>
      <c r="BC28" t="e">
        <f>AND(#REF!,"dUOzcBXqETY=")</f>
        <v>#REF!</v>
      </c>
      <c r="BD28" t="e">
        <f>AND(#REF!,"dUOzcBXqETc=")</f>
        <v>#REF!</v>
      </c>
      <c r="BE28" t="e">
        <f>AND(#REF!,"dUOzcBXqETg=")</f>
        <v>#REF!</v>
      </c>
      <c r="BF28" t="e">
        <f>AND(#REF!,"dUOzcBXqETk=")</f>
        <v>#REF!</v>
      </c>
      <c r="BG28" t="e">
        <f>AND(#REF!,"dUOzcBXqETo=")</f>
        <v>#REF!</v>
      </c>
      <c r="BH28" t="e">
        <f>AND(#REF!,"dUOzcBXqETs=")</f>
        <v>#REF!</v>
      </c>
      <c r="BI28" t="e">
        <f>AND(#REF!,"dUOzcBXqETw=")</f>
        <v>#REF!</v>
      </c>
      <c r="BJ28" t="e">
        <f>AND(#REF!,"dUOzcBXqET0=")</f>
        <v>#REF!</v>
      </c>
      <c r="BK28" t="e">
        <f>AND(#REF!,"dUOzcBXqET4=")</f>
        <v>#REF!</v>
      </c>
      <c r="BL28" t="e">
        <f>AND(#REF!,"dUOzcBXqET8=")</f>
        <v>#REF!</v>
      </c>
      <c r="BM28" t="e">
        <f>AND(#REF!,"dUOzcBXqEUA=")</f>
        <v>#REF!</v>
      </c>
      <c r="BN28" t="e">
        <f>AND(#REF!,"dUOzcBXqEUE=")</f>
        <v>#REF!</v>
      </c>
      <c r="BO28" t="e">
        <f>AND(#REF!,"dUOzcBXqEUI=")</f>
        <v>#REF!</v>
      </c>
      <c r="BP28" t="e">
        <f>AND(#REF!,"dUOzcBXqEUM=")</f>
        <v>#REF!</v>
      </c>
      <c r="BQ28" t="e">
        <f>AND(#REF!,"dUOzcBXqEUQ=")</f>
        <v>#REF!</v>
      </c>
      <c r="BR28" t="e">
        <f>AND(#REF!,"dUOzcBXqEUU=")</f>
        <v>#REF!</v>
      </c>
      <c r="BS28" t="e">
        <f>AND(#REF!,"dUOzcBXqEUY=")</f>
        <v>#REF!</v>
      </c>
      <c r="BT28" t="e">
        <f>AND(#REF!,"dUOzcBXqEUc=")</f>
        <v>#REF!</v>
      </c>
      <c r="BU28" t="e">
        <f>AND(#REF!,"dUOzcBXqEUg=")</f>
        <v>#REF!</v>
      </c>
      <c r="BV28" t="e">
        <f>AND(#REF!,"dUOzcBXqEUk=")</f>
        <v>#REF!</v>
      </c>
      <c r="BW28" t="e">
        <f>AND(#REF!,"dUOzcBXqEUo=")</f>
        <v>#REF!</v>
      </c>
      <c r="BX28" t="e">
        <f>AND(#REF!,"dUOzcBXqEUs=")</f>
        <v>#REF!</v>
      </c>
      <c r="BY28" t="e">
        <f>AND(#REF!,"dUOzcBXqEUw=")</f>
        <v>#REF!</v>
      </c>
      <c r="BZ28" t="e">
        <f>AND(#REF!,"dUOzcBXqEU0=")</f>
        <v>#REF!</v>
      </c>
      <c r="CA28" t="e">
        <f>AND(#REF!,"dUOzcBXqEU4=")</f>
        <v>#REF!</v>
      </c>
      <c r="CB28" t="e">
        <f>AND(#REF!,"dUOzcBXqEU8=")</f>
        <v>#REF!</v>
      </c>
      <c r="CC28" t="e">
        <f>AND(#REF!,"dUOzcBXqEVA=")</f>
        <v>#REF!</v>
      </c>
      <c r="CD28" t="e">
        <f>AND(#REF!,"dUOzcBXqEVE=")</f>
        <v>#REF!</v>
      </c>
      <c r="CE28" t="e">
        <f>AND(#REF!,"dUOzcBXqEVI=")</f>
        <v>#REF!</v>
      </c>
      <c r="CF28" t="e">
        <f>AND(#REF!,"dUOzcBXqEVM=")</f>
        <v>#REF!</v>
      </c>
      <c r="CG28" t="e">
        <f>AND(#REF!,"dUOzcBXqEVQ=")</f>
        <v>#REF!</v>
      </c>
      <c r="CH28" t="e">
        <f>AND(#REF!,"dUOzcBXqEVU=")</f>
        <v>#REF!</v>
      </c>
      <c r="CI28" t="e">
        <f>AND(#REF!,"dUOzcBXqEVY=")</f>
        <v>#REF!</v>
      </c>
      <c r="CJ28" t="e">
        <f>AND(#REF!,"dUOzcBXqEVc=")</f>
        <v>#REF!</v>
      </c>
      <c r="CK28" t="e">
        <f>AND(#REF!,"dUOzcBXqEVg=")</f>
        <v>#REF!</v>
      </c>
      <c r="CL28" t="e">
        <f>AND(#REF!,"dUOzcBXqEVk=")</f>
        <v>#REF!</v>
      </c>
      <c r="CM28" t="e">
        <f>AND(#REF!,"dUOzcBXqEVo=")</f>
        <v>#REF!</v>
      </c>
      <c r="CN28" t="e">
        <f>AND(#REF!,"dUOzcBXqEVs=")</f>
        <v>#REF!</v>
      </c>
      <c r="CO28" t="e">
        <f>AND(#REF!,"dUOzcBXqEVw=")</f>
        <v>#REF!</v>
      </c>
      <c r="CP28" t="e">
        <f>AND(#REF!,"dUOzcBXqEV0=")</f>
        <v>#REF!</v>
      </c>
      <c r="CQ28" t="e">
        <f>AND(#REF!,"dUOzcBXqEV4=")</f>
        <v>#REF!</v>
      </c>
      <c r="CR28" t="e">
        <f>AND(#REF!,"dUOzcBXqEV8=")</f>
        <v>#REF!</v>
      </c>
      <c r="CS28" t="e">
        <f>AND(#REF!,"dUOzcBXqEWA=")</f>
        <v>#REF!</v>
      </c>
      <c r="CT28" t="e">
        <f>AND(#REF!,"dUOzcBXqEWE=")</f>
        <v>#REF!</v>
      </c>
      <c r="CU28" t="e">
        <f>AND(#REF!,"dUOzcBXqEWI=")</f>
        <v>#REF!</v>
      </c>
      <c r="CV28" t="e">
        <f>AND(#REF!,"dUOzcBXqEWM=")</f>
        <v>#REF!</v>
      </c>
      <c r="CW28" t="e">
        <f>AND(#REF!,"dUOzcBXqEWQ=")</f>
        <v>#REF!</v>
      </c>
      <c r="CX28" t="e">
        <f>AND(#REF!,"dUOzcBXqEWU=")</f>
        <v>#REF!</v>
      </c>
      <c r="CY28" t="e">
        <f>AND(#REF!,"dUOzcBXqEWY=")</f>
        <v>#REF!</v>
      </c>
      <c r="CZ28" t="e">
        <f>AND(#REF!,"dUOzcBXqEWc=")</f>
        <v>#REF!</v>
      </c>
      <c r="DA28" t="e">
        <f>AND(#REF!,"dUOzcBXqEWg=")</f>
        <v>#REF!</v>
      </c>
      <c r="DB28" t="e">
        <f>AND(#REF!,"dUOzcBXqEWk=")</f>
        <v>#REF!</v>
      </c>
      <c r="DC28" t="e">
        <f>AND(#REF!,"dUOzcBXqEWo=")</f>
        <v>#REF!</v>
      </c>
      <c r="DD28" t="e">
        <f>AND(#REF!,"dUOzcBXqEWs=")</f>
        <v>#REF!</v>
      </c>
      <c r="DE28" t="e">
        <f>AND(#REF!,"dUOzcBXqEWw=")</f>
        <v>#REF!</v>
      </c>
      <c r="DF28" t="e">
        <f>AND(#REF!,"dUOzcBXqEW0=")</f>
        <v>#REF!</v>
      </c>
      <c r="DG28" t="e">
        <f>AND(#REF!,"dUOzcBXqEW4=")</f>
        <v>#REF!</v>
      </c>
      <c r="DH28" t="e">
        <f>AND(#REF!,"dUOzcBXqEW8=")</f>
        <v>#REF!</v>
      </c>
      <c r="DI28" t="e">
        <f>AND(#REF!,"dUOzcBXqEXA=")</f>
        <v>#REF!</v>
      </c>
      <c r="DJ28" t="e">
        <f>AND(#REF!,"dUOzcBXqEXE=")</f>
        <v>#REF!</v>
      </c>
      <c r="DK28" t="e">
        <f>AND(#REF!,"dUOzcBXqEXI=")</f>
        <v>#REF!</v>
      </c>
      <c r="DL28" t="e">
        <f>AND(#REF!,"dUOzcBXqEXM=")</f>
        <v>#REF!</v>
      </c>
      <c r="DM28" t="e">
        <f>AND(#REF!,"dUOzcBXqEXQ=")</f>
        <v>#REF!</v>
      </c>
      <c r="DN28" t="e">
        <f>AND(#REF!,"dUOzcBXqEXU=")</f>
        <v>#REF!</v>
      </c>
      <c r="DO28" t="e">
        <f>AND(#REF!,"dUOzcBXqEXY=")</f>
        <v>#REF!</v>
      </c>
      <c r="DP28" t="e">
        <f>AND(#REF!,"dUOzcBXqEXc=")</f>
        <v>#REF!</v>
      </c>
      <c r="DQ28" t="e">
        <f>AND(#REF!,"dUOzcBXqEXg=")</f>
        <v>#REF!</v>
      </c>
      <c r="DR28" t="e">
        <f>AND(#REF!,"dUOzcBXqEXk=")</f>
        <v>#REF!</v>
      </c>
      <c r="DS28" t="e">
        <f>AND(#REF!,"dUOzcBXqEXo=")</f>
        <v>#REF!</v>
      </c>
      <c r="DT28" t="e">
        <f>AND(#REF!,"dUOzcBXqEXs=")</f>
        <v>#REF!</v>
      </c>
      <c r="DU28" t="e">
        <f>AND(#REF!,"dUOzcBXqEXw=")</f>
        <v>#REF!</v>
      </c>
      <c r="DV28" t="e">
        <f>AND(#REF!,"dUOzcBXqEX0=")</f>
        <v>#REF!</v>
      </c>
      <c r="DW28" t="e">
        <f>AND(#REF!,"dUOzcBXqEX4=")</f>
        <v>#REF!</v>
      </c>
      <c r="DX28" t="e">
        <f>AND(#REF!,"dUOzcBXqEX8=")</f>
        <v>#REF!</v>
      </c>
      <c r="DY28" t="e">
        <f>AND(#REF!,"dUOzcBXqEYA=")</f>
        <v>#REF!</v>
      </c>
      <c r="DZ28" t="e">
        <f>AND(#REF!,"dUOzcBXqEYE=")</f>
        <v>#REF!</v>
      </c>
      <c r="EA28" t="e">
        <f>AND(#REF!,"dUOzcBXqEYI=")</f>
        <v>#REF!</v>
      </c>
      <c r="EB28" t="e">
        <f>AND(#REF!,"dUOzcBXqEYM=")</f>
        <v>#REF!</v>
      </c>
      <c r="EC28" t="e">
        <f>AND(#REF!,"dUOzcBXqEYQ=")</f>
        <v>#REF!</v>
      </c>
      <c r="ED28" t="e">
        <f>AND(#REF!,"dUOzcBXqEYU=")</f>
        <v>#REF!</v>
      </c>
      <c r="EE28" t="e">
        <f>AND(#REF!,"dUOzcBXqEYY=")</f>
        <v>#REF!</v>
      </c>
      <c r="EF28" t="e">
        <f>AND(#REF!,"dUOzcBXqEYc=")</f>
        <v>#REF!</v>
      </c>
      <c r="EG28" t="e">
        <f>AND(#REF!,"dUOzcBXqEYg=")</f>
        <v>#REF!</v>
      </c>
      <c r="EH28" t="e">
        <f>AND(#REF!,"dUOzcBXqEYk=")</f>
        <v>#REF!</v>
      </c>
      <c r="EI28" t="e">
        <f>AND(#REF!,"dUOzcBXqEYo=")</f>
        <v>#REF!</v>
      </c>
      <c r="EJ28" t="e">
        <f>AND(#REF!,"dUOzcBXqEYs=")</f>
        <v>#REF!</v>
      </c>
      <c r="EK28" t="e">
        <f>AND(#REF!,"dUOzcBXqEYw=")</f>
        <v>#REF!</v>
      </c>
      <c r="EL28" t="e">
        <f>AND(#REF!,"dUOzcBXqEY0=")</f>
        <v>#REF!</v>
      </c>
      <c r="EM28" t="e">
        <f>AND(#REF!,"dUOzcBXqEY4=")</f>
        <v>#REF!</v>
      </c>
      <c r="EN28" t="e">
        <f>AND(#REF!,"dUOzcBXqEY8=")</f>
        <v>#REF!</v>
      </c>
      <c r="EO28" t="e">
        <f>AND(#REF!,"dUOzcBXqEZA=")</f>
        <v>#REF!</v>
      </c>
      <c r="EP28" t="e">
        <f>AND(#REF!,"dUOzcBXqEZE=")</f>
        <v>#REF!</v>
      </c>
      <c r="EQ28" t="e">
        <f>AND(#REF!,"dUOzcBXqEZI=")</f>
        <v>#REF!</v>
      </c>
      <c r="ER28" t="e">
        <f>AND(#REF!,"dUOzcBXqEZM=")</f>
        <v>#REF!</v>
      </c>
      <c r="ES28" t="e">
        <f>AND(#REF!,"dUOzcBXqEZQ=")</f>
        <v>#REF!</v>
      </c>
      <c r="ET28" t="e">
        <f>AND(#REF!,"dUOzcBXqEZU=")</f>
        <v>#REF!</v>
      </c>
      <c r="EU28" t="e">
        <f>AND(#REF!,"dUOzcBXqEZY=")</f>
        <v>#REF!</v>
      </c>
      <c r="EV28" t="e">
        <f>AND(#REF!,"dUOzcBXqEZc=")</f>
        <v>#REF!</v>
      </c>
      <c r="EW28" t="e">
        <f>AND(#REF!,"dUOzcBXqEZg=")</f>
        <v>#REF!</v>
      </c>
      <c r="EX28" t="e">
        <f>AND(#REF!,"dUOzcBXqEZk=")</f>
        <v>#REF!</v>
      </c>
      <c r="EY28" t="e">
        <f>AND(#REF!,"dUOzcBXqEZo=")</f>
        <v>#REF!</v>
      </c>
      <c r="EZ28" t="e">
        <f>AND(#REF!,"dUOzcBXqEZs=")</f>
        <v>#REF!</v>
      </c>
      <c r="FA28" t="e">
        <f>AND(#REF!,"dUOzcBXqEZw=")</f>
        <v>#REF!</v>
      </c>
      <c r="FB28" t="e">
        <f>AND(#REF!,"dUOzcBXqEZ0=")</f>
        <v>#REF!</v>
      </c>
      <c r="FC28" t="e">
        <f>AND(#REF!,"dUOzcBXqEZ4=")</f>
        <v>#REF!</v>
      </c>
      <c r="FD28" t="e">
        <f>AND(#REF!,"dUOzcBXqEZ8=")</f>
        <v>#REF!</v>
      </c>
      <c r="FE28" t="e">
        <f>AND(#REF!,"dUOzcBXqEaA=")</f>
        <v>#REF!</v>
      </c>
      <c r="FF28" t="e">
        <f>AND(#REF!,"dUOzcBXqEaE=")</f>
        <v>#REF!</v>
      </c>
      <c r="FG28" t="e">
        <f>AND(#REF!,"dUOzcBXqEaI=")</f>
        <v>#REF!</v>
      </c>
      <c r="FH28" t="e">
        <f>AND(#REF!,"dUOzcBXqEaM=")</f>
        <v>#REF!</v>
      </c>
      <c r="FI28" t="e">
        <f>AND(#REF!,"dUOzcBXqEaQ=")</f>
        <v>#REF!</v>
      </c>
      <c r="FJ28" t="e">
        <f>AND(#REF!,"dUOzcBXqEaU=")</f>
        <v>#REF!</v>
      </c>
      <c r="FK28" t="e">
        <f>AND(#REF!,"dUOzcBXqEaY=")</f>
        <v>#REF!</v>
      </c>
      <c r="FL28" t="e">
        <f>AND(#REF!,"dUOzcBXqEac=")</f>
        <v>#REF!</v>
      </c>
      <c r="FM28" t="e">
        <f>AND(#REF!,"dUOzcBXqEag=")</f>
        <v>#REF!</v>
      </c>
      <c r="FN28" t="e">
        <f>AND(#REF!,"dUOzcBXqEak=")</f>
        <v>#REF!</v>
      </c>
      <c r="FO28" t="e">
        <f>AND(#REF!,"dUOzcBXqEao=")</f>
        <v>#REF!</v>
      </c>
      <c r="FP28" t="e">
        <f>AND(#REF!,"dUOzcBXqEas=")</f>
        <v>#REF!</v>
      </c>
      <c r="FQ28" t="e">
        <f>AND(#REF!,"dUOzcBXqEaw=")</f>
        <v>#REF!</v>
      </c>
      <c r="FR28" t="e">
        <f>AND(#REF!,"dUOzcBXqEa0=")</f>
        <v>#REF!</v>
      </c>
      <c r="FS28" t="e">
        <f>AND(#REF!,"dUOzcBXqEa4=")</f>
        <v>#REF!</v>
      </c>
      <c r="FT28" t="e">
        <f>AND(#REF!,"dUOzcBXqEa8=")</f>
        <v>#REF!</v>
      </c>
      <c r="FU28" t="e">
        <f>AND(#REF!,"dUOzcBXqEbA=")</f>
        <v>#REF!</v>
      </c>
      <c r="FV28" t="e">
        <f>AND(#REF!,"dUOzcBXqEbE=")</f>
        <v>#REF!</v>
      </c>
      <c r="FW28" t="e">
        <f>AND(#REF!,"dUOzcBXqEbI=")</f>
        <v>#REF!</v>
      </c>
      <c r="FX28" t="e">
        <f>AND(#REF!,"dUOzcBXqEbM=")</f>
        <v>#REF!</v>
      </c>
      <c r="FY28" t="e">
        <f>AND(#REF!,"dUOzcBXqEbQ=")</f>
        <v>#REF!</v>
      </c>
      <c r="FZ28" t="e">
        <f>AND(#REF!,"dUOzcBXqEbU=")</f>
        <v>#REF!</v>
      </c>
      <c r="GA28" t="e">
        <f>AND(#REF!,"dUOzcBXqEbY=")</f>
        <v>#REF!</v>
      </c>
      <c r="GB28" t="e">
        <f>AND(#REF!,"dUOzcBXqEbc=")</f>
        <v>#REF!</v>
      </c>
      <c r="GC28" t="e">
        <f>AND(#REF!,"dUOzcBXqEbg=")</f>
        <v>#REF!</v>
      </c>
      <c r="GD28" t="e">
        <f>AND(#REF!,"dUOzcBXqEbk=")</f>
        <v>#REF!</v>
      </c>
      <c r="GE28" t="e">
        <f>AND(#REF!,"dUOzcBXqEbo=")</f>
        <v>#REF!</v>
      </c>
      <c r="GF28" t="e">
        <f>AND(#REF!,"dUOzcBXqEbs=")</f>
        <v>#REF!</v>
      </c>
      <c r="GG28" t="e">
        <f>AND(#REF!,"dUOzcBXqEbw=")</f>
        <v>#REF!</v>
      </c>
      <c r="GH28" t="e">
        <f>AND(#REF!,"dUOzcBXqEb0=")</f>
        <v>#REF!</v>
      </c>
      <c r="GI28" t="e">
        <f>AND(#REF!,"dUOzcBXqEb4=")</f>
        <v>#REF!</v>
      </c>
      <c r="GJ28" t="e">
        <f>AND(#REF!,"dUOzcBXqEb8=")</f>
        <v>#REF!</v>
      </c>
      <c r="GK28" t="e">
        <f>AND(#REF!,"dUOzcBXqEcA=")</f>
        <v>#REF!</v>
      </c>
      <c r="GL28" t="e">
        <f>AND(#REF!,"dUOzcBXqEcE=")</f>
        <v>#REF!</v>
      </c>
      <c r="GM28" t="e">
        <f>AND(#REF!,"dUOzcBXqEcI=")</f>
        <v>#REF!</v>
      </c>
      <c r="GN28" t="e">
        <f>AND(#REF!,"dUOzcBXqEcM=")</f>
        <v>#REF!</v>
      </c>
      <c r="GO28" t="e">
        <f>AND(#REF!,"dUOzcBXqEcQ=")</f>
        <v>#REF!</v>
      </c>
      <c r="GP28" t="e">
        <f>AND(#REF!,"dUOzcBXqEcU=")</f>
        <v>#REF!</v>
      </c>
      <c r="GQ28" t="e">
        <f>IF(#REF!,"dUOzcBXqEcY=",0)</f>
        <v>#REF!</v>
      </c>
      <c r="GR28" t="e">
        <f>AND(#REF!,"dUOzcBXqEcc=")</f>
        <v>#REF!</v>
      </c>
      <c r="GS28" t="e">
        <f>AND(#REF!,"dUOzcBXqEcg=")</f>
        <v>#REF!</v>
      </c>
      <c r="GT28" t="e">
        <f>AND(#REF!,"dUOzcBXqEck=")</f>
        <v>#REF!</v>
      </c>
      <c r="GU28" t="e">
        <f>AND(#REF!,"dUOzcBXqEco=")</f>
        <v>#REF!</v>
      </c>
      <c r="GV28" t="e">
        <f>AND(#REF!,"dUOzcBXqEcs=")</f>
        <v>#REF!</v>
      </c>
      <c r="GW28" t="e">
        <f>AND(#REF!,"dUOzcBXqEcw=")</f>
        <v>#REF!</v>
      </c>
      <c r="GX28" t="e">
        <f>AND(#REF!,"dUOzcBXqEc0=")</f>
        <v>#REF!</v>
      </c>
      <c r="GY28" t="e">
        <f>AND(#REF!,"dUOzcBXqEc4=")</f>
        <v>#REF!</v>
      </c>
      <c r="GZ28" t="e">
        <f>AND(#REF!,"dUOzcBXqEc8=")</f>
        <v>#REF!</v>
      </c>
      <c r="HA28" t="e">
        <f>AND(#REF!,"dUOzcBXqEdA=")</f>
        <v>#REF!</v>
      </c>
      <c r="HB28" t="e">
        <f>AND(#REF!,"dUOzcBXqEdE=")</f>
        <v>#REF!</v>
      </c>
      <c r="HC28" t="e">
        <f>AND(#REF!,"dUOzcBXqEdI=")</f>
        <v>#REF!</v>
      </c>
      <c r="HD28" t="e">
        <f>AND(#REF!,"dUOzcBXqEdM=")</f>
        <v>#REF!</v>
      </c>
      <c r="HE28" t="e">
        <f>AND(#REF!,"dUOzcBXqEdQ=")</f>
        <v>#REF!</v>
      </c>
      <c r="HF28" t="e">
        <f>AND(#REF!,"dUOzcBXqEdU=")</f>
        <v>#REF!</v>
      </c>
      <c r="HG28" t="e">
        <f>AND(#REF!,"dUOzcBXqEdY=")</f>
        <v>#REF!</v>
      </c>
      <c r="HH28" t="e">
        <f>AND(#REF!,"dUOzcBXqEdc=")</f>
        <v>#REF!</v>
      </c>
      <c r="HI28" t="e">
        <f>AND(#REF!,"dUOzcBXqEdg=")</f>
        <v>#REF!</v>
      </c>
      <c r="HJ28" t="e">
        <f>AND(#REF!,"dUOzcBXqEdk=")</f>
        <v>#REF!</v>
      </c>
      <c r="HK28" t="e">
        <f>AND(#REF!,"dUOzcBXqEdo=")</f>
        <v>#REF!</v>
      </c>
      <c r="HL28" t="e">
        <f>AND(#REF!,"dUOzcBXqEds=")</f>
        <v>#REF!</v>
      </c>
      <c r="HM28" t="e">
        <f>AND(#REF!,"dUOzcBXqEdw=")</f>
        <v>#REF!</v>
      </c>
      <c r="HN28" t="e">
        <f>AND(#REF!,"dUOzcBXqEd0=")</f>
        <v>#REF!</v>
      </c>
      <c r="HO28" t="e">
        <f>AND(#REF!,"dUOzcBXqEd4=")</f>
        <v>#REF!</v>
      </c>
      <c r="HP28" t="e">
        <f>AND(#REF!,"dUOzcBXqEd8=")</f>
        <v>#REF!</v>
      </c>
      <c r="HQ28" t="e">
        <f>AND(#REF!,"dUOzcBXqEeA=")</f>
        <v>#REF!</v>
      </c>
      <c r="HR28" t="e">
        <f>AND(#REF!,"dUOzcBXqEeE=")</f>
        <v>#REF!</v>
      </c>
      <c r="HS28" t="e">
        <f>AND(#REF!,"dUOzcBXqEeI=")</f>
        <v>#REF!</v>
      </c>
      <c r="HT28" t="e">
        <f>AND(#REF!,"dUOzcBXqEeM=")</f>
        <v>#REF!</v>
      </c>
      <c r="HU28" t="e">
        <f>AND(#REF!,"dUOzcBXqEeQ=")</f>
        <v>#REF!</v>
      </c>
      <c r="HV28" t="e">
        <f>AND(#REF!,"dUOzcBXqEeU=")</f>
        <v>#REF!</v>
      </c>
      <c r="HW28" t="e">
        <f>AND(#REF!,"dUOzcBXqEeY=")</f>
        <v>#REF!</v>
      </c>
      <c r="HX28" t="e">
        <f>AND(#REF!,"dUOzcBXqEec=")</f>
        <v>#REF!</v>
      </c>
      <c r="HY28" t="e">
        <f>AND(#REF!,"dUOzcBXqEeg=")</f>
        <v>#REF!</v>
      </c>
      <c r="HZ28" t="e">
        <f>AND(#REF!,"dUOzcBXqEek=")</f>
        <v>#REF!</v>
      </c>
      <c r="IA28" t="e">
        <f>AND(#REF!,"dUOzcBXqEeo=")</f>
        <v>#REF!</v>
      </c>
      <c r="IB28" t="e">
        <f>AND(#REF!,"dUOzcBXqEes=")</f>
        <v>#REF!</v>
      </c>
      <c r="IC28" t="e">
        <f>AND(#REF!,"dUOzcBXqEew=")</f>
        <v>#REF!</v>
      </c>
      <c r="ID28" t="e">
        <f>AND(#REF!,"dUOzcBXqEe0=")</f>
        <v>#REF!</v>
      </c>
      <c r="IE28" t="e">
        <f>AND(#REF!,"dUOzcBXqEe4=")</f>
        <v>#REF!</v>
      </c>
      <c r="IF28" t="e">
        <f>AND(#REF!,"dUOzcBXqEe8=")</f>
        <v>#REF!</v>
      </c>
      <c r="IG28" t="e">
        <f>AND(#REF!,"dUOzcBXqEfA=")</f>
        <v>#REF!</v>
      </c>
      <c r="IH28" t="e">
        <f>AND(#REF!,"dUOzcBXqEfE=")</f>
        <v>#REF!</v>
      </c>
      <c r="II28" t="e">
        <f>AND(#REF!,"dUOzcBXqEfI=")</f>
        <v>#REF!</v>
      </c>
      <c r="IJ28" t="e">
        <f>AND(#REF!,"dUOzcBXqEfM=")</f>
        <v>#REF!</v>
      </c>
      <c r="IK28" t="e">
        <f>AND(#REF!,"dUOzcBXqEfQ=")</f>
        <v>#REF!</v>
      </c>
      <c r="IL28" t="e">
        <f>AND(#REF!,"dUOzcBXqEfU=")</f>
        <v>#REF!</v>
      </c>
      <c r="IM28" t="e">
        <f>AND(#REF!,"dUOzcBXqEfY=")</f>
        <v>#REF!</v>
      </c>
      <c r="IN28" t="e">
        <f>AND(#REF!,"dUOzcBXqEfc=")</f>
        <v>#REF!</v>
      </c>
      <c r="IO28" t="e">
        <f>AND(#REF!,"dUOzcBXqEfg=")</f>
        <v>#REF!</v>
      </c>
      <c r="IP28" t="e">
        <f>AND(#REF!,"dUOzcBXqEfk=")</f>
        <v>#REF!</v>
      </c>
      <c r="IQ28" t="e">
        <f>AND(#REF!,"dUOzcBXqEfo=")</f>
        <v>#REF!</v>
      </c>
      <c r="IR28" t="e">
        <f>AND(#REF!,"dUOzcBXqEfs=")</f>
        <v>#REF!</v>
      </c>
      <c r="IS28" t="e">
        <f>AND(#REF!,"dUOzcBXqEfw=")</f>
        <v>#REF!</v>
      </c>
      <c r="IT28" t="e">
        <f>AND(#REF!,"dUOzcBXqEf0=")</f>
        <v>#REF!</v>
      </c>
      <c r="IU28" t="e">
        <f>AND(#REF!,"dUOzcBXqEf4=")</f>
        <v>#REF!</v>
      </c>
      <c r="IV28" t="e">
        <f>AND(#REF!,"dUOzcBXqEf8=")</f>
        <v>#REF!</v>
      </c>
    </row>
    <row r="29" spans="1:256" x14ac:dyDescent="0.2">
      <c r="A29" t="e">
        <f>AND(#REF!,"aV0KK2n0fwA=")</f>
        <v>#REF!</v>
      </c>
      <c r="B29" t="e">
        <f>AND(#REF!,"aV0KK2n0fwE=")</f>
        <v>#REF!</v>
      </c>
      <c r="C29" t="e">
        <f>AND(#REF!,"aV0KK2n0fwI=")</f>
        <v>#REF!</v>
      </c>
      <c r="D29" t="e">
        <f>AND(#REF!,"aV0KK2n0fwM=")</f>
        <v>#REF!</v>
      </c>
      <c r="E29" t="e">
        <f>AND(#REF!,"aV0KK2n0fwQ=")</f>
        <v>#REF!</v>
      </c>
      <c r="F29" t="e">
        <f>AND(#REF!,"aV0KK2n0fwU=")</f>
        <v>#REF!</v>
      </c>
      <c r="G29" t="e">
        <f>AND(#REF!,"aV0KK2n0fwY=")</f>
        <v>#REF!</v>
      </c>
      <c r="H29" t="e">
        <f>AND(#REF!,"aV0KK2n0fwc=")</f>
        <v>#REF!</v>
      </c>
      <c r="I29" t="e">
        <f>AND(#REF!,"aV0KK2n0fwg=")</f>
        <v>#REF!</v>
      </c>
      <c r="J29" t="e">
        <f>AND(#REF!,"aV0KK2n0fwk=")</f>
        <v>#REF!</v>
      </c>
      <c r="K29" t="e">
        <f>AND(#REF!,"aV0KK2n0fwo=")</f>
        <v>#REF!</v>
      </c>
      <c r="L29" t="e">
        <f>AND(#REF!,"aV0KK2n0fws=")</f>
        <v>#REF!</v>
      </c>
      <c r="M29" t="e">
        <f>AND(#REF!,"aV0KK2n0fww=")</f>
        <v>#REF!</v>
      </c>
      <c r="N29" t="e">
        <f>AND(#REF!,"aV0KK2n0fw0=")</f>
        <v>#REF!</v>
      </c>
      <c r="O29" t="e">
        <f>AND(#REF!,"aV0KK2n0fw4=")</f>
        <v>#REF!</v>
      </c>
      <c r="P29" t="e">
        <f>AND(#REF!,"aV0KK2n0fw8=")</f>
        <v>#REF!</v>
      </c>
      <c r="Q29" t="e">
        <f>AND(#REF!,"aV0KK2n0fxA=")</f>
        <v>#REF!</v>
      </c>
      <c r="R29" t="e">
        <f>AND(#REF!,"aV0KK2n0fxE=")</f>
        <v>#REF!</v>
      </c>
      <c r="S29" t="e">
        <f>AND(#REF!,"aV0KK2n0fxI=")</f>
        <v>#REF!</v>
      </c>
      <c r="T29" t="e">
        <f>AND(#REF!,"aV0KK2n0fxM=")</f>
        <v>#REF!</v>
      </c>
      <c r="U29" t="e">
        <f>AND(#REF!,"aV0KK2n0fxQ=")</f>
        <v>#REF!</v>
      </c>
      <c r="V29" t="e">
        <f>AND(#REF!,"aV0KK2n0fxU=")</f>
        <v>#REF!</v>
      </c>
      <c r="W29" t="e">
        <f>AND(#REF!,"aV0KK2n0fxY=")</f>
        <v>#REF!</v>
      </c>
      <c r="X29" t="e">
        <f>AND(#REF!,"aV0KK2n0fxc=")</f>
        <v>#REF!</v>
      </c>
      <c r="Y29" t="e">
        <f>AND(#REF!,"aV0KK2n0fxg=")</f>
        <v>#REF!</v>
      </c>
      <c r="Z29" t="e">
        <f>AND(#REF!,"aV0KK2n0fxk=")</f>
        <v>#REF!</v>
      </c>
      <c r="AA29" t="e">
        <f>AND(#REF!,"aV0KK2n0fxo=")</f>
        <v>#REF!</v>
      </c>
      <c r="AB29" t="e">
        <f>AND(#REF!,"aV0KK2n0fxs=")</f>
        <v>#REF!</v>
      </c>
      <c r="AC29" t="e">
        <f>AND(#REF!,"aV0KK2n0fxw=")</f>
        <v>#REF!</v>
      </c>
      <c r="AD29" t="e">
        <f>AND(#REF!,"aV0KK2n0fx0=")</f>
        <v>#REF!</v>
      </c>
      <c r="AE29" t="e">
        <f>AND(#REF!,"aV0KK2n0fx4=")</f>
        <v>#REF!</v>
      </c>
      <c r="AF29" t="e">
        <f>AND(#REF!,"aV0KK2n0fx8=")</f>
        <v>#REF!</v>
      </c>
      <c r="AG29" t="e">
        <f>AND(#REF!,"aV0KK2n0fyA=")</f>
        <v>#REF!</v>
      </c>
      <c r="AH29" t="e">
        <f>AND(#REF!,"aV0KK2n0fyE=")</f>
        <v>#REF!</v>
      </c>
      <c r="AI29" t="e">
        <f>AND(#REF!,"aV0KK2n0fyI=")</f>
        <v>#REF!</v>
      </c>
      <c r="AJ29" t="e">
        <f>AND(#REF!,"aV0KK2n0fyM=")</f>
        <v>#REF!</v>
      </c>
      <c r="AK29" t="e">
        <f>AND(#REF!,"aV0KK2n0fyQ=")</f>
        <v>#REF!</v>
      </c>
      <c r="AL29" t="e">
        <f>AND(#REF!,"aV0KK2n0fyU=")</f>
        <v>#REF!</v>
      </c>
      <c r="AM29" t="e">
        <f>AND(#REF!,"aV0KK2n0fyY=")</f>
        <v>#REF!</v>
      </c>
      <c r="AN29" t="e">
        <f>AND(#REF!,"aV0KK2n0fyc=")</f>
        <v>#REF!</v>
      </c>
      <c r="AO29" t="e">
        <f>AND(#REF!,"aV0KK2n0fyg=")</f>
        <v>#REF!</v>
      </c>
      <c r="AP29" t="e">
        <f>AND(#REF!,"aV0KK2n0fyk=")</f>
        <v>#REF!</v>
      </c>
      <c r="AQ29" t="e">
        <f>AND(#REF!,"aV0KK2n0fyo=")</f>
        <v>#REF!</v>
      </c>
      <c r="AR29" t="e">
        <f>AND(#REF!,"aV0KK2n0fys=")</f>
        <v>#REF!</v>
      </c>
      <c r="AS29" t="e">
        <f>AND(#REF!,"aV0KK2n0fyw=")</f>
        <v>#REF!</v>
      </c>
      <c r="AT29" t="e">
        <f>AND(#REF!,"aV0KK2n0fy0=")</f>
        <v>#REF!</v>
      </c>
      <c r="AU29" t="e">
        <f>AND(#REF!,"aV0KK2n0fy4=")</f>
        <v>#REF!</v>
      </c>
      <c r="AV29" t="e">
        <f>AND(#REF!,"aV0KK2n0fy8=")</f>
        <v>#REF!</v>
      </c>
      <c r="AW29" t="e">
        <f>AND(#REF!,"aV0KK2n0fzA=")</f>
        <v>#REF!</v>
      </c>
      <c r="AX29" t="e">
        <f>AND(#REF!,"aV0KK2n0fzE=")</f>
        <v>#REF!</v>
      </c>
      <c r="AY29" t="e">
        <f>AND(#REF!,"aV0KK2n0fzI=")</f>
        <v>#REF!</v>
      </c>
      <c r="AZ29" t="e">
        <f>AND(#REF!,"aV0KK2n0fzM=")</f>
        <v>#REF!</v>
      </c>
      <c r="BA29" t="e">
        <f>AND(#REF!,"aV0KK2n0fzQ=")</f>
        <v>#REF!</v>
      </c>
      <c r="BB29" t="e">
        <f>AND(#REF!,"aV0KK2n0fzU=")</f>
        <v>#REF!</v>
      </c>
      <c r="BC29" t="e">
        <f>AND(#REF!,"aV0KK2n0fzY=")</f>
        <v>#REF!</v>
      </c>
      <c r="BD29" t="e">
        <f>AND(#REF!,"aV0KK2n0fzc=")</f>
        <v>#REF!</v>
      </c>
      <c r="BE29" t="e">
        <f>AND(#REF!,"aV0KK2n0fzg=")</f>
        <v>#REF!</v>
      </c>
      <c r="BF29" t="e">
        <f>AND(#REF!,"aV0KK2n0fzk=")</f>
        <v>#REF!</v>
      </c>
      <c r="BG29" t="e">
        <f>AND(#REF!,"aV0KK2n0fzo=")</f>
        <v>#REF!</v>
      </c>
      <c r="BH29" t="e">
        <f>AND(#REF!,"aV0KK2n0fzs=")</f>
        <v>#REF!</v>
      </c>
      <c r="BI29" t="e">
        <f>AND(#REF!,"aV0KK2n0fzw=")</f>
        <v>#REF!</v>
      </c>
      <c r="BJ29" t="e">
        <f>AND(#REF!,"aV0KK2n0fz0=")</f>
        <v>#REF!</v>
      </c>
      <c r="BK29" t="e">
        <f>AND(#REF!,"aV0KK2n0fz4=")</f>
        <v>#REF!</v>
      </c>
      <c r="BL29" t="e">
        <f>AND(#REF!,"aV0KK2n0fz8=")</f>
        <v>#REF!</v>
      </c>
      <c r="BM29" t="e">
        <f>AND(#REF!,"aV0KK2n0f0A=")</f>
        <v>#REF!</v>
      </c>
      <c r="BN29" t="e">
        <f>AND(#REF!,"aV0KK2n0f0E=")</f>
        <v>#REF!</v>
      </c>
      <c r="BO29" t="e">
        <f>AND(#REF!,"aV0KK2n0f0I=")</f>
        <v>#REF!</v>
      </c>
      <c r="BP29" t="e">
        <f>AND(#REF!,"aV0KK2n0f0M=")</f>
        <v>#REF!</v>
      </c>
      <c r="BQ29" t="e">
        <f>AND(#REF!,"aV0KK2n0f0Q=")</f>
        <v>#REF!</v>
      </c>
      <c r="BR29" t="e">
        <f>AND(#REF!,"aV0KK2n0f0U=")</f>
        <v>#REF!</v>
      </c>
      <c r="BS29" t="e">
        <f>AND(#REF!,"aV0KK2n0f0Y=")</f>
        <v>#REF!</v>
      </c>
      <c r="BT29" t="e">
        <f>AND(#REF!,"aV0KK2n0f0c=")</f>
        <v>#REF!</v>
      </c>
      <c r="BU29" t="e">
        <f>AND(#REF!,"aV0KK2n0f0g=")</f>
        <v>#REF!</v>
      </c>
      <c r="BV29" t="e">
        <f>AND(#REF!,"aV0KK2n0f0k=")</f>
        <v>#REF!</v>
      </c>
      <c r="BW29" t="e">
        <f>AND(#REF!,"aV0KK2n0f0o=")</f>
        <v>#REF!</v>
      </c>
      <c r="BX29" t="e">
        <f>AND(#REF!,"aV0KK2n0f0s=")</f>
        <v>#REF!</v>
      </c>
      <c r="BY29" t="e">
        <f>AND(#REF!,"aV0KK2n0f0w=")</f>
        <v>#REF!</v>
      </c>
      <c r="BZ29" t="e">
        <f>AND(#REF!,"aV0KK2n0f00=")</f>
        <v>#REF!</v>
      </c>
      <c r="CA29" t="e">
        <f>AND(#REF!,"aV0KK2n0f04=")</f>
        <v>#REF!</v>
      </c>
      <c r="CB29" t="e">
        <f>AND(#REF!,"aV0KK2n0f08=")</f>
        <v>#REF!</v>
      </c>
      <c r="CC29" t="e">
        <f>AND(#REF!,"aV0KK2n0f1A=")</f>
        <v>#REF!</v>
      </c>
      <c r="CD29" t="e">
        <f>AND(#REF!,"aV0KK2n0f1E=")</f>
        <v>#REF!</v>
      </c>
      <c r="CE29" t="e">
        <f>AND(#REF!,"aV0KK2n0f1I=")</f>
        <v>#REF!</v>
      </c>
      <c r="CF29" t="e">
        <f>AND(#REF!,"aV0KK2n0f1M=")</f>
        <v>#REF!</v>
      </c>
      <c r="CG29" t="e">
        <f>AND(#REF!,"aV0KK2n0f1Q=")</f>
        <v>#REF!</v>
      </c>
      <c r="CH29" t="e">
        <f>AND(#REF!,"aV0KK2n0f1U=")</f>
        <v>#REF!</v>
      </c>
      <c r="CI29" t="e">
        <f>AND(#REF!,"aV0KK2n0f1Y=")</f>
        <v>#REF!</v>
      </c>
      <c r="CJ29" t="e">
        <f>AND(#REF!,"aV0KK2n0f1c=")</f>
        <v>#REF!</v>
      </c>
      <c r="CK29" t="e">
        <f>AND(#REF!,"aV0KK2n0f1g=")</f>
        <v>#REF!</v>
      </c>
      <c r="CL29" t="e">
        <f>AND(#REF!,"aV0KK2n0f1k=")</f>
        <v>#REF!</v>
      </c>
      <c r="CM29" t="e">
        <f>AND(#REF!,"aV0KK2n0f1o=")</f>
        <v>#REF!</v>
      </c>
      <c r="CN29" t="e">
        <f>AND(#REF!,"aV0KK2n0f1s=")</f>
        <v>#REF!</v>
      </c>
      <c r="CO29" t="e">
        <f>AND(#REF!,"aV0KK2n0f1w=")</f>
        <v>#REF!</v>
      </c>
      <c r="CP29" t="e">
        <f>AND(#REF!,"aV0KK2n0f10=")</f>
        <v>#REF!</v>
      </c>
      <c r="CQ29" t="e">
        <f>AND(#REF!,"aV0KK2n0f14=")</f>
        <v>#REF!</v>
      </c>
      <c r="CR29" t="e">
        <f>AND(#REF!,"aV0KK2n0f18=")</f>
        <v>#REF!</v>
      </c>
      <c r="CS29" t="e">
        <f>AND(#REF!,"aV0KK2n0f2A=")</f>
        <v>#REF!</v>
      </c>
      <c r="CT29" t="e">
        <f>AND(#REF!,"aV0KK2n0f2E=")</f>
        <v>#REF!</v>
      </c>
      <c r="CU29" t="e">
        <f>AND(#REF!,"aV0KK2n0f2I=")</f>
        <v>#REF!</v>
      </c>
      <c r="CV29" t="e">
        <f>AND(#REF!,"aV0KK2n0f2M=")</f>
        <v>#REF!</v>
      </c>
      <c r="CW29" t="e">
        <f>AND(#REF!,"aV0KK2n0f2Q=")</f>
        <v>#REF!</v>
      </c>
      <c r="CX29" t="e">
        <f>AND(#REF!,"aV0KK2n0f2U=")</f>
        <v>#REF!</v>
      </c>
      <c r="CY29" t="e">
        <f>AND(#REF!,"aV0KK2n0f2Y=")</f>
        <v>#REF!</v>
      </c>
      <c r="CZ29" t="e">
        <f>AND(#REF!,"aV0KK2n0f2c=")</f>
        <v>#REF!</v>
      </c>
      <c r="DA29" t="e">
        <f>AND(#REF!,"aV0KK2n0f2g=")</f>
        <v>#REF!</v>
      </c>
      <c r="DB29" t="e">
        <f>AND(#REF!,"aV0KK2n0f2k=")</f>
        <v>#REF!</v>
      </c>
      <c r="DC29" t="e">
        <f>AND(#REF!,"aV0KK2n0f2o=")</f>
        <v>#REF!</v>
      </c>
      <c r="DD29" t="e">
        <f>AND(#REF!,"aV0KK2n0f2s=")</f>
        <v>#REF!</v>
      </c>
      <c r="DE29" t="e">
        <f>AND(#REF!,"aV0KK2n0f2w=")</f>
        <v>#REF!</v>
      </c>
      <c r="DF29" t="e">
        <f>AND(#REF!,"aV0KK2n0f20=")</f>
        <v>#REF!</v>
      </c>
      <c r="DG29" t="e">
        <f>AND(#REF!,"aV0KK2n0f24=")</f>
        <v>#REF!</v>
      </c>
      <c r="DH29" t="e">
        <f>AND(#REF!,"aV0KK2n0f28=")</f>
        <v>#REF!</v>
      </c>
      <c r="DI29" t="e">
        <f>AND(#REF!,"aV0KK2n0f3A=")</f>
        <v>#REF!</v>
      </c>
      <c r="DJ29" t="e">
        <f>AND(#REF!,"aV0KK2n0f3E=")</f>
        <v>#REF!</v>
      </c>
      <c r="DK29" t="e">
        <f>AND(#REF!,"aV0KK2n0f3I=")</f>
        <v>#REF!</v>
      </c>
      <c r="DL29" t="e">
        <f>AND(#REF!,"aV0KK2n0f3M=")</f>
        <v>#REF!</v>
      </c>
      <c r="DM29" t="e">
        <f>AND(#REF!,"aV0KK2n0f3Q=")</f>
        <v>#REF!</v>
      </c>
      <c r="DN29" t="e">
        <f>AND(#REF!,"aV0KK2n0f3U=")</f>
        <v>#REF!</v>
      </c>
      <c r="DO29" t="e">
        <f>AND(#REF!,"aV0KK2n0f3Y=")</f>
        <v>#REF!</v>
      </c>
      <c r="DP29" t="e">
        <f>AND(#REF!,"aV0KK2n0f3c=")</f>
        <v>#REF!</v>
      </c>
      <c r="DQ29" t="e">
        <f>AND(#REF!,"aV0KK2n0f3g=")</f>
        <v>#REF!</v>
      </c>
      <c r="DR29" t="e">
        <f>AND(#REF!,"aV0KK2n0f3k=")</f>
        <v>#REF!</v>
      </c>
      <c r="DS29" t="e">
        <f>AND(#REF!,"aV0KK2n0f3o=")</f>
        <v>#REF!</v>
      </c>
      <c r="DT29" t="e">
        <f>AND(#REF!,"aV0KK2n0f3s=")</f>
        <v>#REF!</v>
      </c>
      <c r="DU29" t="e">
        <f>AND(#REF!,"aV0KK2n0f3w=")</f>
        <v>#REF!</v>
      </c>
      <c r="DV29" t="e">
        <f>AND(#REF!,"aV0KK2n0f30=")</f>
        <v>#REF!</v>
      </c>
      <c r="DW29" t="e">
        <f>AND(#REF!,"aV0KK2n0f34=")</f>
        <v>#REF!</v>
      </c>
      <c r="DX29" t="e">
        <f>AND(#REF!,"aV0KK2n0f38=")</f>
        <v>#REF!</v>
      </c>
      <c r="DY29" t="e">
        <f>AND(#REF!,"aV0KK2n0f4A=")</f>
        <v>#REF!</v>
      </c>
      <c r="DZ29" t="e">
        <f>AND(#REF!,"aV0KK2n0f4E=")</f>
        <v>#REF!</v>
      </c>
      <c r="EA29" t="e">
        <f>AND(#REF!,"aV0KK2n0f4I=")</f>
        <v>#REF!</v>
      </c>
      <c r="EB29" t="e">
        <f>AND(#REF!,"aV0KK2n0f4M=")</f>
        <v>#REF!</v>
      </c>
      <c r="EC29" t="e">
        <f>AND(#REF!,"aV0KK2n0f4Q=")</f>
        <v>#REF!</v>
      </c>
      <c r="ED29" t="e">
        <f>AND(#REF!,"aV0KK2n0f4U=")</f>
        <v>#REF!</v>
      </c>
      <c r="EE29" t="e">
        <f>AND(#REF!,"aV0KK2n0f4Y=")</f>
        <v>#REF!</v>
      </c>
      <c r="EF29" t="e">
        <f>AND(#REF!,"aV0KK2n0f4c=")</f>
        <v>#REF!</v>
      </c>
      <c r="EG29" t="e">
        <f>AND(#REF!,"aV0KK2n0f4g=")</f>
        <v>#REF!</v>
      </c>
      <c r="EH29" t="e">
        <f>AND(#REF!,"aV0KK2n0f4k=")</f>
        <v>#REF!</v>
      </c>
      <c r="EI29" t="e">
        <f>AND(#REF!,"aV0KK2n0f4o=")</f>
        <v>#REF!</v>
      </c>
      <c r="EJ29" t="e">
        <f>AND(#REF!,"aV0KK2n0f4s=")</f>
        <v>#REF!</v>
      </c>
      <c r="EK29" t="e">
        <f>AND(#REF!,"aV0KK2n0f4w=")</f>
        <v>#REF!</v>
      </c>
      <c r="EL29" t="e">
        <f>IF(#REF!,"aV0KK2n0f40=",0)</f>
        <v>#REF!</v>
      </c>
      <c r="EM29" t="e">
        <f>AND(#REF!,"aV0KK2n0f44=")</f>
        <v>#REF!</v>
      </c>
      <c r="EN29" t="e">
        <f>AND(#REF!,"aV0KK2n0f48=")</f>
        <v>#REF!</v>
      </c>
      <c r="EO29" t="e">
        <f>AND(#REF!,"aV0KK2n0f5A=")</f>
        <v>#REF!</v>
      </c>
      <c r="EP29" t="e">
        <f>AND(#REF!,"aV0KK2n0f5E=")</f>
        <v>#REF!</v>
      </c>
      <c r="EQ29" t="e">
        <f>AND(#REF!,"aV0KK2n0f5I=")</f>
        <v>#REF!</v>
      </c>
      <c r="ER29" t="e">
        <f>AND(#REF!,"aV0KK2n0f5M=")</f>
        <v>#REF!</v>
      </c>
      <c r="ES29" t="e">
        <f>AND(#REF!,"aV0KK2n0f5Q=")</f>
        <v>#REF!</v>
      </c>
      <c r="ET29" t="e">
        <f>AND(#REF!,"aV0KK2n0f5U=")</f>
        <v>#REF!</v>
      </c>
      <c r="EU29" t="e">
        <f>AND(#REF!,"aV0KK2n0f5Y=")</f>
        <v>#REF!</v>
      </c>
      <c r="EV29" t="e">
        <f>AND(#REF!,"aV0KK2n0f5c=")</f>
        <v>#REF!</v>
      </c>
      <c r="EW29" t="e">
        <f>AND(#REF!,"aV0KK2n0f5g=")</f>
        <v>#REF!</v>
      </c>
      <c r="EX29" t="e">
        <f>AND(#REF!,"aV0KK2n0f5k=")</f>
        <v>#REF!</v>
      </c>
      <c r="EY29" t="e">
        <f>AND(#REF!,"aV0KK2n0f5o=")</f>
        <v>#REF!</v>
      </c>
      <c r="EZ29" t="e">
        <f>AND(#REF!,"aV0KK2n0f5s=")</f>
        <v>#REF!</v>
      </c>
      <c r="FA29" t="e">
        <f>AND(#REF!,"aV0KK2n0f5w=")</f>
        <v>#REF!</v>
      </c>
      <c r="FB29" t="e">
        <f>AND(#REF!,"aV0KK2n0f50=")</f>
        <v>#REF!</v>
      </c>
      <c r="FC29" t="e">
        <f>AND(#REF!,"aV0KK2n0f54=")</f>
        <v>#REF!</v>
      </c>
      <c r="FD29" t="e">
        <f>AND(#REF!,"aV0KK2n0f58=")</f>
        <v>#REF!</v>
      </c>
      <c r="FE29" t="e">
        <f>AND(#REF!,"aV0KK2n0f6A=")</f>
        <v>#REF!</v>
      </c>
      <c r="FF29" t="e">
        <f>AND(#REF!,"aV0KK2n0f6E=")</f>
        <v>#REF!</v>
      </c>
      <c r="FG29" t="e">
        <f>AND(#REF!,"aV0KK2n0f6I=")</f>
        <v>#REF!</v>
      </c>
      <c r="FH29" t="e">
        <f>AND(#REF!,"aV0KK2n0f6M=")</f>
        <v>#REF!</v>
      </c>
      <c r="FI29" t="e">
        <f>AND(#REF!,"aV0KK2n0f6Q=")</f>
        <v>#REF!</v>
      </c>
      <c r="FJ29" t="e">
        <f>AND(#REF!,"aV0KK2n0f6U=")</f>
        <v>#REF!</v>
      </c>
      <c r="FK29" t="e">
        <f>AND(#REF!,"aV0KK2n0f6Y=")</f>
        <v>#REF!</v>
      </c>
      <c r="FL29" t="e">
        <f>AND(#REF!,"aV0KK2n0f6c=")</f>
        <v>#REF!</v>
      </c>
      <c r="FM29" t="e">
        <f>AND(#REF!,"aV0KK2n0f6g=")</f>
        <v>#REF!</v>
      </c>
      <c r="FN29" t="e">
        <f>AND(#REF!,"aV0KK2n0f6k=")</f>
        <v>#REF!</v>
      </c>
      <c r="FO29" t="e">
        <f>AND(#REF!,"aV0KK2n0f6o=")</f>
        <v>#REF!</v>
      </c>
      <c r="FP29" t="e">
        <f>AND(#REF!,"aV0KK2n0f6s=")</f>
        <v>#REF!</v>
      </c>
      <c r="FQ29" t="e">
        <f>AND(#REF!,"aV0KK2n0f6w=")</f>
        <v>#REF!</v>
      </c>
      <c r="FR29" t="e">
        <f>AND(#REF!,"aV0KK2n0f60=")</f>
        <v>#REF!</v>
      </c>
      <c r="FS29" t="e">
        <f>AND(#REF!,"aV0KK2n0f64=")</f>
        <v>#REF!</v>
      </c>
      <c r="FT29" t="e">
        <f>AND(#REF!,"aV0KK2n0f68=")</f>
        <v>#REF!</v>
      </c>
      <c r="FU29" t="e">
        <f>AND(#REF!,"aV0KK2n0f7A=")</f>
        <v>#REF!</v>
      </c>
      <c r="FV29" t="e">
        <f>AND(#REF!,"aV0KK2n0f7E=")</f>
        <v>#REF!</v>
      </c>
      <c r="FW29" t="e">
        <f>AND(#REF!,"aV0KK2n0f7I=")</f>
        <v>#REF!</v>
      </c>
      <c r="FX29" t="e">
        <f>AND(#REF!,"aV0KK2n0f7M=")</f>
        <v>#REF!</v>
      </c>
      <c r="FY29" t="e">
        <f>AND(#REF!,"aV0KK2n0f7Q=")</f>
        <v>#REF!</v>
      </c>
      <c r="FZ29" t="e">
        <f>AND(#REF!,"aV0KK2n0f7U=")</f>
        <v>#REF!</v>
      </c>
      <c r="GA29" t="e">
        <f>AND(#REF!,"aV0KK2n0f7Y=")</f>
        <v>#REF!</v>
      </c>
      <c r="GB29" t="e">
        <f>AND(#REF!,"aV0KK2n0f7c=")</f>
        <v>#REF!</v>
      </c>
      <c r="GC29" t="e">
        <f>AND(#REF!,"aV0KK2n0f7g=")</f>
        <v>#REF!</v>
      </c>
      <c r="GD29" t="e">
        <f>AND(#REF!,"aV0KK2n0f7k=")</f>
        <v>#REF!</v>
      </c>
      <c r="GE29" t="e">
        <f>AND(#REF!,"aV0KK2n0f7o=")</f>
        <v>#REF!</v>
      </c>
      <c r="GF29" t="e">
        <f>AND(#REF!,"aV0KK2n0f7s=")</f>
        <v>#REF!</v>
      </c>
      <c r="GG29" t="e">
        <f>AND(#REF!,"aV0KK2n0f7w=")</f>
        <v>#REF!</v>
      </c>
      <c r="GH29" t="e">
        <f>AND(#REF!,"aV0KK2n0f70=")</f>
        <v>#REF!</v>
      </c>
      <c r="GI29" t="e">
        <f>AND(#REF!,"aV0KK2n0f74=")</f>
        <v>#REF!</v>
      </c>
      <c r="GJ29" t="e">
        <f>AND(#REF!,"aV0KK2n0f78=")</f>
        <v>#REF!</v>
      </c>
      <c r="GK29" t="e">
        <f>AND(#REF!,"aV0KK2n0f8A=")</f>
        <v>#REF!</v>
      </c>
      <c r="GL29" t="e">
        <f>AND(#REF!,"aV0KK2n0f8E=")</f>
        <v>#REF!</v>
      </c>
      <c r="GM29" t="e">
        <f>AND(#REF!,"aV0KK2n0f8I=")</f>
        <v>#REF!</v>
      </c>
      <c r="GN29" t="e">
        <f>AND(#REF!,"aV0KK2n0f8M=")</f>
        <v>#REF!</v>
      </c>
      <c r="GO29" t="e">
        <f>AND(#REF!,"aV0KK2n0f8Q=")</f>
        <v>#REF!</v>
      </c>
      <c r="GP29" t="e">
        <f>AND(#REF!,"aV0KK2n0f8U=")</f>
        <v>#REF!</v>
      </c>
      <c r="GQ29" t="e">
        <f>AND(#REF!,"aV0KK2n0f8Y=")</f>
        <v>#REF!</v>
      </c>
      <c r="GR29" t="e">
        <f>AND(#REF!,"aV0KK2n0f8c=")</f>
        <v>#REF!</v>
      </c>
      <c r="GS29" t="e">
        <f>AND(#REF!,"aV0KK2n0f8g=")</f>
        <v>#REF!</v>
      </c>
      <c r="GT29" t="e">
        <f>AND(#REF!,"aV0KK2n0f8k=")</f>
        <v>#REF!</v>
      </c>
      <c r="GU29" t="e">
        <f>AND(#REF!,"aV0KK2n0f8o=")</f>
        <v>#REF!</v>
      </c>
      <c r="GV29" t="e">
        <f>AND(#REF!,"aV0KK2n0f8s=")</f>
        <v>#REF!</v>
      </c>
      <c r="GW29" t="e">
        <f>AND(#REF!,"aV0KK2n0f8w=")</f>
        <v>#REF!</v>
      </c>
      <c r="GX29" t="e">
        <f>AND(#REF!,"aV0KK2n0f80=")</f>
        <v>#REF!</v>
      </c>
      <c r="GY29" t="e">
        <f>AND(#REF!,"aV0KK2n0f84=")</f>
        <v>#REF!</v>
      </c>
      <c r="GZ29" t="e">
        <f>AND(#REF!,"aV0KK2n0f88=")</f>
        <v>#REF!</v>
      </c>
      <c r="HA29" t="e">
        <f>AND(#REF!,"aV0KK2n0f9A=")</f>
        <v>#REF!</v>
      </c>
      <c r="HB29" t="e">
        <f>AND(#REF!,"aV0KK2n0f9E=")</f>
        <v>#REF!</v>
      </c>
      <c r="HC29" t="e">
        <f>AND(#REF!,"aV0KK2n0f9I=")</f>
        <v>#REF!</v>
      </c>
      <c r="HD29" t="e">
        <f>AND(#REF!,"aV0KK2n0f9M=")</f>
        <v>#REF!</v>
      </c>
      <c r="HE29" t="e">
        <f>AND(#REF!,"aV0KK2n0f9Q=")</f>
        <v>#REF!</v>
      </c>
      <c r="HF29" t="e">
        <f>AND(#REF!,"aV0KK2n0f9U=")</f>
        <v>#REF!</v>
      </c>
      <c r="HG29" t="e">
        <f>AND(#REF!,"aV0KK2n0f9Y=")</f>
        <v>#REF!</v>
      </c>
      <c r="HH29" t="e">
        <f>AND(#REF!,"aV0KK2n0f9c=")</f>
        <v>#REF!</v>
      </c>
      <c r="HI29" t="e">
        <f>AND(#REF!,"aV0KK2n0f9g=")</f>
        <v>#REF!</v>
      </c>
      <c r="HJ29" t="e">
        <f>AND(#REF!,"aV0KK2n0f9k=")</f>
        <v>#REF!</v>
      </c>
      <c r="HK29" t="e">
        <f>AND(#REF!,"aV0KK2n0f9o=")</f>
        <v>#REF!</v>
      </c>
      <c r="HL29" t="e">
        <f>AND(#REF!,"aV0KK2n0f9s=")</f>
        <v>#REF!</v>
      </c>
      <c r="HM29" t="e">
        <f>AND(#REF!,"aV0KK2n0f9w=")</f>
        <v>#REF!</v>
      </c>
      <c r="HN29" t="e">
        <f>AND(#REF!,"aV0KK2n0f90=")</f>
        <v>#REF!</v>
      </c>
      <c r="HO29" t="e">
        <f>AND(#REF!,"aV0KK2n0f94=")</f>
        <v>#REF!</v>
      </c>
      <c r="HP29" t="e">
        <f>AND(#REF!,"aV0KK2n0f98=")</f>
        <v>#REF!</v>
      </c>
      <c r="HQ29" t="e">
        <f>AND(#REF!,"aV0KK2n0f+A=")</f>
        <v>#REF!</v>
      </c>
      <c r="HR29" t="e">
        <f>AND(#REF!,"aV0KK2n0f+E=")</f>
        <v>#REF!</v>
      </c>
      <c r="HS29" t="e">
        <f>AND(#REF!,"aV0KK2n0f+I=")</f>
        <v>#REF!</v>
      </c>
      <c r="HT29" t="e">
        <f>AND(#REF!,"aV0KK2n0f+M=")</f>
        <v>#REF!</v>
      </c>
      <c r="HU29" t="e">
        <f>AND(#REF!,"aV0KK2n0f+Q=")</f>
        <v>#REF!</v>
      </c>
      <c r="HV29" t="e">
        <f>AND(#REF!,"aV0KK2n0f+U=")</f>
        <v>#REF!</v>
      </c>
      <c r="HW29" t="e">
        <f>AND(#REF!,"aV0KK2n0f+Y=")</f>
        <v>#REF!</v>
      </c>
      <c r="HX29" t="e">
        <f>AND(#REF!,"aV0KK2n0f+c=")</f>
        <v>#REF!</v>
      </c>
      <c r="HY29" t="e">
        <f>AND(#REF!,"aV0KK2n0f+g=")</f>
        <v>#REF!</v>
      </c>
      <c r="HZ29" t="e">
        <f>AND(#REF!,"aV0KK2n0f+k=")</f>
        <v>#REF!</v>
      </c>
      <c r="IA29" t="e">
        <f>AND(#REF!,"aV0KK2n0f+o=")</f>
        <v>#REF!</v>
      </c>
      <c r="IB29" t="e">
        <f>AND(#REF!,"aV0KK2n0f+s=")</f>
        <v>#REF!</v>
      </c>
      <c r="IC29" t="e">
        <f>AND(#REF!,"aV0KK2n0f+w=")</f>
        <v>#REF!</v>
      </c>
      <c r="ID29" t="e">
        <f>AND(#REF!,"aV0KK2n0f+0=")</f>
        <v>#REF!</v>
      </c>
      <c r="IE29" t="e">
        <f>AND(#REF!,"aV0KK2n0f+4=")</f>
        <v>#REF!</v>
      </c>
      <c r="IF29" t="e">
        <f>AND(#REF!,"aV0KK2n0f+8=")</f>
        <v>#REF!</v>
      </c>
      <c r="IG29" t="e">
        <f>AND(#REF!,"aV0KK2n0f/A=")</f>
        <v>#REF!</v>
      </c>
      <c r="IH29" t="e">
        <f>AND(#REF!,"aV0KK2n0f/E=")</f>
        <v>#REF!</v>
      </c>
      <c r="II29" t="e">
        <f>AND(#REF!,"aV0KK2n0f/I=")</f>
        <v>#REF!</v>
      </c>
      <c r="IJ29" t="e">
        <f>AND(#REF!,"aV0KK2n0f/M=")</f>
        <v>#REF!</v>
      </c>
      <c r="IK29" t="e">
        <f>AND(#REF!,"aV0KK2n0f/Q=")</f>
        <v>#REF!</v>
      </c>
      <c r="IL29" t="e">
        <f>AND(#REF!,"aV0KK2n0f/U=")</f>
        <v>#REF!</v>
      </c>
      <c r="IM29" t="e">
        <f>AND(#REF!,"aV0KK2n0f/Y=")</f>
        <v>#REF!</v>
      </c>
      <c r="IN29" t="e">
        <f>AND(#REF!,"aV0KK2n0f/c=")</f>
        <v>#REF!</v>
      </c>
      <c r="IO29" t="e">
        <f>AND(#REF!,"aV0KK2n0f/g=")</f>
        <v>#REF!</v>
      </c>
      <c r="IP29" t="e">
        <f>AND(#REF!,"aV0KK2n0f/k=")</f>
        <v>#REF!</v>
      </c>
      <c r="IQ29" t="e">
        <f>AND(#REF!,"aV0KK2n0f/o=")</f>
        <v>#REF!</v>
      </c>
      <c r="IR29" t="e">
        <f>AND(#REF!,"aV0KK2n0f/s=")</f>
        <v>#REF!</v>
      </c>
      <c r="IS29" t="e">
        <f>AND(#REF!,"aV0KK2n0f/w=")</f>
        <v>#REF!</v>
      </c>
      <c r="IT29" t="e">
        <f>AND(#REF!,"aV0KK2n0f/0=")</f>
        <v>#REF!</v>
      </c>
      <c r="IU29" t="e">
        <f>AND(#REF!,"aV0KK2n0f/4=")</f>
        <v>#REF!</v>
      </c>
      <c r="IV29" t="e">
        <f>AND(#REF!,"aV0KK2n0f/8=")</f>
        <v>#REF!</v>
      </c>
    </row>
    <row r="30" spans="1:256" x14ac:dyDescent="0.2">
      <c r="A30" t="e">
        <f>AND(#REF!,"T7AmBGQ/6gA=")</f>
        <v>#REF!</v>
      </c>
      <c r="B30" t="e">
        <f>AND(#REF!,"T7AmBGQ/6gE=")</f>
        <v>#REF!</v>
      </c>
      <c r="C30" t="e">
        <f>AND(#REF!,"T7AmBGQ/6gI=")</f>
        <v>#REF!</v>
      </c>
      <c r="D30" t="e">
        <f>AND(#REF!,"T7AmBGQ/6gM=")</f>
        <v>#REF!</v>
      </c>
      <c r="E30" t="e">
        <f>AND(#REF!,"T7AmBGQ/6gQ=")</f>
        <v>#REF!</v>
      </c>
      <c r="F30" t="e">
        <f>AND(#REF!,"T7AmBGQ/6gU=")</f>
        <v>#REF!</v>
      </c>
      <c r="G30" t="e">
        <f>AND(#REF!,"T7AmBGQ/6gY=")</f>
        <v>#REF!</v>
      </c>
      <c r="H30" t="e">
        <f>AND(#REF!,"T7AmBGQ/6gc=")</f>
        <v>#REF!</v>
      </c>
      <c r="I30" t="e">
        <f>AND(#REF!,"T7AmBGQ/6gg=")</f>
        <v>#REF!</v>
      </c>
      <c r="J30" t="e">
        <f>AND(#REF!,"T7AmBGQ/6gk=")</f>
        <v>#REF!</v>
      </c>
      <c r="K30" t="e">
        <f>AND(#REF!,"T7AmBGQ/6go=")</f>
        <v>#REF!</v>
      </c>
      <c r="L30" t="e">
        <f>AND(#REF!,"T7AmBGQ/6gs=")</f>
        <v>#REF!</v>
      </c>
      <c r="M30" t="e">
        <f>AND(#REF!,"T7AmBGQ/6gw=")</f>
        <v>#REF!</v>
      </c>
      <c r="N30" t="e">
        <f>AND(#REF!,"T7AmBGQ/6g0=")</f>
        <v>#REF!</v>
      </c>
      <c r="O30" t="e">
        <f>AND(#REF!,"T7AmBGQ/6g4=")</f>
        <v>#REF!</v>
      </c>
      <c r="P30" t="e">
        <f>AND(#REF!,"T7AmBGQ/6g8=")</f>
        <v>#REF!</v>
      </c>
      <c r="Q30" t="e">
        <f>AND(#REF!,"T7AmBGQ/6hA=")</f>
        <v>#REF!</v>
      </c>
      <c r="R30" t="e">
        <f>AND(#REF!,"T7AmBGQ/6hE=")</f>
        <v>#REF!</v>
      </c>
      <c r="S30" t="e">
        <f>AND(#REF!,"T7AmBGQ/6hI=")</f>
        <v>#REF!</v>
      </c>
      <c r="T30" t="e">
        <f>AND(#REF!,"T7AmBGQ/6hM=")</f>
        <v>#REF!</v>
      </c>
      <c r="U30" t="e">
        <f>AND(#REF!,"T7AmBGQ/6hQ=")</f>
        <v>#REF!</v>
      </c>
      <c r="V30" t="e">
        <f>AND(#REF!,"T7AmBGQ/6hU=")</f>
        <v>#REF!</v>
      </c>
      <c r="W30" t="e">
        <f>AND(#REF!,"T7AmBGQ/6hY=")</f>
        <v>#REF!</v>
      </c>
      <c r="X30" t="e">
        <f>AND(#REF!,"T7AmBGQ/6hc=")</f>
        <v>#REF!</v>
      </c>
      <c r="Y30" t="e">
        <f>AND(#REF!,"T7AmBGQ/6hg=")</f>
        <v>#REF!</v>
      </c>
      <c r="Z30" t="e">
        <f>AND(#REF!,"T7AmBGQ/6hk=")</f>
        <v>#REF!</v>
      </c>
      <c r="AA30" t="e">
        <f>AND(#REF!,"T7AmBGQ/6ho=")</f>
        <v>#REF!</v>
      </c>
      <c r="AB30" t="e">
        <f>AND(#REF!,"T7AmBGQ/6hs=")</f>
        <v>#REF!</v>
      </c>
      <c r="AC30" t="e">
        <f>AND(#REF!,"T7AmBGQ/6hw=")</f>
        <v>#REF!</v>
      </c>
      <c r="AD30" t="e">
        <f>AND(#REF!,"T7AmBGQ/6h0=")</f>
        <v>#REF!</v>
      </c>
      <c r="AE30" t="e">
        <f>AND(#REF!,"T7AmBGQ/6h4=")</f>
        <v>#REF!</v>
      </c>
      <c r="AF30" t="e">
        <f>AND(#REF!,"T7AmBGQ/6h8=")</f>
        <v>#REF!</v>
      </c>
      <c r="AG30" t="e">
        <f>AND(#REF!,"T7AmBGQ/6iA=")</f>
        <v>#REF!</v>
      </c>
      <c r="AH30" t="e">
        <f>AND(#REF!,"T7AmBGQ/6iE=")</f>
        <v>#REF!</v>
      </c>
      <c r="AI30" t="e">
        <f>AND(#REF!,"T7AmBGQ/6iI=")</f>
        <v>#REF!</v>
      </c>
      <c r="AJ30" t="e">
        <f>AND(#REF!,"T7AmBGQ/6iM=")</f>
        <v>#REF!</v>
      </c>
      <c r="AK30" t="e">
        <f>AND(#REF!,"T7AmBGQ/6iQ=")</f>
        <v>#REF!</v>
      </c>
      <c r="AL30" t="e">
        <f>AND(#REF!,"T7AmBGQ/6iU=")</f>
        <v>#REF!</v>
      </c>
      <c r="AM30" t="e">
        <f>AND(#REF!,"T7AmBGQ/6iY=")</f>
        <v>#REF!</v>
      </c>
      <c r="AN30" t="e">
        <f>AND(#REF!,"T7AmBGQ/6ic=")</f>
        <v>#REF!</v>
      </c>
      <c r="AO30" t="e">
        <f>AND(#REF!,"T7AmBGQ/6ig=")</f>
        <v>#REF!</v>
      </c>
      <c r="AP30" t="e">
        <f>AND(#REF!,"T7AmBGQ/6ik=")</f>
        <v>#REF!</v>
      </c>
      <c r="AQ30" t="e">
        <f>AND(#REF!,"T7AmBGQ/6io=")</f>
        <v>#REF!</v>
      </c>
      <c r="AR30" t="e">
        <f>AND(#REF!,"T7AmBGQ/6is=")</f>
        <v>#REF!</v>
      </c>
      <c r="AS30" t="e">
        <f>AND(#REF!,"T7AmBGQ/6iw=")</f>
        <v>#REF!</v>
      </c>
      <c r="AT30" t="e">
        <f>AND(#REF!,"T7AmBGQ/6i0=")</f>
        <v>#REF!</v>
      </c>
      <c r="AU30" t="e">
        <f>AND(#REF!,"T7AmBGQ/6i4=")</f>
        <v>#REF!</v>
      </c>
      <c r="AV30" t="e">
        <f>AND(#REF!,"T7AmBGQ/6i8=")</f>
        <v>#REF!</v>
      </c>
      <c r="AW30" t="e">
        <f>AND(#REF!,"T7AmBGQ/6jA=")</f>
        <v>#REF!</v>
      </c>
      <c r="AX30" t="e">
        <f>AND(#REF!,"T7AmBGQ/6jE=")</f>
        <v>#REF!</v>
      </c>
      <c r="AY30" t="e">
        <f>AND(#REF!,"T7AmBGQ/6jI=")</f>
        <v>#REF!</v>
      </c>
      <c r="AZ30" t="e">
        <f>AND(#REF!,"T7AmBGQ/6jM=")</f>
        <v>#REF!</v>
      </c>
      <c r="BA30" t="e">
        <f>AND(#REF!,"T7AmBGQ/6jQ=")</f>
        <v>#REF!</v>
      </c>
      <c r="BB30" t="e">
        <f>AND(#REF!,"T7AmBGQ/6jU=")</f>
        <v>#REF!</v>
      </c>
      <c r="BC30" t="e">
        <f>AND(#REF!,"T7AmBGQ/6jY=")</f>
        <v>#REF!</v>
      </c>
      <c r="BD30" t="e">
        <f>AND(#REF!,"T7AmBGQ/6jc=")</f>
        <v>#REF!</v>
      </c>
      <c r="BE30" t="e">
        <f>AND(#REF!,"T7AmBGQ/6jg=")</f>
        <v>#REF!</v>
      </c>
      <c r="BF30" t="e">
        <f>AND(#REF!,"T7AmBGQ/6jk=")</f>
        <v>#REF!</v>
      </c>
      <c r="BG30" t="e">
        <f>AND(#REF!,"T7AmBGQ/6jo=")</f>
        <v>#REF!</v>
      </c>
      <c r="BH30" t="e">
        <f>AND(#REF!,"T7AmBGQ/6js=")</f>
        <v>#REF!</v>
      </c>
      <c r="BI30" t="e">
        <f>AND(#REF!,"T7AmBGQ/6jw=")</f>
        <v>#REF!</v>
      </c>
      <c r="BJ30" t="e">
        <f>AND(#REF!,"T7AmBGQ/6j0=")</f>
        <v>#REF!</v>
      </c>
      <c r="BK30" t="e">
        <f>AND(#REF!,"T7AmBGQ/6j4=")</f>
        <v>#REF!</v>
      </c>
      <c r="BL30" t="e">
        <f>AND(#REF!,"T7AmBGQ/6j8=")</f>
        <v>#REF!</v>
      </c>
      <c r="BM30" t="e">
        <f>AND(#REF!,"T7AmBGQ/6kA=")</f>
        <v>#REF!</v>
      </c>
      <c r="BN30" t="e">
        <f>AND(#REF!,"T7AmBGQ/6kE=")</f>
        <v>#REF!</v>
      </c>
      <c r="BO30" t="e">
        <f>AND(#REF!,"T7AmBGQ/6kI=")</f>
        <v>#REF!</v>
      </c>
      <c r="BP30" t="e">
        <f>AND(#REF!,"T7AmBGQ/6kM=")</f>
        <v>#REF!</v>
      </c>
      <c r="BQ30" t="e">
        <f>AND(#REF!,"T7AmBGQ/6kQ=")</f>
        <v>#REF!</v>
      </c>
      <c r="BR30" t="e">
        <f>AND(#REF!,"T7AmBGQ/6kU=")</f>
        <v>#REF!</v>
      </c>
      <c r="BS30" t="e">
        <f>AND(#REF!,"T7AmBGQ/6kY=")</f>
        <v>#REF!</v>
      </c>
      <c r="BT30" t="e">
        <f>AND(#REF!,"T7AmBGQ/6kc=")</f>
        <v>#REF!</v>
      </c>
      <c r="BU30" t="e">
        <f>AND(#REF!,"T7AmBGQ/6kg=")</f>
        <v>#REF!</v>
      </c>
      <c r="BV30" t="e">
        <f>AND(#REF!,"T7AmBGQ/6kk=")</f>
        <v>#REF!</v>
      </c>
      <c r="BW30" t="e">
        <f>AND(#REF!,"T7AmBGQ/6ko=")</f>
        <v>#REF!</v>
      </c>
      <c r="BX30" t="e">
        <f>AND(#REF!,"T7AmBGQ/6ks=")</f>
        <v>#REF!</v>
      </c>
      <c r="BY30" t="e">
        <f>AND(#REF!,"T7AmBGQ/6kw=")</f>
        <v>#REF!</v>
      </c>
      <c r="BZ30" t="e">
        <f>AND(#REF!,"T7AmBGQ/6k0=")</f>
        <v>#REF!</v>
      </c>
      <c r="CA30" t="e">
        <f>AND(#REF!,"T7AmBGQ/6k4=")</f>
        <v>#REF!</v>
      </c>
      <c r="CB30" t="e">
        <f>AND(#REF!,"T7AmBGQ/6k8=")</f>
        <v>#REF!</v>
      </c>
      <c r="CC30" t="e">
        <f>AND(#REF!,"T7AmBGQ/6lA=")</f>
        <v>#REF!</v>
      </c>
      <c r="CD30" t="e">
        <f>AND(#REF!,"T7AmBGQ/6lE=")</f>
        <v>#REF!</v>
      </c>
      <c r="CE30" t="e">
        <f>AND(#REF!,"T7AmBGQ/6lI=")</f>
        <v>#REF!</v>
      </c>
      <c r="CF30" t="e">
        <f>AND(#REF!,"T7AmBGQ/6lM=")</f>
        <v>#REF!</v>
      </c>
      <c r="CG30" t="e">
        <f>IF(#REF!,"T7AmBGQ/6lQ=",0)</f>
        <v>#REF!</v>
      </c>
      <c r="CH30" t="e">
        <f>AND(#REF!,"T7AmBGQ/6lU=")</f>
        <v>#REF!</v>
      </c>
      <c r="CI30" t="e">
        <f>AND(#REF!,"T7AmBGQ/6lY=")</f>
        <v>#REF!</v>
      </c>
      <c r="CJ30" t="e">
        <f>AND(#REF!,"T7AmBGQ/6lc=")</f>
        <v>#REF!</v>
      </c>
      <c r="CK30" t="e">
        <f>AND(#REF!,"T7AmBGQ/6lg=")</f>
        <v>#REF!</v>
      </c>
      <c r="CL30" t="e">
        <f>AND(#REF!,"T7AmBGQ/6lk=")</f>
        <v>#REF!</v>
      </c>
      <c r="CM30" t="e">
        <f>AND(#REF!,"T7AmBGQ/6lo=")</f>
        <v>#REF!</v>
      </c>
      <c r="CN30" t="e">
        <f>AND(#REF!,"T7AmBGQ/6ls=")</f>
        <v>#REF!</v>
      </c>
      <c r="CO30" t="e">
        <f>AND(#REF!,"T7AmBGQ/6lw=")</f>
        <v>#REF!</v>
      </c>
      <c r="CP30" t="e">
        <f>AND(#REF!,"T7AmBGQ/6l0=")</f>
        <v>#REF!</v>
      </c>
      <c r="CQ30" t="e">
        <f>AND(#REF!,"T7AmBGQ/6l4=")</f>
        <v>#REF!</v>
      </c>
      <c r="CR30" t="e">
        <f>AND(#REF!,"T7AmBGQ/6l8=")</f>
        <v>#REF!</v>
      </c>
      <c r="CS30" t="e">
        <f>AND(#REF!,"T7AmBGQ/6mA=")</f>
        <v>#REF!</v>
      </c>
      <c r="CT30" t="e">
        <f>AND(#REF!,"T7AmBGQ/6mE=")</f>
        <v>#REF!</v>
      </c>
      <c r="CU30" t="e">
        <f>AND(#REF!,"T7AmBGQ/6mI=")</f>
        <v>#REF!</v>
      </c>
      <c r="CV30" t="e">
        <f>AND(#REF!,"T7AmBGQ/6mM=")</f>
        <v>#REF!</v>
      </c>
      <c r="CW30" t="e">
        <f>AND(#REF!,"T7AmBGQ/6mQ=")</f>
        <v>#REF!</v>
      </c>
      <c r="CX30" t="e">
        <f>AND(#REF!,"T7AmBGQ/6mU=")</f>
        <v>#REF!</v>
      </c>
      <c r="CY30" t="e">
        <f>AND(#REF!,"T7AmBGQ/6mY=")</f>
        <v>#REF!</v>
      </c>
      <c r="CZ30" t="e">
        <f>AND(#REF!,"T7AmBGQ/6mc=")</f>
        <v>#REF!</v>
      </c>
      <c r="DA30" t="e">
        <f>AND(#REF!,"T7AmBGQ/6mg=")</f>
        <v>#REF!</v>
      </c>
      <c r="DB30" t="e">
        <f>AND(#REF!,"T7AmBGQ/6mk=")</f>
        <v>#REF!</v>
      </c>
      <c r="DC30" t="e">
        <f>AND(#REF!,"T7AmBGQ/6mo=")</f>
        <v>#REF!</v>
      </c>
      <c r="DD30" t="e">
        <f>AND(#REF!,"T7AmBGQ/6ms=")</f>
        <v>#REF!</v>
      </c>
      <c r="DE30" t="e">
        <f>AND(#REF!,"T7AmBGQ/6mw=")</f>
        <v>#REF!</v>
      </c>
      <c r="DF30" t="e">
        <f>AND(#REF!,"T7AmBGQ/6m0=")</f>
        <v>#REF!</v>
      </c>
      <c r="DG30" t="e">
        <f>AND(#REF!,"T7AmBGQ/6m4=")</f>
        <v>#REF!</v>
      </c>
      <c r="DH30" t="e">
        <f>AND(#REF!,"T7AmBGQ/6m8=")</f>
        <v>#REF!</v>
      </c>
      <c r="DI30" t="e">
        <f>AND(#REF!,"T7AmBGQ/6nA=")</f>
        <v>#REF!</v>
      </c>
      <c r="DJ30" t="e">
        <f>AND(#REF!,"T7AmBGQ/6nE=")</f>
        <v>#REF!</v>
      </c>
      <c r="DK30" t="e">
        <f>AND(#REF!,"T7AmBGQ/6nI=")</f>
        <v>#REF!</v>
      </c>
      <c r="DL30" t="e">
        <f>AND(#REF!,"T7AmBGQ/6nM=")</f>
        <v>#REF!</v>
      </c>
      <c r="DM30" t="e">
        <f>AND(#REF!,"T7AmBGQ/6nQ=")</f>
        <v>#REF!</v>
      </c>
      <c r="DN30" t="e">
        <f>AND(#REF!,"T7AmBGQ/6nU=")</f>
        <v>#REF!</v>
      </c>
      <c r="DO30" t="e">
        <f>AND(#REF!,"T7AmBGQ/6nY=")</f>
        <v>#REF!</v>
      </c>
      <c r="DP30" t="e">
        <f>AND(#REF!,"T7AmBGQ/6nc=")</f>
        <v>#REF!</v>
      </c>
      <c r="DQ30" t="e">
        <f>AND(#REF!,"T7AmBGQ/6ng=")</f>
        <v>#REF!</v>
      </c>
      <c r="DR30" t="e">
        <f>AND(#REF!,"T7AmBGQ/6nk=")</f>
        <v>#REF!</v>
      </c>
      <c r="DS30" t="e">
        <f>AND(#REF!,"T7AmBGQ/6no=")</f>
        <v>#REF!</v>
      </c>
      <c r="DT30" t="e">
        <f>AND(#REF!,"T7AmBGQ/6ns=")</f>
        <v>#REF!</v>
      </c>
      <c r="DU30" t="e">
        <f>AND(#REF!,"T7AmBGQ/6nw=")</f>
        <v>#REF!</v>
      </c>
      <c r="DV30" t="e">
        <f>AND(#REF!,"T7AmBGQ/6n0=")</f>
        <v>#REF!</v>
      </c>
      <c r="DW30" t="e">
        <f>AND(#REF!,"T7AmBGQ/6n4=")</f>
        <v>#REF!</v>
      </c>
      <c r="DX30" t="e">
        <f>AND(#REF!,"T7AmBGQ/6n8=")</f>
        <v>#REF!</v>
      </c>
      <c r="DY30" t="e">
        <f>AND(#REF!,"T7AmBGQ/6oA=")</f>
        <v>#REF!</v>
      </c>
      <c r="DZ30" t="e">
        <f>AND(#REF!,"T7AmBGQ/6oE=")</f>
        <v>#REF!</v>
      </c>
      <c r="EA30" t="e">
        <f>AND(#REF!,"T7AmBGQ/6oI=")</f>
        <v>#REF!</v>
      </c>
      <c r="EB30" t="e">
        <f>AND(#REF!,"T7AmBGQ/6oM=")</f>
        <v>#REF!</v>
      </c>
      <c r="EC30" t="e">
        <f>AND(#REF!,"T7AmBGQ/6oQ=")</f>
        <v>#REF!</v>
      </c>
      <c r="ED30" t="e">
        <f>AND(#REF!,"T7AmBGQ/6oU=")</f>
        <v>#REF!</v>
      </c>
      <c r="EE30" t="e">
        <f>AND(#REF!,"T7AmBGQ/6oY=")</f>
        <v>#REF!</v>
      </c>
      <c r="EF30" t="e">
        <f>AND(#REF!,"T7AmBGQ/6oc=")</f>
        <v>#REF!</v>
      </c>
      <c r="EG30" t="e">
        <f>AND(#REF!,"T7AmBGQ/6og=")</f>
        <v>#REF!</v>
      </c>
      <c r="EH30" t="e">
        <f>AND(#REF!,"T7AmBGQ/6ok=")</f>
        <v>#REF!</v>
      </c>
      <c r="EI30" t="e">
        <f>AND(#REF!,"T7AmBGQ/6oo=")</f>
        <v>#REF!</v>
      </c>
      <c r="EJ30" t="e">
        <f>AND(#REF!,"T7AmBGQ/6os=")</f>
        <v>#REF!</v>
      </c>
      <c r="EK30" t="e">
        <f>AND(#REF!,"T7AmBGQ/6ow=")</f>
        <v>#REF!</v>
      </c>
      <c r="EL30" t="e">
        <f>AND(#REF!,"T7AmBGQ/6o0=")</f>
        <v>#REF!</v>
      </c>
      <c r="EM30" t="e">
        <f>AND(#REF!,"T7AmBGQ/6o4=")</f>
        <v>#REF!</v>
      </c>
      <c r="EN30" t="e">
        <f>AND(#REF!,"T7AmBGQ/6o8=")</f>
        <v>#REF!</v>
      </c>
      <c r="EO30" t="e">
        <f>AND(#REF!,"T7AmBGQ/6pA=")</f>
        <v>#REF!</v>
      </c>
      <c r="EP30" t="e">
        <f>AND(#REF!,"T7AmBGQ/6pE=")</f>
        <v>#REF!</v>
      </c>
      <c r="EQ30" t="e">
        <f>AND(#REF!,"T7AmBGQ/6pI=")</f>
        <v>#REF!</v>
      </c>
      <c r="ER30" t="e">
        <f>AND(#REF!,"T7AmBGQ/6pM=")</f>
        <v>#REF!</v>
      </c>
      <c r="ES30" t="e">
        <f>AND(#REF!,"T7AmBGQ/6pQ=")</f>
        <v>#REF!</v>
      </c>
      <c r="ET30" t="e">
        <f>AND(#REF!,"T7AmBGQ/6pU=")</f>
        <v>#REF!</v>
      </c>
      <c r="EU30" t="e">
        <f>AND(#REF!,"T7AmBGQ/6pY=")</f>
        <v>#REF!</v>
      </c>
      <c r="EV30" t="e">
        <f>AND(#REF!,"T7AmBGQ/6pc=")</f>
        <v>#REF!</v>
      </c>
      <c r="EW30" t="e">
        <f>AND(#REF!,"T7AmBGQ/6pg=")</f>
        <v>#REF!</v>
      </c>
      <c r="EX30" t="e">
        <f>AND(#REF!,"T7AmBGQ/6pk=")</f>
        <v>#REF!</v>
      </c>
      <c r="EY30" t="e">
        <f>AND(#REF!,"T7AmBGQ/6po=")</f>
        <v>#REF!</v>
      </c>
      <c r="EZ30" t="e">
        <f>AND(#REF!,"T7AmBGQ/6ps=")</f>
        <v>#REF!</v>
      </c>
      <c r="FA30" t="e">
        <f>AND(#REF!,"T7AmBGQ/6pw=")</f>
        <v>#REF!</v>
      </c>
      <c r="FB30" t="e">
        <f>AND(#REF!,"T7AmBGQ/6p0=")</f>
        <v>#REF!</v>
      </c>
      <c r="FC30" t="e">
        <f>AND(#REF!,"T7AmBGQ/6p4=")</f>
        <v>#REF!</v>
      </c>
      <c r="FD30" t="e">
        <f>AND(#REF!,"T7AmBGQ/6p8=")</f>
        <v>#REF!</v>
      </c>
      <c r="FE30" t="e">
        <f>AND(#REF!,"T7AmBGQ/6qA=")</f>
        <v>#REF!</v>
      </c>
      <c r="FF30" t="e">
        <f>AND(#REF!,"T7AmBGQ/6qE=")</f>
        <v>#REF!</v>
      </c>
      <c r="FG30" t="e">
        <f>AND(#REF!,"T7AmBGQ/6qI=")</f>
        <v>#REF!</v>
      </c>
      <c r="FH30" t="e">
        <f>AND(#REF!,"T7AmBGQ/6qM=")</f>
        <v>#REF!</v>
      </c>
      <c r="FI30" t="e">
        <f>AND(#REF!,"T7AmBGQ/6qQ=")</f>
        <v>#REF!</v>
      </c>
      <c r="FJ30" t="e">
        <f>AND(#REF!,"T7AmBGQ/6qU=")</f>
        <v>#REF!</v>
      </c>
      <c r="FK30" t="e">
        <f>AND(#REF!,"T7AmBGQ/6qY=")</f>
        <v>#REF!</v>
      </c>
      <c r="FL30" t="e">
        <f>AND(#REF!,"T7AmBGQ/6qc=")</f>
        <v>#REF!</v>
      </c>
      <c r="FM30" t="e">
        <f>AND(#REF!,"T7AmBGQ/6qg=")</f>
        <v>#REF!</v>
      </c>
      <c r="FN30" t="e">
        <f>AND(#REF!,"T7AmBGQ/6qk=")</f>
        <v>#REF!</v>
      </c>
      <c r="FO30" t="e">
        <f>AND(#REF!,"T7AmBGQ/6qo=")</f>
        <v>#REF!</v>
      </c>
      <c r="FP30" t="e">
        <f>AND(#REF!,"T7AmBGQ/6qs=")</f>
        <v>#REF!</v>
      </c>
      <c r="FQ30" t="e">
        <f>AND(#REF!,"T7AmBGQ/6qw=")</f>
        <v>#REF!</v>
      </c>
      <c r="FR30" t="e">
        <f>AND(#REF!,"T7AmBGQ/6q0=")</f>
        <v>#REF!</v>
      </c>
      <c r="FS30" t="e">
        <f>AND(#REF!,"T7AmBGQ/6q4=")</f>
        <v>#REF!</v>
      </c>
      <c r="FT30" t="e">
        <f>AND(#REF!,"T7AmBGQ/6q8=")</f>
        <v>#REF!</v>
      </c>
      <c r="FU30" t="e">
        <f>AND(#REF!,"T7AmBGQ/6rA=")</f>
        <v>#REF!</v>
      </c>
      <c r="FV30" t="e">
        <f>AND(#REF!,"T7AmBGQ/6rE=")</f>
        <v>#REF!</v>
      </c>
      <c r="FW30" t="e">
        <f>AND(#REF!,"T7AmBGQ/6rI=")</f>
        <v>#REF!</v>
      </c>
      <c r="FX30" t="e">
        <f>AND(#REF!,"T7AmBGQ/6rM=")</f>
        <v>#REF!</v>
      </c>
      <c r="FY30" t="e">
        <f>AND(#REF!,"T7AmBGQ/6rQ=")</f>
        <v>#REF!</v>
      </c>
      <c r="FZ30" t="e">
        <f>AND(#REF!,"T7AmBGQ/6rU=")</f>
        <v>#REF!</v>
      </c>
      <c r="GA30" t="e">
        <f>AND(#REF!,"T7AmBGQ/6rY=")</f>
        <v>#REF!</v>
      </c>
      <c r="GB30" t="e">
        <f>AND(#REF!,"T7AmBGQ/6rc=")</f>
        <v>#REF!</v>
      </c>
      <c r="GC30" t="e">
        <f>AND(#REF!,"T7AmBGQ/6rg=")</f>
        <v>#REF!</v>
      </c>
      <c r="GD30" t="e">
        <f>AND(#REF!,"T7AmBGQ/6rk=")</f>
        <v>#REF!</v>
      </c>
      <c r="GE30" t="e">
        <f>AND(#REF!,"T7AmBGQ/6ro=")</f>
        <v>#REF!</v>
      </c>
      <c r="GF30" t="e">
        <f>AND(#REF!,"T7AmBGQ/6rs=")</f>
        <v>#REF!</v>
      </c>
      <c r="GG30" t="e">
        <f>AND(#REF!,"T7AmBGQ/6rw=")</f>
        <v>#REF!</v>
      </c>
      <c r="GH30" t="e">
        <f>AND(#REF!,"T7AmBGQ/6r0=")</f>
        <v>#REF!</v>
      </c>
      <c r="GI30" t="e">
        <f>AND(#REF!,"T7AmBGQ/6r4=")</f>
        <v>#REF!</v>
      </c>
      <c r="GJ30" t="e">
        <f>AND(#REF!,"T7AmBGQ/6r8=")</f>
        <v>#REF!</v>
      </c>
      <c r="GK30" t="e">
        <f>AND(#REF!,"T7AmBGQ/6sA=")</f>
        <v>#REF!</v>
      </c>
      <c r="GL30" t="e">
        <f>AND(#REF!,"T7AmBGQ/6sE=")</f>
        <v>#REF!</v>
      </c>
      <c r="GM30" t="e">
        <f>AND(#REF!,"T7AmBGQ/6sI=")</f>
        <v>#REF!</v>
      </c>
      <c r="GN30" t="e">
        <f>AND(#REF!,"T7AmBGQ/6sM=")</f>
        <v>#REF!</v>
      </c>
      <c r="GO30" t="e">
        <f>AND(#REF!,"T7AmBGQ/6sQ=")</f>
        <v>#REF!</v>
      </c>
      <c r="GP30" t="e">
        <f>AND(#REF!,"T7AmBGQ/6sU=")</f>
        <v>#REF!</v>
      </c>
      <c r="GQ30" t="e">
        <f>AND(#REF!,"T7AmBGQ/6sY=")</f>
        <v>#REF!</v>
      </c>
      <c r="GR30" t="e">
        <f>AND(#REF!,"T7AmBGQ/6sc=")</f>
        <v>#REF!</v>
      </c>
      <c r="GS30" t="e">
        <f>AND(#REF!,"T7AmBGQ/6sg=")</f>
        <v>#REF!</v>
      </c>
      <c r="GT30" t="e">
        <f>AND(#REF!,"T7AmBGQ/6sk=")</f>
        <v>#REF!</v>
      </c>
      <c r="GU30" t="e">
        <f>AND(#REF!,"T7AmBGQ/6so=")</f>
        <v>#REF!</v>
      </c>
      <c r="GV30" t="e">
        <f>AND(#REF!,"T7AmBGQ/6ss=")</f>
        <v>#REF!</v>
      </c>
      <c r="GW30" t="e">
        <f>AND(#REF!,"T7AmBGQ/6sw=")</f>
        <v>#REF!</v>
      </c>
      <c r="GX30" t="e">
        <f>AND(#REF!,"T7AmBGQ/6s0=")</f>
        <v>#REF!</v>
      </c>
      <c r="GY30" t="e">
        <f>AND(#REF!,"T7AmBGQ/6s4=")</f>
        <v>#REF!</v>
      </c>
      <c r="GZ30" t="e">
        <f>AND(#REF!,"T7AmBGQ/6s8=")</f>
        <v>#REF!</v>
      </c>
      <c r="HA30" t="e">
        <f>AND(#REF!,"T7AmBGQ/6tA=")</f>
        <v>#REF!</v>
      </c>
      <c r="HB30" t="e">
        <f>AND(#REF!,"T7AmBGQ/6tE=")</f>
        <v>#REF!</v>
      </c>
      <c r="HC30" t="e">
        <f>AND(#REF!,"T7AmBGQ/6tI=")</f>
        <v>#REF!</v>
      </c>
      <c r="HD30" t="e">
        <f>AND(#REF!,"T7AmBGQ/6tM=")</f>
        <v>#REF!</v>
      </c>
      <c r="HE30" t="e">
        <f>AND(#REF!,"T7AmBGQ/6tQ=")</f>
        <v>#REF!</v>
      </c>
      <c r="HF30" t="e">
        <f>AND(#REF!,"T7AmBGQ/6tU=")</f>
        <v>#REF!</v>
      </c>
      <c r="HG30" t="e">
        <f>AND(#REF!,"T7AmBGQ/6tY=")</f>
        <v>#REF!</v>
      </c>
      <c r="HH30" t="e">
        <f>AND(#REF!,"T7AmBGQ/6tc=")</f>
        <v>#REF!</v>
      </c>
      <c r="HI30" t="e">
        <f>AND(#REF!,"T7AmBGQ/6tg=")</f>
        <v>#REF!</v>
      </c>
      <c r="HJ30" t="e">
        <f>AND(#REF!,"T7AmBGQ/6tk=")</f>
        <v>#REF!</v>
      </c>
      <c r="HK30" t="e">
        <f>AND(#REF!,"T7AmBGQ/6to=")</f>
        <v>#REF!</v>
      </c>
      <c r="HL30" t="e">
        <f>AND(#REF!,"T7AmBGQ/6ts=")</f>
        <v>#REF!</v>
      </c>
      <c r="HM30" t="e">
        <f>AND(#REF!,"T7AmBGQ/6tw=")</f>
        <v>#REF!</v>
      </c>
      <c r="HN30" t="e">
        <f>AND(#REF!,"T7AmBGQ/6t0=")</f>
        <v>#REF!</v>
      </c>
      <c r="HO30" t="e">
        <f>AND(#REF!,"T7AmBGQ/6t4=")</f>
        <v>#REF!</v>
      </c>
      <c r="HP30" t="e">
        <f>AND(#REF!,"T7AmBGQ/6t8=")</f>
        <v>#REF!</v>
      </c>
      <c r="HQ30" t="e">
        <f>AND(#REF!,"T7AmBGQ/6uA=")</f>
        <v>#REF!</v>
      </c>
      <c r="HR30" t="e">
        <f>AND(#REF!,"T7AmBGQ/6uE=")</f>
        <v>#REF!</v>
      </c>
      <c r="HS30" t="e">
        <f>AND(#REF!,"T7AmBGQ/6uI=")</f>
        <v>#REF!</v>
      </c>
      <c r="HT30" t="e">
        <f>AND(#REF!,"T7AmBGQ/6uM=")</f>
        <v>#REF!</v>
      </c>
      <c r="HU30" t="e">
        <f>AND(#REF!,"T7AmBGQ/6uQ=")</f>
        <v>#REF!</v>
      </c>
      <c r="HV30" t="e">
        <f>AND(#REF!,"T7AmBGQ/6uU=")</f>
        <v>#REF!</v>
      </c>
      <c r="HW30" t="e">
        <f>AND(#REF!,"T7AmBGQ/6uY=")</f>
        <v>#REF!</v>
      </c>
      <c r="HX30" t="e">
        <f>AND(#REF!,"T7AmBGQ/6uc=")</f>
        <v>#REF!</v>
      </c>
      <c r="HY30" t="e">
        <f>AND(#REF!,"T7AmBGQ/6ug=")</f>
        <v>#REF!</v>
      </c>
      <c r="HZ30" t="e">
        <f>AND(#REF!,"T7AmBGQ/6uk=")</f>
        <v>#REF!</v>
      </c>
      <c r="IA30" t="e">
        <f>AND(#REF!,"T7AmBGQ/6uo=")</f>
        <v>#REF!</v>
      </c>
      <c r="IB30" t="e">
        <f>AND(#REF!,"T7AmBGQ/6us=")</f>
        <v>#REF!</v>
      </c>
      <c r="IC30" t="e">
        <f>AND(#REF!,"T7AmBGQ/6uw=")</f>
        <v>#REF!</v>
      </c>
      <c r="ID30" t="e">
        <f>AND(#REF!,"T7AmBGQ/6u0=")</f>
        <v>#REF!</v>
      </c>
      <c r="IE30" t="e">
        <f>AND(#REF!,"T7AmBGQ/6u4=")</f>
        <v>#REF!</v>
      </c>
      <c r="IF30" t="e">
        <f>AND(#REF!,"T7AmBGQ/6u8=")</f>
        <v>#REF!</v>
      </c>
      <c r="IG30" t="e">
        <f>AND(#REF!,"T7AmBGQ/6vA=")</f>
        <v>#REF!</v>
      </c>
      <c r="IH30" t="e">
        <f>AND(#REF!,"T7AmBGQ/6vE=")</f>
        <v>#REF!</v>
      </c>
      <c r="II30" t="e">
        <f>AND(#REF!,"T7AmBGQ/6vI=")</f>
        <v>#REF!</v>
      </c>
      <c r="IJ30" t="e">
        <f>AND(#REF!,"T7AmBGQ/6vM=")</f>
        <v>#REF!</v>
      </c>
      <c r="IK30" t="e">
        <f>AND(#REF!,"T7AmBGQ/6vQ=")</f>
        <v>#REF!</v>
      </c>
      <c r="IL30" t="e">
        <f>AND(#REF!,"T7AmBGQ/6vU=")</f>
        <v>#REF!</v>
      </c>
      <c r="IM30" t="e">
        <f>AND(#REF!,"T7AmBGQ/6vY=")</f>
        <v>#REF!</v>
      </c>
      <c r="IN30" t="e">
        <f>AND(#REF!,"T7AmBGQ/6vc=")</f>
        <v>#REF!</v>
      </c>
      <c r="IO30" t="e">
        <f>AND(#REF!,"T7AmBGQ/6vg=")</f>
        <v>#REF!</v>
      </c>
      <c r="IP30" t="e">
        <f>AND(#REF!,"T7AmBGQ/6vk=")</f>
        <v>#REF!</v>
      </c>
      <c r="IQ30" t="e">
        <f>AND(#REF!,"T7AmBGQ/6vo=")</f>
        <v>#REF!</v>
      </c>
      <c r="IR30" t="e">
        <f>AND(#REF!,"T7AmBGQ/6vs=")</f>
        <v>#REF!</v>
      </c>
      <c r="IS30" t="e">
        <f>AND(#REF!,"T7AmBGQ/6vw=")</f>
        <v>#REF!</v>
      </c>
      <c r="IT30" t="e">
        <f>AND(#REF!,"T7AmBGQ/6v0=")</f>
        <v>#REF!</v>
      </c>
      <c r="IU30" t="e">
        <f>AND(#REF!,"T7AmBGQ/6v4=")</f>
        <v>#REF!</v>
      </c>
      <c r="IV30" t="e">
        <f>AND(#REF!,"T7AmBGQ/6v8=")</f>
        <v>#REF!</v>
      </c>
    </row>
    <row r="31" spans="1:256" x14ac:dyDescent="0.2">
      <c r="A31" t="e">
        <f>AND(#REF!,"BWp1phjMAwA=")</f>
        <v>#REF!</v>
      </c>
      <c r="B31" t="e">
        <f>AND(#REF!,"BWp1phjMAwE=")</f>
        <v>#REF!</v>
      </c>
      <c r="C31" t="e">
        <f>AND(#REF!,"BWp1phjMAwI=")</f>
        <v>#REF!</v>
      </c>
      <c r="D31" t="e">
        <f>AND(#REF!,"BWp1phjMAwM=")</f>
        <v>#REF!</v>
      </c>
      <c r="E31" t="e">
        <f>AND(#REF!,"BWp1phjMAwQ=")</f>
        <v>#REF!</v>
      </c>
      <c r="F31" t="e">
        <f>AND(#REF!,"BWp1phjMAwU=")</f>
        <v>#REF!</v>
      </c>
      <c r="G31" t="e">
        <f>AND(#REF!,"BWp1phjMAwY=")</f>
        <v>#REF!</v>
      </c>
      <c r="H31" t="e">
        <f>AND(#REF!,"BWp1phjMAwc=")</f>
        <v>#REF!</v>
      </c>
      <c r="I31" t="e">
        <f>AND(#REF!,"BWp1phjMAwg=")</f>
        <v>#REF!</v>
      </c>
      <c r="J31" t="e">
        <f>AND(#REF!,"BWp1phjMAwk=")</f>
        <v>#REF!</v>
      </c>
      <c r="K31" t="e">
        <f>AND(#REF!,"BWp1phjMAwo=")</f>
        <v>#REF!</v>
      </c>
      <c r="L31" t="e">
        <f>AND(#REF!,"BWp1phjMAws=")</f>
        <v>#REF!</v>
      </c>
      <c r="M31" t="e">
        <f>AND(#REF!,"BWp1phjMAww=")</f>
        <v>#REF!</v>
      </c>
      <c r="N31" t="e">
        <f>AND(#REF!,"BWp1phjMAw0=")</f>
        <v>#REF!</v>
      </c>
      <c r="O31" t="e">
        <f>AND(#REF!,"BWp1phjMAw4=")</f>
        <v>#REF!</v>
      </c>
      <c r="P31" t="e">
        <f>AND(#REF!,"BWp1phjMAw8=")</f>
        <v>#REF!</v>
      </c>
      <c r="Q31" t="e">
        <f>AND(#REF!,"BWp1phjMAxA=")</f>
        <v>#REF!</v>
      </c>
      <c r="R31" t="e">
        <f>AND(#REF!,"BWp1phjMAxE=")</f>
        <v>#REF!</v>
      </c>
      <c r="S31" t="e">
        <f>AND(#REF!,"BWp1phjMAxI=")</f>
        <v>#REF!</v>
      </c>
      <c r="T31" t="e">
        <f>AND(#REF!,"BWp1phjMAxM=")</f>
        <v>#REF!</v>
      </c>
      <c r="U31" t="e">
        <f>AND(#REF!,"BWp1phjMAxQ=")</f>
        <v>#REF!</v>
      </c>
      <c r="V31" t="e">
        <f>AND(#REF!,"BWp1phjMAxU=")</f>
        <v>#REF!</v>
      </c>
      <c r="W31" t="e">
        <f>AND(#REF!,"BWp1phjMAxY=")</f>
        <v>#REF!</v>
      </c>
      <c r="X31" t="e">
        <f>AND(#REF!,"BWp1phjMAxc=")</f>
        <v>#REF!</v>
      </c>
      <c r="Y31" t="e">
        <f>AND(#REF!,"BWp1phjMAxg=")</f>
        <v>#REF!</v>
      </c>
      <c r="Z31" t="e">
        <f>AND(#REF!,"BWp1phjMAxk=")</f>
        <v>#REF!</v>
      </c>
      <c r="AA31" t="e">
        <f>AND(#REF!,"BWp1phjMAxo=")</f>
        <v>#REF!</v>
      </c>
      <c r="AB31" t="e">
        <f>IF(#REF!,"BWp1phjMAxs=",0)</f>
        <v>#REF!</v>
      </c>
      <c r="AC31" t="e">
        <f>AND(#REF!,"BWp1phjMAxw=")</f>
        <v>#REF!</v>
      </c>
      <c r="AD31" t="e">
        <f>AND(#REF!,"BWp1phjMAx0=")</f>
        <v>#REF!</v>
      </c>
      <c r="AE31" t="e">
        <f>AND(#REF!,"BWp1phjMAx4=")</f>
        <v>#REF!</v>
      </c>
      <c r="AF31" t="e">
        <f>AND(#REF!,"BWp1phjMAx8=")</f>
        <v>#REF!</v>
      </c>
      <c r="AG31" t="e">
        <f>AND(#REF!,"BWp1phjMAyA=")</f>
        <v>#REF!</v>
      </c>
      <c r="AH31" t="e">
        <f>AND(#REF!,"BWp1phjMAyE=")</f>
        <v>#REF!</v>
      </c>
      <c r="AI31" t="e">
        <f>AND(#REF!,"BWp1phjMAyI=")</f>
        <v>#REF!</v>
      </c>
      <c r="AJ31" t="e">
        <f>AND(#REF!,"BWp1phjMAyM=")</f>
        <v>#REF!</v>
      </c>
      <c r="AK31" t="e">
        <f>AND(#REF!,"BWp1phjMAyQ=")</f>
        <v>#REF!</v>
      </c>
      <c r="AL31" t="e">
        <f>AND(#REF!,"BWp1phjMAyU=")</f>
        <v>#REF!</v>
      </c>
      <c r="AM31" t="e">
        <f>AND(#REF!,"BWp1phjMAyY=")</f>
        <v>#REF!</v>
      </c>
      <c r="AN31" t="e">
        <f>AND(#REF!,"BWp1phjMAyc=")</f>
        <v>#REF!</v>
      </c>
      <c r="AO31" t="e">
        <f>AND(#REF!,"BWp1phjMAyg=")</f>
        <v>#REF!</v>
      </c>
      <c r="AP31" t="e">
        <f>AND(#REF!,"BWp1phjMAyk=")</f>
        <v>#REF!</v>
      </c>
      <c r="AQ31" t="e">
        <f>AND(#REF!,"BWp1phjMAyo=")</f>
        <v>#REF!</v>
      </c>
      <c r="AR31" t="e">
        <f>AND(#REF!,"BWp1phjMAys=")</f>
        <v>#REF!</v>
      </c>
      <c r="AS31" t="e">
        <f>AND(#REF!,"BWp1phjMAyw=")</f>
        <v>#REF!</v>
      </c>
      <c r="AT31" t="e">
        <f>AND(#REF!,"BWp1phjMAy0=")</f>
        <v>#REF!</v>
      </c>
      <c r="AU31" t="e">
        <f>AND(#REF!,"BWp1phjMAy4=")</f>
        <v>#REF!</v>
      </c>
      <c r="AV31" t="e">
        <f>AND(#REF!,"BWp1phjMAy8=")</f>
        <v>#REF!</v>
      </c>
      <c r="AW31" t="e">
        <f>AND(#REF!,"BWp1phjMAzA=")</f>
        <v>#REF!</v>
      </c>
      <c r="AX31" t="e">
        <f>AND(#REF!,"BWp1phjMAzE=")</f>
        <v>#REF!</v>
      </c>
      <c r="AY31" t="e">
        <f>AND(#REF!,"BWp1phjMAzI=")</f>
        <v>#REF!</v>
      </c>
      <c r="AZ31" t="e">
        <f>AND(#REF!,"BWp1phjMAzM=")</f>
        <v>#REF!</v>
      </c>
      <c r="BA31" t="e">
        <f>AND(#REF!,"BWp1phjMAzQ=")</f>
        <v>#REF!</v>
      </c>
      <c r="BB31" t="e">
        <f>AND(#REF!,"BWp1phjMAzU=")</f>
        <v>#REF!</v>
      </c>
      <c r="BC31" t="e">
        <f>AND(#REF!,"BWp1phjMAzY=")</f>
        <v>#REF!</v>
      </c>
      <c r="BD31" t="e">
        <f>AND(#REF!,"BWp1phjMAzc=")</f>
        <v>#REF!</v>
      </c>
      <c r="BE31" t="e">
        <f>AND(#REF!,"BWp1phjMAzg=")</f>
        <v>#REF!</v>
      </c>
      <c r="BF31" t="e">
        <f>AND(#REF!,"BWp1phjMAzk=")</f>
        <v>#REF!</v>
      </c>
      <c r="BG31" t="e">
        <f>AND(#REF!,"BWp1phjMAzo=")</f>
        <v>#REF!</v>
      </c>
      <c r="BH31" t="e">
        <f>AND(#REF!,"BWp1phjMAzs=")</f>
        <v>#REF!</v>
      </c>
      <c r="BI31" t="e">
        <f>AND(#REF!,"BWp1phjMAzw=")</f>
        <v>#REF!</v>
      </c>
      <c r="BJ31" t="e">
        <f>AND(#REF!,"BWp1phjMAz0=")</f>
        <v>#REF!</v>
      </c>
      <c r="BK31" t="e">
        <f>AND(#REF!,"BWp1phjMAz4=")</f>
        <v>#REF!</v>
      </c>
      <c r="BL31" t="e">
        <f>AND(#REF!,"BWp1phjMAz8=")</f>
        <v>#REF!</v>
      </c>
      <c r="BM31" t="e">
        <f>AND(#REF!,"BWp1phjMA0A=")</f>
        <v>#REF!</v>
      </c>
      <c r="BN31" t="e">
        <f>AND(#REF!,"BWp1phjMA0E=")</f>
        <v>#REF!</v>
      </c>
      <c r="BO31" t="e">
        <f>AND(#REF!,"BWp1phjMA0I=")</f>
        <v>#REF!</v>
      </c>
      <c r="BP31" t="e">
        <f>AND(#REF!,"BWp1phjMA0M=")</f>
        <v>#REF!</v>
      </c>
      <c r="BQ31" t="e">
        <f>AND(#REF!,"BWp1phjMA0Q=")</f>
        <v>#REF!</v>
      </c>
      <c r="BR31" t="e">
        <f>AND(#REF!,"BWp1phjMA0U=")</f>
        <v>#REF!</v>
      </c>
      <c r="BS31" t="e">
        <f>AND(#REF!,"BWp1phjMA0Y=")</f>
        <v>#REF!</v>
      </c>
      <c r="BT31" t="e">
        <f>AND(#REF!,"BWp1phjMA0c=")</f>
        <v>#REF!</v>
      </c>
      <c r="BU31" t="e">
        <f>AND(#REF!,"BWp1phjMA0g=")</f>
        <v>#REF!</v>
      </c>
      <c r="BV31" t="e">
        <f>AND(#REF!,"BWp1phjMA0k=")</f>
        <v>#REF!</v>
      </c>
      <c r="BW31" t="e">
        <f>AND(#REF!,"BWp1phjMA0o=")</f>
        <v>#REF!</v>
      </c>
      <c r="BX31" t="e">
        <f>AND(#REF!,"BWp1phjMA0s=")</f>
        <v>#REF!</v>
      </c>
      <c r="BY31" t="e">
        <f>AND(#REF!,"BWp1phjMA0w=")</f>
        <v>#REF!</v>
      </c>
      <c r="BZ31" t="e">
        <f>AND(#REF!,"BWp1phjMA00=")</f>
        <v>#REF!</v>
      </c>
      <c r="CA31" t="e">
        <f>AND(#REF!,"BWp1phjMA04=")</f>
        <v>#REF!</v>
      </c>
      <c r="CB31" t="e">
        <f>AND(#REF!,"BWp1phjMA08=")</f>
        <v>#REF!</v>
      </c>
      <c r="CC31" t="e">
        <f>AND(#REF!,"BWp1phjMA1A=")</f>
        <v>#REF!</v>
      </c>
      <c r="CD31" t="e">
        <f>AND(#REF!,"BWp1phjMA1E=")</f>
        <v>#REF!</v>
      </c>
      <c r="CE31" t="e">
        <f>AND(#REF!,"BWp1phjMA1I=")</f>
        <v>#REF!</v>
      </c>
      <c r="CF31" t="e">
        <f>AND(#REF!,"BWp1phjMA1M=")</f>
        <v>#REF!</v>
      </c>
      <c r="CG31" t="e">
        <f>AND(#REF!,"BWp1phjMA1Q=")</f>
        <v>#REF!</v>
      </c>
      <c r="CH31" t="e">
        <f>AND(#REF!,"BWp1phjMA1U=")</f>
        <v>#REF!</v>
      </c>
      <c r="CI31" t="e">
        <f>AND(#REF!,"BWp1phjMA1Y=")</f>
        <v>#REF!</v>
      </c>
      <c r="CJ31" t="e">
        <f>AND(#REF!,"BWp1phjMA1c=")</f>
        <v>#REF!</v>
      </c>
      <c r="CK31" t="e">
        <f>AND(#REF!,"BWp1phjMA1g=")</f>
        <v>#REF!</v>
      </c>
      <c r="CL31" t="e">
        <f>AND(#REF!,"BWp1phjMA1k=")</f>
        <v>#REF!</v>
      </c>
      <c r="CM31" t="e">
        <f>AND(#REF!,"BWp1phjMA1o=")</f>
        <v>#REF!</v>
      </c>
      <c r="CN31" t="e">
        <f>AND(#REF!,"BWp1phjMA1s=")</f>
        <v>#REF!</v>
      </c>
      <c r="CO31" t="e">
        <f>AND(#REF!,"BWp1phjMA1w=")</f>
        <v>#REF!</v>
      </c>
      <c r="CP31" t="e">
        <f>AND(#REF!,"BWp1phjMA10=")</f>
        <v>#REF!</v>
      </c>
      <c r="CQ31" t="e">
        <f>AND(#REF!,"BWp1phjMA14=")</f>
        <v>#REF!</v>
      </c>
      <c r="CR31" t="e">
        <f>AND(#REF!,"BWp1phjMA18=")</f>
        <v>#REF!</v>
      </c>
      <c r="CS31" t="e">
        <f>AND(#REF!,"BWp1phjMA2A=")</f>
        <v>#REF!</v>
      </c>
      <c r="CT31" t="e">
        <f>AND(#REF!,"BWp1phjMA2E=")</f>
        <v>#REF!</v>
      </c>
      <c r="CU31" t="e">
        <f>AND(#REF!,"BWp1phjMA2I=")</f>
        <v>#REF!</v>
      </c>
      <c r="CV31" t="e">
        <f>AND(#REF!,"BWp1phjMA2M=")</f>
        <v>#REF!</v>
      </c>
      <c r="CW31" t="e">
        <f>AND(#REF!,"BWp1phjMA2Q=")</f>
        <v>#REF!</v>
      </c>
      <c r="CX31" t="e">
        <f>AND(#REF!,"BWp1phjMA2U=")</f>
        <v>#REF!</v>
      </c>
      <c r="CY31" t="e">
        <f>AND(#REF!,"BWp1phjMA2Y=")</f>
        <v>#REF!</v>
      </c>
      <c r="CZ31" t="e">
        <f>AND(#REF!,"BWp1phjMA2c=")</f>
        <v>#REF!</v>
      </c>
      <c r="DA31" t="e">
        <f>AND(#REF!,"BWp1phjMA2g=")</f>
        <v>#REF!</v>
      </c>
      <c r="DB31" t="e">
        <f>AND(#REF!,"BWp1phjMA2k=")</f>
        <v>#REF!</v>
      </c>
      <c r="DC31" t="e">
        <f>AND(#REF!,"BWp1phjMA2o=")</f>
        <v>#REF!</v>
      </c>
      <c r="DD31" t="e">
        <f>AND(#REF!,"BWp1phjMA2s=")</f>
        <v>#REF!</v>
      </c>
      <c r="DE31" t="e">
        <f>AND(#REF!,"BWp1phjMA2w=")</f>
        <v>#REF!</v>
      </c>
      <c r="DF31" t="e">
        <f>AND(#REF!,"BWp1phjMA20=")</f>
        <v>#REF!</v>
      </c>
      <c r="DG31" t="e">
        <f>AND(#REF!,"BWp1phjMA24=")</f>
        <v>#REF!</v>
      </c>
      <c r="DH31" t="e">
        <f>AND(#REF!,"BWp1phjMA28=")</f>
        <v>#REF!</v>
      </c>
      <c r="DI31" t="e">
        <f>AND(#REF!,"BWp1phjMA3A=")</f>
        <v>#REF!</v>
      </c>
      <c r="DJ31" t="e">
        <f>AND(#REF!,"BWp1phjMA3E=")</f>
        <v>#REF!</v>
      </c>
      <c r="DK31" t="e">
        <f>AND(#REF!,"BWp1phjMA3I=")</f>
        <v>#REF!</v>
      </c>
      <c r="DL31" t="e">
        <f>AND(#REF!,"BWp1phjMA3M=")</f>
        <v>#REF!</v>
      </c>
      <c r="DM31" t="e">
        <f>AND(#REF!,"BWp1phjMA3Q=")</f>
        <v>#REF!</v>
      </c>
      <c r="DN31" t="e">
        <f>AND(#REF!,"BWp1phjMA3U=")</f>
        <v>#REF!</v>
      </c>
      <c r="DO31" t="e">
        <f>AND(#REF!,"BWp1phjMA3Y=")</f>
        <v>#REF!</v>
      </c>
      <c r="DP31" t="e">
        <f>AND(#REF!,"BWp1phjMA3c=")</f>
        <v>#REF!</v>
      </c>
      <c r="DQ31" t="e">
        <f>AND(#REF!,"BWp1phjMA3g=")</f>
        <v>#REF!</v>
      </c>
      <c r="DR31" t="e">
        <f>AND(#REF!,"BWp1phjMA3k=")</f>
        <v>#REF!</v>
      </c>
      <c r="DS31" t="e">
        <f>AND(#REF!,"BWp1phjMA3o=")</f>
        <v>#REF!</v>
      </c>
      <c r="DT31" t="e">
        <f>AND(#REF!,"BWp1phjMA3s=")</f>
        <v>#REF!</v>
      </c>
      <c r="DU31" t="e">
        <f>AND(#REF!,"BWp1phjMA3w=")</f>
        <v>#REF!</v>
      </c>
      <c r="DV31" t="e">
        <f>AND(#REF!,"BWp1phjMA30=")</f>
        <v>#REF!</v>
      </c>
      <c r="DW31" t="e">
        <f>AND(#REF!,"BWp1phjMA34=")</f>
        <v>#REF!</v>
      </c>
      <c r="DX31" t="e">
        <f>AND(#REF!,"BWp1phjMA38=")</f>
        <v>#REF!</v>
      </c>
      <c r="DY31" t="e">
        <f>AND(#REF!,"BWp1phjMA4A=")</f>
        <v>#REF!</v>
      </c>
      <c r="DZ31" t="e">
        <f>AND(#REF!,"BWp1phjMA4E=")</f>
        <v>#REF!</v>
      </c>
      <c r="EA31" t="e">
        <f>AND(#REF!,"BWp1phjMA4I=")</f>
        <v>#REF!</v>
      </c>
      <c r="EB31" t="e">
        <f>AND(#REF!,"BWp1phjMA4M=")</f>
        <v>#REF!</v>
      </c>
      <c r="EC31" t="e">
        <f>AND(#REF!,"BWp1phjMA4Q=")</f>
        <v>#REF!</v>
      </c>
      <c r="ED31" t="e">
        <f>AND(#REF!,"BWp1phjMA4U=")</f>
        <v>#REF!</v>
      </c>
      <c r="EE31" t="e">
        <f>AND(#REF!,"BWp1phjMA4Y=")</f>
        <v>#REF!</v>
      </c>
      <c r="EF31" t="e">
        <f>AND(#REF!,"BWp1phjMA4c=")</f>
        <v>#REF!</v>
      </c>
      <c r="EG31" t="e">
        <f>AND(#REF!,"BWp1phjMA4g=")</f>
        <v>#REF!</v>
      </c>
      <c r="EH31" t="e">
        <f>AND(#REF!,"BWp1phjMA4k=")</f>
        <v>#REF!</v>
      </c>
      <c r="EI31" t="e">
        <f>AND(#REF!,"BWp1phjMA4o=")</f>
        <v>#REF!</v>
      </c>
      <c r="EJ31" t="e">
        <f>AND(#REF!,"BWp1phjMA4s=")</f>
        <v>#REF!</v>
      </c>
      <c r="EK31" t="e">
        <f>AND(#REF!,"BWp1phjMA4w=")</f>
        <v>#REF!</v>
      </c>
      <c r="EL31" t="e">
        <f>AND(#REF!,"BWp1phjMA40=")</f>
        <v>#REF!</v>
      </c>
      <c r="EM31" t="e">
        <f>AND(#REF!,"BWp1phjMA44=")</f>
        <v>#REF!</v>
      </c>
      <c r="EN31" t="e">
        <f>AND(#REF!,"BWp1phjMA48=")</f>
        <v>#REF!</v>
      </c>
      <c r="EO31" t="e">
        <f>AND(#REF!,"BWp1phjMA5A=")</f>
        <v>#REF!</v>
      </c>
      <c r="EP31" t="e">
        <f>AND(#REF!,"BWp1phjMA5E=")</f>
        <v>#REF!</v>
      </c>
      <c r="EQ31" t="e">
        <f>AND(#REF!,"BWp1phjMA5I=")</f>
        <v>#REF!</v>
      </c>
      <c r="ER31" t="e">
        <f>AND(#REF!,"BWp1phjMA5M=")</f>
        <v>#REF!</v>
      </c>
      <c r="ES31" t="e">
        <f>AND(#REF!,"BWp1phjMA5Q=")</f>
        <v>#REF!</v>
      </c>
      <c r="ET31" t="e">
        <f>AND(#REF!,"BWp1phjMA5U=")</f>
        <v>#REF!</v>
      </c>
      <c r="EU31" t="e">
        <f>AND(#REF!,"BWp1phjMA5Y=")</f>
        <v>#REF!</v>
      </c>
      <c r="EV31" t="e">
        <f>AND(#REF!,"BWp1phjMA5c=")</f>
        <v>#REF!</v>
      </c>
      <c r="EW31" t="e">
        <f>AND(#REF!,"BWp1phjMA5g=")</f>
        <v>#REF!</v>
      </c>
      <c r="EX31" t="e">
        <f>AND(#REF!,"BWp1phjMA5k=")</f>
        <v>#REF!</v>
      </c>
      <c r="EY31" t="e">
        <f>AND(#REF!,"BWp1phjMA5o=")</f>
        <v>#REF!</v>
      </c>
      <c r="EZ31" t="e">
        <f>AND(#REF!,"BWp1phjMA5s=")</f>
        <v>#REF!</v>
      </c>
      <c r="FA31" t="e">
        <f>AND(#REF!,"BWp1phjMA5w=")</f>
        <v>#REF!</v>
      </c>
      <c r="FB31" t="e">
        <f>AND(#REF!,"BWp1phjMA50=")</f>
        <v>#REF!</v>
      </c>
      <c r="FC31" t="e">
        <f>AND(#REF!,"BWp1phjMA54=")</f>
        <v>#REF!</v>
      </c>
      <c r="FD31" t="e">
        <f>AND(#REF!,"BWp1phjMA58=")</f>
        <v>#REF!</v>
      </c>
      <c r="FE31" t="e">
        <f>AND(#REF!,"BWp1phjMA6A=")</f>
        <v>#REF!</v>
      </c>
      <c r="FF31" t="e">
        <f>AND(#REF!,"BWp1phjMA6E=")</f>
        <v>#REF!</v>
      </c>
      <c r="FG31" t="e">
        <f>AND(#REF!,"BWp1phjMA6I=")</f>
        <v>#REF!</v>
      </c>
      <c r="FH31" t="e">
        <f>AND(#REF!,"BWp1phjMA6M=")</f>
        <v>#REF!</v>
      </c>
      <c r="FI31" t="e">
        <f>AND(#REF!,"BWp1phjMA6Q=")</f>
        <v>#REF!</v>
      </c>
      <c r="FJ31" t="e">
        <f>AND(#REF!,"BWp1phjMA6U=")</f>
        <v>#REF!</v>
      </c>
      <c r="FK31" t="e">
        <f>AND(#REF!,"BWp1phjMA6Y=")</f>
        <v>#REF!</v>
      </c>
      <c r="FL31" t="e">
        <f>AND(#REF!,"BWp1phjMA6c=")</f>
        <v>#REF!</v>
      </c>
      <c r="FM31" t="e">
        <f>AND(#REF!,"BWp1phjMA6g=")</f>
        <v>#REF!</v>
      </c>
      <c r="FN31" t="e">
        <f>AND(#REF!,"BWp1phjMA6k=")</f>
        <v>#REF!</v>
      </c>
      <c r="FO31" t="e">
        <f>AND(#REF!,"BWp1phjMA6o=")</f>
        <v>#REF!</v>
      </c>
      <c r="FP31" t="e">
        <f>AND(#REF!,"BWp1phjMA6s=")</f>
        <v>#REF!</v>
      </c>
      <c r="FQ31" t="e">
        <f>AND(#REF!,"BWp1phjMA6w=")</f>
        <v>#REF!</v>
      </c>
      <c r="FR31" t="e">
        <f>AND(#REF!,"BWp1phjMA60=")</f>
        <v>#REF!</v>
      </c>
      <c r="FS31" t="e">
        <f>AND(#REF!,"BWp1phjMA64=")</f>
        <v>#REF!</v>
      </c>
      <c r="FT31" t="e">
        <f>AND(#REF!,"BWp1phjMA68=")</f>
        <v>#REF!</v>
      </c>
      <c r="FU31" t="e">
        <f>AND(#REF!,"BWp1phjMA7A=")</f>
        <v>#REF!</v>
      </c>
      <c r="FV31" t="e">
        <f>AND(#REF!,"BWp1phjMA7E=")</f>
        <v>#REF!</v>
      </c>
      <c r="FW31" t="e">
        <f>AND(#REF!,"BWp1phjMA7I=")</f>
        <v>#REF!</v>
      </c>
      <c r="FX31" t="e">
        <f>AND(#REF!,"BWp1phjMA7M=")</f>
        <v>#REF!</v>
      </c>
      <c r="FY31" t="e">
        <f>AND(#REF!,"BWp1phjMA7Q=")</f>
        <v>#REF!</v>
      </c>
      <c r="FZ31" t="e">
        <f>AND(#REF!,"BWp1phjMA7U=")</f>
        <v>#REF!</v>
      </c>
      <c r="GA31" t="e">
        <f>AND(#REF!,"BWp1phjMA7Y=")</f>
        <v>#REF!</v>
      </c>
      <c r="GB31" t="e">
        <f>AND(#REF!,"BWp1phjMA7c=")</f>
        <v>#REF!</v>
      </c>
      <c r="GC31" t="e">
        <f>AND(#REF!,"BWp1phjMA7g=")</f>
        <v>#REF!</v>
      </c>
      <c r="GD31" t="e">
        <f>AND(#REF!,"BWp1phjMA7k=")</f>
        <v>#REF!</v>
      </c>
      <c r="GE31" t="e">
        <f>AND(#REF!,"BWp1phjMA7o=")</f>
        <v>#REF!</v>
      </c>
      <c r="GF31" t="e">
        <f>AND(#REF!,"BWp1phjMA7s=")</f>
        <v>#REF!</v>
      </c>
      <c r="GG31" t="e">
        <f>AND(#REF!,"BWp1phjMA7w=")</f>
        <v>#REF!</v>
      </c>
      <c r="GH31" t="e">
        <f>AND(#REF!,"BWp1phjMA70=")</f>
        <v>#REF!</v>
      </c>
      <c r="GI31" t="e">
        <f>AND(#REF!,"BWp1phjMA74=")</f>
        <v>#REF!</v>
      </c>
      <c r="GJ31" t="e">
        <f>AND(#REF!,"BWp1phjMA78=")</f>
        <v>#REF!</v>
      </c>
      <c r="GK31" t="e">
        <f>AND(#REF!,"BWp1phjMA8A=")</f>
        <v>#REF!</v>
      </c>
      <c r="GL31" t="e">
        <f>AND(#REF!,"BWp1phjMA8E=")</f>
        <v>#REF!</v>
      </c>
      <c r="GM31" t="e">
        <f>AND(#REF!,"BWp1phjMA8I=")</f>
        <v>#REF!</v>
      </c>
      <c r="GN31" t="e">
        <f>AND(#REF!,"BWp1phjMA8M=")</f>
        <v>#REF!</v>
      </c>
      <c r="GO31" t="e">
        <f>AND(#REF!,"BWp1phjMA8Q=")</f>
        <v>#REF!</v>
      </c>
      <c r="GP31" t="e">
        <f>AND(#REF!,"BWp1phjMA8U=")</f>
        <v>#REF!</v>
      </c>
      <c r="GQ31" t="e">
        <f>AND(#REF!,"BWp1phjMA8Y=")</f>
        <v>#REF!</v>
      </c>
      <c r="GR31" t="e">
        <f>AND(#REF!,"BWp1phjMA8c=")</f>
        <v>#REF!</v>
      </c>
      <c r="GS31" t="e">
        <f>AND(#REF!,"BWp1phjMA8g=")</f>
        <v>#REF!</v>
      </c>
      <c r="GT31" t="e">
        <f>AND(#REF!,"BWp1phjMA8k=")</f>
        <v>#REF!</v>
      </c>
      <c r="GU31" t="e">
        <f>AND(#REF!,"BWp1phjMA8o=")</f>
        <v>#REF!</v>
      </c>
      <c r="GV31" t="e">
        <f>AND(#REF!,"BWp1phjMA8s=")</f>
        <v>#REF!</v>
      </c>
      <c r="GW31" t="e">
        <f>AND(#REF!,"BWp1phjMA8w=")</f>
        <v>#REF!</v>
      </c>
      <c r="GX31" t="e">
        <f>AND(#REF!,"BWp1phjMA80=")</f>
        <v>#REF!</v>
      </c>
      <c r="GY31" t="e">
        <f>AND(#REF!,"BWp1phjMA84=")</f>
        <v>#REF!</v>
      </c>
      <c r="GZ31" t="e">
        <f>AND(#REF!,"BWp1phjMA88=")</f>
        <v>#REF!</v>
      </c>
      <c r="HA31" t="e">
        <f>AND(#REF!,"BWp1phjMA9A=")</f>
        <v>#REF!</v>
      </c>
      <c r="HB31" t="e">
        <f>AND(#REF!,"BWp1phjMA9E=")</f>
        <v>#REF!</v>
      </c>
      <c r="HC31" t="e">
        <f>AND(#REF!,"BWp1phjMA9I=")</f>
        <v>#REF!</v>
      </c>
      <c r="HD31" t="e">
        <f>AND(#REF!,"BWp1phjMA9M=")</f>
        <v>#REF!</v>
      </c>
      <c r="HE31" t="e">
        <f>AND(#REF!,"BWp1phjMA9Q=")</f>
        <v>#REF!</v>
      </c>
      <c r="HF31" t="e">
        <f>AND(#REF!,"BWp1phjMA9U=")</f>
        <v>#REF!</v>
      </c>
      <c r="HG31" t="e">
        <f>AND(#REF!,"BWp1phjMA9Y=")</f>
        <v>#REF!</v>
      </c>
      <c r="HH31" t="e">
        <f>AND(#REF!,"BWp1phjMA9c=")</f>
        <v>#REF!</v>
      </c>
      <c r="HI31" t="e">
        <f>AND(#REF!,"BWp1phjMA9g=")</f>
        <v>#REF!</v>
      </c>
      <c r="HJ31" t="e">
        <f>AND(#REF!,"BWp1phjMA9k=")</f>
        <v>#REF!</v>
      </c>
      <c r="HK31" t="e">
        <f>AND(#REF!,"BWp1phjMA9o=")</f>
        <v>#REF!</v>
      </c>
      <c r="HL31" t="e">
        <f>AND(#REF!,"BWp1phjMA9s=")</f>
        <v>#REF!</v>
      </c>
      <c r="HM31" t="e">
        <f>AND(#REF!,"BWp1phjMA9w=")</f>
        <v>#REF!</v>
      </c>
      <c r="HN31" t="e">
        <f>AND(#REF!,"BWp1phjMA90=")</f>
        <v>#REF!</v>
      </c>
      <c r="HO31" t="e">
        <f>AND(#REF!,"BWp1phjMA94=")</f>
        <v>#REF!</v>
      </c>
      <c r="HP31" t="e">
        <f>AND(#REF!,"BWp1phjMA98=")</f>
        <v>#REF!</v>
      </c>
      <c r="HQ31" t="e">
        <f>AND(#REF!,"BWp1phjMA+A=")</f>
        <v>#REF!</v>
      </c>
      <c r="HR31" t="e">
        <f>AND(#REF!,"BWp1phjMA+E=")</f>
        <v>#REF!</v>
      </c>
      <c r="HS31" t="e">
        <f>IF(#REF!,"BWp1phjMA+I=",0)</f>
        <v>#REF!</v>
      </c>
      <c r="HT31" t="e">
        <f>AND(#REF!,"BWp1phjMA+M=")</f>
        <v>#REF!</v>
      </c>
      <c r="HU31" t="e">
        <f>AND(#REF!,"BWp1phjMA+Q=")</f>
        <v>#REF!</v>
      </c>
      <c r="HV31" t="e">
        <f>AND(#REF!,"BWp1phjMA+U=")</f>
        <v>#REF!</v>
      </c>
      <c r="HW31" t="e">
        <f>AND(#REF!,"BWp1phjMA+Y=")</f>
        <v>#REF!</v>
      </c>
      <c r="HX31" t="e">
        <f>AND(#REF!,"BWp1phjMA+c=")</f>
        <v>#REF!</v>
      </c>
      <c r="HY31" t="e">
        <f>AND(#REF!,"BWp1phjMA+g=")</f>
        <v>#REF!</v>
      </c>
      <c r="HZ31" t="e">
        <f>AND(#REF!,"BWp1phjMA+k=")</f>
        <v>#REF!</v>
      </c>
      <c r="IA31" t="e">
        <f>AND(#REF!,"BWp1phjMA+o=")</f>
        <v>#REF!</v>
      </c>
      <c r="IB31" t="e">
        <f>AND(#REF!,"BWp1phjMA+s=")</f>
        <v>#REF!</v>
      </c>
      <c r="IC31" t="e">
        <f>AND(#REF!,"BWp1phjMA+w=")</f>
        <v>#REF!</v>
      </c>
      <c r="ID31" t="e">
        <f>AND(#REF!,"BWp1phjMA+0=")</f>
        <v>#REF!</v>
      </c>
      <c r="IE31" t="e">
        <f>AND(#REF!,"BWp1phjMA+4=")</f>
        <v>#REF!</v>
      </c>
      <c r="IF31" t="e">
        <f>AND(#REF!,"BWp1phjMA+8=")</f>
        <v>#REF!</v>
      </c>
      <c r="IG31" t="e">
        <f>AND(#REF!,"BWp1phjMA/A=")</f>
        <v>#REF!</v>
      </c>
      <c r="IH31" t="e">
        <f>AND(#REF!,"BWp1phjMA/E=")</f>
        <v>#REF!</v>
      </c>
      <c r="II31" t="e">
        <f>AND(#REF!,"BWp1phjMA/I=")</f>
        <v>#REF!</v>
      </c>
      <c r="IJ31" t="e">
        <f>AND(#REF!,"BWp1phjMA/M=")</f>
        <v>#REF!</v>
      </c>
      <c r="IK31" t="e">
        <f>AND(#REF!,"BWp1phjMA/Q=")</f>
        <v>#REF!</v>
      </c>
      <c r="IL31" t="e">
        <f>AND(#REF!,"BWp1phjMA/U=")</f>
        <v>#REF!</v>
      </c>
      <c r="IM31" t="e">
        <f>AND(#REF!,"BWp1phjMA/Y=")</f>
        <v>#REF!</v>
      </c>
      <c r="IN31" t="e">
        <f>AND(#REF!,"BWp1phjMA/c=")</f>
        <v>#REF!</v>
      </c>
      <c r="IO31" t="e">
        <f>AND(#REF!,"BWp1phjMA/g=")</f>
        <v>#REF!</v>
      </c>
      <c r="IP31" t="e">
        <f>AND(#REF!,"BWp1phjMA/k=")</f>
        <v>#REF!</v>
      </c>
      <c r="IQ31" t="e">
        <f>AND(#REF!,"BWp1phjMA/o=")</f>
        <v>#REF!</v>
      </c>
      <c r="IR31" t="e">
        <f>AND(#REF!,"BWp1phjMA/s=")</f>
        <v>#REF!</v>
      </c>
      <c r="IS31" t="e">
        <f>AND(#REF!,"BWp1phjMA/w=")</f>
        <v>#REF!</v>
      </c>
      <c r="IT31" t="e">
        <f>AND(#REF!,"BWp1phjMA/0=")</f>
        <v>#REF!</v>
      </c>
      <c r="IU31" t="e">
        <f>AND(#REF!,"BWp1phjMA/4=")</f>
        <v>#REF!</v>
      </c>
      <c r="IV31" t="e">
        <f>AND(#REF!,"BWp1phjMA/8=")</f>
        <v>#REF!</v>
      </c>
    </row>
    <row r="32" spans="1:256" x14ac:dyDescent="0.2">
      <c r="A32" t="e">
        <f>AND(#REF!,"Ok7nKn1PrAA=")</f>
        <v>#REF!</v>
      </c>
      <c r="B32" t="e">
        <f>AND(#REF!,"Ok7nKn1PrAE=")</f>
        <v>#REF!</v>
      </c>
      <c r="C32" t="e">
        <f>AND(#REF!,"Ok7nKn1PrAI=")</f>
        <v>#REF!</v>
      </c>
      <c r="D32" t="e">
        <f>AND(#REF!,"Ok7nKn1PrAM=")</f>
        <v>#REF!</v>
      </c>
      <c r="E32" t="e">
        <f>AND(#REF!,"Ok7nKn1PrAQ=")</f>
        <v>#REF!</v>
      </c>
      <c r="F32" t="e">
        <f>AND(#REF!,"Ok7nKn1PrAU=")</f>
        <v>#REF!</v>
      </c>
      <c r="G32" t="e">
        <f>AND(#REF!,"Ok7nKn1PrAY=")</f>
        <v>#REF!</v>
      </c>
      <c r="H32" t="e">
        <f>AND(#REF!,"Ok7nKn1PrAc=")</f>
        <v>#REF!</v>
      </c>
      <c r="I32" t="e">
        <f>AND(#REF!,"Ok7nKn1PrAg=")</f>
        <v>#REF!</v>
      </c>
      <c r="J32" t="e">
        <f>AND(#REF!,"Ok7nKn1PrAk=")</f>
        <v>#REF!</v>
      </c>
      <c r="K32" t="e">
        <f>AND(#REF!,"Ok7nKn1PrAo=")</f>
        <v>#REF!</v>
      </c>
      <c r="L32" t="e">
        <f>AND(#REF!,"Ok7nKn1PrAs=")</f>
        <v>#REF!</v>
      </c>
      <c r="M32" t="e">
        <f>AND(#REF!,"Ok7nKn1PrAw=")</f>
        <v>#REF!</v>
      </c>
      <c r="N32" t="e">
        <f>AND(#REF!,"Ok7nKn1PrA0=")</f>
        <v>#REF!</v>
      </c>
      <c r="O32" t="e">
        <f>AND(#REF!,"Ok7nKn1PrA4=")</f>
        <v>#REF!</v>
      </c>
      <c r="P32" t="e">
        <f>AND(#REF!,"Ok7nKn1PrA8=")</f>
        <v>#REF!</v>
      </c>
      <c r="Q32" t="e">
        <f>AND(#REF!,"Ok7nKn1PrBA=")</f>
        <v>#REF!</v>
      </c>
      <c r="R32" t="e">
        <f>AND(#REF!,"Ok7nKn1PrBE=")</f>
        <v>#REF!</v>
      </c>
      <c r="S32" t="e">
        <f>AND(#REF!,"Ok7nKn1PrBI=")</f>
        <v>#REF!</v>
      </c>
      <c r="T32" t="e">
        <f>AND(#REF!,"Ok7nKn1PrBM=")</f>
        <v>#REF!</v>
      </c>
      <c r="U32" t="e">
        <f>AND(#REF!,"Ok7nKn1PrBQ=")</f>
        <v>#REF!</v>
      </c>
      <c r="V32" t="e">
        <f>AND(#REF!,"Ok7nKn1PrBU=")</f>
        <v>#REF!</v>
      </c>
      <c r="W32" t="e">
        <f>AND(#REF!,"Ok7nKn1PrBY=")</f>
        <v>#REF!</v>
      </c>
      <c r="X32" t="e">
        <f>AND(#REF!,"Ok7nKn1PrBc=")</f>
        <v>#REF!</v>
      </c>
      <c r="Y32" t="e">
        <f>AND(#REF!,"Ok7nKn1PrBg=")</f>
        <v>#REF!</v>
      </c>
      <c r="Z32" t="e">
        <f>AND(#REF!,"Ok7nKn1PrBk=")</f>
        <v>#REF!</v>
      </c>
      <c r="AA32" t="e">
        <f>AND(#REF!,"Ok7nKn1PrBo=")</f>
        <v>#REF!</v>
      </c>
      <c r="AB32" t="e">
        <f>AND(#REF!,"Ok7nKn1PrBs=")</f>
        <v>#REF!</v>
      </c>
      <c r="AC32" t="e">
        <f>AND(#REF!,"Ok7nKn1PrBw=")</f>
        <v>#REF!</v>
      </c>
      <c r="AD32" t="e">
        <f>AND(#REF!,"Ok7nKn1PrB0=")</f>
        <v>#REF!</v>
      </c>
      <c r="AE32" t="e">
        <f>AND(#REF!,"Ok7nKn1PrB4=")</f>
        <v>#REF!</v>
      </c>
      <c r="AF32" t="e">
        <f>AND(#REF!,"Ok7nKn1PrB8=")</f>
        <v>#REF!</v>
      </c>
      <c r="AG32" t="e">
        <f>AND(#REF!,"Ok7nKn1PrCA=")</f>
        <v>#REF!</v>
      </c>
      <c r="AH32" t="e">
        <f>AND(#REF!,"Ok7nKn1PrCE=")</f>
        <v>#REF!</v>
      </c>
      <c r="AI32" t="e">
        <f>AND(#REF!,"Ok7nKn1PrCI=")</f>
        <v>#REF!</v>
      </c>
      <c r="AJ32" t="e">
        <f>AND(#REF!,"Ok7nKn1PrCM=")</f>
        <v>#REF!</v>
      </c>
      <c r="AK32" t="e">
        <f>AND(#REF!,"Ok7nKn1PrCQ=")</f>
        <v>#REF!</v>
      </c>
      <c r="AL32" t="e">
        <f>AND(#REF!,"Ok7nKn1PrCU=")</f>
        <v>#REF!</v>
      </c>
      <c r="AM32" t="e">
        <f>AND(#REF!,"Ok7nKn1PrCY=")</f>
        <v>#REF!</v>
      </c>
      <c r="AN32" t="e">
        <f>AND(#REF!,"Ok7nKn1PrCc=")</f>
        <v>#REF!</v>
      </c>
      <c r="AO32" t="e">
        <f>AND(#REF!,"Ok7nKn1PrCg=")</f>
        <v>#REF!</v>
      </c>
      <c r="AP32" t="e">
        <f>AND(#REF!,"Ok7nKn1PrCk=")</f>
        <v>#REF!</v>
      </c>
      <c r="AQ32" t="e">
        <f>AND(#REF!,"Ok7nKn1PrCo=")</f>
        <v>#REF!</v>
      </c>
      <c r="AR32" t="e">
        <f>AND(#REF!,"Ok7nKn1PrCs=")</f>
        <v>#REF!</v>
      </c>
      <c r="AS32" t="e">
        <f>AND(#REF!,"Ok7nKn1PrCw=")</f>
        <v>#REF!</v>
      </c>
      <c r="AT32" t="e">
        <f>AND(#REF!,"Ok7nKn1PrC0=")</f>
        <v>#REF!</v>
      </c>
      <c r="AU32" t="e">
        <f>AND(#REF!,"Ok7nKn1PrC4=")</f>
        <v>#REF!</v>
      </c>
      <c r="AV32" t="e">
        <f>AND(#REF!,"Ok7nKn1PrC8=")</f>
        <v>#REF!</v>
      </c>
      <c r="AW32" t="e">
        <f>AND(#REF!,"Ok7nKn1PrDA=")</f>
        <v>#REF!</v>
      </c>
      <c r="AX32" t="e">
        <f>AND(#REF!,"Ok7nKn1PrDE=")</f>
        <v>#REF!</v>
      </c>
      <c r="AY32" t="e">
        <f>AND(#REF!,"Ok7nKn1PrDI=")</f>
        <v>#REF!</v>
      </c>
      <c r="AZ32" t="e">
        <f>AND(#REF!,"Ok7nKn1PrDM=")</f>
        <v>#REF!</v>
      </c>
      <c r="BA32" t="e">
        <f>AND(#REF!,"Ok7nKn1PrDQ=")</f>
        <v>#REF!</v>
      </c>
      <c r="BB32" t="e">
        <f>AND(#REF!,"Ok7nKn1PrDU=")</f>
        <v>#REF!</v>
      </c>
      <c r="BC32" t="e">
        <f>AND(#REF!,"Ok7nKn1PrDY=")</f>
        <v>#REF!</v>
      </c>
      <c r="BD32" t="e">
        <f>AND(#REF!,"Ok7nKn1PrDc=")</f>
        <v>#REF!</v>
      </c>
      <c r="BE32" t="e">
        <f>AND(#REF!,"Ok7nKn1PrDg=")</f>
        <v>#REF!</v>
      </c>
      <c r="BF32" t="e">
        <f>AND(#REF!,"Ok7nKn1PrDk=")</f>
        <v>#REF!</v>
      </c>
      <c r="BG32" t="e">
        <f>AND(#REF!,"Ok7nKn1PrDo=")</f>
        <v>#REF!</v>
      </c>
      <c r="BH32" t="e">
        <f>AND(#REF!,"Ok7nKn1PrDs=")</f>
        <v>#REF!</v>
      </c>
      <c r="BI32" t="e">
        <f>AND(#REF!,"Ok7nKn1PrDw=")</f>
        <v>#REF!</v>
      </c>
      <c r="BJ32" t="e">
        <f>AND(#REF!,"Ok7nKn1PrD0=")</f>
        <v>#REF!</v>
      </c>
      <c r="BK32" t="e">
        <f>AND(#REF!,"Ok7nKn1PrD4=")</f>
        <v>#REF!</v>
      </c>
      <c r="BL32" t="e">
        <f>AND(#REF!,"Ok7nKn1PrD8=")</f>
        <v>#REF!</v>
      </c>
      <c r="BM32" t="e">
        <f>AND(#REF!,"Ok7nKn1PrEA=")</f>
        <v>#REF!</v>
      </c>
      <c r="BN32" t="e">
        <f>AND(#REF!,"Ok7nKn1PrEE=")</f>
        <v>#REF!</v>
      </c>
      <c r="BO32" t="e">
        <f>AND(#REF!,"Ok7nKn1PrEI=")</f>
        <v>#REF!</v>
      </c>
      <c r="BP32" t="e">
        <f>AND(#REF!,"Ok7nKn1PrEM=")</f>
        <v>#REF!</v>
      </c>
      <c r="BQ32" t="e">
        <f>AND(#REF!,"Ok7nKn1PrEQ=")</f>
        <v>#REF!</v>
      </c>
      <c r="BR32" t="e">
        <f>AND(#REF!,"Ok7nKn1PrEU=")</f>
        <v>#REF!</v>
      </c>
      <c r="BS32" t="e">
        <f>AND(#REF!,"Ok7nKn1PrEY=")</f>
        <v>#REF!</v>
      </c>
      <c r="BT32" t="e">
        <f>AND(#REF!,"Ok7nKn1PrEc=")</f>
        <v>#REF!</v>
      </c>
      <c r="BU32" t="e">
        <f>AND(#REF!,"Ok7nKn1PrEg=")</f>
        <v>#REF!</v>
      </c>
      <c r="BV32" t="e">
        <f>AND(#REF!,"Ok7nKn1PrEk=")</f>
        <v>#REF!</v>
      </c>
      <c r="BW32" t="e">
        <f>AND(#REF!,"Ok7nKn1PrEo=")</f>
        <v>#REF!</v>
      </c>
      <c r="BX32" t="e">
        <f>AND(#REF!,"Ok7nKn1PrEs=")</f>
        <v>#REF!</v>
      </c>
      <c r="BY32" t="e">
        <f>AND(#REF!,"Ok7nKn1PrEw=")</f>
        <v>#REF!</v>
      </c>
      <c r="BZ32" t="e">
        <f>AND(#REF!,"Ok7nKn1PrE0=")</f>
        <v>#REF!</v>
      </c>
      <c r="CA32" t="e">
        <f>AND(#REF!,"Ok7nKn1PrE4=")</f>
        <v>#REF!</v>
      </c>
      <c r="CB32" t="e">
        <f>AND(#REF!,"Ok7nKn1PrE8=")</f>
        <v>#REF!</v>
      </c>
      <c r="CC32" t="e">
        <f>AND(#REF!,"Ok7nKn1PrFA=")</f>
        <v>#REF!</v>
      </c>
      <c r="CD32" t="e">
        <f>AND(#REF!,"Ok7nKn1PrFE=")</f>
        <v>#REF!</v>
      </c>
      <c r="CE32" t="e">
        <f>AND(#REF!,"Ok7nKn1PrFI=")</f>
        <v>#REF!</v>
      </c>
      <c r="CF32" t="e">
        <f>AND(#REF!,"Ok7nKn1PrFM=")</f>
        <v>#REF!</v>
      </c>
      <c r="CG32" t="e">
        <f>AND(#REF!,"Ok7nKn1PrFQ=")</f>
        <v>#REF!</v>
      </c>
      <c r="CH32" t="e">
        <f>AND(#REF!,"Ok7nKn1PrFU=")</f>
        <v>#REF!</v>
      </c>
      <c r="CI32" t="e">
        <f>AND(#REF!,"Ok7nKn1PrFY=")</f>
        <v>#REF!</v>
      </c>
      <c r="CJ32" t="e">
        <f>AND(#REF!,"Ok7nKn1PrFc=")</f>
        <v>#REF!</v>
      </c>
      <c r="CK32" t="e">
        <f>AND(#REF!,"Ok7nKn1PrFg=")</f>
        <v>#REF!</v>
      </c>
      <c r="CL32" t="e">
        <f>AND(#REF!,"Ok7nKn1PrFk=")</f>
        <v>#REF!</v>
      </c>
      <c r="CM32" t="e">
        <f>AND(#REF!,"Ok7nKn1PrFo=")</f>
        <v>#REF!</v>
      </c>
      <c r="CN32" t="e">
        <f>AND(#REF!,"Ok7nKn1PrFs=")</f>
        <v>#REF!</v>
      </c>
      <c r="CO32" t="e">
        <f>AND(#REF!,"Ok7nKn1PrFw=")</f>
        <v>#REF!</v>
      </c>
      <c r="CP32" t="e">
        <f>AND(#REF!,"Ok7nKn1PrF0=")</f>
        <v>#REF!</v>
      </c>
      <c r="CQ32" t="e">
        <f>AND(#REF!,"Ok7nKn1PrF4=")</f>
        <v>#REF!</v>
      </c>
      <c r="CR32" t="e">
        <f>AND(#REF!,"Ok7nKn1PrF8=")</f>
        <v>#REF!</v>
      </c>
      <c r="CS32" t="e">
        <f>AND(#REF!,"Ok7nKn1PrGA=")</f>
        <v>#REF!</v>
      </c>
      <c r="CT32" t="e">
        <f>AND(#REF!,"Ok7nKn1PrGE=")</f>
        <v>#REF!</v>
      </c>
      <c r="CU32" t="e">
        <f>AND(#REF!,"Ok7nKn1PrGI=")</f>
        <v>#REF!</v>
      </c>
      <c r="CV32" t="e">
        <f>AND(#REF!,"Ok7nKn1PrGM=")</f>
        <v>#REF!</v>
      </c>
      <c r="CW32" t="e">
        <f>AND(#REF!,"Ok7nKn1PrGQ=")</f>
        <v>#REF!</v>
      </c>
      <c r="CX32" t="e">
        <f>AND(#REF!,"Ok7nKn1PrGU=")</f>
        <v>#REF!</v>
      </c>
      <c r="CY32" t="e">
        <f>AND(#REF!,"Ok7nKn1PrGY=")</f>
        <v>#REF!</v>
      </c>
      <c r="CZ32" t="e">
        <f>AND(#REF!,"Ok7nKn1PrGc=")</f>
        <v>#REF!</v>
      </c>
      <c r="DA32" t="e">
        <f>AND(#REF!,"Ok7nKn1PrGg=")</f>
        <v>#REF!</v>
      </c>
      <c r="DB32" t="e">
        <f>AND(#REF!,"Ok7nKn1PrGk=")</f>
        <v>#REF!</v>
      </c>
      <c r="DC32" t="e">
        <f>AND(#REF!,"Ok7nKn1PrGo=")</f>
        <v>#REF!</v>
      </c>
      <c r="DD32" t="e">
        <f>AND(#REF!,"Ok7nKn1PrGs=")</f>
        <v>#REF!</v>
      </c>
      <c r="DE32" t="e">
        <f>AND(#REF!,"Ok7nKn1PrGw=")</f>
        <v>#REF!</v>
      </c>
      <c r="DF32" t="e">
        <f>AND(#REF!,"Ok7nKn1PrG0=")</f>
        <v>#REF!</v>
      </c>
      <c r="DG32" t="e">
        <f>AND(#REF!,"Ok7nKn1PrG4=")</f>
        <v>#REF!</v>
      </c>
      <c r="DH32" t="e">
        <f>AND(#REF!,"Ok7nKn1PrG8=")</f>
        <v>#REF!</v>
      </c>
      <c r="DI32" t="e">
        <f>AND(#REF!,"Ok7nKn1PrHA=")</f>
        <v>#REF!</v>
      </c>
      <c r="DJ32" t="e">
        <f>AND(#REF!,"Ok7nKn1PrHE=")</f>
        <v>#REF!</v>
      </c>
      <c r="DK32" t="e">
        <f>AND(#REF!,"Ok7nKn1PrHI=")</f>
        <v>#REF!</v>
      </c>
      <c r="DL32" t="e">
        <f>AND(#REF!,"Ok7nKn1PrHM=")</f>
        <v>#REF!</v>
      </c>
      <c r="DM32" t="e">
        <f>AND(#REF!,"Ok7nKn1PrHQ=")</f>
        <v>#REF!</v>
      </c>
      <c r="DN32" t="e">
        <f>AND(#REF!,"Ok7nKn1PrHU=")</f>
        <v>#REF!</v>
      </c>
      <c r="DO32" t="e">
        <f>AND(#REF!,"Ok7nKn1PrHY=")</f>
        <v>#REF!</v>
      </c>
      <c r="DP32" t="e">
        <f>AND(#REF!,"Ok7nKn1PrHc=")</f>
        <v>#REF!</v>
      </c>
      <c r="DQ32" t="e">
        <f>AND(#REF!,"Ok7nKn1PrHg=")</f>
        <v>#REF!</v>
      </c>
      <c r="DR32" t="e">
        <f>AND(#REF!,"Ok7nKn1PrHk=")</f>
        <v>#REF!</v>
      </c>
      <c r="DS32" t="e">
        <f>AND(#REF!,"Ok7nKn1PrHo=")</f>
        <v>#REF!</v>
      </c>
      <c r="DT32" t="e">
        <f>AND(#REF!,"Ok7nKn1PrHs=")</f>
        <v>#REF!</v>
      </c>
      <c r="DU32" t="e">
        <f>AND(#REF!,"Ok7nKn1PrHw=")</f>
        <v>#REF!</v>
      </c>
      <c r="DV32" t="e">
        <f>AND(#REF!,"Ok7nKn1PrH0=")</f>
        <v>#REF!</v>
      </c>
      <c r="DW32" t="e">
        <f>AND(#REF!,"Ok7nKn1PrH4=")</f>
        <v>#REF!</v>
      </c>
      <c r="DX32" t="e">
        <f>AND(#REF!,"Ok7nKn1PrH8=")</f>
        <v>#REF!</v>
      </c>
      <c r="DY32" t="e">
        <f>AND(#REF!,"Ok7nKn1PrIA=")</f>
        <v>#REF!</v>
      </c>
      <c r="DZ32" t="e">
        <f>AND(#REF!,"Ok7nKn1PrIE=")</f>
        <v>#REF!</v>
      </c>
      <c r="EA32" t="e">
        <f>AND(#REF!,"Ok7nKn1PrII=")</f>
        <v>#REF!</v>
      </c>
      <c r="EB32" t="e">
        <f>AND(#REF!,"Ok7nKn1PrIM=")</f>
        <v>#REF!</v>
      </c>
      <c r="EC32" t="e">
        <f>AND(#REF!,"Ok7nKn1PrIQ=")</f>
        <v>#REF!</v>
      </c>
      <c r="ED32" t="e">
        <f>AND(#REF!,"Ok7nKn1PrIU=")</f>
        <v>#REF!</v>
      </c>
      <c r="EE32" t="e">
        <f>AND(#REF!,"Ok7nKn1PrIY=")</f>
        <v>#REF!</v>
      </c>
      <c r="EF32" t="e">
        <f>AND(#REF!,"Ok7nKn1PrIc=")</f>
        <v>#REF!</v>
      </c>
      <c r="EG32" t="e">
        <f>AND(#REF!,"Ok7nKn1PrIg=")</f>
        <v>#REF!</v>
      </c>
      <c r="EH32" t="e">
        <f>AND(#REF!,"Ok7nKn1PrIk=")</f>
        <v>#REF!</v>
      </c>
      <c r="EI32" t="e">
        <f>AND(#REF!,"Ok7nKn1PrIo=")</f>
        <v>#REF!</v>
      </c>
      <c r="EJ32" t="e">
        <f>AND(#REF!,"Ok7nKn1PrIs=")</f>
        <v>#REF!</v>
      </c>
      <c r="EK32" t="e">
        <f>AND(#REF!,"Ok7nKn1PrIw=")</f>
        <v>#REF!</v>
      </c>
      <c r="EL32" t="e">
        <f>AND(#REF!,"Ok7nKn1PrI0=")</f>
        <v>#REF!</v>
      </c>
      <c r="EM32" t="e">
        <f>AND(#REF!,"Ok7nKn1PrI4=")</f>
        <v>#REF!</v>
      </c>
      <c r="EN32" t="e">
        <f>AND(#REF!,"Ok7nKn1PrI8=")</f>
        <v>#REF!</v>
      </c>
      <c r="EO32" t="e">
        <f>AND(#REF!,"Ok7nKn1PrJA=")</f>
        <v>#REF!</v>
      </c>
      <c r="EP32" t="e">
        <f>AND(#REF!,"Ok7nKn1PrJE=")</f>
        <v>#REF!</v>
      </c>
      <c r="EQ32" t="e">
        <f>AND(#REF!,"Ok7nKn1PrJI=")</f>
        <v>#REF!</v>
      </c>
      <c r="ER32" t="e">
        <f>AND(#REF!,"Ok7nKn1PrJM=")</f>
        <v>#REF!</v>
      </c>
      <c r="ES32" t="e">
        <f>AND(#REF!,"Ok7nKn1PrJQ=")</f>
        <v>#REF!</v>
      </c>
      <c r="ET32" t="e">
        <f>AND(#REF!,"Ok7nKn1PrJU=")</f>
        <v>#REF!</v>
      </c>
      <c r="EU32" t="e">
        <f>AND(#REF!,"Ok7nKn1PrJY=")</f>
        <v>#REF!</v>
      </c>
      <c r="EV32" t="e">
        <f>AND(#REF!,"Ok7nKn1PrJc=")</f>
        <v>#REF!</v>
      </c>
      <c r="EW32" t="e">
        <f>AND(#REF!,"Ok7nKn1PrJg=")</f>
        <v>#REF!</v>
      </c>
      <c r="EX32" t="e">
        <f>AND(#REF!,"Ok7nKn1PrJk=")</f>
        <v>#REF!</v>
      </c>
      <c r="EY32" t="e">
        <f>AND(#REF!,"Ok7nKn1PrJo=")</f>
        <v>#REF!</v>
      </c>
      <c r="EZ32" t="e">
        <f>AND(#REF!,"Ok7nKn1PrJs=")</f>
        <v>#REF!</v>
      </c>
      <c r="FA32" t="e">
        <f>AND(#REF!,"Ok7nKn1PrJw=")</f>
        <v>#REF!</v>
      </c>
      <c r="FB32" t="e">
        <f>AND(#REF!,"Ok7nKn1PrJ0=")</f>
        <v>#REF!</v>
      </c>
      <c r="FC32" t="e">
        <f>AND(#REF!,"Ok7nKn1PrJ4=")</f>
        <v>#REF!</v>
      </c>
      <c r="FD32" t="e">
        <f>AND(#REF!,"Ok7nKn1PrJ8=")</f>
        <v>#REF!</v>
      </c>
      <c r="FE32" t="e">
        <f>AND(#REF!,"Ok7nKn1PrKA=")</f>
        <v>#REF!</v>
      </c>
      <c r="FF32" t="e">
        <f>AND(#REF!,"Ok7nKn1PrKE=")</f>
        <v>#REF!</v>
      </c>
      <c r="FG32" t="e">
        <f>AND(#REF!,"Ok7nKn1PrKI=")</f>
        <v>#REF!</v>
      </c>
      <c r="FH32" t="e">
        <f>AND(#REF!,"Ok7nKn1PrKM=")</f>
        <v>#REF!</v>
      </c>
      <c r="FI32" t="e">
        <f>AND(#REF!,"Ok7nKn1PrKQ=")</f>
        <v>#REF!</v>
      </c>
      <c r="FJ32" t="e">
        <f>AND(#REF!,"Ok7nKn1PrKU=")</f>
        <v>#REF!</v>
      </c>
      <c r="FK32" t="e">
        <f>AND(#REF!,"Ok7nKn1PrKY=")</f>
        <v>#REF!</v>
      </c>
      <c r="FL32" t="e">
        <f>AND(#REF!,"Ok7nKn1PrKc=")</f>
        <v>#REF!</v>
      </c>
      <c r="FM32" t="e">
        <f>AND(#REF!,"Ok7nKn1PrKg=")</f>
        <v>#REF!</v>
      </c>
      <c r="FN32" t="e">
        <f>IF(#REF!,"Ok7nKn1PrKk=",0)</f>
        <v>#REF!</v>
      </c>
      <c r="FO32" t="e">
        <f>AND(#REF!,"Ok7nKn1PrKo=")</f>
        <v>#REF!</v>
      </c>
      <c r="FP32" t="e">
        <f>AND(#REF!,"Ok7nKn1PrKs=")</f>
        <v>#REF!</v>
      </c>
      <c r="FQ32" t="e">
        <f>AND(#REF!,"Ok7nKn1PrKw=")</f>
        <v>#REF!</v>
      </c>
      <c r="FR32" t="e">
        <f>AND(#REF!,"Ok7nKn1PrK0=")</f>
        <v>#REF!</v>
      </c>
      <c r="FS32" t="e">
        <f>AND(#REF!,"Ok7nKn1PrK4=")</f>
        <v>#REF!</v>
      </c>
      <c r="FT32" t="e">
        <f>AND(#REF!,"Ok7nKn1PrK8=")</f>
        <v>#REF!</v>
      </c>
      <c r="FU32" t="e">
        <f>AND(#REF!,"Ok7nKn1PrLA=")</f>
        <v>#REF!</v>
      </c>
      <c r="FV32" t="e">
        <f>AND(#REF!,"Ok7nKn1PrLE=")</f>
        <v>#REF!</v>
      </c>
      <c r="FW32" t="e">
        <f>AND(#REF!,"Ok7nKn1PrLI=")</f>
        <v>#REF!</v>
      </c>
      <c r="FX32" t="e">
        <f>AND(#REF!,"Ok7nKn1PrLM=")</f>
        <v>#REF!</v>
      </c>
      <c r="FY32" t="e">
        <f>AND(#REF!,"Ok7nKn1PrLQ=")</f>
        <v>#REF!</v>
      </c>
      <c r="FZ32" t="e">
        <f>AND(#REF!,"Ok7nKn1PrLU=")</f>
        <v>#REF!</v>
      </c>
      <c r="GA32" t="e">
        <f>AND(#REF!,"Ok7nKn1PrLY=")</f>
        <v>#REF!</v>
      </c>
      <c r="GB32" t="e">
        <f>AND(#REF!,"Ok7nKn1PrLc=")</f>
        <v>#REF!</v>
      </c>
      <c r="GC32" t="e">
        <f>AND(#REF!,"Ok7nKn1PrLg=")</f>
        <v>#REF!</v>
      </c>
      <c r="GD32" t="e">
        <f>AND(#REF!,"Ok7nKn1PrLk=")</f>
        <v>#REF!</v>
      </c>
      <c r="GE32" t="e">
        <f>AND(#REF!,"Ok7nKn1PrLo=")</f>
        <v>#REF!</v>
      </c>
      <c r="GF32" t="e">
        <f>AND(#REF!,"Ok7nKn1PrLs=")</f>
        <v>#REF!</v>
      </c>
      <c r="GG32" t="e">
        <f>AND(#REF!,"Ok7nKn1PrLw=")</f>
        <v>#REF!</v>
      </c>
      <c r="GH32" t="e">
        <f>AND(#REF!,"Ok7nKn1PrL0=")</f>
        <v>#REF!</v>
      </c>
      <c r="GI32" t="e">
        <f>AND(#REF!,"Ok7nKn1PrL4=")</f>
        <v>#REF!</v>
      </c>
      <c r="GJ32" t="e">
        <f>AND(#REF!,"Ok7nKn1PrL8=")</f>
        <v>#REF!</v>
      </c>
      <c r="GK32" t="e">
        <f>AND(#REF!,"Ok7nKn1PrMA=")</f>
        <v>#REF!</v>
      </c>
      <c r="GL32" t="e">
        <f>AND(#REF!,"Ok7nKn1PrME=")</f>
        <v>#REF!</v>
      </c>
      <c r="GM32" t="e">
        <f>AND(#REF!,"Ok7nKn1PrMI=")</f>
        <v>#REF!</v>
      </c>
      <c r="GN32" t="e">
        <f>AND(#REF!,"Ok7nKn1PrMM=")</f>
        <v>#REF!</v>
      </c>
      <c r="GO32" t="e">
        <f>AND(#REF!,"Ok7nKn1PrMQ=")</f>
        <v>#REF!</v>
      </c>
      <c r="GP32" t="e">
        <f>AND(#REF!,"Ok7nKn1PrMU=")</f>
        <v>#REF!</v>
      </c>
      <c r="GQ32" t="e">
        <f>AND(#REF!,"Ok7nKn1PrMY=")</f>
        <v>#REF!</v>
      </c>
      <c r="GR32" t="e">
        <f>AND(#REF!,"Ok7nKn1PrMc=")</f>
        <v>#REF!</v>
      </c>
      <c r="GS32" t="e">
        <f>AND(#REF!,"Ok7nKn1PrMg=")</f>
        <v>#REF!</v>
      </c>
      <c r="GT32" t="e">
        <f>AND(#REF!,"Ok7nKn1PrMk=")</f>
        <v>#REF!</v>
      </c>
      <c r="GU32" t="e">
        <f>AND(#REF!,"Ok7nKn1PrMo=")</f>
        <v>#REF!</v>
      </c>
      <c r="GV32" t="e">
        <f>AND(#REF!,"Ok7nKn1PrMs=")</f>
        <v>#REF!</v>
      </c>
      <c r="GW32" t="e">
        <f>AND(#REF!,"Ok7nKn1PrMw=")</f>
        <v>#REF!</v>
      </c>
      <c r="GX32" t="e">
        <f>AND(#REF!,"Ok7nKn1PrM0=")</f>
        <v>#REF!</v>
      </c>
      <c r="GY32" t="e">
        <f>AND(#REF!,"Ok7nKn1PrM4=")</f>
        <v>#REF!</v>
      </c>
      <c r="GZ32" t="e">
        <f>AND(#REF!,"Ok7nKn1PrM8=")</f>
        <v>#REF!</v>
      </c>
      <c r="HA32" t="e">
        <f>AND(#REF!,"Ok7nKn1PrNA=")</f>
        <v>#REF!</v>
      </c>
      <c r="HB32" t="e">
        <f>AND(#REF!,"Ok7nKn1PrNE=")</f>
        <v>#REF!</v>
      </c>
      <c r="HC32" t="e">
        <f>AND(#REF!,"Ok7nKn1PrNI=")</f>
        <v>#REF!</v>
      </c>
      <c r="HD32" t="e">
        <f>AND(#REF!,"Ok7nKn1PrNM=")</f>
        <v>#REF!</v>
      </c>
      <c r="HE32" t="e">
        <f>AND(#REF!,"Ok7nKn1PrNQ=")</f>
        <v>#REF!</v>
      </c>
      <c r="HF32" t="e">
        <f>AND(#REF!,"Ok7nKn1PrNU=")</f>
        <v>#REF!</v>
      </c>
      <c r="HG32" t="e">
        <f>AND(#REF!,"Ok7nKn1PrNY=")</f>
        <v>#REF!</v>
      </c>
      <c r="HH32" t="e">
        <f>AND(#REF!,"Ok7nKn1PrNc=")</f>
        <v>#REF!</v>
      </c>
      <c r="HI32" t="e">
        <f>AND(#REF!,"Ok7nKn1PrNg=")</f>
        <v>#REF!</v>
      </c>
      <c r="HJ32" t="e">
        <f>AND(#REF!,"Ok7nKn1PrNk=")</f>
        <v>#REF!</v>
      </c>
      <c r="HK32" t="e">
        <f>AND(#REF!,"Ok7nKn1PrNo=")</f>
        <v>#REF!</v>
      </c>
      <c r="HL32" t="e">
        <f>AND(#REF!,"Ok7nKn1PrNs=")</f>
        <v>#REF!</v>
      </c>
      <c r="HM32" t="e">
        <f>AND(#REF!,"Ok7nKn1PrNw=")</f>
        <v>#REF!</v>
      </c>
      <c r="HN32" t="e">
        <f>AND(#REF!,"Ok7nKn1PrN0=")</f>
        <v>#REF!</v>
      </c>
      <c r="HO32" t="e">
        <f>AND(#REF!,"Ok7nKn1PrN4=")</f>
        <v>#REF!</v>
      </c>
      <c r="HP32" t="e">
        <f>AND(#REF!,"Ok7nKn1PrN8=")</f>
        <v>#REF!</v>
      </c>
      <c r="HQ32" t="e">
        <f>AND(#REF!,"Ok7nKn1PrOA=")</f>
        <v>#REF!</v>
      </c>
      <c r="HR32" t="e">
        <f>AND(#REF!,"Ok7nKn1PrOE=")</f>
        <v>#REF!</v>
      </c>
      <c r="HS32" t="e">
        <f>AND(#REF!,"Ok7nKn1PrOI=")</f>
        <v>#REF!</v>
      </c>
      <c r="HT32" t="e">
        <f>AND(#REF!,"Ok7nKn1PrOM=")</f>
        <v>#REF!</v>
      </c>
      <c r="HU32" t="e">
        <f>AND(#REF!,"Ok7nKn1PrOQ=")</f>
        <v>#REF!</v>
      </c>
      <c r="HV32" t="e">
        <f>AND(#REF!,"Ok7nKn1PrOU=")</f>
        <v>#REF!</v>
      </c>
      <c r="HW32" t="e">
        <f>AND(#REF!,"Ok7nKn1PrOY=")</f>
        <v>#REF!</v>
      </c>
      <c r="HX32" t="e">
        <f>AND(#REF!,"Ok7nKn1PrOc=")</f>
        <v>#REF!</v>
      </c>
      <c r="HY32" t="e">
        <f>AND(#REF!,"Ok7nKn1PrOg=")</f>
        <v>#REF!</v>
      </c>
      <c r="HZ32" t="e">
        <f>AND(#REF!,"Ok7nKn1PrOk=")</f>
        <v>#REF!</v>
      </c>
      <c r="IA32" t="e">
        <f>AND(#REF!,"Ok7nKn1PrOo=")</f>
        <v>#REF!</v>
      </c>
      <c r="IB32" t="e">
        <f>AND(#REF!,"Ok7nKn1PrOs=")</f>
        <v>#REF!</v>
      </c>
      <c r="IC32" t="e">
        <f>AND(#REF!,"Ok7nKn1PrOw=")</f>
        <v>#REF!</v>
      </c>
      <c r="ID32" t="e">
        <f>AND(#REF!,"Ok7nKn1PrO0=")</f>
        <v>#REF!</v>
      </c>
      <c r="IE32" t="e">
        <f>AND(#REF!,"Ok7nKn1PrO4=")</f>
        <v>#REF!</v>
      </c>
      <c r="IF32" t="e">
        <f>AND(#REF!,"Ok7nKn1PrO8=")</f>
        <v>#REF!</v>
      </c>
      <c r="IG32" t="e">
        <f>AND(#REF!,"Ok7nKn1PrPA=")</f>
        <v>#REF!</v>
      </c>
      <c r="IH32" t="e">
        <f>AND(#REF!,"Ok7nKn1PrPE=")</f>
        <v>#REF!</v>
      </c>
      <c r="II32" t="e">
        <f>AND(#REF!,"Ok7nKn1PrPI=")</f>
        <v>#REF!</v>
      </c>
      <c r="IJ32" t="e">
        <f>AND(#REF!,"Ok7nKn1PrPM=")</f>
        <v>#REF!</v>
      </c>
      <c r="IK32" t="e">
        <f>AND(#REF!,"Ok7nKn1PrPQ=")</f>
        <v>#REF!</v>
      </c>
      <c r="IL32" t="e">
        <f>AND(#REF!,"Ok7nKn1PrPU=")</f>
        <v>#REF!</v>
      </c>
      <c r="IM32" t="e">
        <f>AND(#REF!,"Ok7nKn1PrPY=")</f>
        <v>#REF!</v>
      </c>
      <c r="IN32" t="e">
        <f>AND(#REF!,"Ok7nKn1PrPc=")</f>
        <v>#REF!</v>
      </c>
      <c r="IO32" t="e">
        <f>AND(#REF!,"Ok7nKn1PrPg=")</f>
        <v>#REF!</v>
      </c>
      <c r="IP32" t="e">
        <f>AND(#REF!,"Ok7nKn1PrPk=")</f>
        <v>#REF!</v>
      </c>
      <c r="IQ32" t="e">
        <f>AND(#REF!,"Ok7nKn1PrPo=")</f>
        <v>#REF!</v>
      </c>
      <c r="IR32" t="e">
        <f>AND(#REF!,"Ok7nKn1PrPs=")</f>
        <v>#REF!</v>
      </c>
      <c r="IS32" t="e">
        <f>AND(#REF!,"Ok7nKn1PrPw=")</f>
        <v>#REF!</v>
      </c>
      <c r="IT32" t="e">
        <f>AND(#REF!,"Ok7nKn1PrP0=")</f>
        <v>#REF!</v>
      </c>
      <c r="IU32" t="e">
        <f>AND(#REF!,"Ok7nKn1PrP4=")</f>
        <v>#REF!</v>
      </c>
      <c r="IV32" t="e">
        <f>AND(#REF!,"Ok7nKn1PrP8=")</f>
        <v>#REF!</v>
      </c>
    </row>
    <row r="33" spans="1:256" x14ac:dyDescent="0.2">
      <c r="A33" t="e">
        <f>AND(#REF!,"bJh8Gnqb4AA=")</f>
        <v>#REF!</v>
      </c>
      <c r="B33" t="e">
        <f>AND(#REF!,"bJh8Gnqb4AE=")</f>
        <v>#REF!</v>
      </c>
      <c r="C33" t="e">
        <f>AND(#REF!,"bJh8Gnqb4AI=")</f>
        <v>#REF!</v>
      </c>
      <c r="D33" t="e">
        <f>AND(#REF!,"bJh8Gnqb4AM=")</f>
        <v>#REF!</v>
      </c>
      <c r="E33" t="e">
        <f>AND(#REF!,"bJh8Gnqb4AQ=")</f>
        <v>#REF!</v>
      </c>
      <c r="F33" t="e">
        <f>AND(#REF!,"bJh8Gnqb4AU=")</f>
        <v>#REF!</v>
      </c>
      <c r="G33" t="e">
        <f>AND(#REF!,"bJh8Gnqb4AY=")</f>
        <v>#REF!</v>
      </c>
      <c r="H33" t="e">
        <f>AND(#REF!,"bJh8Gnqb4Ac=")</f>
        <v>#REF!</v>
      </c>
      <c r="I33" t="e">
        <f>AND(#REF!,"bJh8Gnqb4Ag=")</f>
        <v>#REF!</v>
      </c>
      <c r="J33" t="e">
        <f>AND(#REF!,"bJh8Gnqb4Ak=")</f>
        <v>#REF!</v>
      </c>
      <c r="K33" t="e">
        <f>AND(#REF!,"bJh8Gnqb4Ao=")</f>
        <v>#REF!</v>
      </c>
      <c r="L33" t="e">
        <f>AND(#REF!,"bJh8Gnqb4As=")</f>
        <v>#REF!</v>
      </c>
      <c r="M33" t="e">
        <f>AND(#REF!,"bJh8Gnqb4Aw=")</f>
        <v>#REF!</v>
      </c>
      <c r="N33" t="e">
        <f>AND(#REF!,"bJh8Gnqb4A0=")</f>
        <v>#REF!</v>
      </c>
      <c r="O33" t="e">
        <f>AND(#REF!,"bJh8Gnqb4A4=")</f>
        <v>#REF!</v>
      </c>
      <c r="P33" t="e">
        <f>AND(#REF!,"bJh8Gnqb4A8=")</f>
        <v>#REF!</v>
      </c>
      <c r="Q33" t="e">
        <f>AND(#REF!,"bJh8Gnqb4BA=")</f>
        <v>#REF!</v>
      </c>
      <c r="R33" t="e">
        <f>AND(#REF!,"bJh8Gnqb4BE=")</f>
        <v>#REF!</v>
      </c>
      <c r="S33" t="e">
        <f>AND(#REF!,"bJh8Gnqb4BI=")</f>
        <v>#REF!</v>
      </c>
      <c r="T33" t="e">
        <f>AND(#REF!,"bJh8Gnqb4BM=")</f>
        <v>#REF!</v>
      </c>
      <c r="U33" t="e">
        <f>AND(#REF!,"bJh8Gnqb4BQ=")</f>
        <v>#REF!</v>
      </c>
      <c r="V33" t="e">
        <f>AND(#REF!,"bJh8Gnqb4BU=")</f>
        <v>#REF!</v>
      </c>
      <c r="W33" t="e">
        <f>AND(#REF!,"bJh8Gnqb4BY=")</f>
        <v>#REF!</v>
      </c>
      <c r="X33" t="e">
        <f>AND(#REF!,"bJh8Gnqb4Bc=")</f>
        <v>#REF!</v>
      </c>
      <c r="Y33" t="e">
        <f>AND(#REF!,"bJh8Gnqb4Bg=")</f>
        <v>#REF!</v>
      </c>
      <c r="Z33" t="e">
        <f>AND(#REF!,"bJh8Gnqb4Bk=")</f>
        <v>#REF!</v>
      </c>
      <c r="AA33" t="e">
        <f>AND(#REF!,"bJh8Gnqb4Bo=")</f>
        <v>#REF!</v>
      </c>
      <c r="AB33" t="e">
        <f>AND(#REF!,"bJh8Gnqb4Bs=")</f>
        <v>#REF!</v>
      </c>
      <c r="AC33" t="e">
        <f>AND(#REF!,"bJh8Gnqb4Bw=")</f>
        <v>#REF!</v>
      </c>
      <c r="AD33" t="e">
        <f>AND(#REF!,"bJh8Gnqb4B0=")</f>
        <v>#REF!</v>
      </c>
      <c r="AE33" t="e">
        <f>AND(#REF!,"bJh8Gnqb4B4=")</f>
        <v>#REF!</v>
      </c>
      <c r="AF33" t="e">
        <f>AND(#REF!,"bJh8Gnqb4B8=")</f>
        <v>#REF!</v>
      </c>
      <c r="AG33" t="e">
        <f>AND(#REF!,"bJh8Gnqb4CA=")</f>
        <v>#REF!</v>
      </c>
      <c r="AH33" t="e">
        <f>AND(#REF!,"bJh8Gnqb4CE=")</f>
        <v>#REF!</v>
      </c>
      <c r="AI33" t="e">
        <f>AND(#REF!,"bJh8Gnqb4CI=")</f>
        <v>#REF!</v>
      </c>
      <c r="AJ33" t="e">
        <f>AND(#REF!,"bJh8Gnqb4CM=")</f>
        <v>#REF!</v>
      </c>
      <c r="AK33" t="e">
        <f>AND(#REF!,"bJh8Gnqb4CQ=")</f>
        <v>#REF!</v>
      </c>
      <c r="AL33" t="e">
        <f>AND(#REF!,"bJh8Gnqb4CU=")</f>
        <v>#REF!</v>
      </c>
      <c r="AM33" t="e">
        <f>AND(#REF!,"bJh8Gnqb4CY=")</f>
        <v>#REF!</v>
      </c>
      <c r="AN33" t="e">
        <f>AND(#REF!,"bJh8Gnqb4Cc=")</f>
        <v>#REF!</v>
      </c>
      <c r="AO33" t="e">
        <f>AND(#REF!,"bJh8Gnqb4Cg=")</f>
        <v>#REF!</v>
      </c>
      <c r="AP33" t="e">
        <f>AND(#REF!,"bJh8Gnqb4Ck=")</f>
        <v>#REF!</v>
      </c>
      <c r="AQ33" t="e">
        <f>AND(#REF!,"bJh8Gnqb4Co=")</f>
        <v>#REF!</v>
      </c>
      <c r="AR33" t="e">
        <f>AND(#REF!,"bJh8Gnqb4Cs=")</f>
        <v>#REF!</v>
      </c>
      <c r="AS33" t="e">
        <f>AND(#REF!,"bJh8Gnqb4Cw=")</f>
        <v>#REF!</v>
      </c>
      <c r="AT33" t="e">
        <f>AND(#REF!,"bJh8Gnqb4C0=")</f>
        <v>#REF!</v>
      </c>
      <c r="AU33" t="e">
        <f>AND(#REF!,"bJh8Gnqb4C4=")</f>
        <v>#REF!</v>
      </c>
      <c r="AV33" t="e">
        <f>AND(#REF!,"bJh8Gnqb4C8=")</f>
        <v>#REF!</v>
      </c>
      <c r="AW33" t="e">
        <f>AND(#REF!,"bJh8Gnqb4DA=")</f>
        <v>#REF!</v>
      </c>
      <c r="AX33" t="e">
        <f>AND(#REF!,"bJh8Gnqb4DE=")</f>
        <v>#REF!</v>
      </c>
      <c r="AY33" t="e">
        <f>AND(#REF!,"bJh8Gnqb4DI=")</f>
        <v>#REF!</v>
      </c>
      <c r="AZ33" t="e">
        <f>AND(#REF!,"bJh8Gnqb4DM=")</f>
        <v>#REF!</v>
      </c>
      <c r="BA33" t="e">
        <f>AND(#REF!,"bJh8Gnqb4DQ=")</f>
        <v>#REF!</v>
      </c>
      <c r="BB33" t="e">
        <f>AND(#REF!,"bJh8Gnqb4DU=")</f>
        <v>#REF!</v>
      </c>
      <c r="BC33" t="e">
        <f>AND(#REF!,"bJh8Gnqb4DY=")</f>
        <v>#REF!</v>
      </c>
      <c r="BD33" t="e">
        <f>AND(#REF!,"bJh8Gnqb4Dc=")</f>
        <v>#REF!</v>
      </c>
      <c r="BE33" t="e">
        <f>AND(#REF!,"bJh8Gnqb4Dg=")</f>
        <v>#REF!</v>
      </c>
      <c r="BF33" t="e">
        <f>AND(#REF!,"bJh8Gnqb4Dk=")</f>
        <v>#REF!</v>
      </c>
      <c r="BG33" t="e">
        <f>AND(#REF!,"bJh8Gnqb4Do=")</f>
        <v>#REF!</v>
      </c>
      <c r="BH33" t="e">
        <f>AND(#REF!,"bJh8Gnqb4Ds=")</f>
        <v>#REF!</v>
      </c>
      <c r="BI33" t="e">
        <f>AND(#REF!,"bJh8Gnqb4Dw=")</f>
        <v>#REF!</v>
      </c>
      <c r="BJ33" t="e">
        <f>AND(#REF!,"bJh8Gnqb4D0=")</f>
        <v>#REF!</v>
      </c>
      <c r="BK33" t="e">
        <f>AND(#REF!,"bJh8Gnqb4D4=")</f>
        <v>#REF!</v>
      </c>
      <c r="BL33" t="e">
        <f>AND(#REF!,"bJh8Gnqb4D8=")</f>
        <v>#REF!</v>
      </c>
      <c r="BM33" t="e">
        <f>AND(#REF!,"bJh8Gnqb4EA=")</f>
        <v>#REF!</v>
      </c>
      <c r="BN33" t="e">
        <f>AND(#REF!,"bJh8Gnqb4EE=")</f>
        <v>#REF!</v>
      </c>
      <c r="BO33" t="e">
        <f>AND(#REF!,"bJh8Gnqb4EI=")</f>
        <v>#REF!</v>
      </c>
      <c r="BP33" t="e">
        <f>AND(#REF!,"bJh8Gnqb4EM=")</f>
        <v>#REF!</v>
      </c>
      <c r="BQ33" t="e">
        <f>AND(#REF!,"bJh8Gnqb4EQ=")</f>
        <v>#REF!</v>
      </c>
      <c r="BR33" t="e">
        <f>AND(#REF!,"bJh8Gnqb4EU=")</f>
        <v>#REF!</v>
      </c>
      <c r="BS33" t="e">
        <f>AND(#REF!,"bJh8Gnqb4EY=")</f>
        <v>#REF!</v>
      </c>
      <c r="BT33" t="e">
        <f>AND(#REF!,"bJh8Gnqb4Ec=")</f>
        <v>#REF!</v>
      </c>
      <c r="BU33" t="e">
        <f>AND(#REF!,"bJh8Gnqb4Eg=")</f>
        <v>#REF!</v>
      </c>
      <c r="BV33" t="e">
        <f>AND(#REF!,"bJh8Gnqb4Ek=")</f>
        <v>#REF!</v>
      </c>
      <c r="BW33" t="e">
        <f>AND(#REF!,"bJh8Gnqb4Eo=")</f>
        <v>#REF!</v>
      </c>
      <c r="BX33" t="e">
        <f>AND(#REF!,"bJh8Gnqb4Es=")</f>
        <v>#REF!</v>
      </c>
      <c r="BY33" t="e">
        <f>AND(#REF!,"bJh8Gnqb4Ew=")</f>
        <v>#REF!</v>
      </c>
      <c r="BZ33" t="e">
        <f>AND(#REF!,"bJh8Gnqb4E0=")</f>
        <v>#REF!</v>
      </c>
      <c r="CA33" t="e">
        <f>AND(#REF!,"bJh8Gnqb4E4=")</f>
        <v>#REF!</v>
      </c>
      <c r="CB33" t="e">
        <f>AND(#REF!,"bJh8Gnqb4E8=")</f>
        <v>#REF!</v>
      </c>
      <c r="CC33" t="e">
        <f>AND(#REF!,"bJh8Gnqb4FA=")</f>
        <v>#REF!</v>
      </c>
      <c r="CD33" t="e">
        <f>AND(#REF!,"bJh8Gnqb4FE=")</f>
        <v>#REF!</v>
      </c>
      <c r="CE33" t="e">
        <f>AND(#REF!,"bJh8Gnqb4FI=")</f>
        <v>#REF!</v>
      </c>
      <c r="CF33" t="e">
        <f>AND(#REF!,"bJh8Gnqb4FM=")</f>
        <v>#REF!</v>
      </c>
      <c r="CG33" t="e">
        <f>AND(#REF!,"bJh8Gnqb4FQ=")</f>
        <v>#REF!</v>
      </c>
      <c r="CH33" t="e">
        <f>AND(#REF!,"bJh8Gnqb4FU=")</f>
        <v>#REF!</v>
      </c>
      <c r="CI33" t="e">
        <f>AND(#REF!,"bJh8Gnqb4FY=")</f>
        <v>#REF!</v>
      </c>
      <c r="CJ33" t="e">
        <f>AND(#REF!,"bJh8Gnqb4Fc=")</f>
        <v>#REF!</v>
      </c>
      <c r="CK33" t="e">
        <f>AND(#REF!,"bJh8Gnqb4Fg=")</f>
        <v>#REF!</v>
      </c>
      <c r="CL33" t="e">
        <f>AND(#REF!,"bJh8Gnqb4Fk=")</f>
        <v>#REF!</v>
      </c>
      <c r="CM33" t="e">
        <f>AND(#REF!,"bJh8Gnqb4Fo=")</f>
        <v>#REF!</v>
      </c>
      <c r="CN33" t="e">
        <f>AND(#REF!,"bJh8Gnqb4Fs=")</f>
        <v>#REF!</v>
      </c>
      <c r="CO33" t="e">
        <f>AND(#REF!,"bJh8Gnqb4Fw=")</f>
        <v>#REF!</v>
      </c>
      <c r="CP33" t="e">
        <f>AND(#REF!,"bJh8Gnqb4F0=")</f>
        <v>#REF!</v>
      </c>
      <c r="CQ33" t="e">
        <f>AND(#REF!,"bJh8Gnqb4F4=")</f>
        <v>#REF!</v>
      </c>
      <c r="CR33" t="e">
        <f>AND(#REF!,"bJh8Gnqb4F8=")</f>
        <v>#REF!</v>
      </c>
      <c r="CS33" t="e">
        <f>AND(#REF!,"bJh8Gnqb4GA=")</f>
        <v>#REF!</v>
      </c>
      <c r="CT33" t="e">
        <f>AND(#REF!,"bJh8Gnqb4GE=")</f>
        <v>#REF!</v>
      </c>
      <c r="CU33" t="e">
        <f>AND(#REF!,"bJh8Gnqb4GI=")</f>
        <v>#REF!</v>
      </c>
      <c r="CV33" t="e">
        <f>AND(#REF!,"bJh8Gnqb4GM=")</f>
        <v>#REF!</v>
      </c>
      <c r="CW33" t="e">
        <f>AND(#REF!,"bJh8Gnqb4GQ=")</f>
        <v>#REF!</v>
      </c>
      <c r="CX33" t="e">
        <f>AND(#REF!,"bJh8Gnqb4GU=")</f>
        <v>#REF!</v>
      </c>
      <c r="CY33" t="e">
        <f>AND(#REF!,"bJh8Gnqb4GY=")</f>
        <v>#REF!</v>
      </c>
      <c r="CZ33" t="e">
        <f>AND(#REF!,"bJh8Gnqb4Gc=")</f>
        <v>#REF!</v>
      </c>
      <c r="DA33" t="e">
        <f>AND(#REF!,"bJh8Gnqb4Gg=")</f>
        <v>#REF!</v>
      </c>
      <c r="DB33" t="e">
        <f>AND(#REF!,"bJh8Gnqb4Gk=")</f>
        <v>#REF!</v>
      </c>
      <c r="DC33" t="e">
        <f>AND(#REF!,"bJh8Gnqb4Go=")</f>
        <v>#REF!</v>
      </c>
      <c r="DD33" t="e">
        <f>AND(#REF!,"bJh8Gnqb4Gs=")</f>
        <v>#REF!</v>
      </c>
      <c r="DE33" t="e">
        <f>AND(#REF!,"bJh8Gnqb4Gw=")</f>
        <v>#REF!</v>
      </c>
      <c r="DF33" t="e">
        <f>AND(#REF!,"bJh8Gnqb4G0=")</f>
        <v>#REF!</v>
      </c>
      <c r="DG33" t="e">
        <f>AND(#REF!,"bJh8Gnqb4G4=")</f>
        <v>#REF!</v>
      </c>
      <c r="DH33" t="e">
        <f>AND(#REF!,"bJh8Gnqb4G8=")</f>
        <v>#REF!</v>
      </c>
      <c r="DI33" t="e">
        <f>IF(#REF!,"bJh8Gnqb4HA=",0)</f>
        <v>#REF!</v>
      </c>
      <c r="DJ33" t="e">
        <f>AND(#REF!,"bJh8Gnqb4HE=")</f>
        <v>#REF!</v>
      </c>
      <c r="DK33" t="e">
        <f>AND(#REF!,"bJh8Gnqb4HI=")</f>
        <v>#REF!</v>
      </c>
      <c r="DL33" t="e">
        <f>AND(#REF!,"bJh8Gnqb4HM=")</f>
        <v>#REF!</v>
      </c>
      <c r="DM33" t="e">
        <f>AND(#REF!,"bJh8Gnqb4HQ=")</f>
        <v>#REF!</v>
      </c>
      <c r="DN33" t="e">
        <f>AND(#REF!,"bJh8Gnqb4HU=")</f>
        <v>#REF!</v>
      </c>
      <c r="DO33" t="e">
        <f>AND(#REF!,"bJh8Gnqb4HY=")</f>
        <v>#REF!</v>
      </c>
      <c r="DP33" t="e">
        <f>AND(#REF!,"bJh8Gnqb4Hc=")</f>
        <v>#REF!</v>
      </c>
      <c r="DQ33" t="e">
        <f>AND(#REF!,"bJh8Gnqb4Hg=")</f>
        <v>#REF!</v>
      </c>
      <c r="DR33" t="e">
        <f>AND(#REF!,"bJh8Gnqb4Hk=")</f>
        <v>#REF!</v>
      </c>
      <c r="DS33" t="e">
        <f>AND(#REF!,"bJh8Gnqb4Ho=")</f>
        <v>#REF!</v>
      </c>
      <c r="DT33" t="e">
        <f>AND(#REF!,"bJh8Gnqb4Hs=")</f>
        <v>#REF!</v>
      </c>
      <c r="DU33" t="e">
        <f>AND(#REF!,"bJh8Gnqb4Hw=")</f>
        <v>#REF!</v>
      </c>
      <c r="DV33" t="e">
        <f>AND(#REF!,"bJh8Gnqb4H0=")</f>
        <v>#REF!</v>
      </c>
      <c r="DW33" t="e">
        <f>AND(#REF!,"bJh8Gnqb4H4=")</f>
        <v>#REF!</v>
      </c>
      <c r="DX33" t="e">
        <f>AND(#REF!,"bJh8Gnqb4H8=")</f>
        <v>#REF!</v>
      </c>
      <c r="DY33" t="e">
        <f>AND(#REF!,"bJh8Gnqb4IA=")</f>
        <v>#REF!</v>
      </c>
      <c r="DZ33" t="e">
        <f>AND(#REF!,"bJh8Gnqb4IE=")</f>
        <v>#REF!</v>
      </c>
      <c r="EA33" t="e">
        <f>AND(#REF!,"bJh8Gnqb4II=")</f>
        <v>#REF!</v>
      </c>
      <c r="EB33" t="e">
        <f>AND(#REF!,"bJh8Gnqb4IM=")</f>
        <v>#REF!</v>
      </c>
      <c r="EC33" t="e">
        <f>AND(#REF!,"bJh8Gnqb4IQ=")</f>
        <v>#REF!</v>
      </c>
      <c r="ED33" t="e">
        <f>AND(#REF!,"bJh8Gnqb4IU=")</f>
        <v>#REF!</v>
      </c>
      <c r="EE33" t="e">
        <f>AND(#REF!,"bJh8Gnqb4IY=")</f>
        <v>#REF!</v>
      </c>
      <c r="EF33" t="e">
        <f>AND(#REF!,"bJh8Gnqb4Ic=")</f>
        <v>#REF!</v>
      </c>
      <c r="EG33" t="e">
        <f>AND(#REF!,"bJh8Gnqb4Ig=")</f>
        <v>#REF!</v>
      </c>
      <c r="EH33" t="e">
        <f>AND(#REF!,"bJh8Gnqb4Ik=")</f>
        <v>#REF!</v>
      </c>
      <c r="EI33" t="e">
        <f>AND(#REF!,"bJh8Gnqb4Io=")</f>
        <v>#REF!</v>
      </c>
      <c r="EJ33" t="e">
        <f>AND(#REF!,"bJh8Gnqb4Is=")</f>
        <v>#REF!</v>
      </c>
      <c r="EK33" t="e">
        <f>AND(#REF!,"bJh8Gnqb4Iw=")</f>
        <v>#REF!</v>
      </c>
      <c r="EL33" t="e">
        <f>AND(#REF!,"bJh8Gnqb4I0=")</f>
        <v>#REF!</v>
      </c>
      <c r="EM33" t="e">
        <f>AND(#REF!,"bJh8Gnqb4I4=")</f>
        <v>#REF!</v>
      </c>
      <c r="EN33" t="e">
        <f>AND(#REF!,"bJh8Gnqb4I8=")</f>
        <v>#REF!</v>
      </c>
      <c r="EO33" t="e">
        <f>AND(#REF!,"bJh8Gnqb4JA=")</f>
        <v>#REF!</v>
      </c>
      <c r="EP33" t="e">
        <f>AND(#REF!,"bJh8Gnqb4JE=")</f>
        <v>#REF!</v>
      </c>
      <c r="EQ33" t="e">
        <f>AND(#REF!,"bJh8Gnqb4JI=")</f>
        <v>#REF!</v>
      </c>
      <c r="ER33" t="e">
        <f>AND(#REF!,"bJh8Gnqb4JM=")</f>
        <v>#REF!</v>
      </c>
      <c r="ES33" t="e">
        <f>AND(#REF!,"bJh8Gnqb4JQ=")</f>
        <v>#REF!</v>
      </c>
      <c r="ET33" t="e">
        <f>AND(#REF!,"bJh8Gnqb4JU=")</f>
        <v>#REF!</v>
      </c>
      <c r="EU33" t="e">
        <f>AND(#REF!,"bJh8Gnqb4JY=")</f>
        <v>#REF!</v>
      </c>
      <c r="EV33" t="e">
        <f>AND(#REF!,"bJh8Gnqb4Jc=")</f>
        <v>#REF!</v>
      </c>
      <c r="EW33" t="e">
        <f>AND(#REF!,"bJh8Gnqb4Jg=")</f>
        <v>#REF!</v>
      </c>
      <c r="EX33" t="e">
        <f>AND(#REF!,"bJh8Gnqb4Jk=")</f>
        <v>#REF!</v>
      </c>
      <c r="EY33" t="e">
        <f>AND(#REF!,"bJh8Gnqb4Jo=")</f>
        <v>#REF!</v>
      </c>
      <c r="EZ33" t="e">
        <f>AND(#REF!,"bJh8Gnqb4Js=")</f>
        <v>#REF!</v>
      </c>
      <c r="FA33" t="e">
        <f>AND(#REF!,"bJh8Gnqb4Jw=")</f>
        <v>#REF!</v>
      </c>
      <c r="FB33" t="e">
        <f>AND(#REF!,"bJh8Gnqb4J0=")</f>
        <v>#REF!</v>
      </c>
      <c r="FC33" t="e">
        <f>AND(#REF!,"bJh8Gnqb4J4=")</f>
        <v>#REF!</v>
      </c>
      <c r="FD33" t="e">
        <f>AND(#REF!,"bJh8Gnqb4J8=")</f>
        <v>#REF!</v>
      </c>
      <c r="FE33" t="e">
        <f>AND(#REF!,"bJh8Gnqb4KA=")</f>
        <v>#REF!</v>
      </c>
      <c r="FF33" t="e">
        <f>AND(#REF!,"bJh8Gnqb4KE=")</f>
        <v>#REF!</v>
      </c>
      <c r="FG33" t="e">
        <f>AND(#REF!,"bJh8Gnqb4KI=")</f>
        <v>#REF!</v>
      </c>
      <c r="FH33" t="e">
        <f>AND(#REF!,"bJh8Gnqb4KM=")</f>
        <v>#REF!</v>
      </c>
      <c r="FI33" t="e">
        <f>AND(#REF!,"bJh8Gnqb4KQ=")</f>
        <v>#REF!</v>
      </c>
      <c r="FJ33" t="e">
        <f>AND(#REF!,"bJh8Gnqb4KU=")</f>
        <v>#REF!</v>
      </c>
      <c r="FK33" t="e">
        <f>AND(#REF!,"bJh8Gnqb4KY=")</f>
        <v>#REF!</v>
      </c>
      <c r="FL33" t="e">
        <f>AND(#REF!,"bJh8Gnqb4Kc=")</f>
        <v>#REF!</v>
      </c>
      <c r="FM33" t="e">
        <f>AND(#REF!,"bJh8Gnqb4Kg=")</f>
        <v>#REF!</v>
      </c>
      <c r="FN33" t="e">
        <f>AND(#REF!,"bJh8Gnqb4Kk=")</f>
        <v>#REF!</v>
      </c>
      <c r="FO33" t="e">
        <f>AND(#REF!,"bJh8Gnqb4Ko=")</f>
        <v>#REF!</v>
      </c>
      <c r="FP33" t="e">
        <f>AND(#REF!,"bJh8Gnqb4Ks=")</f>
        <v>#REF!</v>
      </c>
      <c r="FQ33" t="e">
        <f>AND(#REF!,"bJh8Gnqb4Kw=")</f>
        <v>#REF!</v>
      </c>
      <c r="FR33" t="e">
        <f>AND(#REF!,"bJh8Gnqb4K0=")</f>
        <v>#REF!</v>
      </c>
      <c r="FS33" t="e">
        <f>AND(#REF!,"bJh8Gnqb4K4=")</f>
        <v>#REF!</v>
      </c>
      <c r="FT33" t="e">
        <f>AND(#REF!,"bJh8Gnqb4K8=")</f>
        <v>#REF!</v>
      </c>
      <c r="FU33" t="e">
        <f>AND(#REF!,"bJh8Gnqb4LA=")</f>
        <v>#REF!</v>
      </c>
      <c r="FV33" t="e">
        <f>AND(#REF!,"bJh8Gnqb4LE=")</f>
        <v>#REF!</v>
      </c>
      <c r="FW33" t="e">
        <f>AND(#REF!,"bJh8Gnqb4LI=")</f>
        <v>#REF!</v>
      </c>
      <c r="FX33" t="e">
        <f>AND(#REF!,"bJh8Gnqb4LM=")</f>
        <v>#REF!</v>
      </c>
      <c r="FY33" t="e">
        <f>AND(#REF!,"bJh8Gnqb4LQ=")</f>
        <v>#REF!</v>
      </c>
      <c r="FZ33" t="e">
        <f>AND(#REF!,"bJh8Gnqb4LU=")</f>
        <v>#REF!</v>
      </c>
      <c r="GA33" t="e">
        <f>AND(#REF!,"bJh8Gnqb4LY=")</f>
        <v>#REF!</v>
      </c>
      <c r="GB33" t="e">
        <f>AND(#REF!,"bJh8Gnqb4Lc=")</f>
        <v>#REF!</v>
      </c>
      <c r="GC33" t="e">
        <f>AND(#REF!,"bJh8Gnqb4Lg=")</f>
        <v>#REF!</v>
      </c>
      <c r="GD33" t="e">
        <f>AND(#REF!,"bJh8Gnqb4Lk=")</f>
        <v>#REF!</v>
      </c>
      <c r="GE33" t="e">
        <f>AND(#REF!,"bJh8Gnqb4Lo=")</f>
        <v>#REF!</v>
      </c>
      <c r="GF33" t="e">
        <f>AND(#REF!,"bJh8Gnqb4Ls=")</f>
        <v>#REF!</v>
      </c>
      <c r="GG33" t="e">
        <f>AND(#REF!,"bJh8Gnqb4Lw=")</f>
        <v>#REF!</v>
      </c>
      <c r="GH33" t="e">
        <f>AND(#REF!,"bJh8Gnqb4L0=")</f>
        <v>#REF!</v>
      </c>
      <c r="GI33" t="e">
        <f>AND(#REF!,"bJh8Gnqb4L4=")</f>
        <v>#REF!</v>
      </c>
      <c r="GJ33" t="e">
        <f>AND(#REF!,"bJh8Gnqb4L8=")</f>
        <v>#REF!</v>
      </c>
      <c r="GK33" t="e">
        <f>AND(#REF!,"bJh8Gnqb4MA=")</f>
        <v>#REF!</v>
      </c>
      <c r="GL33" t="e">
        <f>AND(#REF!,"bJh8Gnqb4ME=")</f>
        <v>#REF!</v>
      </c>
      <c r="GM33" t="e">
        <f>AND(#REF!,"bJh8Gnqb4MI=")</f>
        <v>#REF!</v>
      </c>
      <c r="GN33" t="e">
        <f>AND(#REF!,"bJh8Gnqb4MM=")</f>
        <v>#REF!</v>
      </c>
      <c r="GO33" t="e">
        <f>AND(#REF!,"bJh8Gnqb4MQ=")</f>
        <v>#REF!</v>
      </c>
      <c r="GP33" t="e">
        <f>AND(#REF!,"bJh8Gnqb4MU=")</f>
        <v>#REF!</v>
      </c>
      <c r="GQ33" t="e">
        <f>AND(#REF!,"bJh8Gnqb4MY=")</f>
        <v>#REF!</v>
      </c>
      <c r="GR33" t="e">
        <f>AND(#REF!,"bJh8Gnqb4Mc=")</f>
        <v>#REF!</v>
      </c>
      <c r="GS33" t="e">
        <f>AND(#REF!,"bJh8Gnqb4Mg=")</f>
        <v>#REF!</v>
      </c>
      <c r="GT33" t="e">
        <f>AND(#REF!,"bJh8Gnqb4Mk=")</f>
        <v>#REF!</v>
      </c>
      <c r="GU33" t="e">
        <f>AND(#REF!,"bJh8Gnqb4Mo=")</f>
        <v>#REF!</v>
      </c>
      <c r="GV33" t="e">
        <f>AND(#REF!,"bJh8Gnqb4Ms=")</f>
        <v>#REF!</v>
      </c>
      <c r="GW33" t="e">
        <f>AND(#REF!,"bJh8Gnqb4Mw=")</f>
        <v>#REF!</v>
      </c>
      <c r="GX33" t="e">
        <f>AND(#REF!,"bJh8Gnqb4M0=")</f>
        <v>#REF!</v>
      </c>
      <c r="GY33" t="e">
        <f>AND(#REF!,"bJh8Gnqb4M4=")</f>
        <v>#REF!</v>
      </c>
      <c r="GZ33" t="e">
        <f>AND(#REF!,"bJh8Gnqb4M8=")</f>
        <v>#REF!</v>
      </c>
      <c r="HA33" t="e">
        <f>AND(#REF!,"bJh8Gnqb4NA=")</f>
        <v>#REF!</v>
      </c>
      <c r="HB33" t="e">
        <f>AND(#REF!,"bJh8Gnqb4NE=")</f>
        <v>#REF!</v>
      </c>
      <c r="HC33" t="e">
        <f>AND(#REF!,"bJh8Gnqb4NI=")</f>
        <v>#REF!</v>
      </c>
      <c r="HD33" t="e">
        <f>AND(#REF!,"bJh8Gnqb4NM=")</f>
        <v>#REF!</v>
      </c>
      <c r="HE33" t="e">
        <f>AND(#REF!,"bJh8Gnqb4NQ=")</f>
        <v>#REF!</v>
      </c>
      <c r="HF33" t="e">
        <f>AND(#REF!,"bJh8Gnqb4NU=")</f>
        <v>#REF!</v>
      </c>
      <c r="HG33" t="e">
        <f>AND(#REF!,"bJh8Gnqb4NY=")</f>
        <v>#REF!</v>
      </c>
      <c r="HH33" t="e">
        <f>AND(#REF!,"bJh8Gnqb4Nc=")</f>
        <v>#REF!</v>
      </c>
      <c r="HI33" t="e">
        <f>AND(#REF!,"bJh8Gnqb4Ng=")</f>
        <v>#REF!</v>
      </c>
      <c r="HJ33" t="e">
        <f>AND(#REF!,"bJh8Gnqb4Nk=")</f>
        <v>#REF!</v>
      </c>
      <c r="HK33" t="e">
        <f>AND(#REF!,"bJh8Gnqb4No=")</f>
        <v>#REF!</v>
      </c>
      <c r="HL33" t="e">
        <f>AND(#REF!,"bJh8Gnqb4Ns=")</f>
        <v>#REF!</v>
      </c>
      <c r="HM33" t="e">
        <f>AND(#REF!,"bJh8Gnqb4Nw=")</f>
        <v>#REF!</v>
      </c>
      <c r="HN33" t="e">
        <f>AND(#REF!,"bJh8Gnqb4N0=")</f>
        <v>#REF!</v>
      </c>
      <c r="HO33" t="e">
        <f>AND(#REF!,"bJh8Gnqb4N4=")</f>
        <v>#REF!</v>
      </c>
      <c r="HP33" t="e">
        <f>AND(#REF!,"bJh8Gnqb4N8=")</f>
        <v>#REF!</v>
      </c>
      <c r="HQ33" t="e">
        <f>AND(#REF!,"bJh8Gnqb4OA=")</f>
        <v>#REF!</v>
      </c>
      <c r="HR33" t="e">
        <f>AND(#REF!,"bJh8Gnqb4OE=")</f>
        <v>#REF!</v>
      </c>
      <c r="HS33" t="e">
        <f>AND(#REF!,"bJh8Gnqb4OI=")</f>
        <v>#REF!</v>
      </c>
      <c r="HT33" t="e">
        <f>AND(#REF!,"bJh8Gnqb4OM=")</f>
        <v>#REF!</v>
      </c>
      <c r="HU33" t="e">
        <f>AND(#REF!,"bJh8Gnqb4OQ=")</f>
        <v>#REF!</v>
      </c>
      <c r="HV33" t="e">
        <f>AND(#REF!,"bJh8Gnqb4OU=")</f>
        <v>#REF!</v>
      </c>
      <c r="HW33" t="e">
        <f>AND(#REF!,"bJh8Gnqb4OY=")</f>
        <v>#REF!</v>
      </c>
      <c r="HX33" t="e">
        <f>AND(#REF!,"bJh8Gnqb4Oc=")</f>
        <v>#REF!</v>
      </c>
      <c r="HY33" t="e">
        <f>AND(#REF!,"bJh8Gnqb4Og=")</f>
        <v>#REF!</v>
      </c>
      <c r="HZ33" t="e">
        <f>AND(#REF!,"bJh8Gnqb4Ok=")</f>
        <v>#REF!</v>
      </c>
      <c r="IA33" t="e">
        <f>AND(#REF!,"bJh8Gnqb4Oo=")</f>
        <v>#REF!</v>
      </c>
      <c r="IB33" t="e">
        <f>AND(#REF!,"bJh8Gnqb4Os=")</f>
        <v>#REF!</v>
      </c>
      <c r="IC33" t="e">
        <f>AND(#REF!,"bJh8Gnqb4Ow=")</f>
        <v>#REF!</v>
      </c>
      <c r="ID33" t="e">
        <f>AND(#REF!,"bJh8Gnqb4O0=")</f>
        <v>#REF!</v>
      </c>
      <c r="IE33" t="e">
        <f>AND(#REF!,"bJh8Gnqb4O4=")</f>
        <v>#REF!</v>
      </c>
      <c r="IF33" t="e">
        <f>AND(#REF!,"bJh8Gnqb4O8=")</f>
        <v>#REF!</v>
      </c>
      <c r="IG33" t="e">
        <f>AND(#REF!,"bJh8Gnqb4PA=")</f>
        <v>#REF!</v>
      </c>
      <c r="IH33" t="e">
        <f>AND(#REF!,"bJh8Gnqb4PE=")</f>
        <v>#REF!</v>
      </c>
      <c r="II33" t="e">
        <f>AND(#REF!,"bJh8Gnqb4PI=")</f>
        <v>#REF!</v>
      </c>
      <c r="IJ33" t="e">
        <f>AND(#REF!,"bJh8Gnqb4PM=")</f>
        <v>#REF!</v>
      </c>
      <c r="IK33" t="e">
        <f>AND(#REF!,"bJh8Gnqb4PQ=")</f>
        <v>#REF!</v>
      </c>
      <c r="IL33" t="e">
        <f>AND(#REF!,"bJh8Gnqb4PU=")</f>
        <v>#REF!</v>
      </c>
      <c r="IM33" t="e">
        <f>AND(#REF!,"bJh8Gnqb4PY=")</f>
        <v>#REF!</v>
      </c>
      <c r="IN33" t="e">
        <f>AND(#REF!,"bJh8Gnqb4Pc=")</f>
        <v>#REF!</v>
      </c>
      <c r="IO33" t="e">
        <f>AND(#REF!,"bJh8Gnqb4Pg=")</f>
        <v>#REF!</v>
      </c>
      <c r="IP33" t="e">
        <f>AND(#REF!,"bJh8Gnqb4Pk=")</f>
        <v>#REF!</v>
      </c>
      <c r="IQ33" t="e">
        <f>AND(#REF!,"bJh8Gnqb4Po=")</f>
        <v>#REF!</v>
      </c>
      <c r="IR33" t="e">
        <f>AND(#REF!,"bJh8Gnqb4Ps=")</f>
        <v>#REF!</v>
      </c>
      <c r="IS33" t="e">
        <f>AND(#REF!,"bJh8Gnqb4Pw=")</f>
        <v>#REF!</v>
      </c>
      <c r="IT33" t="e">
        <f>AND(#REF!,"bJh8Gnqb4P0=")</f>
        <v>#REF!</v>
      </c>
      <c r="IU33" t="e">
        <f>AND(#REF!,"bJh8Gnqb4P4=")</f>
        <v>#REF!</v>
      </c>
      <c r="IV33" t="e">
        <f>AND(#REF!,"bJh8Gnqb4P8=")</f>
        <v>#REF!</v>
      </c>
    </row>
    <row r="34" spans="1:256" x14ac:dyDescent="0.2">
      <c r="A34" t="e">
        <f>AND(#REF!,"T35SsQiT6AA=")</f>
        <v>#REF!</v>
      </c>
      <c r="B34" t="e">
        <f>AND(#REF!,"T35SsQiT6AE=")</f>
        <v>#REF!</v>
      </c>
      <c r="C34" t="e">
        <f>AND(#REF!,"T35SsQiT6AI=")</f>
        <v>#REF!</v>
      </c>
      <c r="D34" t="e">
        <f>AND(#REF!,"T35SsQiT6AM=")</f>
        <v>#REF!</v>
      </c>
      <c r="E34" t="e">
        <f>AND(#REF!,"T35SsQiT6AQ=")</f>
        <v>#REF!</v>
      </c>
      <c r="F34" t="e">
        <f>AND(#REF!,"T35SsQiT6AU=")</f>
        <v>#REF!</v>
      </c>
      <c r="G34" t="e">
        <f>AND(#REF!,"T35SsQiT6AY=")</f>
        <v>#REF!</v>
      </c>
      <c r="H34" t="e">
        <f>AND(#REF!,"T35SsQiT6Ac=")</f>
        <v>#REF!</v>
      </c>
      <c r="I34" t="e">
        <f>AND(#REF!,"T35SsQiT6Ag=")</f>
        <v>#REF!</v>
      </c>
      <c r="J34" t="e">
        <f>AND(#REF!,"T35SsQiT6Ak=")</f>
        <v>#REF!</v>
      </c>
      <c r="K34" t="e">
        <f>AND(#REF!,"T35SsQiT6Ao=")</f>
        <v>#REF!</v>
      </c>
      <c r="L34" t="e">
        <f>AND(#REF!,"T35SsQiT6As=")</f>
        <v>#REF!</v>
      </c>
      <c r="M34" t="e">
        <f>AND(#REF!,"T35SsQiT6Aw=")</f>
        <v>#REF!</v>
      </c>
      <c r="N34" t="e">
        <f>AND(#REF!,"T35SsQiT6A0=")</f>
        <v>#REF!</v>
      </c>
      <c r="O34" t="e">
        <f>AND(#REF!,"T35SsQiT6A4=")</f>
        <v>#REF!</v>
      </c>
      <c r="P34" t="e">
        <f>AND(#REF!,"T35SsQiT6A8=")</f>
        <v>#REF!</v>
      </c>
      <c r="Q34" t="e">
        <f>AND(#REF!,"T35SsQiT6BA=")</f>
        <v>#REF!</v>
      </c>
      <c r="R34" t="e">
        <f>AND(#REF!,"T35SsQiT6BE=")</f>
        <v>#REF!</v>
      </c>
      <c r="S34" t="e">
        <f>AND(#REF!,"T35SsQiT6BI=")</f>
        <v>#REF!</v>
      </c>
      <c r="T34" t="e">
        <f>AND(#REF!,"T35SsQiT6BM=")</f>
        <v>#REF!</v>
      </c>
      <c r="U34" t="e">
        <f>AND(#REF!,"T35SsQiT6BQ=")</f>
        <v>#REF!</v>
      </c>
      <c r="V34" t="e">
        <f>AND(#REF!,"T35SsQiT6BU=")</f>
        <v>#REF!</v>
      </c>
      <c r="W34" t="e">
        <f>AND(#REF!,"T35SsQiT6BY=")</f>
        <v>#REF!</v>
      </c>
      <c r="X34" t="e">
        <f>AND(#REF!,"T35SsQiT6Bc=")</f>
        <v>#REF!</v>
      </c>
      <c r="Y34" t="e">
        <f>AND(#REF!,"T35SsQiT6Bg=")</f>
        <v>#REF!</v>
      </c>
      <c r="Z34" t="e">
        <f>AND(#REF!,"T35SsQiT6Bk=")</f>
        <v>#REF!</v>
      </c>
      <c r="AA34" t="e">
        <f>AND(#REF!,"T35SsQiT6Bo=")</f>
        <v>#REF!</v>
      </c>
      <c r="AB34" t="e">
        <f>AND(#REF!,"T35SsQiT6Bs=")</f>
        <v>#REF!</v>
      </c>
      <c r="AC34" t="e">
        <f>AND(#REF!,"T35SsQiT6Bw=")</f>
        <v>#REF!</v>
      </c>
      <c r="AD34" t="e">
        <f>AND(#REF!,"T35SsQiT6B0=")</f>
        <v>#REF!</v>
      </c>
      <c r="AE34" t="e">
        <f>AND(#REF!,"T35SsQiT6B4=")</f>
        <v>#REF!</v>
      </c>
      <c r="AF34" t="e">
        <f>AND(#REF!,"T35SsQiT6B8=")</f>
        <v>#REF!</v>
      </c>
      <c r="AG34" t="e">
        <f>AND(#REF!,"T35SsQiT6CA=")</f>
        <v>#REF!</v>
      </c>
      <c r="AH34" t="e">
        <f>AND(#REF!,"T35SsQiT6CE=")</f>
        <v>#REF!</v>
      </c>
      <c r="AI34" t="e">
        <f>AND(#REF!,"T35SsQiT6CI=")</f>
        <v>#REF!</v>
      </c>
      <c r="AJ34" t="e">
        <f>AND(#REF!,"T35SsQiT6CM=")</f>
        <v>#REF!</v>
      </c>
      <c r="AK34" t="e">
        <f>AND(#REF!,"T35SsQiT6CQ=")</f>
        <v>#REF!</v>
      </c>
      <c r="AL34" t="e">
        <f>AND(#REF!,"T35SsQiT6CU=")</f>
        <v>#REF!</v>
      </c>
      <c r="AM34" t="e">
        <f>AND(#REF!,"T35SsQiT6CY=")</f>
        <v>#REF!</v>
      </c>
      <c r="AN34" t="e">
        <f>AND(#REF!,"T35SsQiT6Cc=")</f>
        <v>#REF!</v>
      </c>
      <c r="AO34" t="e">
        <f>AND(#REF!,"T35SsQiT6Cg=")</f>
        <v>#REF!</v>
      </c>
      <c r="AP34" t="e">
        <f>AND(#REF!,"T35SsQiT6Ck=")</f>
        <v>#REF!</v>
      </c>
      <c r="AQ34" t="e">
        <f>AND(#REF!,"T35SsQiT6Co=")</f>
        <v>#REF!</v>
      </c>
      <c r="AR34" t="e">
        <f>AND(#REF!,"T35SsQiT6Cs=")</f>
        <v>#REF!</v>
      </c>
      <c r="AS34" t="e">
        <f>AND(#REF!,"T35SsQiT6Cw=")</f>
        <v>#REF!</v>
      </c>
      <c r="AT34" t="e">
        <f>AND(#REF!,"T35SsQiT6C0=")</f>
        <v>#REF!</v>
      </c>
      <c r="AU34" t="e">
        <f>AND(#REF!,"T35SsQiT6C4=")</f>
        <v>#REF!</v>
      </c>
      <c r="AV34" t="e">
        <f>AND(#REF!,"T35SsQiT6C8=")</f>
        <v>#REF!</v>
      </c>
      <c r="AW34" t="e">
        <f>AND(#REF!,"T35SsQiT6DA=")</f>
        <v>#REF!</v>
      </c>
      <c r="AX34" t="e">
        <f>AND(#REF!,"T35SsQiT6DE=")</f>
        <v>#REF!</v>
      </c>
      <c r="AY34" t="e">
        <f>AND(#REF!,"T35SsQiT6DI=")</f>
        <v>#REF!</v>
      </c>
      <c r="AZ34" t="e">
        <f>AND(#REF!,"T35SsQiT6DM=")</f>
        <v>#REF!</v>
      </c>
      <c r="BA34" t="e">
        <f>AND(#REF!,"T35SsQiT6DQ=")</f>
        <v>#REF!</v>
      </c>
      <c r="BB34" t="e">
        <f>AND(#REF!,"T35SsQiT6DU=")</f>
        <v>#REF!</v>
      </c>
      <c r="BC34" t="e">
        <f>AND(#REF!,"T35SsQiT6DY=")</f>
        <v>#REF!</v>
      </c>
      <c r="BD34" t="e">
        <f>IF(#REF!,"T35SsQiT6Dc=",0)</f>
        <v>#REF!</v>
      </c>
      <c r="BE34" t="e">
        <f>AND(#REF!,"T35SsQiT6Dg=")</f>
        <v>#REF!</v>
      </c>
      <c r="BF34" t="e">
        <f>AND(#REF!,"T35SsQiT6Dk=")</f>
        <v>#REF!</v>
      </c>
      <c r="BG34" t="e">
        <f>AND(#REF!,"T35SsQiT6Do=")</f>
        <v>#REF!</v>
      </c>
      <c r="BH34" t="e">
        <f>AND(#REF!,"T35SsQiT6Ds=")</f>
        <v>#REF!</v>
      </c>
      <c r="BI34" t="e">
        <f>AND(#REF!,"T35SsQiT6Dw=")</f>
        <v>#REF!</v>
      </c>
      <c r="BJ34" t="e">
        <f>AND(#REF!,"T35SsQiT6D0=")</f>
        <v>#REF!</v>
      </c>
      <c r="BK34" t="e">
        <f>AND(#REF!,"T35SsQiT6D4=")</f>
        <v>#REF!</v>
      </c>
      <c r="BL34" t="e">
        <f>AND(#REF!,"T35SsQiT6D8=")</f>
        <v>#REF!</v>
      </c>
      <c r="BM34" t="e">
        <f>AND(#REF!,"T35SsQiT6EA=")</f>
        <v>#REF!</v>
      </c>
      <c r="BN34" t="e">
        <f>AND(#REF!,"T35SsQiT6EE=")</f>
        <v>#REF!</v>
      </c>
      <c r="BO34" t="e">
        <f>AND(#REF!,"T35SsQiT6EI=")</f>
        <v>#REF!</v>
      </c>
      <c r="BP34" t="e">
        <f>AND(#REF!,"T35SsQiT6EM=")</f>
        <v>#REF!</v>
      </c>
      <c r="BQ34" t="e">
        <f>AND(#REF!,"T35SsQiT6EQ=")</f>
        <v>#REF!</v>
      </c>
      <c r="BR34" t="e">
        <f>AND(#REF!,"T35SsQiT6EU=")</f>
        <v>#REF!</v>
      </c>
      <c r="BS34" t="e">
        <f>AND(#REF!,"T35SsQiT6EY=")</f>
        <v>#REF!</v>
      </c>
      <c r="BT34" t="e">
        <f>AND(#REF!,"T35SsQiT6Ec=")</f>
        <v>#REF!</v>
      </c>
      <c r="BU34" t="e">
        <f>AND(#REF!,"T35SsQiT6Eg=")</f>
        <v>#REF!</v>
      </c>
      <c r="BV34" t="e">
        <f>AND(#REF!,"T35SsQiT6Ek=")</f>
        <v>#REF!</v>
      </c>
      <c r="BW34" t="e">
        <f>AND(#REF!,"T35SsQiT6Eo=")</f>
        <v>#REF!</v>
      </c>
      <c r="BX34" t="e">
        <f>AND(#REF!,"T35SsQiT6Es=")</f>
        <v>#REF!</v>
      </c>
      <c r="BY34" t="e">
        <f>AND(#REF!,"T35SsQiT6Ew=")</f>
        <v>#REF!</v>
      </c>
      <c r="BZ34" t="e">
        <f>AND(#REF!,"T35SsQiT6E0=")</f>
        <v>#REF!</v>
      </c>
      <c r="CA34" t="e">
        <f>AND(#REF!,"T35SsQiT6E4=")</f>
        <v>#REF!</v>
      </c>
      <c r="CB34" t="e">
        <f>AND(#REF!,"T35SsQiT6E8=")</f>
        <v>#REF!</v>
      </c>
      <c r="CC34" t="e">
        <f>AND(#REF!,"T35SsQiT6FA=")</f>
        <v>#REF!</v>
      </c>
      <c r="CD34" t="e">
        <f>AND(#REF!,"T35SsQiT6FE=")</f>
        <v>#REF!</v>
      </c>
      <c r="CE34" t="e">
        <f>AND(#REF!,"T35SsQiT6FI=")</f>
        <v>#REF!</v>
      </c>
      <c r="CF34" t="e">
        <f>AND(#REF!,"T35SsQiT6FM=")</f>
        <v>#REF!</v>
      </c>
      <c r="CG34" t="e">
        <f>AND(#REF!,"T35SsQiT6FQ=")</f>
        <v>#REF!</v>
      </c>
      <c r="CH34" t="e">
        <f>AND(#REF!,"T35SsQiT6FU=")</f>
        <v>#REF!</v>
      </c>
      <c r="CI34" t="e">
        <f>AND(#REF!,"T35SsQiT6FY=")</f>
        <v>#REF!</v>
      </c>
      <c r="CJ34" t="e">
        <f>AND(#REF!,"T35SsQiT6Fc=")</f>
        <v>#REF!</v>
      </c>
      <c r="CK34" t="e">
        <f>AND(#REF!,"T35SsQiT6Fg=")</f>
        <v>#REF!</v>
      </c>
      <c r="CL34" t="e">
        <f>AND(#REF!,"T35SsQiT6Fk=")</f>
        <v>#REF!</v>
      </c>
      <c r="CM34" t="e">
        <f>AND(#REF!,"T35SsQiT6Fo=")</f>
        <v>#REF!</v>
      </c>
      <c r="CN34" t="e">
        <f>AND(#REF!,"T35SsQiT6Fs=")</f>
        <v>#REF!</v>
      </c>
      <c r="CO34" t="e">
        <f>AND(#REF!,"T35SsQiT6Fw=")</f>
        <v>#REF!</v>
      </c>
      <c r="CP34" t="e">
        <f>AND(#REF!,"T35SsQiT6F0=")</f>
        <v>#REF!</v>
      </c>
      <c r="CQ34" t="e">
        <f>AND(#REF!,"T35SsQiT6F4=")</f>
        <v>#REF!</v>
      </c>
      <c r="CR34" t="e">
        <f>AND(#REF!,"T35SsQiT6F8=")</f>
        <v>#REF!</v>
      </c>
      <c r="CS34" t="e">
        <f>AND(#REF!,"T35SsQiT6GA=")</f>
        <v>#REF!</v>
      </c>
      <c r="CT34" t="e">
        <f>AND(#REF!,"T35SsQiT6GE=")</f>
        <v>#REF!</v>
      </c>
      <c r="CU34" t="e">
        <f>AND(#REF!,"T35SsQiT6GI=")</f>
        <v>#REF!</v>
      </c>
      <c r="CV34" t="e">
        <f>AND(#REF!,"T35SsQiT6GM=")</f>
        <v>#REF!</v>
      </c>
      <c r="CW34" t="e">
        <f>AND(#REF!,"T35SsQiT6GQ=")</f>
        <v>#REF!</v>
      </c>
      <c r="CX34" t="e">
        <f>AND(#REF!,"T35SsQiT6GU=")</f>
        <v>#REF!</v>
      </c>
      <c r="CY34" t="e">
        <f>AND(#REF!,"T35SsQiT6GY=")</f>
        <v>#REF!</v>
      </c>
      <c r="CZ34" t="e">
        <f>AND(#REF!,"T35SsQiT6Gc=")</f>
        <v>#REF!</v>
      </c>
      <c r="DA34" t="e">
        <f>AND(#REF!,"T35SsQiT6Gg=")</f>
        <v>#REF!</v>
      </c>
      <c r="DB34" t="e">
        <f>AND(#REF!,"T35SsQiT6Gk=")</f>
        <v>#REF!</v>
      </c>
      <c r="DC34" t="e">
        <f>AND(#REF!,"T35SsQiT6Go=")</f>
        <v>#REF!</v>
      </c>
      <c r="DD34" t="e">
        <f>AND(#REF!,"T35SsQiT6Gs=")</f>
        <v>#REF!</v>
      </c>
      <c r="DE34" t="e">
        <f>AND(#REF!,"T35SsQiT6Gw=")</f>
        <v>#REF!</v>
      </c>
      <c r="DF34" t="e">
        <f>AND(#REF!,"T35SsQiT6G0=")</f>
        <v>#REF!</v>
      </c>
      <c r="DG34" t="e">
        <f>AND(#REF!,"T35SsQiT6G4=")</f>
        <v>#REF!</v>
      </c>
      <c r="DH34" t="e">
        <f>AND(#REF!,"T35SsQiT6G8=")</f>
        <v>#REF!</v>
      </c>
      <c r="DI34" t="e">
        <f>AND(#REF!,"T35SsQiT6HA=")</f>
        <v>#REF!</v>
      </c>
      <c r="DJ34" t="e">
        <f>AND(#REF!,"T35SsQiT6HE=")</f>
        <v>#REF!</v>
      </c>
      <c r="DK34" t="e">
        <f>AND(#REF!,"T35SsQiT6HI=")</f>
        <v>#REF!</v>
      </c>
      <c r="DL34" t="e">
        <f>AND(#REF!,"T35SsQiT6HM=")</f>
        <v>#REF!</v>
      </c>
      <c r="DM34" t="e">
        <f>AND(#REF!,"T35SsQiT6HQ=")</f>
        <v>#REF!</v>
      </c>
      <c r="DN34" t="e">
        <f>AND(#REF!,"T35SsQiT6HU=")</f>
        <v>#REF!</v>
      </c>
      <c r="DO34" t="e">
        <f>AND(#REF!,"T35SsQiT6HY=")</f>
        <v>#REF!</v>
      </c>
      <c r="DP34" t="e">
        <f>AND(#REF!,"T35SsQiT6Hc=")</f>
        <v>#REF!</v>
      </c>
      <c r="DQ34" t="e">
        <f>AND(#REF!,"T35SsQiT6Hg=")</f>
        <v>#REF!</v>
      </c>
      <c r="DR34" t="e">
        <f>AND(#REF!,"T35SsQiT6Hk=")</f>
        <v>#REF!</v>
      </c>
      <c r="DS34" t="e">
        <f>AND(#REF!,"T35SsQiT6Ho=")</f>
        <v>#REF!</v>
      </c>
      <c r="DT34" t="e">
        <f>AND(#REF!,"T35SsQiT6Hs=")</f>
        <v>#REF!</v>
      </c>
      <c r="DU34" t="e">
        <f>AND(#REF!,"T35SsQiT6Hw=")</f>
        <v>#REF!</v>
      </c>
      <c r="DV34" t="e">
        <f>AND(#REF!,"T35SsQiT6H0=")</f>
        <v>#REF!</v>
      </c>
      <c r="DW34" t="e">
        <f>AND(#REF!,"T35SsQiT6H4=")</f>
        <v>#REF!</v>
      </c>
      <c r="DX34" t="e">
        <f>AND(#REF!,"T35SsQiT6H8=")</f>
        <v>#REF!</v>
      </c>
      <c r="DY34" t="e">
        <f>AND(#REF!,"T35SsQiT6IA=")</f>
        <v>#REF!</v>
      </c>
      <c r="DZ34" t="e">
        <f>AND(#REF!,"T35SsQiT6IE=")</f>
        <v>#REF!</v>
      </c>
      <c r="EA34" t="e">
        <f>AND(#REF!,"T35SsQiT6II=")</f>
        <v>#REF!</v>
      </c>
      <c r="EB34" t="e">
        <f>AND(#REF!,"T35SsQiT6IM=")</f>
        <v>#REF!</v>
      </c>
      <c r="EC34" t="e">
        <f>AND(#REF!,"T35SsQiT6IQ=")</f>
        <v>#REF!</v>
      </c>
      <c r="ED34" t="e">
        <f>AND(#REF!,"T35SsQiT6IU=")</f>
        <v>#REF!</v>
      </c>
      <c r="EE34" t="e">
        <f>AND(#REF!,"T35SsQiT6IY=")</f>
        <v>#REF!</v>
      </c>
      <c r="EF34" t="e">
        <f>AND(#REF!,"T35SsQiT6Ic=")</f>
        <v>#REF!</v>
      </c>
      <c r="EG34" t="e">
        <f>AND(#REF!,"T35SsQiT6Ig=")</f>
        <v>#REF!</v>
      </c>
      <c r="EH34" t="e">
        <f>AND(#REF!,"T35SsQiT6Ik=")</f>
        <v>#REF!</v>
      </c>
      <c r="EI34" t="e">
        <f>AND(#REF!,"T35SsQiT6Io=")</f>
        <v>#REF!</v>
      </c>
      <c r="EJ34" t="e">
        <f>AND(#REF!,"T35SsQiT6Is=")</f>
        <v>#REF!</v>
      </c>
      <c r="EK34" t="e">
        <f>AND(#REF!,"T35SsQiT6Iw=")</f>
        <v>#REF!</v>
      </c>
      <c r="EL34" t="e">
        <f>AND(#REF!,"T35SsQiT6I0=")</f>
        <v>#REF!</v>
      </c>
      <c r="EM34" t="e">
        <f>AND(#REF!,"T35SsQiT6I4=")</f>
        <v>#REF!</v>
      </c>
      <c r="EN34" t="e">
        <f>AND(#REF!,"T35SsQiT6I8=")</f>
        <v>#REF!</v>
      </c>
      <c r="EO34" t="e">
        <f>AND(#REF!,"T35SsQiT6JA=")</f>
        <v>#REF!</v>
      </c>
      <c r="EP34" t="e">
        <f>AND(#REF!,"T35SsQiT6JE=")</f>
        <v>#REF!</v>
      </c>
      <c r="EQ34" t="e">
        <f>AND(#REF!,"T35SsQiT6JI=")</f>
        <v>#REF!</v>
      </c>
      <c r="ER34" t="e">
        <f>AND(#REF!,"T35SsQiT6JM=")</f>
        <v>#REF!</v>
      </c>
      <c r="ES34" t="e">
        <f>AND(#REF!,"T35SsQiT6JQ=")</f>
        <v>#REF!</v>
      </c>
      <c r="ET34" t="e">
        <f>AND(#REF!,"T35SsQiT6JU=")</f>
        <v>#REF!</v>
      </c>
      <c r="EU34" t="e">
        <f>AND(#REF!,"T35SsQiT6JY=")</f>
        <v>#REF!</v>
      </c>
      <c r="EV34" t="e">
        <f>AND(#REF!,"T35SsQiT6Jc=")</f>
        <v>#REF!</v>
      </c>
      <c r="EW34" t="e">
        <f>AND(#REF!,"T35SsQiT6Jg=")</f>
        <v>#REF!</v>
      </c>
      <c r="EX34" t="e">
        <f>AND(#REF!,"T35SsQiT6Jk=")</f>
        <v>#REF!</v>
      </c>
      <c r="EY34" t="e">
        <f>AND(#REF!,"T35SsQiT6Jo=")</f>
        <v>#REF!</v>
      </c>
      <c r="EZ34" t="e">
        <f>AND(#REF!,"T35SsQiT6Js=")</f>
        <v>#REF!</v>
      </c>
      <c r="FA34" t="e">
        <f>AND(#REF!,"T35SsQiT6Jw=")</f>
        <v>#REF!</v>
      </c>
      <c r="FB34" t="e">
        <f>AND(#REF!,"T35SsQiT6J0=")</f>
        <v>#REF!</v>
      </c>
      <c r="FC34" t="e">
        <f>AND(#REF!,"T35SsQiT6J4=")</f>
        <v>#REF!</v>
      </c>
      <c r="FD34" t="e">
        <f>AND(#REF!,"T35SsQiT6J8=")</f>
        <v>#REF!</v>
      </c>
      <c r="FE34" t="e">
        <f>AND(#REF!,"T35SsQiT6KA=")</f>
        <v>#REF!</v>
      </c>
      <c r="FF34" t="e">
        <f>AND(#REF!,"T35SsQiT6KE=")</f>
        <v>#REF!</v>
      </c>
      <c r="FG34" t="e">
        <f>AND(#REF!,"T35SsQiT6KI=")</f>
        <v>#REF!</v>
      </c>
      <c r="FH34" t="e">
        <f>AND(#REF!,"T35SsQiT6KM=")</f>
        <v>#REF!</v>
      </c>
      <c r="FI34" t="e">
        <f>AND(#REF!,"T35SsQiT6KQ=")</f>
        <v>#REF!</v>
      </c>
      <c r="FJ34" t="e">
        <f>AND(#REF!,"T35SsQiT6KU=")</f>
        <v>#REF!</v>
      </c>
      <c r="FK34" t="e">
        <f>AND(#REF!,"T35SsQiT6KY=")</f>
        <v>#REF!</v>
      </c>
      <c r="FL34" t="e">
        <f>AND(#REF!,"T35SsQiT6Kc=")</f>
        <v>#REF!</v>
      </c>
      <c r="FM34" t="e">
        <f>AND(#REF!,"T35SsQiT6Kg=")</f>
        <v>#REF!</v>
      </c>
      <c r="FN34" t="e">
        <f>AND(#REF!,"T35SsQiT6Kk=")</f>
        <v>#REF!</v>
      </c>
      <c r="FO34" t="e">
        <f>AND(#REF!,"T35SsQiT6Ko=")</f>
        <v>#REF!</v>
      </c>
      <c r="FP34" t="e">
        <f>AND(#REF!,"T35SsQiT6Ks=")</f>
        <v>#REF!</v>
      </c>
      <c r="FQ34" t="e">
        <f>AND(#REF!,"T35SsQiT6Kw=")</f>
        <v>#REF!</v>
      </c>
      <c r="FR34" t="e">
        <f>AND(#REF!,"T35SsQiT6K0=")</f>
        <v>#REF!</v>
      </c>
      <c r="FS34" t="e">
        <f>AND(#REF!,"T35SsQiT6K4=")</f>
        <v>#REF!</v>
      </c>
      <c r="FT34" t="e">
        <f>AND(#REF!,"T35SsQiT6K8=")</f>
        <v>#REF!</v>
      </c>
      <c r="FU34" t="e">
        <f>AND(#REF!,"T35SsQiT6LA=")</f>
        <v>#REF!</v>
      </c>
      <c r="FV34" t="e">
        <f>AND(#REF!,"T35SsQiT6LE=")</f>
        <v>#REF!</v>
      </c>
      <c r="FW34" t="e">
        <f>AND(#REF!,"T35SsQiT6LI=")</f>
        <v>#REF!</v>
      </c>
      <c r="FX34" t="e">
        <f>AND(#REF!,"T35SsQiT6LM=")</f>
        <v>#REF!</v>
      </c>
      <c r="FY34" t="e">
        <f>AND(#REF!,"T35SsQiT6LQ=")</f>
        <v>#REF!</v>
      </c>
      <c r="FZ34" t="e">
        <f>AND(#REF!,"T35SsQiT6LU=")</f>
        <v>#REF!</v>
      </c>
      <c r="GA34" t="e">
        <f>AND(#REF!,"T35SsQiT6LY=")</f>
        <v>#REF!</v>
      </c>
      <c r="GB34" t="e">
        <f>AND(#REF!,"T35SsQiT6Lc=")</f>
        <v>#REF!</v>
      </c>
      <c r="GC34" t="e">
        <f>AND(#REF!,"T35SsQiT6Lg=")</f>
        <v>#REF!</v>
      </c>
      <c r="GD34" t="e">
        <f>AND(#REF!,"T35SsQiT6Lk=")</f>
        <v>#REF!</v>
      </c>
      <c r="GE34" t="e">
        <f>AND(#REF!,"T35SsQiT6Lo=")</f>
        <v>#REF!</v>
      </c>
      <c r="GF34" t="e">
        <f>AND(#REF!,"T35SsQiT6Ls=")</f>
        <v>#REF!</v>
      </c>
      <c r="GG34" t="e">
        <f>AND(#REF!,"T35SsQiT6Lw=")</f>
        <v>#REF!</v>
      </c>
      <c r="GH34" t="e">
        <f>AND(#REF!,"T35SsQiT6L0=")</f>
        <v>#REF!</v>
      </c>
      <c r="GI34" t="e">
        <f>AND(#REF!,"T35SsQiT6L4=")</f>
        <v>#REF!</v>
      </c>
      <c r="GJ34" t="e">
        <f>AND(#REF!,"T35SsQiT6L8=")</f>
        <v>#REF!</v>
      </c>
      <c r="GK34" t="e">
        <f>AND(#REF!,"T35SsQiT6MA=")</f>
        <v>#REF!</v>
      </c>
      <c r="GL34" t="e">
        <f>AND(#REF!,"T35SsQiT6ME=")</f>
        <v>#REF!</v>
      </c>
      <c r="GM34" t="e">
        <f>AND(#REF!,"T35SsQiT6MI=")</f>
        <v>#REF!</v>
      </c>
      <c r="GN34" t="e">
        <f>AND(#REF!,"T35SsQiT6MM=")</f>
        <v>#REF!</v>
      </c>
      <c r="GO34" t="e">
        <f>AND(#REF!,"T35SsQiT6MQ=")</f>
        <v>#REF!</v>
      </c>
      <c r="GP34" t="e">
        <f>AND(#REF!,"T35SsQiT6MU=")</f>
        <v>#REF!</v>
      </c>
      <c r="GQ34" t="e">
        <f>AND(#REF!,"T35SsQiT6MY=")</f>
        <v>#REF!</v>
      </c>
      <c r="GR34" t="e">
        <f>AND(#REF!,"T35SsQiT6Mc=")</f>
        <v>#REF!</v>
      </c>
      <c r="GS34" t="e">
        <f>AND(#REF!,"T35SsQiT6Mg=")</f>
        <v>#REF!</v>
      </c>
      <c r="GT34" t="e">
        <f>AND(#REF!,"T35SsQiT6Mk=")</f>
        <v>#REF!</v>
      </c>
      <c r="GU34" t="e">
        <f>AND(#REF!,"T35SsQiT6Mo=")</f>
        <v>#REF!</v>
      </c>
      <c r="GV34" t="e">
        <f>AND(#REF!,"T35SsQiT6Ms=")</f>
        <v>#REF!</v>
      </c>
      <c r="GW34" t="e">
        <f>AND(#REF!,"T35SsQiT6Mw=")</f>
        <v>#REF!</v>
      </c>
      <c r="GX34" t="e">
        <f>AND(#REF!,"T35SsQiT6M0=")</f>
        <v>#REF!</v>
      </c>
      <c r="GY34" t="e">
        <f>AND(#REF!,"T35SsQiT6M4=")</f>
        <v>#REF!</v>
      </c>
      <c r="GZ34" t="e">
        <f>AND(#REF!,"T35SsQiT6M8=")</f>
        <v>#REF!</v>
      </c>
      <c r="HA34" t="e">
        <f>AND(#REF!,"T35SsQiT6NA=")</f>
        <v>#REF!</v>
      </c>
      <c r="HB34" t="e">
        <f>AND(#REF!,"T35SsQiT6NE=")</f>
        <v>#REF!</v>
      </c>
      <c r="HC34" t="e">
        <f>AND(#REF!,"T35SsQiT6NI=")</f>
        <v>#REF!</v>
      </c>
      <c r="HD34" t="e">
        <f>AND(#REF!,"T35SsQiT6NM=")</f>
        <v>#REF!</v>
      </c>
      <c r="HE34" t="e">
        <f>AND(#REF!,"T35SsQiT6NQ=")</f>
        <v>#REF!</v>
      </c>
      <c r="HF34" t="e">
        <f>AND(#REF!,"T35SsQiT6NU=")</f>
        <v>#REF!</v>
      </c>
      <c r="HG34" t="e">
        <f>AND(#REF!,"T35SsQiT6NY=")</f>
        <v>#REF!</v>
      </c>
      <c r="HH34" t="e">
        <f>AND(#REF!,"T35SsQiT6Nc=")</f>
        <v>#REF!</v>
      </c>
      <c r="HI34" t="e">
        <f>AND(#REF!,"T35SsQiT6Ng=")</f>
        <v>#REF!</v>
      </c>
      <c r="HJ34" t="e">
        <f>AND(#REF!,"T35SsQiT6Nk=")</f>
        <v>#REF!</v>
      </c>
      <c r="HK34" t="e">
        <f>AND(#REF!,"T35SsQiT6No=")</f>
        <v>#REF!</v>
      </c>
      <c r="HL34" t="e">
        <f>AND(#REF!,"T35SsQiT6Ns=")</f>
        <v>#REF!</v>
      </c>
      <c r="HM34" t="e">
        <f>AND(#REF!,"T35SsQiT6Nw=")</f>
        <v>#REF!</v>
      </c>
      <c r="HN34" t="e">
        <f>AND(#REF!,"T35SsQiT6N0=")</f>
        <v>#REF!</v>
      </c>
      <c r="HO34" t="e">
        <f>AND(#REF!,"T35SsQiT6N4=")</f>
        <v>#REF!</v>
      </c>
      <c r="HP34" t="e">
        <f>AND(#REF!,"T35SsQiT6N8=")</f>
        <v>#REF!</v>
      </c>
      <c r="HQ34" t="e">
        <f>AND(#REF!,"T35SsQiT6OA=")</f>
        <v>#REF!</v>
      </c>
      <c r="HR34" t="e">
        <f>AND(#REF!,"T35SsQiT6OE=")</f>
        <v>#REF!</v>
      </c>
      <c r="HS34" t="e">
        <f>AND(#REF!,"T35SsQiT6OI=")</f>
        <v>#REF!</v>
      </c>
      <c r="HT34" t="e">
        <f>AND(#REF!,"T35SsQiT6OM=")</f>
        <v>#REF!</v>
      </c>
      <c r="HU34" t="e">
        <f>AND(#REF!,"T35SsQiT6OQ=")</f>
        <v>#REF!</v>
      </c>
      <c r="HV34" t="e">
        <f>AND(#REF!,"T35SsQiT6OU=")</f>
        <v>#REF!</v>
      </c>
      <c r="HW34" t="e">
        <f>AND(#REF!,"T35SsQiT6OY=")</f>
        <v>#REF!</v>
      </c>
      <c r="HX34" t="e">
        <f>AND(#REF!,"T35SsQiT6Oc=")</f>
        <v>#REF!</v>
      </c>
      <c r="HY34" t="e">
        <f>AND(#REF!,"T35SsQiT6Og=")</f>
        <v>#REF!</v>
      </c>
      <c r="HZ34" t="e">
        <f>AND(#REF!,"T35SsQiT6Ok=")</f>
        <v>#REF!</v>
      </c>
      <c r="IA34" t="e">
        <f>AND(#REF!,"T35SsQiT6Oo=")</f>
        <v>#REF!</v>
      </c>
      <c r="IB34" t="e">
        <f>AND(#REF!,"T35SsQiT6Os=")</f>
        <v>#REF!</v>
      </c>
      <c r="IC34" t="e">
        <f>AND(#REF!,"T35SsQiT6Ow=")</f>
        <v>#REF!</v>
      </c>
      <c r="ID34" t="e">
        <f>AND(#REF!,"T35SsQiT6O0=")</f>
        <v>#REF!</v>
      </c>
      <c r="IE34" t="e">
        <f>AND(#REF!,"T35SsQiT6O4=")</f>
        <v>#REF!</v>
      </c>
      <c r="IF34" t="e">
        <f>AND(#REF!,"T35SsQiT6O8=")</f>
        <v>#REF!</v>
      </c>
      <c r="IG34" t="e">
        <f>AND(#REF!,"T35SsQiT6PA=")</f>
        <v>#REF!</v>
      </c>
      <c r="IH34" t="e">
        <f>AND(#REF!,"T35SsQiT6PE=")</f>
        <v>#REF!</v>
      </c>
      <c r="II34" t="e">
        <f>AND(#REF!,"T35SsQiT6PI=")</f>
        <v>#REF!</v>
      </c>
      <c r="IJ34" t="e">
        <f>AND(#REF!,"T35SsQiT6PM=")</f>
        <v>#REF!</v>
      </c>
      <c r="IK34" t="e">
        <f>AND(#REF!,"T35SsQiT6PQ=")</f>
        <v>#REF!</v>
      </c>
      <c r="IL34" t="e">
        <f>AND(#REF!,"T35SsQiT6PU=")</f>
        <v>#REF!</v>
      </c>
      <c r="IM34" t="e">
        <f>AND(#REF!,"T35SsQiT6PY=")</f>
        <v>#REF!</v>
      </c>
      <c r="IN34" t="e">
        <f>AND(#REF!,"T35SsQiT6Pc=")</f>
        <v>#REF!</v>
      </c>
      <c r="IO34" t="e">
        <f>AND(#REF!,"T35SsQiT6Pg=")</f>
        <v>#REF!</v>
      </c>
      <c r="IP34" t="e">
        <f>AND(#REF!,"T35SsQiT6Pk=")</f>
        <v>#REF!</v>
      </c>
      <c r="IQ34" t="e">
        <f>AND(#REF!,"T35SsQiT6Po=")</f>
        <v>#REF!</v>
      </c>
      <c r="IR34" t="e">
        <f>AND(#REF!,"T35SsQiT6Ps=")</f>
        <v>#REF!</v>
      </c>
      <c r="IS34" t="e">
        <f>AND(#REF!,"T35SsQiT6Pw=")</f>
        <v>#REF!</v>
      </c>
      <c r="IT34" t="e">
        <f>AND(#REF!,"T35SsQiT6P0=")</f>
        <v>#REF!</v>
      </c>
      <c r="IU34" t="e">
        <f>IF(#REF!,"T35SsQiT6P4=",0)</f>
        <v>#REF!</v>
      </c>
      <c r="IV34" t="e">
        <f>AND(#REF!,"T35SsQiT6P8=")</f>
        <v>#REF!</v>
      </c>
    </row>
    <row r="35" spans="1:256" x14ac:dyDescent="0.2">
      <c r="A35" t="e">
        <f>AND(#REF!,"CQAD9V+j4gA=")</f>
        <v>#REF!</v>
      </c>
      <c r="B35" t="e">
        <f>AND(#REF!,"CQAD9V+j4gE=")</f>
        <v>#REF!</v>
      </c>
      <c r="C35" t="e">
        <f>AND(#REF!,"CQAD9V+j4gI=")</f>
        <v>#REF!</v>
      </c>
      <c r="D35" t="e">
        <f>AND(#REF!,"CQAD9V+j4gM=")</f>
        <v>#REF!</v>
      </c>
      <c r="E35" t="e">
        <f>AND(#REF!,"CQAD9V+j4gQ=")</f>
        <v>#REF!</v>
      </c>
      <c r="F35" t="e">
        <f>AND(#REF!,"CQAD9V+j4gU=")</f>
        <v>#REF!</v>
      </c>
      <c r="G35" t="e">
        <f>AND(#REF!,"CQAD9V+j4gY=")</f>
        <v>#REF!</v>
      </c>
      <c r="H35" t="e">
        <f>AND(#REF!,"CQAD9V+j4gc=")</f>
        <v>#REF!</v>
      </c>
      <c r="I35" t="e">
        <f>AND(#REF!,"CQAD9V+j4gg=")</f>
        <v>#REF!</v>
      </c>
      <c r="J35" t="e">
        <f>AND(#REF!,"CQAD9V+j4gk=")</f>
        <v>#REF!</v>
      </c>
      <c r="K35" t="e">
        <f>AND(#REF!,"CQAD9V+j4go=")</f>
        <v>#REF!</v>
      </c>
      <c r="L35" t="e">
        <f>AND(#REF!,"CQAD9V+j4gs=")</f>
        <v>#REF!</v>
      </c>
      <c r="M35" t="e">
        <f>AND(#REF!,"CQAD9V+j4gw=")</f>
        <v>#REF!</v>
      </c>
      <c r="N35" t="e">
        <f>AND(#REF!,"CQAD9V+j4g0=")</f>
        <v>#REF!</v>
      </c>
      <c r="O35" t="e">
        <f>AND(#REF!,"CQAD9V+j4g4=")</f>
        <v>#REF!</v>
      </c>
      <c r="P35" t="e">
        <f>AND(#REF!,"CQAD9V+j4g8=")</f>
        <v>#REF!</v>
      </c>
      <c r="Q35" t="e">
        <f>AND(#REF!,"CQAD9V+j4hA=")</f>
        <v>#REF!</v>
      </c>
      <c r="R35" t="e">
        <f>AND(#REF!,"CQAD9V+j4hE=")</f>
        <v>#REF!</v>
      </c>
      <c r="S35" t="e">
        <f>AND(#REF!,"CQAD9V+j4hI=")</f>
        <v>#REF!</v>
      </c>
      <c r="T35" t="e">
        <f>AND(#REF!,"CQAD9V+j4hM=")</f>
        <v>#REF!</v>
      </c>
      <c r="U35" t="e">
        <f>AND(#REF!,"CQAD9V+j4hQ=")</f>
        <v>#REF!</v>
      </c>
      <c r="V35" t="e">
        <f>AND(#REF!,"CQAD9V+j4hU=")</f>
        <v>#REF!</v>
      </c>
      <c r="W35" t="e">
        <f>AND(#REF!,"CQAD9V+j4hY=")</f>
        <v>#REF!</v>
      </c>
      <c r="X35" t="e">
        <f>AND(#REF!,"CQAD9V+j4hc=")</f>
        <v>#REF!</v>
      </c>
      <c r="Y35" t="e">
        <f>AND(#REF!,"CQAD9V+j4hg=")</f>
        <v>#REF!</v>
      </c>
      <c r="Z35" t="e">
        <f>AND(#REF!,"CQAD9V+j4hk=")</f>
        <v>#REF!</v>
      </c>
      <c r="AA35" t="e">
        <f>AND(#REF!,"CQAD9V+j4ho=")</f>
        <v>#REF!</v>
      </c>
      <c r="AB35" t="e">
        <f>AND(#REF!,"CQAD9V+j4hs=")</f>
        <v>#REF!</v>
      </c>
      <c r="AC35" t="e">
        <f>AND(#REF!,"CQAD9V+j4hw=")</f>
        <v>#REF!</v>
      </c>
      <c r="AD35" t="e">
        <f>AND(#REF!,"CQAD9V+j4h0=")</f>
        <v>#REF!</v>
      </c>
      <c r="AE35" t="e">
        <f>AND(#REF!,"CQAD9V+j4h4=")</f>
        <v>#REF!</v>
      </c>
      <c r="AF35" t="e">
        <f>AND(#REF!,"CQAD9V+j4h8=")</f>
        <v>#REF!</v>
      </c>
      <c r="AG35" t="e">
        <f>AND(#REF!,"CQAD9V+j4iA=")</f>
        <v>#REF!</v>
      </c>
      <c r="AH35" t="e">
        <f>AND(#REF!,"CQAD9V+j4iE=")</f>
        <v>#REF!</v>
      </c>
      <c r="AI35" t="e">
        <f>AND(#REF!,"CQAD9V+j4iI=")</f>
        <v>#REF!</v>
      </c>
      <c r="AJ35" t="e">
        <f>AND(#REF!,"CQAD9V+j4iM=")</f>
        <v>#REF!</v>
      </c>
      <c r="AK35" t="e">
        <f>AND(#REF!,"CQAD9V+j4iQ=")</f>
        <v>#REF!</v>
      </c>
      <c r="AL35" t="e">
        <f>AND(#REF!,"CQAD9V+j4iU=")</f>
        <v>#REF!</v>
      </c>
      <c r="AM35" t="e">
        <f>AND(#REF!,"CQAD9V+j4iY=")</f>
        <v>#REF!</v>
      </c>
      <c r="AN35" t="e">
        <f>AND(#REF!,"CQAD9V+j4ic=")</f>
        <v>#REF!</v>
      </c>
      <c r="AO35" t="e">
        <f>AND(#REF!,"CQAD9V+j4ig=")</f>
        <v>#REF!</v>
      </c>
      <c r="AP35" t="e">
        <f>AND(#REF!,"CQAD9V+j4ik=")</f>
        <v>#REF!</v>
      </c>
      <c r="AQ35" t="e">
        <f>AND(#REF!,"CQAD9V+j4io=")</f>
        <v>#REF!</v>
      </c>
      <c r="AR35" t="e">
        <f>AND(#REF!,"CQAD9V+j4is=")</f>
        <v>#REF!</v>
      </c>
      <c r="AS35" t="e">
        <f>AND(#REF!,"CQAD9V+j4iw=")</f>
        <v>#REF!</v>
      </c>
      <c r="AT35" t="e">
        <f>AND(#REF!,"CQAD9V+j4i0=")</f>
        <v>#REF!</v>
      </c>
      <c r="AU35" t="e">
        <f>AND(#REF!,"CQAD9V+j4i4=")</f>
        <v>#REF!</v>
      </c>
      <c r="AV35" t="e">
        <f>AND(#REF!,"CQAD9V+j4i8=")</f>
        <v>#REF!</v>
      </c>
      <c r="AW35" t="e">
        <f>AND(#REF!,"CQAD9V+j4jA=")</f>
        <v>#REF!</v>
      </c>
      <c r="AX35" t="e">
        <f>AND(#REF!,"CQAD9V+j4jE=")</f>
        <v>#REF!</v>
      </c>
      <c r="AY35" t="e">
        <f>AND(#REF!,"CQAD9V+j4jI=")</f>
        <v>#REF!</v>
      </c>
      <c r="AZ35" t="e">
        <f>AND(#REF!,"CQAD9V+j4jM=")</f>
        <v>#REF!</v>
      </c>
      <c r="BA35" t="e">
        <f>AND(#REF!,"CQAD9V+j4jQ=")</f>
        <v>#REF!</v>
      </c>
      <c r="BB35" t="e">
        <f>AND(#REF!,"CQAD9V+j4jU=")</f>
        <v>#REF!</v>
      </c>
      <c r="BC35" t="e">
        <f>AND(#REF!,"CQAD9V+j4jY=")</f>
        <v>#REF!</v>
      </c>
      <c r="BD35" t="e">
        <f>AND(#REF!,"CQAD9V+j4jc=")</f>
        <v>#REF!</v>
      </c>
      <c r="BE35" t="e">
        <f>AND(#REF!,"CQAD9V+j4jg=")</f>
        <v>#REF!</v>
      </c>
      <c r="BF35" t="e">
        <f>AND(#REF!,"CQAD9V+j4jk=")</f>
        <v>#REF!</v>
      </c>
      <c r="BG35" t="e">
        <f>AND(#REF!,"CQAD9V+j4jo=")</f>
        <v>#REF!</v>
      </c>
      <c r="BH35" t="e">
        <f>AND(#REF!,"CQAD9V+j4js=")</f>
        <v>#REF!</v>
      </c>
      <c r="BI35" t="e">
        <f>AND(#REF!,"CQAD9V+j4jw=")</f>
        <v>#REF!</v>
      </c>
      <c r="BJ35" t="e">
        <f>AND(#REF!,"CQAD9V+j4j0=")</f>
        <v>#REF!</v>
      </c>
      <c r="BK35" t="e">
        <f>AND(#REF!,"CQAD9V+j4j4=")</f>
        <v>#REF!</v>
      </c>
      <c r="BL35" t="e">
        <f>AND(#REF!,"CQAD9V+j4j8=")</f>
        <v>#REF!</v>
      </c>
      <c r="BM35" t="e">
        <f>AND(#REF!,"CQAD9V+j4kA=")</f>
        <v>#REF!</v>
      </c>
      <c r="BN35" t="e">
        <f>AND(#REF!,"CQAD9V+j4kE=")</f>
        <v>#REF!</v>
      </c>
      <c r="BO35" t="e">
        <f>AND(#REF!,"CQAD9V+j4kI=")</f>
        <v>#REF!</v>
      </c>
      <c r="BP35" t="e">
        <f>AND(#REF!,"CQAD9V+j4kM=")</f>
        <v>#REF!</v>
      </c>
      <c r="BQ35" t="e">
        <f>AND(#REF!,"CQAD9V+j4kQ=")</f>
        <v>#REF!</v>
      </c>
      <c r="BR35" t="e">
        <f>AND(#REF!,"CQAD9V+j4kU=")</f>
        <v>#REF!</v>
      </c>
      <c r="BS35" t="e">
        <f>AND(#REF!,"CQAD9V+j4kY=")</f>
        <v>#REF!</v>
      </c>
      <c r="BT35" t="e">
        <f>AND(#REF!,"CQAD9V+j4kc=")</f>
        <v>#REF!</v>
      </c>
      <c r="BU35" t="e">
        <f>AND(#REF!,"CQAD9V+j4kg=")</f>
        <v>#REF!</v>
      </c>
      <c r="BV35" t="e">
        <f>AND(#REF!,"CQAD9V+j4kk=")</f>
        <v>#REF!</v>
      </c>
      <c r="BW35" t="e">
        <f>AND(#REF!,"CQAD9V+j4ko=")</f>
        <v>#REF!</v>
      </c>
      <c r="BX35" t="e">
        <f>AND(#REF!,"CQAD9V+j4ks=")</f>
        <v>#REF!</v>
      </c>
      <c r="BY35" t="e">
        <f>AND(#REF!,"CQAD9V+j4kw=")</f>
        <v>#REF!</v>
      </c>
      <c r="BZ35" t="e">
        <f>AND(#REF!,"CQAD9V+j4k0=")</f>
        <v>#REF!</v>
      </c>
      <c r="CA35" t="e">
        <f>AND(#REF!,"CQAD9V+j4k4=")</f>
        <v>#REF!</v>
      </c>
      <c r="CB35" t="e">
        <f>AND(#REF!,"CQAD9V+j4k8=")</f>
        <v>#REF!</v>
      </c>
      <c r="CC35" t="e">
        <f>AND(#REF!,"CQAD9V+j4lA=")</f>
        <v>#REF!</v>
      </c>
      <c r="CD35" t="e">
        <f>AND(#REF!,"CQAD9V+j4lE=")</f>
        <v>#REF!</v>
      </c>
      <c r="CE35" t="e">
        <f>AND(#REF!,"CQAD9V+j4lI=")</f>
        <v>#REF!</v>
      </c>
      <c r="CF35" t="e">
        <f>AND(#REF!,"CQAD9V+j4lM=")</f>
        <v>#REF!</v>
      </c>
      <c r="CG35" t="e">
        <f>AND(#REF!,"CQAD9V+j4lQ=")</f>
        <v>#REF!</v>
      </c>
      <c r="CH35" t="e">
        <f>AND(#REF!,"CQAD9V+j4lU=")</f>
        <v>#REF!</v>
      </c>
      <c r="CI35" t="e">
        <f>AND(#REF!,"CQAD9V+j4lY=")</f>
        <v>#REF!</v>
      </c>
      <c r="CJ35" t="e">
        <f>AND(#REF!,"CQAD9V+j4lc=")</f>
        <v>#REF!</v>
      </c>
      <c r="CK35" t="e">
        <f>AND(#REF!,"CQAD9V+j4lg=")</f>
        <v>#REF!</v>
      </c>
      <c r="CL35" t="e">
        <f>AND(#REF!,"CQAD9V+j4lk=")</f>
        <v>#REF!</v>
      </c>
      <c r="CM35" t="e">
        <f>AND(#REF!,"CQAD9V+j4lo=")</f>
        <v>#REF!</v>
      </c>
      <c r="CN35" t="e">
        <f>AND(#REF!,"CQAD9V+j4ls=")</f>
        <v>#REF!</v>
      </c>
      <c r="CO35" t="e">
        <f>AND(#REF!,"CQAD9V+j4lw=")</f>
        <v>#REF!</v>
      </c>
      <c r="CP35" t="e">
        <f>AND(#REF!,"CQAD9V+j4l0=")</f>
        <v>#REF!</v>
      </c>
      <c r="CQ35" t="e">
        <f>AND(#REF!,"CQAD9V+j4l4=")</f>
        <v>#REF!</v>
      </c>
      <c r="CR35" t="e">
        <f>AND(#REF!,"CQAD9V+j4l8=")</f>
        <v>#REF!</v>
      </c>
      <c r="CS35" t="e">
        <f>AND(#REF!,"CQAD9V+j4mA=")</f>
        <v>#REF!</v>
      </c>
      <c r="CT35" t="e">
        <f>AND(#REF!,"CQAD9V+j4mE=")</f>
        <v>#REF!</v>
      </c>
      <c r="CU35" t="e">
        <f>AND(#REF!,"CQAD9V+j4mI=")</f>
        <v>#REF!</v>
      </c>
      <c r="CV35" t="e">
        <f>AND(#REF!,"CQAD9V+j4mM=")</f>
        <v>#REF!</v>
      </c>
      <c r="CW35" t="e">
        <f>AND(#REF!,"CQAD9V+j4mQ=")</f>
        <v>#REF!</v>
      </c>
      <c r="CX35" t="e">
        <f>AND(#REF!,"CQAD9V+j4mU=")</f>
        <v>#REF!</v>
      </c>
      <c r="CY35" t="e">
        <f>AND(#REF!,"CQAD9V+j4mY=")</f>
        <v>#REF!</v>
      </c>
      <c r="CZ35" t="e">
        <f>AND(#REF!,"CQAD9V+j4mc=")</f>
        <v>#REF!</v>
      </c>
      <c r="DA35" t="e">
        <f>AND(#REF!,"CQAD9V+j4mg=")</f>
        <v>#REF!</v>
      </c>
      <c r="DB35" t="e">
        <f>AND(#REF!,"CQAD9V+j4mk=")</f>
        <v>#REF!</v>
      </c>
      <c r="DC35" t="e">
        <f>AND(#REF!,"CQAD9V+j4mo=")</f>
        <v>#REF!</v>
      </c>
      <c r="DD35" t="e">
        <f>AND(#REF!,"CQAD9V+j4ms=")</f>
        <v>#REF!</v>
      </c>
      <c r="DE35" t="e">
        <f>AND(#REF!,"CQAD9V+j4mw=")</f>
        <v>#REF!</v>
      </c>
      <c r="DF35" t="e">
        <f>AND(#REF!,"CQAD9V+j4m0=")</f>
        <v>#REF!</v>
      </c>
      <c r="DG35" t="e">
        <f>AND(#REF!,"CQAD9V+j4m4=")</f>
        <v>#REF!</v>
      </c>
      <c r="DH35" t="e">
        <f>AND(#REF!,"CQAD9V+j4m8=")</f>
        <v>#REF!</v>
      </c>
      <c r="DI35" t="e">
        <f>AND(#REF!,"CQAD9V+j4nA=")</f>
        <v>#REF!</v>
      </c>
      <c r="DJ35" t="e">
        <f>AND(#REF!,"CQAD9V+j4nE=")</f>
        <v>#REF!</v>
      </c>
      <c r="DK35" t="e">
        <f>AND(#REF!,"CQAD9V+j4nI=")</f>
        <v>#REF!</v>
      </c>
      <c r="DL35" t="e">
        <f>AND(#REF!,"CQAD9V+j4nM=")</f>
        <v>#REF!</v>
      </c>
      <c r="DM35" t="e">
        <f>AND(#REF!,"CQAD9V+j4nQ=")</f>
        <v>#REF!</v>
      </c>
      <c r="DN35" t="e">
        <f>AND(#REF!,"CQAD9V+j4nU=")</f>
        <v>#REF!</v>
      </c>
      <c r="DO35" t="e">
        <f>AND(#REF!,"CQAD9V+j4nY=")</f>
        <v>#REF!</v>
      </c>
      <c r="DP35" t="e">
        <f>AND(#REF!,"CQAD9V+j4nc=")</f>
        <v>#REF!</v>
      </c>
      <c r="DQ35" t="e">
        <f>AND(#REF!,"CQAD9V+j4ng=")</f>
        <v>#REF!</v>
      </c>
      <c r="DR35" t="e">
        <f>AND(#REF!,"CQAD9V+j4nk=")</f>
        <v>#REF!</v>
      </c>
      <c r="DS35" t="e">
        <f>AND(#REF!,"CQAD9V+j4no=")</f>
        <v>#REF!</v>
      </c>
      <c r="DT35" t="e">
        <f>AND(#REF!,"CQAD9V+j4ns=")</f>
        <v>#REF!</v>
      </c>
      <c r="DU35" t="e">
        <f>AND(#REF!,"CQAD9V+j4nw=")</f>
        <v>#REF!</v>
      </c>
      <c r="DV35" t="e">
        <f>AND(#REF!,"CQAD9V+j4n0=")</f>
        <v>#REF!</v>
      </c>
      <c r="DW35" t="e">
        <f>AND(#REF!,"CQAD9V+j4n4=")</f>
        <v>#REF!</v>
      </c>
      <c r="DX35" t="e">
        <f>AND(#REF!,"CQAD9V+j4n8=")</f>
        <v>#REF!</v>
      </c>
      <c r="DY35" t="e">
        <f>AND(#REF!,"CQAD9V+j4oA=")</f>
        <v>#REF!</v>
      </c>
      <c r="DZ35" t="e">
        <f>AND(#REF!,"CQAD9V+j4oE=")</f>
        <v>#REF!</v>
      </c>
      <c r="EA35" t="e">
        <f>AND(#REF!,"CQAD9V+j4oI=")</f>
        <v>#REF!</v>
      </c>
      <c r="EB35" t="e">
        <f>AND(#REF!,"CQAD9V+j4oM=")</f>
        <v>#REF!</v>
      </c>
      <c r="EC35" t="e">
        <f>AND(#REF!,"CQAD9V+j4oQ=")</f>
        <v>#REF!</v>
      </c>
      <c r="ED35" t="e">
        <f>AND(#REF!,"CQAD9V+j4oU=")</f>
        <v>#REF!</v>
      </c>
      <c r="EE35" t="e">
        <f>AND(#REF!,"CQAD9V+j4oY=")</f>
        <v>#REF!</v>
      </c>
      <c r="EF35" t="e">
        <f>AND(#REF!,"CQAD9V+j4oc=")</f>
        <v>#REF!</v>
      </c>
      <c r="EG35" t="e">
        <f>AND(#REF!,"CQAD9V+j4og=")</f>
        <v>#REF!</v>
      </c>
      <c r="EH35" t="e">
        <f>AND(#REF!,"CQAD9V+j4ok=")</f>
        <v>#REF!</v>
      </c>
      <c r="EI35" t="e">
        <f>AND(#REF!,"CQAD9V+j4oo=")</f>
        <v>#REF!</v>
      </c>
      <c r="EJ35" t="e">
        <f>AND(#REF!,"CQAD9V+j4os=")</f>
        <v>#REF!</v>
      </c>
      <c r="EK35" t="e">
        <f>AND(#REF!,"CQAD9V+j4ow=")</f>
        <v>#REF!</v>
      </c>
      <c r="EL35" t="e">
        <f>AND(#REF!,"CQAD9V+j4o0=")</f>
        <v>#REF!</v>
      </c>
      <c r="EM35" t="e">
        <f>AND(#REF!,"CQAD9V+j4o4=")</f>
        <v>#REF!</v>
      </c>
      <c r="EN35" t="e">
        <f>AND(#REF!,"CQAD9V+j4o8=")</f>
        <v>#REF!</v>
      </c>
      <c r="EO35" t="e">
        <f>AND(#REF!,"CQAD9V+j4pA=")</f>
        <v>#REF!</v>
      </c>
      <c r="EP35" t="e">
        <f>AND(#REF!,"CQAD9V+j4pE=")</f>
        <v>#REF!</v>
      </c>
      <c r="EQ35" t="e">
        <f>AND(#REF!,"CQAD9V+j4pI=")</f>
        <v>#REF!</v>
      </c>
      <c r="ER35" t="e">
        <f>AND(#REF!,"CQAD9V+j4pM=")</f>
        <v>#REF!</v>
      </c>
      <c r="ES35" t="e">
        <f>AND(#REF!,"CQAD9V+j4pQ=")</f>
        <v>#REF!</v>
      </c>
      <c r="ET35" t="e">
        <f>AND(#REF!,"CQAD9V+j4pU=")</f>
        <v>#REF!</v>
      </c>
      <c r="EU35" t="e">
        <f>AND(#REF!,"CQAD9V+j4pY=")</f>
        <v>#REF!</v>
      </c>
      <c r="EV35" t="e">
        <f>AND(#REF!,"CQAD9V+j4pc=")</f>
        <v>#REF!</v>
      </c>
      <c r="EW35" t="e">
        <f>AND(#REF!,"CQAD9V+j4pg=")</f>
        <v>#REF!</v>
      </c>
      <c r="EX35" t="e">
        <f>AND(#REF!,"CQAD9V+j4pk=")</f>
        <v>#REF!</v>
      </c>
      <c r="EY35" t="e">
        <f>AND(#REF!,"CQAD9V+j4po=")</f>
        <v>#REF!</v>
      </c>
      <c r="EZ35" t="e">
        <f>AND(#REF!,"CQAD9V+j4ps=")</f>
        <v>#REF!</v>
      </c>
      <c r="FA35" t="e">
        <f>AND(#REF!,"CQAD9V+j4pw=")</f>
        <v>#REF!</v>
      </c>
      <c r="FB35" t="e">
        <f>AND(#REF!,"CQAD9V+j4p0=")</f>
        <v>#REF!</v>
      </c>
      <c r="FC35" t="e">
        <f>AND(#REF!,"CQAD9V+j4p4=")</f>
        <v>#REF!</v>
      </c>
      <c r="FD35" t="e">
        <f>AND(#REF!,"CQAD9V+j4p8=")</f>
        <v>#REF!</v>
      </c>
      <c r="FE35" t="e">
        <f>AND(#REF!,"CQAD9V+j4qA=")</f>
        <v>#REF!</v>
      </c>
      <c r="FF35" t="e">
        <f>AND(#REF!,"CQAD9V+j4qE=")</f>
        <v>#REF!</v>
      </c>
      <c r="FG35" t="e">
        <f>AND(#REF!,"CQAD9V+j4qI=")</f>
        <v>#REF!</v>
      </c>
      <c r="FH35" t="e">
        <f>AND(#REF!,"CQAD9V+j4qM=")</f>
        <v>#REF!</v>
      </c>
      <c r="FI35" t="e">
        <f>AND(#REF!,"CQAD9V+j4qQ=")</f>
        <v>#REF!</v>
      </c>
      <c r="FJ35" t="e">
        <f>AND(#REF!,"CQAD9V+j4qU=")</f>
        <v>#REF!</v>
      </c>
      <c r="FK35" t="e">
        <f>AND(#REF!,"CQAD9V+j4qY=")</f>
        <v>#REF!</v>
      </c>
      <c r="FL35" t="e">
        <f>AND(#REF!,"CQAD9V+j4qc=")</f>
        <v>#REF!</v>
      </c>
      <c r="FM35" t="e">
        <f>AND(#REF!,"CQAD9V+j4qg=")</f>
        <v>#REF!</v>
      </c>
      <c r="FN35" t="e">
        <f>AND(#REF!,"CQAD9V+j4qk=")</f>
        <v>#REF!</v>
      </c>
      <c r="FO35" t="e">
        <f>AND(#REF!,"CQAD9V+j4qo=")</f>
        <v>#REF!</v>
      </c>
      <c r="FP35" t="e">
        <f>AND(#REF!,"CQAD9V+j4qs=")</f>
        <v>#REF!</v>
      </c>
      <c r="FQ35" t="e">
        <f>AND(#REF!,"CQAD9V+j4qw=")</f>
        <v>#REF!</v>
      </c>
      <c r="FR35" t="e">
        <f>AND(#REF!,"CQAD9V+j4q0=")</f>
        <v>#REF!</v>
      </c>
      <c r="FS35" t="e">
        <f>AND(#REF!,"CQAD9V+j4q4=")</f>
        <v>#REF!</v>
      </c>
      <c r="FT35" t="e">
        <f>AND(#REF!,"CQAD9V+j4q8=")</f>
        <v>#REF!</v>
      </c>
      <c r="FU35" t="e">
        <f>AND(#REF!,"CQAD9V+j4rA=")</f>
        <v>#REF!</v>
      </c>
      <c r="FV35" t="e">
        <f>AND(#REF!,"CQAD9V+j4rE=")</f>
        <v>#REF!</v>
      </c>
      <c r="FW35" t="e">
        <f>AND(#REF!,"CQAD9V+j4rI=")</f>
        <v>#REF!</v>
      </c>
      <c r="FX35" t="e">
        <f>AND(#REF!,"CQAD9V+j4rM=")</f>
        <v>#REF!</v>
      </c>
      <c r="FY35" t="e">
        <f>AND(#REF!,"CQAD9V+j4rQ=")</f>
        <v>#REF!</v>
      </c>
      <c r="FZ35" t="e">
        <f>AND(#REF!,"CQAD9V+j4rU=")</f>
        <v>#REF!</v>
      </c>
      <c r="GA35" t="e">
        <f>AND(#REF!,"CQAD9V+j4rY=")</f>
        <v>#REF!</v>
      </c>
      <c r="GB35" t="e">
        <f>AND(#REF!,"CQAD9V+j4rc=")</f>
        <v>#REF!</v>
      </c>
      <c r="GC35" t="e">
        <f>AND(#REF!,"CQAD9V+j4rg=")</f>
        <v>#REF!</v>
      </c>
      <c r="GD35" t="e">
        <f>AND(#REF!,"CQAD9V+j4rk=")</f>
        <v>#REF!</v>
      </c>
      <c r="GE35" t="e">
        <f>AND(#REF!,"CQAD9V+j4ro=")</f>
        <v>#REF!</v>
      </c>
      <c r="GF35" t="e">
        <f>AND(#REF!,"CQAD9V+j4rs=")</f>
        <v>#REF!</v>
      </c>
      <c r="GG35" t="e">
        <f>AND(#REF!,"CQAD9V+j4rw=")</f>
        <v>#REF!</v>
      </c>
      <c r="GH35" t="e">
        <f>AND(#REF!,"CQAD9V+j4r0=")</f>
        <v>#REF!</v>
      </c>
      <c r="GI35" t="e">
        <f>AND(#REF!,"CQAD9V+j4r4=")</f>
        <v>#REF!</v>
      </c>
      <c r="GJ35" t="e">
        <f>AND(#REF!,"CQAD9V+j4r8=")</f>
        <v>#REF!</v>
      </c>
      <c r="GK35" t="e">
        <f>AND(#REF!,"CQAD9V+j4sA=")</f>
        <v>#REF!</v>
      </c>
      <c r="GL35" t="e">
        <f>AND(#REF!,"CQAD9V+j4sE=")</f>
        <v>#REF!</v>
      </c>
      <c r="GM35" t="e">
        <f>AND(#REF!,"CQAD9V+j4sI=")</f>
        <v>#REF!</v>
      </c>
      <c r="GN35" t="e">
        <f>AND(#REF!,"CQAD9V+j4sM=")</f>
        <v>#REF!</v>
      </c>
      <c r="GO35" t="e">
        <f>AND(#REF!,"CQAD9V+j4sQ=")</f>
        <v>#REF!</v>
      </c>
      <c r="GP35" t="e">
        <f>IF(#REF!,"CQAD9V+j4sU=",0)</f>
        <v>#REF!</v>
      </c>
      <c r="GQ35" t="e">
        <f>AND(#REF!,"CQAD9V+j4sY=")</f>
        <v>#REF!</v>
      </c>
      <c r="GR35" t="e">
        <f>AND(#REF!,"CQAD9V+j4sc=")</f>
        <v>#REF!</v>
      </c>
      <c r="GS35" t="e">
        <f>AND(#REF!,"CQAD9V+j4sg=")</f>
        <v>#REF!</v>
      </c>
      <c r="GT35" t="e">
        <f>AND(#REF!,"CQAD9V+j4sk=")</f>
        <v>#REF!</v>
      </c>
      <c r="GU35" t="e">
        <f>AND(#REF!,"CQAD9V+j4so=")</f>
        <v>#REF!</v>
      </c>
      <c r="GV35" t="e">
        <f>AND(#REF!,"CQAD9V+j4ss=")</f>
        <v>#REF!</v>
      </c>
      <c r="GW35" t="e">
        <f>AND(#REF!,"CQAD9V+j4sw=")</f>
        <v>#REF!</v>
      </c>
      <c r="GX35" t="e">
        <f>AND(#REF!,"CQAD9V+j4s0=")</f>
        <v>#REF!</v>
      </c>
      <c r="GY35" t="e">
        <f>AND(#REF!,"CQAD9V+j4s4=")</f>
        <v>#REF!</v>
      </c>
      <c r="GZ35" t="e">
        <f>AND(#REF!,"CQAD9V+j4s8=")</f>
        <v>#REF!</v>
      </c>
      <c r="HA35" t="e">
        <f>AND(#REF!,"CQAD9V+j4tA=")</f>
        <v>#REF!</v>
      </c>
      <c r="HB35" t="e">
        <f>AND(#REF!,"CQAD9V+j4tE=")</f>
        <v>#REF!</v>
      </c>
      <c r="HC35" t="e">
        <f>AND(#REF!,"CQAD9V+j4tI=")</f>
        <v>#REF!</v>
      </c>
      <c r="HD35" t="e">
        <f>AND(#REF!,"CQAD9V+j4tM=")</f>
        <v>#REF!</v>
      </c>
      <c r="HE35" t="e">
        <f>AND(#REF!,"CQAD9V+j4tQ=")</f>
        <v>#REF!</v>
      </c>
      <c r="HF35" t="e">
        <f>AND(#REF!,"CQAD9V+j4tU=")</f>
        <v>#REF!</v>
      </c>
      <c r="HG35" t="e">
        <f>AND(#REF!,"CQAD9V+j4tY=")</f>
        <v>#REF!</v>
      </c>
      <c r="HH35" t="e">
        <f>AND(#REF!,"CQAD9V+j4tc=")</f>
        <v>#REF!</v>
      </c>
      <c r="HI35" t="e">
        <f>AND(#REF!,"CQAD9V+j4tg=")</f>
        <v>#REF!</v>
      </c>
      <c r="HJ35" t="e">
        <f>AND(#REF!,"CQAD9V+j4tk=")</f>
        <v>#REF!</v>
      </c>
      <c r="HK35" t="e">
        <f>AND(#REF!,"CQAD9V+j4to=")</f>
        <v>#REF!</v>
      </c>
      <c r="HL35" t="e">
        <f>AND(#REF!,"CQAD9V+j4ts=")</f>
        <v>#REF!</v>
      </c>
      <c r="HM35" t="e">
        <f>AND(#REF!,"CQAD9V+j4tw=")</f>
        <v>#REF!</v>
      </c>
      <c r="HN35" t="e">
        <f>AND(#REF!,"CQAD9V+j4t0=")</f>
        <v>#REF!</v>
      </c>
      <c r="HO35" t="e">
        <f>AND(#REF!,"CQAD9V+j4t4=")</f>
        <v>#REF!</v>
      </c>
      <c r="HP35" t="e">
        <f>AND(#REF!,"CQAD9V+j4t8=")</f>
        <v>#REF!</v>
      </c>
      <c r="HQ35" t="e">
        <f>AND(#REF!,"CQAD9V+j4uA=")</f>
        <v>#REF!</v>
      </c>
      <c r="HR35" t="e">
        <f>AND(#REF!,"CQAD9V+j4uE=")</f>
        <v>#REF!</v>
      </c>
      <c r="HS35" t="e">
        <f>AND(#REF!,"CQAD9V+j4uI=")</f>
        <v>#REF!</v>
      </c>
      <c r="HT35" t="e">
        <f>AND(#REF!,"CQAD9V+j4uM=")</f>
        <v>#REF!</v>
      </c>
      <c r="HU35" t="e">
        <f>AND(#REF!,"CQAD9V+j4uQ=")</f>
        <v>#REF!</v>
      </c>
      <c r="HV35" t="e">
        <f>AND(#REF!,"CQAD9V+j4uU=")</f>
        <v>#REF!</v>
      </c>
      <c r="HW35" t="e">
        <f>AND(#REF!,"CQAD9V+j4uY=")</f>
        <v>#REF!</v>
      </c>
      <c r="HX35" t="e">
        <f>AND(#REF!,"CQAD9V+j4uc=")</f>
        <v>#REF!</v>
      </c>
      <c r="HY35" t="e">
        <f>AND(#REF!,"CQAD9V+j4ug=")</f>
        <v>#REF!</v>
      </c>
      <c r="HZ35" t="e">
        <f>AND(#REF!,"CQAD9V+j4uk=")</f>
        <v>#REF!</v>
      </c>
      <c r="IA35" t="e">
        <f>AND(#REF!,"CQAD9V+j4uo=")</f>
        <v>#REF!</v>
      </c>
      <c r="IB35" t="e">
        <f>AND(#REF!,"CQAD9V+j4us=")</f>
        <v>#REF!</v>
      </c>
      <c r="IC35" t="e">
        <f>AND(#REF!,"CQAD9V+j4uw=")</f>
        <v>#REF!</v>
      </c>
      <c r="ID35" t="e">
        <f>AND(#REF!,"CQAD9V+j4u0=")</f>
        <v>#REF!</v>
      </c>
      <c r="IE35" t="e">
        <f>AND(#REF!,"CQAD9V+j4u4=")</f>
        <v>#REF!</v>
      </c>
      <c r="IF35" t="e">
        <f>AND(#REF!,"CQAD9V+j4u8=")</f>
        <v>#REF!</v>
      </c>
      <c r="IG35" t="e">
        <f>AND(#REF!,"CQAD9V+j4vA=")</f>
        <v>#REF!</v>
      </c>
      <c r="IH35" t="e">
        <f>AND(#REF!,"CQAD9V+j4vE=")</f>
        <v>#REF!</v>
      </c>
      <c r="II35" t="e">
        <f>AND(#REF!,"CQAD9V+j4vI=")</f>
        <v>#REF!</v>
      </c>
      <c r="IJ35" t="e">
        <f>AND(#REF!,"CQAD9V+j4vM=")</f>
        <v>#REF!</v>
      </c>
      <c r="IK35" t="e">
        <f>AND(#REF!,"CQAD9V+j4vQ=")</f>
        <v>#REF!</v>
      </c>
      <c r="IL35" t="e">
        <f>AND(#REF!,"CQAD9V+j4vU=")</f>
        <v>#REF!</v>
      </c>
      <c r="IM35" t="e">
        <f>AND(#REF!,"CQAD9V+j4vY=")</f>
        <v>#REF!</v>
      </c>
      <c r="IN35" t="e">
        <f>AND(#REF!,"CQAD9V+j4vc=")</f>
        <v>#REF!</v>
      </c>
      <c r="IO35" t="e">
        <f>AND(#REF!,"CQAD9V+j4vg=")</f>
        <v>#REF!</v>
      </c>
      <c r="IP35" t="e">
        <f>AND(#REF!,"CQAD9V+j4vk=")</f>
        <v>#REF!</v>
      </c>
      <c r="IQ35" t="e">
        <f>AND(#REF!,"CQAD9V+j4vo=")</f>
        <v>#REF!</v>
      </c>
      <c r="IR35" t="e">
        <f>AND(#REF!,"CQAD9V+j4vs=")</f>
        <v>#REF!</v>
      </c>
      <c r="IS35" t="e">
        <f>AND(#REF!,"CQAD9V+j4vw=")</f>
        <v>#REF!</v>
      </c>
      <c r="IT35" t="e">
        <f>AND(#REF!,"CQAD9V+j4v0=")</f>
        <v>#REF!</v>
      </c>
      <c r="IU35" t="e">
        <f>AND(#REF!,"CQAD9V+j4v4=")</f>
        <v>#REF!</v>
      </c>
      <c r="IV35" t="e">
        <f>AND(#REF!,"CQAD9V+j4v8=")</f>
        <v>#REF!</v>
      </c>
    </row>
    <row r="36" spans="1:256" x14ac:dyDescent="0.2">
      <c r="A36" t="e">
        <f>AND(#REF!,"TmdQ6yA8JQA=")</f>
        <v>#REF!</v>
      </c>
      <c r="B36" t="e">
        <f>AND(#REF!,"TmdQ6yA8JQE=")</f>
        <v>#REF!</v>
      </c>
      <c r="C36" t="e">
        <f>AND(#REF!,"TmdQ6yA8JQI=")</f>
        <v>#REF!</v>
      </c>
      <c r="D36" t="e">
        <f>AND(#REF!,"TmdQ6yA8JQM=")</f>
        <v>#REF!</v>
      </c>
      <c r="E36" t="e">
        <f>AND(#REF!,"TmdQ6yA8JQQ=")</f>
        <v>#REF!</v>
      </c>
      <c r="F36" t="e">
        <f>AND(#REF!,"TmdQ6yA8JQU=")</f>
        <v>#REF!</v>
      </c>
      <c r="G36" t="e">
        <f>AND(#REF!,"TmdQ6yA8JQY=")</f>
        <v>#REF!</v>
      </c>
      <c r="H36" t="e">
        <f>AND(#REF!,"TmdQ6yA8JQc=")</f>
        <v>#REF!</v>
      </c>
      <c r="I36" t="e">
        <f>AND(#REF!,"TmdQ6yA8JQg=")</f>
        <v>#REF!</v>
      </c>
      <c r="J36" t="e">
        <f>AND(#REF!,"TmdQ6yA8JQk=")</f>
        <v>#REF!</v>
      </c>
      <c r="K36" t="e">
        <f>AND(#REF!,"TmdQ6yA8JQo=")</f>
        <v>#REF!</v>
      </c>
      <c r="L36" t="e">
        <f>AND(#REF!,"TmdQ6yA8JQs=")</f>
        <v>#REF!</v>
      </c>
      <c r="M36" t="e">
        <f>AND(#REF!,"TmdQ6yA8JQw=")</f>
        <v>#REF!</v>
      </c>
      <c r="N36" t="e">
        <f>AND(#REF!,"TmdQ6yA8JQ0=")</f>
        <v>#REF!</v>
      </c>
      <c r="O36" t="e">
        <f>AND(#REF!,"TmdQ6yA8JQ4=")</f>
        <v>#REF!</v>
      </c>
      <c r="P36" t="e">
        <f>AND(#REF!,"TmdQ6yA8JQ8=")</f>
        <v>#REF!</v>
      </c>
      <c r="Q36" t="e">
        <f>AND(#REF!,"TmdQ6yA8JRA=")</f>
        <v>#REF!</v>
      </c>
      <c r="R36" t="e">
        <f>AND(#REF!,"TmdQ6yA8JRE=")</f>
        <v>#REF!</v>
      </c>
      <c r="S36" t="e">
        <f>AND(#REF!,"TmdQ6yA8JRI=")</f>
        <v>#REF!</v>
      </c>
      <c r="T36" t="e">
        <f>AND(#REF!,"TmdQ6yA8JRM=")</f>
        <v>#REF!</v>
      </c>
      <c r="U36" t="e">
        <f>AND(#REF!,"TmdQ6yA8JRQ=")</f>
        <v>#REF!</v>
      </c>
      <c r="V36" t="e">
        <f>AND(#REF!,"TmdQ6yA8JRU=")</f>
        <v>#REF!</v>
      </c>
      <c r="W36" t="e">
        <f>AND(#REF!,"TmdQ6yA8JRY=")</f>
        <v>#REF!</v>
      </c>
      <c r="X36" t="e">
        <f>AND(#REF!,"TmdQ6yA8JRc=")</f>
        <v>#REF!</v>
      </c>
      <c r="Y36" t="e">
        <f>AND(#REF!,"TmdQ6yA8JRg=")</f>
        <v>#REF!</v>
      </c>
      <c r="Z36" t="e">
        <f>AND(#REF!,"TmdQ6yA8JRk=")</f>
        <v>#REF!</v>
      </c>
      <c r="AA36" t="e">
        <f>AND(#REF!,"TmdQ6yA8JRo=")</f>
        <v>#REF!</v>
      </c>
      <c r="AB36" t="e">
        <f>AND(#REF!,"TmdQ6yA8JRs=")</f>
        <v>#REF!</v>
      </c>
      <c r="AC36" t="e">
        <f>AND(#REF!,"TmdQ6yA8JRw=")</f>
        <v>#REF!</v>
      </c>
      <c r="AD36" t="e">
        <f>AND(#REF!,"TmdQ6yA8JR0=")</f>
        <v>#REF!</v>
      </c>
      <c r="AE36" t="e">
        <f>AND(#REF!,"TmdQ6yA8JR4=")</f>
        <v>#REF!</v>
      </c>
      <c r="AF36" t="e">
        <f>AND(#REF!,"TmdQ6yA8JR8=")</f>
        <v>#REF!</v>
      </c>
      <c r="AG36" t="e">
        <f>AND(#REF!,"TmdQ6yA8JSA=")</f>
        <v>#REF!</v>
      </c>
      <c r="AH36" t="e">
        <f>AND(#REF!,"TmdQ6yA8JSE=")</f>
        <v>#REF!</v>
      </c>
      <c r="AI36" t="e">
        <f>AND(#REF!,"TmdQ6yA8JSI=")</f>
        <v>#REF!</v>
      </c>
      <c r="AJ36" t="e">
        <f>AND(#REF!,"TmdQ6yA8JSM=")</f>
        <v>#REF!</v>
      </c>
      <c r="AK36" t="e">
        <f>AND(#REF!,"TmdQ6yA8JSQ=")</f>
        <v>#REF!</v>
      </c>
      <c r="AL36" t="e">
        <f>AND(#REF!,"TmdQ6yA8JSU=")</f>
        <v>#REF!</v>
      </c>
      <c r="AM36" t="e">
        <f>AND(#REF!,"TmdQ6yA8JSY=")</f>
        <v>#REF!</v>
      </c>
      <c r="AN36" t="e">
        <f>AND(#REF!,"TmdQ6yA8JSc=")</f>
        <v>#REF!</v>
      </c>
      <c r="AO36" t="e">
        <f>AND(#REF!,"TmdQ6yA8JSg=")</f>
        <v>#REF!</v>
      </c>
      <c r="AP36" t="e">
        <f>AND(#REF!,"TmdQ6yA8JSk=")</f>
        <v>#REF!</v>
      </c>
      <c r="AQ36" t="e">
        <f>AND(#REF!,"TmdQ6yA8JSo=")</f>
        <v>#REF!</v>
      </c>
      <c r="AR36" t="e">
        <f>AND(#REF!,"TmdQ6yA8JSs=")</f>
        <v>#REF!</v>
      </c>
      <c r="AS36" t="e">
        <f>AND(#REF!,"TmdQ6yA8JSw=")</f>
        <v>#REF!</v>
      </c>
      <c r="AT36" t="e">
        <f>AND(#REF!,"TmdQ6yA8JS0=")</f>
        <v>#REF!</v>
      </c>
      <c r="AU36" t="e">
        <f>AND(#REF!,"TmdQ6yA8JS4=")</f>
        <v>#REF!</v>
      </c>
      <c r="AV36" t="e">
        <f>AND(#REF!,"TmdQ6yA8JS8=")</f>
        <v>#REF!</v>
      </c>
      <c r="AW36" t="e">
        <f>AND(#REF!,"TmdQ6yA8JTA=")</f>
        <v>#REF!</v>
      </c>
      <c r="AX36" t="e">
        <f>AND(#REF!,"TmdQ6yA8JTE=")</f>
        <v>#REF!</v>
      </c>
      <c r="AY36" t="e">
        <f>AND(#REF!,"TmdQ6yA8JTI=")</f>
        <v>#REF!</v>
      </c>
      <c r="AZ36" t="e">
        <f>AND(#REF!,"TmdQ6yA8JTM=")</f>
        <v>#REF!</v>
      </c>
      <c r="BA36" t="e">
        <f>AND(#REF!,"TmdQ6yA8JTQ=")</f>
        <v>#REF!</v>
      </c>
      <c r="BB36" t="e">
        <f>AND(#REF!,"TmdQ6yA8JTU=")</f>
        <v>#REF!</v>
      </c>
      <c r="BC36" t="e">
        <f>AND(#REF!,"TmdQ6yA8JTY=")</f>
        <v>#REF!</v>
      </c>
      <c r="BD36" t="e">
        <f>AND(#REF!,"TmdQ6yA8JTc=")</f>
        <v>#REF!</v>
      </c>
      <c r="BE36" t="e">
        <f>AND(#REF!,"TmdQ6yA8JTg=")</f>
        <v>#REF!</v>
      </c>
      <c r="BF36" t="e">
        <f>AND(#REF!,"TmdQ6yA8JTk=")</f>
        <v>#REF!</v>
      </c>
      <c r="BG36" t="e">
        <f>AND(#REF!,"TmdQ6yA8JTo=")</f>
        <v>#REF!</v>
      </c>
      <c r="BH36" t="e">
        <f>AND(#REF!,"TmdQ6yA8JTs=")</f>
        <v>#REF!</v>
      </c>
      <c r="BI36" t="e">
        <f>AND(#REF!,"TmdQ6yA8JTw=")</f>
        <v>#REF!</v>
      </c>
      <c r="BJ36" t="e">
        <f>AND(#REF!,"TmdQ6yA8JT0=")</f>
        <v>#REF!</v>
      </c>
      <c r="BK36" t="e">
        <f>AND(#REF!,"TmdQ6yA8JT4=")</f>
        <v>#REF!</v>
      </c>
      <c r="BL36" t="e">
        <f>AND(#REF!,"TmdQ6yA8JT8=")</f>
        <v>#REF!</v>
      </c>
      <c r="BM36" t="e">
        <f>AND(#REF!,"TmdQ6yA8JUA=")</f>
        <v>#REF!</v>
      </c>
      <c r="BN36" t="e">
        <f>AND(#REF!,"TmdQ6yA8JUE=")</f>
        <v>#REF!</v>
      </c>
      <c r="BO36" t="e">
        <f>AND(#REF!,"TmdQ6yA8JUI=")</f>
        <v>#REF!</v>
      </c>
      <c r="BP36" t="e">
        <f>AND(#REF!,"TmdQ6yA8JUM=")</f>
        <v>#REF!</v>
      </c>
      <c r="BQ36" t="e">
        <f>AND(#REF!,"TmdQ6yA8JUQ=")</f>
        <v>#REF!</v>
      </c>
      <c r="BR36" t="e">
        <f>AND(#REF!,"TmdQ6yA8JUU=")</f>
        <v>#REF!</v>
      </c>
      <c r="BS36" t="e">
        <f>AND(#REF!,"TmdQ6yA8JUY=")</f>
        <v>#REF!</v>
      </c>
      <c r="BT36" t="e">
        <f>AND(#REF!,"TmdQ6yA8JUc=")</f>
        <v>#REF!</v>
      </c>
      <c r="BU36" t="e">
        <f>AND(#REF!,"TmdQ6yA8JUg=")</f>
        <v>#REF!</v>
      </c>
      <c r="BV36" t="e">
        <f>AND(#REF!,"TmdQ6yA8JUk=")</f>
        <v>#REF!</v>
      </c>
      <c r="BW36" t="e">
        <f>AND(#REF!,"TmdQ6yA8JUo=")</f>
        <v>#REF!</v>
      </c>
      <c r="BX36" t="e">
        <f>AND(#REF!,"TmdQ6yA8JUs=")</f>
        <v>#REF!</v>
      </c>
      <c r="BY36" t="e">
        <f>AND(#REF!,"TmdQ6yA8JUw=")</f>
        <v>#REF!</v>
      </c>
      <c r="BZ36" t="e">
        <f>AND(#REF!,"TmdQ6yA8JU0=")</f>
        <v>#REF!</v>
      </c>
      <c r="CA36" t="e">
        <f>AND(#REF!,"TmdQ6yA8JU4=")</f>
        <v>#REF!</v>
      </c>
      <c r="CB36" t="e">
        <f>AND(#REF!,"TmdQ6yA8JU8=")</f>
        <v>#REF!</v>
      </c>
      <c r="CC36" t="e">
        <f>AND(#REF!,"TmdQ6yA8JVA=")</f>
        <v>#REF!</v>
      </c>
      <c r="CD36" t="e">
        <f>AND(#REF!,"TmdQ6yA8JVE=")</f>
        <v>#REF!</v>
      </c>
      <c r="CE36" t="e">
        <f>AND(#REF!,"TmdQ6yA8JVI=")</f>
        <v>#REF!</v>
      </c>
      <c r="CF36" t="e">
        <f>AND(#REF!,"TmdQ6yA8JVM=")</f>
        <v>#REF!</v>
      </c>
      <c r="CG36" t="e">
        <f>AND(#REF!,"TmdQ6yA8JVQ=")</f>
        <v>#REF!</v>
      </c>
      <c r="CH36" t="e">
        <f>AND(#REF!,"TmdQ6yA8JVU=")</f>
        <v>#REF!</v>
      </c>
      <c r="CI36" t="e">
        <f>AND(#REF!,"TmdQ6yA8JVY=")</f>
        <v>#REF!</v>
      </c>
      <c r="CJ36" t="e">
        <f>AND(#REF!,"TmdQ6yA8JVc=")</f>
        <v>#REF!</v>
      </c>
      <c r="CK36" t="e">
        <f>AND(#REF!,"TmdQ6yA8JVg=")</f>
        <v>#REF!</v>
      </c>
      <c r="CL36" t="e">
        <f>AND(#REF!,"TmdQ6yA8JVk=")</f>
        <v>#REF!</v>
      </c>
      <c r="CM36" t="e">
        <f>AND(#REF!,"TmdQ6yA8JVo=")</f>
        <v>#REF!</v>
      </c>
      <c r="CN36" t="e">
        <f>AND(#REF!,"TmdQ6yA8JVs=")</f>
        <v>#REF!</v>
      </c>
      <c r="CO36" t="e">
        <f>AND(#REF!,"TmdQ6yA8JVw=")</f>
        <v>#REF!</v>
      </c>
      <c r="CP36" t="e">
        <f>AND(#REF!,"TmdQ6yA8JV0=")</f>
        <v>#REF!</v>
      </c>
      <c r="CQ36" t="e">
        <f>AND(#REF!,"TmdQ6yA8JV4=")</f>
        <v>#REF!</v>
      </c>
      <c r="CR36" t="e">
        <f>AND(#REF!,"TmdQ6yA8JV8=")</f>
        <v>#REF!</v>
      </c>
      <c r="CS36" t="e">
        <f>AND(#REF!,"TmdQ6yA8JWA=")</f>
        <v>#REF!</v>
      </c>
      <c r="CT36" t="e">
        <f>AND(#REF!,"TmdQ6yA8JWE=")</f>
        <v>#REF!</v>
      </c>
      <c r="CU36" t="e">
        <f>AND(#REF!,"TmdQ6yA8JWI=")</f>
        <v>#REF!</v>
      </c>
      <c r="CV36" t="e">
        <f>AND(#REF!,"TmdQ6yA8JWM=")</f>
        <v>#REF!</v>
      </c>
      <c r="CW36" t="e">
        <f>AND(#REF!,"TmdQ6yA8JWQ=")</f>
        <v>#REF!</v>
      </c>
      <c r="CX36" t="e">
        <f>AND(#REF!,"TmdQ6yA8JWU=")</f>
        <v>#REF!</v>
      </c>
      <c r="CY36" t="e">
        <f>AND(#REF!,"TmdQ6yA8JWY=")</f>
        <v>#REF!</v>
      </c>
      <c r="CZ36" t="e">
        <f>AND(#REF!,"TmdQ6yA8JWc=")</f>
        <v>#REF!</v>
      </c>
      <c r="DA36" t="e">
        <f>AND(#REF!,"TmdQ6yA8JWg=")</f>
        <v>#REF!</v>
      </c>
      <c r="DB36" t="e">
        <f>AND(#REF!,"TmdQ6yA8JWk=")</f>
        <v>#REF!</v>
      </c>
      <c r="DC36" t="e">
        <f>AND(#REF!,"TmdQ6yA8JWo=")</f>
        <v>#REF!</v>
      </c>
      <c r="DD36" t="e">
        <f>AND(#REF!,"TmdQ6yA8JWs=")</f>
        <v>#REF!</v>
      </c>
      <c r="DE36" t="e">
        <f>AND(#REF!,"TmdQ6yA8JWw=")</f>
        <v>#REF!</v>
      </c>
      <c r="DF36" t="e">
        <f>AND(#REF!,"TmdQ6yA8JW0=")</f>
        <v>#REF!</v>
      </c>
      <c r="DG36" t="e">
        <f>AND(#REF!,"TmdQ6yA8JW4=")</f>
        <v>#REF!</v>
      </c>
      <c r="DH36" t="e">
        <f>AND(#REF!,"TmdQ6yA8JW8=")</f>
        <v>#REF!</v>
      </c>
      <c r="DI36" t="e">
        <f>AND(#REF!,"TmdQ6yA8JXA=")</f>
        <v>#REF!</v>
      </c>
      <c r="DJ36" t="e">
        <f>AND(#REF!,"TmdQ6yA8JXE=")</f>
        <v>#REF!</v>
      </c>
      <c r="DK36" t="e">
        <f>AND(#REF!,"TmdQ6yA8JXI=")</f>
        <v>#REF!</v>
      </c>
      <c r="DL36" t="e">
        <f>AND(#REF!,"TmdQ6yA8JXM=")</f>
        <v>#REF!</v>
      </c>
      <c r="DM36" t="e">
        <f>AND(#REF!,"TmdQ6yA8JXQ=")</f>
        <v>#REF!</v>
      </c>
      <c r="DN36" t="e">
        <f>AND(#REF!,"TmdQ6yA8JXU=")</f>
        <v>#REF!</v>
      </c>
      <c r="DO36" t="e">
        <f>AND(#REF!,"TmdQ6yA8JXY=")</f>
        <v>#REF!</v>
      </c>
      <c r="DP36" t="e">
        <f>AND(#REF!,"TmdQ6yA8JXc=")</f>
        <v>#REF!</v>
      </c>
      <c r="DQ36" t="e">
        <f>AND(#REF!,"TmdQ6yA8JXg=")</f>
        <v>#REF!</v>
      </c>
      <c r="DR36" t="e">
        <f>AND(#REF!,"TmdQ6yA8JXk=")</f>
        <v>#REF!</v>
      </c>
      <c r="DS36" t="e">
        <f>AND(#REF!,"TmdQ6yA8JXo=")</f>
        <v>#REF!</v>
      </c>
      <c r="DT36" t="e">
        <f>AND(#REF!,"TmdQ6yA8JXs=")</f>
        <v>#REF!</v>
      </c>
      <c r="DU36" t="e">
        <f>AND(#REF!,"TmdQ6yA8JXw=")</f>
        <v>#REF!</v>
      </c>
      <c r="DV36" t="e">
        <f>AND(#REF!,"TmdQ6yA8JX0=")</f>
        <v>#REF!</v>
      </c>
      <c r="DW36" t="e">
        <f>AND(#REF!,"TmdQ6yA8JX4=")</f>
        <v>#REF!</v>
      </c>
      <c r="DX36" t="e">
        <f>AND(#REF!,"TmdQ6yA8JX8=")</f>
        <v>#REF!</v>
      </c>
      <c r="DY36" t="e">
        <f>AND(#REF!,"TmdQ6yA8JYA=")</f>
        <v>#REF!</v>
      </c>
      <c r="DZ36" t="e">
        <f>AND(#REF!,"TmdQ6yA8JYE=")</f>
        <v>#REF!</v>
      </c>
      <c r="EA36" t="e">
        <f>AND(#REF!,"TmdQ6yA8JYI=")</f>
        <v>#REF!</v>
      </c>
      <c r="EB36" t="e">
        <f>AND(#REF!,"TmdQ6yA8JYM=")</f>
        <v>#REF!</v>
      </c>
      <c r="EC36" t="e">
        <f>AND(#REF!,"TmdQ6yA8JYQ=")</f>
        <v>#REF!</v>
      </c>
      <c r="ED36" t="e">
        <f>AND(#REF!,"TmdQ6yA8JYU=")</f>
        <v>#REF!</v>
      </c>
      <c r="EE36" t="e">
        <f>AND(#REF!,"TmdQ6yA8JYY=")</f>
        <v>#REF!</v>
      </c>
      <c r="EF36" t="e">
        <f>AND(#REF!,"TmdQ6yA8JYc=")</f>
        <v>#REF!</v>
      </c>
      <c r="EG36" t="e">
        <f>AND(#REF!,"TmdQ6yA8JYg=")</f>
        <v>#REF!</v>
      </c>
      <c r="EH36" t="e">
        <f>AND(#REF!,"TmdQ6yA8JYk=")</f>
        <v>#REF!</v>
      </c>
      <c r="EI36" t="e">
        <f>AND(#REF!,"TmdQ6yA8JYo=")</f>
        <v>#REF!</v>
      </c>
      <c r="EJ36" t="e">
        <f>AND(#REF!,"TmdQ6yA8JYs=")</f>
        <v>#REF!</v>
      </c>
      <c r="EK36" t="e">
        <f>IF(#REF!,"TmdQ6yA8JYw=",0)</f>
        <v>#REF!</v>
      </c>
      <c r="EL36" t="e">
        <f>AND(#REF!,"TmdQ6yA8JY0=")</f>
        <v>#REF!</v>
      </c>
      <c r="EM36" t="e">
        <f>AND(#REF!,"TmdQ6yA8JY4=")</f>
        <v>#REF!</v>
      </c>
      <c r="EN36" t="e">
        <f>AND(#REF!,"TmdQ6yA8JY8=")</f>
        <v>#REF!</v>
      </c>
      <c r="EO36" t="e">
        <f>AND(#REF!,"TmdQ6yA8JZA=")</f>
        <v>#REF!</v>
      </c>
      <c r="EP36" t="e">
        <f>AND(#REF!,"TmdQ6yA8JZE=")</f>
        <v>#REF!</v>
      </c>
      <c r="EQ36" t="e">
        <f>AND(#REF!,"TmdQ6yA8JZI=")</f>
        <v>#REF!</v>
      </c>
      <c r="ER36" t="e">
        <f>AND(#REF!,"TmdQ6yA8JZM=")</f>
        <v>#REF!</v>
      </c>
      <c r="ES36" t="e">
        <f>AND(#REF!,"TmdQ6yA8JZQ=")</f>
        <v>#REF!</v>
      </c>
      <c r="ET36" t="e">
        <f>AND(#REF!,"TmdQ6yA8JZU=")</f>
        <v>#REF!</v>
      </c>
      <c r="EU36" t="e">
        <f>AND(#REF!,"TmdQ6yA8JZY=")</f>
        <v>#REF!</v>
      </c>
      <c r="EV36" t="e">
        <f>AND(#REF!,"TmdQ6yA8JZc=")</f>
        <v>#REF!</v>
      </c>
      <c r="EW36" t="e">
        <f>AND(#REF!,"TmdQ6yA8JZg=")</f>
        <v>#REF!</v>
      </c>
      <c r="EX36" t="e">
        <f>AND(#REF!,"TmdQ6yA8JZk=")</f>
        <v>#REF!</v>
      </c>
      <c r="EY36" t="e">
        <f>AND(#REF!,"TmdQ6yA8JZo=")</f>
        <v>#REF!</v>
      </c>
      <c r="EZ36" t="e">
        <f>AND(#REF!,"TmdQ6yA8JZs=")</f>
        <v>#REF!</v>
      </c>
      <c r="FA36" t="e">
        <f>AND(#REF!,"TmdQ6yA8JZw=")</f>
        <v>#REF!</v>
      </c>
      <c r="FB36" t="e">
        <f>AND(#REF!,"TmdQ6yA8JZ0=")</f>
        <v>#REF!</v>
      </c>
      <c r="FC36" t="e">
        <f>AND(#REF!,"TmdQ6yA8JZ4=")</f>
        <v>#REF!</v>
      </c>
      <c r="FD36" t="e">
        <f>AND(#REF!,"TmdQ6yA8JZ8=")</f>
        <v>#REF!</v>
      </c>
      <c r="FE36" t="e">
        <f>AND(#REF!,"TmdQ6yA8JaA=")</f>
        <v>#REF!</v>
      </c>
      <c r="FF36" t="e">
        <f>AND(#REF!,"TmdQ6yA8JaE=")</f>
        <v>#REF!</v>
      </c>
      <c r="FG36" t="e">
        <f>AND(#REF!,"TmdQ6yA8JaI=")</f>
        <v>#REF!</v>
      </c>
      <c r="FH36" t="e">
        <f>AND(#REF!,"TmdQ6yA8JaM=")</f>
        <v>#REF!</v>
      </c>
      <c r="FI36" t="e">
        <f>AND(#REF!,"TmdQ6yA8JaQ=")</f>
        <v>#REF!</v>
      </c>
      <c r="FJ36" t="e">
        <f>AND(#REF!,"TmdQ6yA8JaU=")</f>
        <v>#REF!</v>
      </c>
      <c r="FK36" t="e">
        <f>AND(#REF!,"TmdQ6yA8JaY=")</f>
        <v>#REF!</v>
      </c>
      <c r="FL36" t="e">
        <f>AND(#REF!,"TmdQ6yA8Jac=")</f>
        <v>#REF!</v>
      </c>
      <c r="FM36" t="e">
        <f>AND(#REF!,"TmdQ6yA8Jag=")</f>
        <v>#REF!</v>
      </c>
      <c r="FN36" t="e">
        <f>AND(#REF!,"TmdQ6yA8Jak=")</f>
        <v>#REF!</v>
      </c>
      <c r="FO36" t="e">
        <f>AND(#REF!,"TmdQ6yA8Jao=")</f>
        <v>#REF!</v>
      </c>
      <c r="FP36" t="e">
        <f>AND(#REF!,"TmdQ6yA8Jas=")</f>
        <v>#REF!</v>
      </c>
      <c r="FQ36" t="e">
        <f>AND(#REF!,"TmdQ6yA8Jaw=")</f>
        <v>#REF!</v>
      </c>
      <c r="FR36" t="e">
        <f>AND(#REF!,"TmdQ6yA8Ja0=")</f>
        <v>#REF!</v>
      </c>
      <c r="FS36" t="e">
        <f>AND(#REF!,"TmdQ6yA8Ja4=")</f>
        <v>#REF!</v>
      </c>
      <c r="FT36" t="e">
        <f>AND(#REF!,"TmdQ6yA8Ja8=")</f>
        <v>#REF!</v>
      </c>
      <c r="FU36" t="e">
        <f>AND(#REF!,"TmdQ6yA8JbA=")</f>
        <v>#REF!</v>
      </c>
      <c r="FV36" t="e">
        <f>AND(#REF!,"TmdQ6yA8JbE=")</f>
        <v>#REF!</v>
      </c>
      <c r="FW36" t="e">
        <f>AND(#REF!,"TmdQ6yA8JbI=")</f>
        <v>#REF!</v>
      </c>
      <c r="FX36" t="e">
        <f>AND(#REF!,"TmdQ6yA8JbM=")</f>
        <v>#REF!</v>
      </c>
      <c r="FY36" t="e">
        <f>AND(#REF!,"TmdQ6yA8JbQ=")</f>
        <v>#REF!</v>
      </c>
      <c r="FZ36" t="e">
        <f>AND(#REF!,"TmdQ6yA8JbU=")</f>
        <v>#REF!</v>
      </c>
      <c r="GA36" t="e">
        <f>AND(#REF!,"TmdQ6yA8JbY=")</f>
        <v>#REF!</v>
      </c>
      <c r="GB36" t="e">
        <f>AND(#REF!,"TmdQ6yA8Jbc=")</f>
        <v>#REF!</v>
      </c>
      <c r="GC36" t="e">
        <f>AND(#REF!,"TmdQ6yA8Jbg=")</f>
        <v>#REF!</v>
      </c>
      <c r="GD36" t="e">
        <f>AND(#REF!,"TmdQ6yA8Jbk=")</f>
        <v>#REF!</v>
      </c>
      <c r="GE36" t="e">
        <f>AND(#REF!,"TmdQ6yA8Jbo=")</f>
        <v>#REF!</v>
      </c>
      <c r="GF36" t="e">
        <f>AND(#REF!,"TmdQ6yA8Jbs=")</f>
        <v>#REF!</v>
      </c>
      <c r="GG36" t="e">
        <f>AND(#REF!,"TmdQ6yA8Jbw=")</f>
        <v>#REF!</v>
      </c>
      <c r="GH36" t="e">
        <f>AND(#REF!,"TmdQ6yA8Jb0=")</f>
        <v>#REF!</v>
      </c>
      <c r="GI36" t="e">
        <f>AND(#REF!,"TmdQ6yA8Jb4=")</f>
        <v>#REF!</v>
      </c>
      <c r="GJ36" t="e">
        <f>AND(#REF!,"TmdQ6yA8Jb8=")</f>
        <v>#REF!</v>
      </c>
      <c r="GK36" t="e">
        <f>AND(#REF!,"TmdQ6yA8JcA=")</f>
        <v>#REF!</v>
      </c>
      <c r="GL36" t="e">
        <f>AND(#REF!,"TmdQ6yA8JcE=")</f>
        <v>#REF!</v>
      </c>
      <c r="GM36" t="e">
        <f>AND(#REF!,"TmdQ6yA8JcI=")</f>
        <v>#REF!</v>
      </c>
      <c r="GN36" t="e">
        <f>AND(#REF!,"TmdQ6yA8JcM=")</f>
        <v>#REF!</v>
      </c>
      <c r="GO36" t="e">
        <f>AND(#REF!,"TmdQ6yA8JcQ=")</f>
        <v>#REF!</v>
      </c>
      <c r="GP36" t="e">
        <f>AND(#REF!,"TmdQ6yA8JcU=")</f>
        <v>#REF!</v>
      </c>
      <c r="GQ36" t="e">
        <f>AND(#REF!,"TmdQ6yA8JcY=")</f>
        <v>#REF!</v>
      </c>
      <c r="GR36" t="e">
        <f>AND(#REF!,"TmdQ6yA8Jcc=")</f>
        <v>#REF!</v>
      </c>
      <c r="GS36" t="e">
        <f>AND(#REF!,"TmdQ6yA8Jcg=")</f>
        <v>#REF!</v>
      </c>
      <c r="GT36" t="e">
        <f>AND(#REF!,"TmdQ6yA8Jck=")</f>
        <v>#REF!</v>
      </c>
      <c r="GU36" t="e">
        <f>AND(#REF!,"TmdQ6yA8Jco=")</f>
        <v>#REF!</v>
      </c>
      <c r="GV36" t="e">
        <f>AND(#REF!,"TmdQ6yA8Jcs=")</f>
        <v>#REF!</v>
      </c>
      <c r="GW36" t="e">
        <f>AND(#REF!,"TmdQ6yA8Jcw=")</f>
        <v>#REF!</v>
      </c>
      <c r="GX36" t="e">
        <f>AND(#REF!,"TmdQ6yA8Jc0=")</f>
        <v>#REF!</v>
      </c>
      <c r="GY36" t="e">
        <f>AND(#REF!,"TmdQ6yA8Jc4=")</f>
        <v>#REF!</v>
      </c>
      <c r="GZ36" t="e">
        <f>AND(#REF!,"TmdQ6yA8Jc8=")</f>
        <v>#REF!</v>
      </c>
      <c r="HA36" t="e">
        <f>AND(#REF!,"TmdQ6yA8JdA=")</f>
        <v>#REF!</v>
      </c>
      <c r="HB36" t="e">
        <f>AND(#REF!,"TmdQ6yA8JdE=")</f>
        <v>#REF!</v>
      </c>
      <c r="HC36" t="e">
        <f>AND(#REF!,"TmdQ6yA8JdI=")</f>
        <v>#REF!</v>
      </c>
      <c r="HD36" t="e">
        <f>AND(#REF!,"TmdQ6yA8JdM=")</f>
        <v>#REF!</v>
      </c>
      <c r="HE36" t="e">
        <f>AND(#REF!,"TmdQ6yA8JdQ=")</f>
        <v>#REF!</v>
      </c>
      <c r="HF36" t="e">
        <f>AND(#REF!,"TmdQ6yA8JdU=")</f>
        <v>#REF!</v>
      </c>
      <c r="HG36" t="e">
        <f>AND(#REF!,"TmdQ6yA8JdY=")</f>
        <v>#REF!</v>
      </c>
      <c r="HH36" t="e">
        <f>AND(#REF!,"TmdQ6yA8Jdc=")</f>
        <v>#REF!</v>
      </c>
      <c r="HI36" t="e">
        <f>AND(#REF!,"TmdQ6yA8Jdg=")</f>
        <v>#REF!</v>
      </c>
      <c r="HJ36" t="e">
        <f>AND(#REF!,"TmdQ6yA8Jdk=")</f>
        <v>#REF!</v>
      </c>
      <c r="HK36" t="e">
        <f>AND(#REF!,"TmdQ6yA8Jdo=")</f>
        <v>#REF!</v>
      </c>
      <c r="HL36" t="e">
        <f>AND(#REF!,"TmdQ6yA8Jds=")</f>
        <v>#REF!</v>
      </c>
      <c r="HM36" t="e">
        <f>AND(#REF!,"TmdQ6yA8Jdw=")</f>
        <v>#REF!</v>
      </c>
      <c r="HN36" t="e">
        <f>AND(#REF!,"TmdQ6yA8Jd0=")</f>
        <v>#REF!</v>
      </c>
      <c r="HO36" t="e">
        <f>AND(#REF!,"TmdQ6yA8Jd4=")</f>
        <v>#REF!</v>
      </c>
      <c r="HP36" t="e">
        <f>AND(#REF!,"TmdQ6yA8Jd8=")</f>
        <v>#REF!</v>
      </c>
      <c r="HQ36" t="e">
        <f>AND(#REF!,"TmdQ6yA8JeA=")</f>
        <v>#REF!</v>
      </c>
      <c r="HR36" t="e">
        <f>AND(#REF!,"TmdQ6yA8JeE=")</f>
        <v>#REF!</v>
      </c>
      <c r="HS36" t="e">
        <f>AND(#REF!,"TmdQ6yA8JeI=")</f>
        <v>#REF!</v>
      </c>
      <c r="HT36" t="e">
        <f>AND(#REF!,"TmdQ6yA8JeM=")</f>
        <v>#REF!</v>
      </c>
      <c r="HU36" t="e">
        <f>AND(#REF!,"TmdQ6yA8JeQ=")</f>
        <v>#REF!</v>
      </c>
      <c r="HV36" t="e">
        <f>AND(#REF!,"TmdQ6yA8JeU=")</f>
        <v>#REF!</v>
      </c>
      <c r="HW36" t="e">
        <f>AND(#REF!,"TmdQ6yA8JeY=")</f>
        <v>#REF!</v>
      </c>
      <c r="HX36" t="e">
        <f>AND(#REF!,"TmdQ6yA8Jec=")</f>
        <v>#REF!</v>
      </c>
      <c r="HY36" t="e">
        <f>AND(#REF!,"TmdQ6yA8Jeg=")</f>
        <v>#REF!</v>
      </c>
      <c r="HZ36" t="e">
        <f>AND(#REF!,"TmdQ6yA8Jek=")</f>
        <v>#REF!</v>
      </c>
      <c r="IA36" t="e">
        <f>AND(#REF!,"TmdQ6yA8Jeo=")</f>
        <v>#REF!</v>
      </c>
      <c r="IB36" t="e">
        <f>AND(#REF!,"TmdQ6yA8Jes=")</f>
        <v>#REF!</v>
      </c>
      <c r="IC36" t="e">
        <f>AND(#REF!,"TmdQ6yA8Jew=")</f>
        <v>#REF!</v>
      </c>
      <c r="ID36" t="e">
        <f>AND(#REF!,"TmdQ6yA8Je0=")</f>
        <v>#REF!</v>
      </c>
      <c r="IE36" t="e">
        <f>AND(#REF!,"TmdQ6yA8Je4=")</f>
        <v>#REF!</v>
      </c>
      <c r="IF36" t="e">
        <f>AND(#REF!,"TmdQ6yA8Je8=")</f>
        <v>#REF!</v>
      </c>
      <c r="IG36" t="e">
        <f>AND(#REF!,"TmdQ6yA8JfA=")</f>
        <v>#REF!</v>
      </c>
      <c r="IH36" t="e">
        <f>AND(#REF!,"TmdQ6yA8JfE=")</f>
        <v>#REF!</v>
      </c>
      <c r="II36" t="e">
        <f>AND(#REF!,"TmdQ6yA8JfI=")</f>
        <v>#REF!</v>
      </c>
      <c r="IJ36" t="e">
        <f>AND(#REF!,"TmdQ6yA8JfM=")</f>
        <v>#REF!</v>
      </c>
      <c r="IK36" t="e">
        <f>AND(#REF!,"TmdQ6yA8JfQ=")</f>
        <v>#REF!</v>
      </c>
      <c r="IL36" t="e">
        <f>AND(#REF!,"TmdQ6yA8JfU=")</f>
        <v>#REF!</v>
      </c>
      <c r="IM36" t="e">
        <f>AND(#REF!,"TmdQ6yA8JfY=")</f>
        <v>#REF!</v>
      </c>
      <c r="IN36" t="e">
        <f>AND(#REF!,"TmdQ6yA8Jfc=")</f>
        <v>#REF!</v>
      </c>
      <c r="IO36" t="e">
        <f>AND(#REF!,"TmdQ6yA8Jfg=")</f>
        <v>#REF!</v>
      </c>
      <c r="IP36" t="e">
        <f>AND(#REF!,"TmdQ6yA8Jfk=")</f>
        <v>#REF!</v>
      </c>
      <c r="IQ36" t="e">
        <f>AND(#REF!,"TmdQ6yA8Jfo=")</f>
        <v>#REF!</v>
      </c>
      <c r="IR36" t="e">
        <f>AND(#REF!,"TmdQ6yA8Jfs=")</f>
        <v>#REF!</v>
      </c>
      <c r="IS36" t="e">
        <f>AND(#REF!,"TmdQ6yA8Jfw=")</f>
        <v>#REF!</v>
      </c>
      <c r="IT36" t="e">
        <f>AND(#REF!,"TmdQ6yA8Jf0=")</f>
        <v>#REF!</v>
      </c>
      <c r="IU36" t="e">
        <f>AND(#REF!,"TmdQ6yA8Jf4=")</f>
        <v>#REF!</v>
      </c>
      <c r="IV36" t="e">
        <f>AND(#REF!,"TmdQ6yA8Jf8=")</f>
        <v>#REF!</v>
      </c>
    </row>
    <row r="37" spans="1:256" x14ac:dyDescent="0.2">
      <c r="A37" t="e">
        <f>AND(#REF!,"URXzUH5fLgA=")</f>
        <v>#REF!</v>
      </c>
      <c r="B37" t="e">
        <f>AND(#REF!,"URXzUH5fLgE=")</f>
        <v>#REF!</v>
      </c>
      <c r="C37" t="e">
        <f>AND(#REF!,"URXzUH5fLgI=")</f>
        <v>#REF!</v>
      </c>
      <c r="D37" t="e">
        <f>AND(#REF!,"URXzUH5fLgM=")</f>
        <v>#REF!</v>
      </c>
      <c r="E37" t="e">
        <f>AND(#REF!,"URXzUH5fLgQ=")</f>
        <v>#REF!</v>
      </c>
      <c r="F37" t="e">
        <f>AND(#REF!,"URXzUH5fLgU=")</f>
        <v>#REF!</v>
      </c>
      <c r="G37" t="e">
        <f>AND(#REF!,"URXzUH5fLgY=")</f>
        <v>#REF!</v>
      </c>
      <c r="H37" t="e">
        <f>AND(#REF!,"URXzUH5fLgc=")</f>
        <v>#REF!</v>
      </c>
      <c r="I37" t="e">
        <f>AND(#REF!,"URXzUH5fLgg=")</f>
        <v>#REF!</v>
      </c>
      <c r="J37" t="e">
        <f>AND(#REF!,"URXzUH5fLgk=")</f>
        <v>#REF!</v>
      </c>
      <c r="K37" t="e">
        <f>AND(#REF!,"URXzUH5fLgo=")</f>
        <v>#REF!</v>
      </c>
      <c r="L37" t="e">
        <f>AND(#REF!,"URXzUH5fLgs=")</f>
        <v>#REF!</v>
      </c>
      <c r="M37" t="e">
        <f>AND(#REF!,"URXzUH5fLgw=")</f>
        <v>#REF!</v>
      </c>
      <c r="N37" t="e">
        <f>AND(#REF!,"URXzUH5fLg0=")</f>
        <v>#REF!</v>
      </c>
      <c r="O37" t="e">
        <f>AND(#REF!,"URXzUH5fLg4=")</f>
        <v>#REF!</v>
      </c>
      <c r="P37" t="e">
        <f>AND(#REF!,"URXzUH5fLg8=")</f>
        <v>#REF!</v>
      </c>
      <c r="Q37" t="e">
        <f>AND(#REF!,"URXzUH5fLhA=")</f>
        <v>#REF!</v>
      </c>
      <c r="R37" t="e">
        <f>AND(#REF!,"URXzUH5fLhE=")</f>
        <v>#REF!</v>
      </c>
      <c r="S37" t="e">
        <f>AND(#REF!,"URXzUH5fLhI=")</f>
        <v>#REF!</v>
      </c>
      <c r="T37" t="e">
        <f>AND(#REF!,"URXzUH5fLhM=")</f>
        <v>#REF!</v>
      </c>
      <c r="U37" t="e">
        <f>AND(#REF!,"URXzUH5fLhQ=")</f>
        <v>#REF!</v>
      </c>
      <c r="V37" t="e">
        <f>AND(#REF!,"URXzUH5fLhU=")</f>
        <v>#REF!</v>
      </c>
      <c r="W37" t="e">
        <f>AND(#REF!,"URXzUH5fLhY=")</f>
        <v>#REF!</v>
      </c>
      <c r="X37" t="e">
        <f>AND(#REF!,"URXzUH5fLhc=")</f>
        <v>#REF!</v>
      </c>
      <c r="Y37" t="e">
        <f>AND(#REF!,"URXzUH5fLhg=")</f>
        <v>#REF!</v>
      </c>
      <c r="Z37" t="e">
        <f>AND(#REF!,"URXzUH5fLhk=")</f>
        <v>#REF!</v>
      </c>
      <c r="AA37" t="e">
        <f>AND(#REF!,"URXzUH5fLho=")</f>
        <v>#REF!</v>
      </c>
      <c r="AB37" t="e">
        <f>AND(#REF!,"URXzUH5fLhs=")</f>
        <v>#REF!</v>
      </c>
      <c r="AC37" t="e">
        <f>AND(#REF!,"URXzUH5fLhw=")</f>
        <v>#REF!</v>
      </c>
      <c r="AD37" t="e">
        <f>AND(#REF!,"URXzUH5fLh0=")</f>
        <v>#REF!</v>
      </c>
      <c r="AE37" t="e">
        <f>AND(#REF!,"URXzUH5fLh4=")</f>
        <v>#REF!</v>
      </c>
      <c r="AF37" t="e">
        <f>AND(#REF!,"URXzUH5fLh8=")</f>
        <v>#REF!</v>
      </c>
      <c r="AG37" t="e">
        <f>AND(#REF!,"URXzUH5fLiA=")</f>
        <v>#REF!</v>
      </c>
      <c r="AH37" t="e">
        <f>AND(#REF!,"URXzUH5fLiE=")</f>
        <v>#REF!</v>
      </c>
      <c r="AI37" t="e">
        <f>AND(#REF!,"URXzUH5fLiI=")</f>
        <v>#REF!</v>
      </c>
      <c r="AJ37" t="e">
        <f>AND(#REF!,"URXzUH5fLiM=")</f>
        <v>#REF!</v>
      </c>
      <c r="AK37" t="e">
        <f>AND(#REF!,"URXzUH5fLiQ=")</f>
        <v>#REF!</v>
      </c>
      <c r="AL37" t="e">
        <f>AND(#REF!,"URXzUH5fLiU=")</f>
        <v>#REF!</v>
      </c>
      <c r="AM37" t="e">
        <f>AND(#REF!,"URXzUH5fLiY=")</f>
        <v>#REF!</v>
      </c>
      <c r="AN37" t="e">
        <f>AND(#REF!,"URXzUH5fLic=")</f>
        <v>#REF!</v>
      </c>
      <c r="AO37" t="e">
        <f>AND(#REF!,"URXzUH5fLig=")</f>
        <v>#REF!</v>
      </c>
      <c r="AP37" t="e">
        <f>AND(#REF!,"URXzUH5fLik=")</f>
        <v>#REF!</v>
      </c>
      <c r="AQ37" t="e">
        <f>AND(#REF!,"URXzUH5fLio=")</f>
        <v>#REF!</v>
      </c>
      <c r="AR37" t="e">
        <f>AND(#REF!,"URXzUH5fLis=")</f>
        <v>#REF!</v>
      </c>
      <c r="AS37" t="e">
        <f>AND(#REF!,"URXzUH5fLiw=")</f>
        <v>#REF!</v>
      </c>
      <c r="AT37" t="e">
        <f>AND(#REF!,"URXzUH5fLi0=")</f>
        <v>#REF!</v>
      </c>
      <c r="AU37" t="e">
        <f>AND(#REF!,"URXzUH5fLi4=")</f>
        <v>#REF!</v>
      </c>
      <c r="AV37" t="e">
        <f>AND(#REF!,"URXzUH5fLi8=")</f>
        <v>#REF!</v>
      </c>
      <c r="AW37" t="e">
        <f>AND(#REF!,"URXzUH5fLjA=")</f>
        <v>#REF!</v>
      </c>
      <c r="AX37" t="e">
        <f>AND(#REF!,"URXzUH5fLjE=")</f>
        <v>#REF!</v>
      </c>
      <c r="AY37" t="e">
        <f>AND(#REF!,"URXzUH5fLjI=")</f>
        <v>#REF!</v>
      </c>
      <c r="AZ37" t="e">
        <f>AND(#REF!,"URXzUH5fLjM=")</f>
        <v>#REF!</v>
      </c>
      <c r="BA37" t="e">
        <f>AND(#REF!,"URXzUH5fLjQ=")</f>
        <v>#REF!</v>
      </c>
      <c r="BB37" t="e">
        <f>AND(#REF!,"URXzUH5fLjU=")</f>
        <v>#REF!</v>
      </c>
      <c r="BC37" t="e">
        <f>AND(#REF!,"URXzUH5fLjY=")</f>
        <v>#REF!</v>
      </c>
      <c r="BD37" t="e">
        <f>AND(#REF!,"URXzUH5fLjc=")</f>
        <v>#REF!</v>
      </c>
      <c r="BE37" t="e">
        <f>AND(#REF!,"URXzUH5fLjg=")</f>
        <v>#REF!</v>
      </c>
      <c r="BF37" t="e">
        <f>AND(#REF!,"URXzUH5fLjk=")</f>
        <v>#REF!</v>
      </c>
      <c r="BG37" t="e">
        <f>AND(#REF!,"URXzUH5fLjo=")</f>
        <v>#REF!</v>
      </c>
      <c r="BH37" t="e">
        <f>AND(#REF!,"URXzUH5fLjs=")</f>
        <v>#REF!</v>
      </c>
      <c r="BI37" t="e">
        <f>AND(#REF!,"URXzUH5fLjw=")</f>
        <v>#REF!</v>
      </c>
      <c r="BJ37" t="e">
        <f>AND(#REF!,"URXzUH5fLj0=")</f>
        <v>#REF!</v>
      </c>
      <c r="BK37" t="e">
        <f>AND(#REF!,"URXzUH5fLj4=")</f>
        <v>#REF!</v>
      </c>
      <c r="BL37" t="e">
        <f>AND(#REF!,"URXzUH5fLj8=")</f>
        <v>#REF!</v>
      </c>
      <c r="BM37" t="e">
        <f>AND(#REF!,"URXzUH5fLkA=")</f>
        <v>#REF!</v>
      </c>
      <c r="BN37" t="e">
        <f>AND(#REF!,"URXzUH5fLkE=")</f>
        <v>#REF!</v>
      </c>
      <c r="BO37" t="e">
        <f>AND(#REF!,"URXzUH5fLkI=")</f>
        <v>#REF!</v>
      </c>
      <c r="BP37" t="e">
        <f>AND(#REF!,"URXzUH5fLkM=")</f>
        <v>#REF!</v>
      </c>
      <c r="BQ37" t="e">
        <f>AND(#REF!,"URXzUH5fLkQ=")</f>
        <v>#REF!</v>
      </c>
      <c r="BR37" t="e">
        <f>AND(#REF!,"URXzUH5fLkU=")</f>
        <v>#REF!</v>
      </c>
      <c r="BS37" t="e">
        <f>AND(#REF!,"URXzUH5fLkY=")</f>
        <v>#REF!</v>
      </c>
      <c r="BT37" t="e">
        <f>AND(#REF!,"URXzUH5fLkc=")</f>
        <v>#REF!</v>
      </c>
      <c r="BU37" t="e">
        <f>AND(#REF!,"URXzUH5fLkg=")</f>
        <v>#REF!</v>
      </c>
      <c r="BV37" t="e">
        <f>AND(#REF!,"URXzUH5fLkk=")</f>
        <v>#REF!</v>
      </c>
      <c r="BW37" t="e">
        <f>AND(#REF!,"URXzUH5fLko=")</f>
        <v>#REF!</v>
      </c>
      <c r="BX37" t="e">
        <f>AND(#REF!,"URXzUH5fLks=")</f>
        <v>#REF!</v>
      </c>
      <c r="BY37" t="e">
        <f>AND(#REF!,"URXzUH5fLkw=")</f>
        <v>#REF!</v>
      </c>
      <c r="BZ37" t="e">
        <f>AND(#REF!,"URXzUH5fLk0=")</f>
        <v>#REF!</v>
      </c>
      <c r="CA37" t="e">
        <f>AND(#REF!,"URXzUH5fLk4=")</f>
        <v>#REF!</v>
      </c>
      <c r="CB37" t="e">
        <f>AND(#REF!,"URXzUH5fLk8=")</f>
        <v>#REF!</v>
      </c>
      <c r="CC37" t="e">
        <f>AND(#REF!,"URXzUH5fLlA=")</f>
        <v>#REF!</v>
      </c>
      <c r="CD37" t="e">
        <f>AND(#REF!,"URXzUH5fLlE=")</f>
        <v>#REF!</v>
      </c>
      <c r="CE37" t="e">
        <f>AND(#REF!,"URXzUH5fLlI=")</f>
        <v>#REF!</v>
      </c>
      <c r="CF37" t="e">
        <f>IF(#REF!,"URXzUH5fLlM=",0)</f>
        <v>#REF!</v>
      </c>
      <c r="CG37" t="e">
        <f>AND(#REF!,"URXzUH5fLlQ=")</f>
        <v>#REF!</v>
      </c>
      <c r="CH37" t="e">
        <f>AND(#REF!,"URXzUH5fLlU=")</f>
        <v>#REF!</v>
      </c>
      <c r="CI37" t="e">
        <f>AND(#REF!,"URXzUH5fLlY=")</f>
        <v>#REF!</v>
      </c>
      <c r="CJ37" t="e">
        <f>AND(#REF!,"URXzUH5fLlc=")</f>
        <v>#REF!</v>
      </c>
      <c r="CK37" t="e">
        <f>AND(#REF!,"URXzUH5fLlg=")</f>
        <v>#REF!</v>
      </c>
      <c r="CL37" t="e">
        <f>AND(#REF!,"URXzUH5fLlk=")</f>
        <v>#REF!</v>
      </c>
      <c r="CM37" t="e">
        <f>AND(#REF!,"URXzUH5fLlo=")</f>
        <v>#REF!</v>
      </c>
      <c r="CN37" t="e">
        <f>AND(#REF!,"URXzUH5fLls=")</f>
        <v>#REF!</v>
      </c>
      <c r="CO37" t="e">
        <f>AND(#REF!,"URXzUH5fLlw=")</f>
        <v>#REF!</v>
      </c>
      <c r="CP37" t="e">
        <f>AND(#REF!,"URXzUH5fLl0=")</f>
        <v>#REF!</v>
      </c>
      <c r="CQ37" t="e">
        <f>AND(#REF!,"URXzUH5fLl4=")</f>
        <v>#REF!</v>
      </c>
      <c r="CR37" t="e">
        <f>AND(#REF!,"URXzUH5fLl8=")</f>
        <v>#REF!</v>
      </c>
      <c r="CS37" t="e">
        <f>AND(#REF!,"URXzUH5fLmA=")</f>
        <v>#REF!</v>
      </c>
      <c r="CT37" t="e">
        <f>AND(#REF!,"URXzUH5fLmE=")</f>
        <v>#REF!</v>
      </c>
      <c r="CU37" t="e">
        <f>AND(#REF!,"URXzUH5fLmI=")</f>
        <v>#REF!</v>
      </c>
      <c r="CV37" t="e">
        <f>AND(#REF!,"URXzUH5fLmM=")</f>
        <v>#REF!</v>
      </c>
      <c r="CW37" t="e">
        <f>AND(#REF!,"URXzUH5fLmQ=")</f>
        <v>#REF!</v>
      </c>
      <c r="CX37" t="e">
        <f>AND(#REF!,"URXzUH5fLmU=")</f>
        <v>#REF!</v>
      </c>
      <c r="CY37" t="e">
        <f>AND(#REF!,"URXzUH5fLmY=")</f>
        <v>#REF!</v>
      </c>
      <c r="CZ37" t="e">
        <f>AND(#REF!,"URXzUH5fLmc=")</f>
        <v>#REF!</v>
      </c>
      <c r="DA37" t="e">
        <f>AND(#REF!,"URXzUH5fLmg=")</f>
        <v>#REF!</v>
      </c>
      <c r="DB37" t="e">
        <f>AND(#REF!,"URXzUH5fLmk=")</f>
        <v>#REF!</v>
      </c>
      <c r="DC37" t="e">
        <f>AND(#REF!,"URXzUH5fLmo=")</f>
        <v>#REF!</v>
      </c>
      <c r="DD37" t="e">
        <f>AND(#REF!,"URXzUH5fLms=")</f>
        <v>#REF!</v>
      </c>
      <c r="DE37" t="e">
        <f>AND(#REF!,"URXzUH5fLmw=")</f>
        <v>#REF!</v>
      </c>
      <c r="DF37" t="e">
        <f>AND(#REF!,"URXzUH5fLm0=")</f>
        <v>#REF!</v>
      </c>
      <c r="DG37" t="e">
        <f>AND(#REF!,"URXzUH5fLm4=")</f>
        <v>#REF!</v>
      </c>
      <c r="DH37" t="e">
        <f>AND(#REF!,"URXzUH5fLm8=")</f>
        <v>#REF!</v>
      </c>
      <c r="DI37" t="e">
        <f>AND(#REF!,"URXzUH5fLnA=")</f>
        <v>#REF!</v>
      </c>
      <c r="DJ37" t="e">
        <f>AND(#REF!,"URXzUH5fLnE=")</f>
        <v>#REF!</v>
      </c>
      <c r="DK37" t="e">
        <f>AND(#REF!,"URXzUH5fLnI=")</f>
        <v>#REF!</v>
      </c>
      <c r="DL37" t="e">
        <f>AND(#REF!,"URXzUH5fLnM=")</f>
        <v>#REF!</v>
      </c>
      <c r="DM37" t="e">
        <f>AND(#REF!,"URXzUH5fLnQ=")</f>
        <v>#REF!</v>
      </c>
      <c r="DN37" t="e">
        <f>AND(#REF!,"URXzUH5fLnU=")</f>
        <v>#REF!</v>
      </c>
      <c r="DO37" t="e">
        <f>AND(#REF!,"URXzUH5fLnY=")</f>
        <v>#REF!</v>
      </c>
      <c r="DP37" t="e">
        <f>AND(#REF!,"URXzUH5fLnc=")</f>
        <v>#REF!</v>
      </c>
      <c r="DQ37" t="e">
        <f>AND(#REF!,"URXzUH5fLng=")</f>
        <v>#REF!</v>
      </c>
      <c r="DR37" t="e">
        <f>AND(#REF!,"URXzUH5fLnk=")</f>
        <v>#REF!</v>
      </c>
      <c r="DS37" t="e">
        <f>AND(#REF!,"URXzUH5fLno=")</f>
        <v>#REF!</v>
      </c>
      <c r="DT37" t="e">
        <f>AND(#REF!,"URXzUH5fLns=")</f>
        <v>#REF!</v>
      </c>
      <c r="DU37" t="e">
        <f>AND(#REF!,"URXzUH5fLnw=")</f>
        <v>#REF!</v>
      </c>
      <c r="DV37" t="e">
        <f>AND(#REF!,"URXzUH5fLn0=")</f>
        <v>#REF!</v>
      </c>
      <c r="DW37" t="e">
        <f>AND(#REF!,"URXzUH5fLn4=")</f>
        <v>#REF!</v>
      </c>
      <c r="DX37" t="e">
        <f>AND(#REF!,"URXzUH5fLn8=")</f>
        <v>#REF!</v>
      </c>
      <c r="DY37" t="e">
        <f>AND(#REF!,"URXzUH5fLoA=")</f>
        <v>#REF!</v>
      </c>
      <c r="DZ37" t="e">
        <f>AND(#REF!,"URXzUH5fLoE=")</f>
        <v>#REF!</v>
      </c>
      <c r="EA37" t="e">
        <f>AND(#REF!,"URXzUH5fLoI=")</f>
        <v>#REF!</v>
      </c>
      <c r="EB37" t="e">
        <f>AND(#REF!,"URXzUH5fLoM=")</f>
        <v>#REF!</v>
      </c>
      <c r="EC37" t="e">
        <f>AND(#REF!,"URXzUH5fLoQ=")</f>
        <v>#REF!</v>
      </c>
      <c r="ED37" t="e">
        <f>AND(#REF!,"URXzUH5fLoU=")</f>
        <v>#REF!</v>
      </c>
      <c r="EE37" t="e">
        <f>AND(#REF!,"URXzUH5fLoY=")</f>
        <v>#REF!</v>
      </c>
      <c r="EF37" t="e">
        <f>AND(#REF!,"URXzUH5fLoc=")</f>
        <v>#REF!</v>
      </c>
      <c r="EG37" t="e">
        <f>AND(#REF!,"URXzUH5fLog=")</f>
        <v>#REF!</v>
      </c>
      <c r="EH37" t="e">
        <f>AND(#REF!,"URXzUH5fLok=")</f>
        <v>#REF!</v>
      </c>
      <c r="EI37" t="e">
        <f>AND(#REF!,"URXzUH5fLoo=")</f>
        <v>#REF!</v>
      </c>
      <c r="EJ37" t="e">
        <f>AND(#REF!,"URXzUH5fLos=")</f>
        <v>#REF!</v>
      </c>
      <c r="EK37" t="e">
        <f>AND(#REF!,"URXzUH5fLow=")</f>
        <v>#REF!</v>
      </c>
      <c r="EL37" t="e">
        <f>AND(#REF!,"URXzUH5fLo0=")</f>
        <v>#REF!</v>
      </c>
      <c r="EM37" t="e">
        <f>AND(#REF!,"URXzUH5fLo4=")</f>
        <v>#REF!</v>
      </c>
      <c r="EN37" t="e">
        <f>AND(#REF!,"URXzUH5fLo8=")</f>
        <v>#REF!</v>
      </c>
      <c r="EO37" t="e">
        <f>AND(#REF!,"URXzUH5fLpA=")</f>
        <v>#REF!</v>
      </c>
      <c r="EP37" t="e">
        <f>AND(#REF!,"URXzUH5fLpE=")</f>
        <v>#REF!</v>
      </c>
      <c r="EQ37" t="e">
        <f>AND(#REF!,"URXzUH5fLpI=")</f>
        <v>#REF!</v>
      </c>
      <c r="ER37" t="e">
        <f>AND(#REF!,"URXzUH5fLpM=")</f>
        <v>#REF!</v>
      </c>
      <c r="ES37" t="e">
        <f>AND(#REF!,"URXzUH5fLpQ=")</f>
        <v>#REF!</v>
      </c>
      <c r="ET37" t="e">
        <f>AND(#REF!,"URXzUH5fLpU=")</f>
        <v>#REF!</v>
      </c>
      <c r="EU37" t="e">
        <f>AND(#REF!,"URXzUH5fLpY=")</f>
        <v>#REF!</v>
      </c>
      <c r="EV37" t="e">
        <f>AND(#REF!,"URXzUH5fLpc=")</f>
        <v>#REF!</v>
      </c>
      <c r="EW37" t="e">
        <f>AND(#REF!,"URXzUH5fLpg=")</f>
        <v>#REF!</v>
      </c>
      <c r="EX37" t="e">
        <f>AND(#REF!,"URXzUH5fLpk=")</f>
        <v>#REF!</v>
      </c>
      <c r="EY37" t="e">
        <f>AND(#REF!,"URXzUH5fLpo=")</f>
        <v>#REF!</v>
      </c>
      <c r="EZ37" t="e">
        <f>AND(#REF!,"URXzUH5fLps=")</f>
        <v>#REF!</v>
      </c>
      <c r="FA37" t="e">
        <f>AND(#REF!,"URXzUH5fLpw=")</f>
        <v>#REF!</v>
      </c>
      <c r="FB37" t="e">
        <f>AND(#REF!,"URXzUH5fLp0=")</f>
        <v>#REF!</v>
      </c>
      <c r="FC37" t="e">
        <f>AND(#REF!,"URXzUH5fLp4=")</f>
        <v>#REF!</v>
      </c>
      <c r="FD37" t="e">
        <f>AND(#REF!,"URXzUH5fLp8=")</f>
        <v>#REF!</v>
      </c>
      <c r="FE37" t="e">
        <f>AND(#REF!,"URXzUH5fLqA=")</f>
        <v>#REF!</v>
      </c>
      <c r="FF37" t="e">
        <f>AND(#REF!,"URXzUH5fLqE=")</f>
        <v>#REF!</v>
      </c>
      <c r="FG37" t="e">
        <f>AND(#REF!,"URXzUH5fLqI=")</f>
        <v>#REF!</v>
      </c>
      <c r="FH37" t="e">
        <f>AND(#REF!,"URXzUH5fLqM=")</f>
        <v>#REF!</v>
      </c>
      <c r="FI37" t="e">
        <f>AND(#REF!,"URXzUH5fLqQ=")</f>
        <v>#REF!</v>
      </c>
      <c r="FJ37" t="e">
        <f>AND(#REF!,"URXzUH5fLqU=")</f>
        <v>#REF!</v>
      </c>
      <c r="FK37" t="e">
        <f>AND(#REF!,"URXzUH5fLqY=")</f>
        <v>#REF!</v>
      </c>
      <c r="FL37" t="e">
        <f>AND(#REF!,"URXzUH5fLqc=")</f>
        <v>#REF!</v>
      </c>
      <c r="FM37" t="e">
        <f>AND(#REF!,"URXzUH5fLqg=")</f>
        <v>#REF!</v>
      </c>
      <c r="FN37" t="e">
        <f>AND(#REF!,"URXzUH5fLqk=")</f>
        <v>#REF!</v>
      </c>
      <c r="FO37" t="e">
        <f>AND(#REF!,"URXzUH5fLqo=")</f>
        <v>#REF!</v>
      </c>
      <c r="FP37" t="e">
        <f>AND(#REF!,"URXzUH5fLqs=")</f>
        <v>#REF!</v>
      </c>
      <c r="FQ37" t="e">
        <f>AND(#REF!,"URXzUH5fLqw=")</f>
        <v>#REF!</v>
      </c>
      <c r="FR37" t="e">
        <f>AND(#REF!,"URXzUH5fLq0=")</f>
        <v>#REF!</v>
      </c>
      <c r="FS37" t="e">
        <f>AND(#REF!,"URXzUH5fLq4=")</f>
        <v>#REF!</v>
      </c>
      <c r="FT37" t="e">
        <f>AND(#REF!,"URXzUH5fLq8=")</f>
        <v>#REF!</v>
      </c>
      <c r="FU37" t="e">
        <f>AND(#REF!,"URXzUH5fLrA=")</f>
        <v>#REF!</v>
      </c>
      <c r="FV37" t="e">
        <f>AND(#REF!,"URXzUH5fLrE=")</f>
        <v>#REF!</v>
      </c>
      <c r="FW37" t="e">
        <f>AND(#REF!,"URXzUH5fLrI=")</f>
        <v>#REF!</v>
      </c>
      <c r="FX37" t="e">
        <f>AND(#REF!,"URXzUH5fLrM=")</f>
        <v>#REF!</v>
      </c>
      <c r="FY37" t="e">
        <f>AND(#REF!,"URXzUH5fLrQ=")</f>
        <v>#REF!</v>
      </c>
      <c r="FZ37" t="e">
        <f>AND(#REF!,"URXzUH5fLrU=")</f>
        <v>#REF!</v>
      </c>
      <c r="GA37" t="e">
        <f>AND(#REF!,"URXzUH5fLrY=")</f>
        <v>#REF!</v>
      </c>
      <c r="GB37" t="e">
        <f>AND(#REF!,"URXzUH5fLrc=")</f>
        <v>#REF!</v>
      </c>
      <c r="GC37" t="e">
        <f>AND(#REF!,"URXzUH5fLrg=")</f>
        <v>#REF!</v>
      </c>
      <c r="GD37" t="e">
        <f>AND(#REF!,"URXzUH5fLrk=")</f>
        <v>#REF!</v>
      </c>
      <c r="GE37" t="e">
        <f>AND(#REF!,"URXzUH5fLro=")</f>
        <v>#REF!</v>
      </c>
      <c r="GF37" t="e">
        <f>AND(#REF!,"URXzUH5fLrs=")</f>
        <v>#REF!</v>
      </c>
      <c r="GG37" t="e">
        <f>AND(#REF!,"URXzUH5fLrw=")</f>
        <v>#REF!</v>
      </c>
      <c r="GH37" t="e">
        <f>AND(#REF!,"URXzUH5fLr0=")</f>
        <v>#REF!</v>
      </c>
      <c r="GI37" t="e">
        <f>AND(#REF!,"URXzUH5fLr4=")</f>
        <v>#REF!</v>
      </c>
      <c r="GJ37" t="e">
        <f>AND(#REF!,"URXzUH5fLr8=")</f>
        <v>#REF!</v>
      </c>
      <c r="GK37" t="e">
        <f>AND(#REF!,"URXzUH5fLsA=")</f>
        <v>#REF!</v>
      </c>
      <c r="GL37" t="e">
        <f>AND(#REF!,"URXzUH5fLsE=")</f>
        <v>#REF!</v>
      </c>
      <c r="GM37" t="e">
        <f>AND(#REF!,"URXzUH5fLsI=")</f>
        <v>#REF!</v>
      </c>
      <c r="GN37" t="e">
        <f>AND(#REF!,"URXzUH5fLsM=")</f>
        <v>#REF!</v>
      </c>
      <c r="GO37" t="e">
        <f>AND(#REF!,"URXzUH5fLsQ=")</f>
        <v>#REF!</v>
      </c>
      <c r="GP37" t="e">
        <f>AND(#REF!,"URXzUH5fLsU=")</f>
        <v>#REF!</v>
      </c>
      <c r="GQ37" t="e">
        <f>AND(#REF!,"URXzUH5fLsY=")</f>
        <v>#REF!</v>
      </c>
      <c r="GR37" t="e">
        <f>AND(#REF!,"URXzUH5fLsc=")</f>
        <v>#REF!</v>
      </c>
      <c r="GS37" t="e">
        <f>AND(#REF!,"URXzUH5fLsg=")</f>
        <v>#REF!</v>
      </c>
      <c r="GT37" t="e">
        <f>AND(#REF!,"URXzUH5fLsk=")</f>
        <v>#REF!</v>
      </c>
      <c r="GU37" t="e">
        <f>AND(#REF!,"URXzUH5fLso=")</f>
        <v>#REF!</v>
      </c>
      <c r="GV37" t="e">
        <f>AND(#REF!,"URXzUH5fLss=")</f>
        <v>#REF!</v>
      </c>
      <c r="GW37" t="e">
        <f>AND(#REF!,"URXzUH5fLsw=")</f>
        <v>#REF!</v>
      </c>
      <c r="GX37" t="e">
        <f>AND(#REF!,"URXzUH5fLs0=")</f>
        <v>#REF!</v>
      </c>
      <c r="GY37" t="e">
        <f>AND(#REF!,"URXzUH5fLs4=")</f>
        <v>#REF!</v>
      </c>
      <c r="GZ37" t="e">
        <f>AND(#REF!,"URXzUH5fLs8=")</f>
        <v>#REF!</v>
      </c>
      <c r="HA37" t="e">
        <f>AND(#REF!,"URXzUH5fLtA=")</f>
        <v>#REF!</v>
      </c>
      <c r="HB37" t="e">
        <f>AND(#REF!,"URXzUH5fLtE=")</f>
        <v>#REF!</v>
      </c>
      <c r="HC37" t="e">
        <f>AND(#REF!,"URXzUH5fLtI=")</f>
        <v>#REF!</v>
      </c>
      <c r="HD37" t="e">
        <f>AND(#REF!,"URXzUH5fLtM=")</f>
        <v>#REF!</v>
      </c>
      <c r="HE37" t="e">
        <f>AND(#REF!,"URXzUH5fLtQ=")</f>
        <v>#REF!</v>
      </c>
      <c r="HF37" t="e">
        <f>AND(#REF!,"URXzUH5fLtU=")</f>
        <v>#REF!</v>
      </c>
      <c r="HG37" t="e">
        <f>AND(#REF!,"URXzUH5fLtY=")</f>
        <v>#REF!</v>
      </c>
      <c r="HH37" t="e">
        <f>AND(#REF!,"URXzUH5fLtc=")</f>
        <v>#REF!</v>
      </c>
      <c r="HI37" t="e">
        <f>AND(#REF!,"URXzUH5fLtg=")</f>
        <v>#REF!</v>
      </c>
      <c r="HJ37" t="e">
        <f>AND(#REF!,"URXzUH5fLtk=")</f>
        <v>#REF!</v>
      </c>
      <c r="HK37" t="e">
        <f>AND(#REF!,"URXzUH5fLto=")</f>
        <v>#REF!</v>
      </c>
      <c r="HL37" t="e">
        <f>AND(#REF!,"URXzUH5fLts=")</f>
        <v>#REF!</v>
      </c>
      <c r="HM37" t="e">
        <f>AND(#REF!,"URXzUH5fLtw=")</f>
        <v>#REF!</v>
      </c>
      <c r="HN37" t="e">
        <f>AND(#REF!,"URXzUH5fLt0=")</f>
        <v>#REF!</v>
      </c>
      <c r="HO37" t="e">
        <f>AND(#REF!,"URXzUH5fLt4=")</f>
        <v>#REF!</v>
      </c>
      <c r="HP37" t="e">
        <f>AND(#REF!,"URXzUH5fLt8=")</f>
        <v>#REF!</v>
      </c>
      <c r="HQ37" t="e">
        <f>AND(#REF!,"URXzUH5fLuA=")</f>
        <v>#REF!</v>
      </c>
      <c r="HR37" t="e">
        <f>AND(#REF!,"URXzUH5fLuE=")</f>
        <v>#REF!</v>
      </c>
      <c r="HS37" t="e">
        <f>AND(#REF!,"URXzUH5fLuI=")</f>
        <v>#REF!</v>
      </c>
      <c r="HT37" t="e">
        <f>AND(#REF!,"URXzUH5fLuM=")</f>
        <v>#REF!</v>
      </c>
      <c r="HU37" t="e">
        <f>AND(#REF!,"URXzUH5fLuQ=")</f>
        <v>#REF!</v>
      </c>
      <c r="HV37" t="e">
        <f>AND(#REF!,"URXzUH5fLuU=")</f>
        <v>#REF!</v>
      </c>
      <c r="HW37" t="e">
        <f>AND(#REF!,"URXzUH5fLuY=")</f>
        <v>#REF!</v>
      </c>
      <c r="HX37" t="e">
        <f>AND(#REF!,"URXzUH5fLuc=")</f>
        <v>#REF!</v>
      </c>
      <c r="HY37" t="e">
        <f>AND(#REF!,"URXzUH5fLug=")</f>
        <v>#REF!</v>
      </c>
      <c r="HZ37" t="e">
        <f>AND(#REF!,"URXzUH5fLuk=")</f>
        <v>#REF!</v>
      </c>
      <c r="IA37" t="e">
        <f>AND(#REF!,"URXzUH5fLuo=")</f>
        <v>#REF!</v>
      </c>
      <c r="IB37" t="e">
        <f>AND(#REF!,"URXzUH5fLus=")</f>
        <v>#REF!</v>
      </c>
      <c r="IC37" t="e">
        <f>AND(#REF!,"URXzUH5fLuw=")</f>
        <v>#REF!</v>
      </c>
      <c r="ID37" t="e">
        <f>AND(#REF!,"URXzUH5fLu0=")</f>
        <v>#REF!</v>
      </c>
      <c r="IE37" t="e">
        <f>AND(#REF!,"URXzUH5fLu4=")</f>
        <v>#REF!</v>
      </c>
      <c r="IF37" t="e">
        <f>AND(#REF!,"URXzUH5fLu8=")</f>
        <v>#REF!</v>
      </c>
      <c r="IG37" t="e">
        <f>AND(#REF!,"URXzUH5fLvA=")</f>
        <v>#REF!</v>
      </c>
      <c r="IH37" t="e">
        <f>AND(#REF!,"URXzUH5fLvE=")</f>
        <v>#REF!</v>
      </c>
      <c r="II37" t="e">
        <f>AND(#REF!,"URXzUH5fLvI=")</f>
        <v>#REF!</v>
      </c>
      <c r="IJ37" t="e">
        <f>AND(#REF!,"URXzUH5fLvM=")</f>
        <v>#REF!</v>
      </c>
      <c r="IK37" t="e">
        <f>AND(#REF!,"URXzUH5fLvQ=")</f>
        <v>#REF!</v>
      </c>
      <c r="IL37" t="e">
        <f>AND(#REF!,"URXzUH5fLvU=")</f>
        <v>#REF!</v>
      </c>
      <c r="IM37" t="e">
        <f>AND(#REF!,"URXzUH5fLvY=")</f>
        <v>#REF!</v>
      </c>
      <c r="IN37" t="e">
        <f>AND(#REF!,"URXzUH5fLvc=")</f>
        <v>#REF!</v>
      </c>
      <c r="IO37" t="e">
        <f>AND(#REF!,"URXzUH5fLvg=")</f>
        <v>#REF!</v>
      </c>
      <c r="IP37" t="e">
        <f>AND(#REF!,"URXzUH5fLvk=")</f>
        <v>#REF!</v>
      </c>
      <c r="IQ37" t="e">
        <f>AND(#REF!,"URXzUH5fLvo=")</f>
        <v>#REF!</v>
      </c>
      <c r="IR37" t="e">
        <f>AND(#REF!,"URXzUH5fLvs=")</f>
        <v>#REF!</v>
      </c>
      <c r="IS37" t="e">
        <f>AND(#REF!,"URXzUH5fLvw=")</f>
        <v>#REF!</v>
      </c>
      <c r="IT37" t="e">
        <f>AND(#REF!,"URXzUH5fLv0=")</f>
        <v>#REF!</v>
      </c>
      <c r="IU37" t="e">
        <f>AND(#REF!,"URXzUH5fLv4=")</f>
        <v>#REF!</v>
      </c>
      <c r="IV37" t="e">
        <f>AND(#REF!,"URXzUH5fLv8=")</f>
        <v>#REF!</v>
      </c>
    </row>
    <row r="38" spans="1:256" x14ac:dyDescent="0.2">
      <c r="A38" t="e">
        <f>AND(#REF!,"MaK0sCaNagA=")</f>
        <v>#REF!</v>
      </c>
      <c r="B38" t="e">
        <f>AND(#REF!,"MaK0sCaNagE=")</f>
        <v>#REF!</v>
      </c>
      <c r="C38" t="e">
        <f>AND(#REF!,"MaK0sCaNagI=")</f>
        <v>#REF!</v>
      </c>
      <c r="D38" t="e">
        <f>AND(#REF!,"MaK0sCaNagM=")</f>
        <v>#REF!</v>
      </c>
      <c r="E38" t="e">
        <f>AND(#REF!,"MaK0sCaNagQ=")</f>
        <v>#REF!</v>
      </c>
      <c r="F38" t="e">
        <f>AND(#REF!,"MaK0sCaNagU=")</f>
        <v>#REF!</v>
      </c>
      <c r="G38" t="e">
        <f>AND(#REF!,"MaK0sCaNagY=")</f>
        <v>#REF!</v>
      </c>
      <c r="H38" t="e">
        <f>AND(#REF!,"MaK0sCaNagc=")</f>
        <v>#REF!</v>
      </c>
      <c r="I38" t="e">
        <f>AND(#REF!,"MaK0sCaNagg=")</f>
        <v>#REF!</v>
      </c>
      <c r="J38" t="e">
        <f>AND(#REF!,"MaK0sCaNagk=")</f>
        <v>#REF!</v>
      </c>
      <c r="K38" t="e">
        <f>AND(#REF!,"MaK0sCaNago=")</f>
        <v>#REF!</v>
      </c>
      <c r="L38" t="e">
        <f>AND(#REF!,"MaK0sCaNags=")</f>
        <v>#REF!</v>
      </c>
      <c r="M38" t="e">
        <f>AND(#REF!,"MaK0sCaNagw=")</f>
        <v>#REF!</v>
      </c>
      <c r="N38" t="e">
        <f>AND(#REF!,"MaK0sCaNag0=")</f>
        <v>#REF!</v>
      </c>
      <c r="O38" t="e">
        <f>AND(#REF!,"MaK0sCaNag4=")</f>
        <v>#REF!</v>
      </c>
      <c r="P38" t="e">
        <f>AND(#REF!,"MaK0sCaNag8=")</f>
        <v>#REF!</v>
      </c>
      <c r="Q38" t="e">
        <f>AND(#REF!,"MaK0sCaNahA=")</f>
        <v>#REF!</v>
      </c>
      <c r="R38" t="e">
        <f>AND(#REF!,"MaK0sCaNahE=")</f>
        <v>#REF!</v>
      </c>
      <c r="S38" t="e">
        <f>AND(#REF!,"MaK0sCaNahI=")</f>
        <v>#REF!</v>
      </c>
      <c r="T38" t="e">
        <f>AND(#REF!,"MaK0sCaNahM=")</f>
        <v>#REF!</v>
      </c>
      <c r="U38" t="e">
        <f>AND(#REF!,"MaK0sCaNahQ=")</f>
        <v>#REF!</v>
      </c>
      <c r="V38" t="e">
        <f>AND(#REF!,"MaK0sCaNahU=")</f>
        <v>#REF!</v>
      </c>
      <c r="W38" t="e">
        <f>AND(#REF!,"MaK0sCaNahY=")</f>
        <v>#REF!</v>
      </c>
      <c r="X38" t="e">
        <f>AND(#REF!,"MaK0sCaNahc=")</f>
        <v>#REF!</v>
      </c>
      <c r="Y38" t="e">
        <f>AND(#REF!,"MaK0sCaNahg=")</f>
        <v>#REF!</v>
      </c>
      <c r="Z38" t="e">
        <f>AND(#REF!,"MaK0sCaNahk=")</f>
        <v>#REF!</v>
      </c>
      <c r="AA38" t="e">
        <f>IF(#REF!,"MaK0sCaNaho=",0)</f>
        <v>#REF!</v>
      </c>
      <c r="AB38" t="e">
        <f>AND(#REF!,"MaK0sCaNahs=")</f>
        <v>#REF!</v>
      </c>
      <c r="AC38" t="e">
        <f>AND(#REF!,"MaK0sCaNahw=")</f>
        <v>#REF!</v>
      </c>
      <c r="AD38" t="e">
        <f>AND(#REF!,"MaK0sCaNah0=")</f>
        <v>#REF!</v>
      </c>
      <c r="AE38" t="e">
        <f>AND(#REF!,"MaK0sCaNah4=")</f>
        <v>#REF!</v>
      </c>
      <c r="AF38" t="e">
        <f>AND(#REF!,"MaK0sCaNah8=")</f>
        <v>#REF!</v>
      </c>
      <c r="AG38" t="e">
        <f>AND(#REF!,"MaK0sCaNaiA=")</f>
        <v>#REF!</v>
      </c>
      <c r="AH38" t="e">
        <f>AND(#REF!,"MaK0sCaNaiE=")</f>
        <v>#REF!</v>
      </c>
      <c r="AI38" t="e">
        <f>AND(#REF!,"MaK0sCaNaiI=")</f>
        <v>#REF!</v>
      </c>
      <c r="AJ38" t="e">
        <f>AND(#REF!,"MaK0sCaNaiM=")</f>
        <v>#REF!</v>
      </c>
      <c r="AK38" t="e">
        <f>AND(#REF!,"MaK0sCaNaiQ=")</f>
        <v>#REF!</v>
      </c>
      <c r="AL38" t="e">
        <f>AND(#REF!,"MaK0sCaNaiU=")</f>
        <v>#REF!</v>
      </c>
      <c r="AM38" t="e">
        <f>AND(#REF!,"MaK0sCaNaiY=")</f>
        <v>#REF!</v>
      </c>
      <c r="AN38" t="e">
        <f>AND(#REF!,"MaK0sCaNaic=")</f>
        <v>#REF!</v>
      </c>
      <c r="AO38" t="e">
        <f>AND(#REF!,"MaK0sCaNaig=")</f>
        <v>#REF!</v>
      </c>
      <c r="AP38" t="e">
        <f>AND(#REF!,"MaK0sCaNaik=")</f>
        <v>#REF!</v>
      </c>
      <c r="AQ38" t="e">
        <f>AND(#REF!,"MaK0sCaNaio=")</f>
        <v>#REF!</v>
      </c>
      <c r="AR38" t="e">
        <f>AND(#REF!,"MaK0sCaNais=")</f>
        <v>#REF!</v>
      </c>
      <c r="AS38" t="e">
        <f>AND(#REF!,"MaK0sCaNaiw=")</f>
        <v>#REF!</v>
      </c>
      <c r="AT38" t="e">
        <f>AND(#REF!,"MaK0sCaNai0=")</f>
        <v>#REF!</v>
      </c>
      <c r="AU38" t="e">
        <f>AND(#REF!,"MaK0sCaNai4=")</f>
        <v>#REF!</v>
      </c>
      <c r="AV38" t="e">
        <f>AND(#REF!,"MaK0sCaNai8=")</f>
        <v>#REF!</v>
      </c>
      <c r="AW38" t="e">
        <f>AND(#REF!,"MaK0sCaNajA=")</f>
        <v>#REF!</v>
      </c>
      <c r="AX38" t="e">
        <f>AND(#REF!,"MaK0sCaNajE=")</f>
        <v>#REF!</v>
      </c>
      <c r="AY38" t="e">
        <f>AND(#REF!,"MaK0sCaNajI=")</f>
        <v>#REF!</v>
      </c>
      <c r="AZ38" t="e">
        <f>AND(#REF!,"MaK0sCaNajM=")</f>
        <v>#REF!</v>
      </c>
      <c r="BA38" t="e">
        <f>AND(#REF!,"MaK0sCaNajQ=")</f>
        <v>#REF!</v>
      </c>
      <c r="BB38" t="e">
        <f>AND(#REF!,"MaK0sCaNajU=")</f>
        <v>#REF!</v>
      </c>
      <c r="BC38" t="e">
        <f>AND(#REF!,"MaK0sCaNajY=")</f>
        <v>#REF!</v>
      </c>
      <c r="BD38" t="e">
        <f>AND(#REF!,"MaK0sCaNajc=")</f>
        <v>#REF!</v>
      </c>
      <c r="BE38" t="e">
        <f>AND(#REF!,"MaK0sCaNajg=")</f>
        <v>#REF!</v>
      </c>
      <c r="BF38" t="e">
        <f>AND(#REF!,"MaK0sCaNajk=")</f>
        <v>#REF!</v>
      </c>
      <c r="BG38" t="e">
        <f>AND(#REF!,"MaK0sCaNajo=")</f>
        <v>#REF!</v>
      </c>
      <c r="BH38" t="e">
        <f>AND(#REF!,"MaK0sCaNajs=")</f>
        <v>#REF!</v>
      </c>
      <c r="BI38" t="e">
        <f>AND(#REF!,"MaK0sCaNajw=")</f>
        <v>#REF!</v>
      </c>
      <c r="BJ38" t="e">
        <f>AND(#REF!,"MaK0sCaNaj0=")</f>
        <v>#REF!</v>
      </c>
      <c r="BK38" t="e">
        <f>AND(#REF!,"MaK0sCaNaj4=")</f>
        <v>#REF!</v>
      </c>
      <c r="BL38" t="e">
        <f>AND(#REF!,"MaK0sCaNaj8=")</f>
        <v>#REF!</v>
      </c>
      <c r="BM38" t="e">
        <f>AND(#REF!,"MaK0sCaNakA=")</f>
        <v>#REF!</v>
      </c>
      <c r="BN38" t="e">
        <f>AND(#REF!,"MaK0sCaNakE=")</f>
        <v>#REF!</v>
      </c>
      <c r="BO38" t="e">
        <f>AND(#REF!,"MaK0sCaNakI=")</f>
        <v>#REF!</v>
      </c>
      <c r="BP38" t="e">
        <f>AND(#REF!,"MaK0sCaNakM=")</f>
        <v>#REF!</v>
      </c>
      <c r="BQ38" t="e">
        <f>AND(#REF!,"MaK0sCaNakQ=")</f>
        <v>#REF!</v>
      </c>
      <c r="BR38" t="e">
        <f>AND(#REF!,"MaK0sCaNakU=")</f>
        <v>#REF!</v>
      </c>
      <c r="BS38" t="e">
        <f>AND(#REF!,"MaK0sCaNakY=")</f>
        <v>#REF!</v>
      </c>
      <c r="BT38" t="e">
        <f>AND(#REF!,"MaK0sCaNakc=")</f>
        <v>#REF!</v>
      </c>
      <c r="BU38" t="e">
        <f>AND(#REF!,"MaK0sCaNakg=")</f>
        <v>#REF!</v>
      </c>
      <c r="BV38" t="e">
        <f>AND(#REF!,"MaK0sCaNakk=")</f>
        <v>#REF!</v>
      </c>
      <c r="BW38" t="e">
        <f>AND(#REF!,"MaK0sCaNako=")</f>
        <v>#REF!</v>
      </c>
      <c r="BX38" t="e">
        <f>AND(#REF!,"MaK0sCaNaks=")</f>
        <v>#REF!</v>
      </c>
      <c r="BY38" t="e">
        <f>AND(#REF!,"MaK0sCaNakw=")</f>
        <v>#REF!</v>
      </c>
      <c r="BZ38" t="e">
        <f>AND(#REF!,"MaK0sCaNak0=")</f>
        <v>#REF!</v>
      </c>
      <c r="CA38" t="e">
        <f>AND(#REF!,"MaK0sCaNak4=")</f>
        <v>#REF!</v>
      </c>
      <c r="CB38" t="e">
        <f>AND(#REF!,"MaK0sCaNak8=")</f>
        <v>#REF!</v>
      </c>
      <c r="CC38" t="e">
        <f>AND(#REF!,"MaK0sCaNalA=")</f>
        <v>#REF!</v>
      </c>
      <c r="CD38" t="e">
        <f>AND(#REF!,"MaK0sCaNalE=")</f>
        <v>#REF!</v>
      </c>
      <c r="CE38" t="e">
        <f>AND(#REF!,"MaK0sCaNalI=")</f>
        <v>#REF!</v>
      </c>
      <c r="CF38" t="e">
        <f>AND(#REF!,"MaK0sCaNalM=")</f>
        <v>#REF!</v>
      </c>
      <c r="CG38" t="e">
        <f>AND(#REF!,"MaK0sCaNalQ=")</f>
        <v>#REF!</v>
      </c>
      <c r="CH38" t="e">
        <f>AND(#REF!,"MaK0sCaNalU=")</f>
        <v>#REF!</v>
      </c>
      <c r="CI38" t="e">
        <f>AND(#REF!,"MaK0sCaNalY=")</f>
        <v>#REF!</v>
      </c>
      <c r="CJ38" t="e">
        <f>AND(#REF!,"MaK0sCaNalc=")</f>
        <v>#REF!</v>
      </c>
      <c r="CK38" t="e">
        <f>AND(#REF!,"MaK0sCaNalg=")</f>
        <v>#REF!</v>
      </c>
      <c r="CL38" t="e">
        <f>AND(#REF!,"MaK0sCaNalk=")</f>
        <v>#REF!</v>
      </c>
      <c r="CM38" t="e">
        <f>AND(#REF!,"MaK0sCaNalo=")</f>
        <v>#REF!</v>
      </c>
      <c r="CN38" t="e">
        <f>AND(#REF!,"MaK0sCaNals=")</f>
        <v>#REF!</v>
      </c>
      <c r="CO38" t="e">
        <f>AND(#REF!,"MaK0sCaNalw=")</f>
        <v>#REF!</v>
      </c>
      <c r="CP38" t="e">
        <f>AND(#REF!,"MaK0sCaNal0=")</f>
        <v>#REF!</v>
      </c>
      <c r="CQ38" t="e">
        <f>AND(#REF!,"MaK0sCaNal4=")</f>
        <v>#REF!</v>
      </c>
      <c r="CR38" t="e">
        <f>AND(#REF!,"MaK0sCaNal8=")</f>
        <v>#REF!</v>
      </c>
      <c r="CS38" t="e">
        <f>AND(#REF!,"MaK0sCaNamA=")</f>
        <v>#REF!</v>
      </c>
      <c r="CT38" t="e">
        <f>AND(#REF!,"MaK0sCaNamE=")</f>
        <v>#REF!</v>
      </c>
      <c r="CU38" t="e">
        <f>AND(#REF!,"MaK0sCaNamI=")</f>
        <v>#REF!</v>
      </c>
      <c r="CV38" t="e">
        <f>AND(#REF!,"MaK0sCaNamM=")</f>
        <v>#REF!</v>
      </c>
      <c r="CW38" t="e">
        <f>AND(#REF!,"MaK0sCaNamQ=")</f>
        <v>#REF!</v>
      </c>
      <c r="CX38" t="e">
        <f>AND(#REF!,"MaK0sCaNamU=")</f>
        <v>#REF!</v>
      </c>
      <c r="CY38" t="e">
        <f>AND(#REF!,"MaK0sCaNamY=")</f>
        <v>#REF!</v>
      </c>
      <c r="CZ38" t="e">
        <f>AND(#REF!,"MaK0sCaNamc=")</f>
        <v>#REF!</v>
      </c>
      <c r="DA38" t="e">
        <f>AND(#REF!,"MaK0sCaNamg=")</f>
        <v>#REF!</v>
      </c>
      <c r="DB38" t="e">
        <f>AND(#REF!,"MaK0sCaNamk=")</f>
        <v>#REF!</v>
      </c>
      <c r="DC38" t="e">
        <f>AND(#REF!,"MaK0sCaNamo=")</f>
        <v>#REF!</v>
      </c>
      <c r="DD38" t="e">
        <f>AND(#REF!,"MaK0sCaNams=")</f>
        <v>#REF!</v>
      </c>
      <c r="DE38" t="e">
        <f>AND(#REF!,"MaK0sCaNamw=")</f>
        <v>#REF!</v>
      </c>
      <c r="DF38" t="e">
        <f>AND(#REF!,"MaK0sCaNam0=")</f>
        <v>#REF!</v>
      </c>
      <c r="DG38" t="e">
        <f>AND(#REF!,"MaK0sCaNam4=")</f>
        <v>#REF!</v>
      </c>
      <c r="DH38" t="e">
        <f>AND(#REF!,"MaK0sCaNam8=")</f>
        <v>#REF!</v>
      </c>
      <c r="DI38" t="e">
        <f>AND(#REF!,"MaK0sCaNanA=")</f>
        <v>#REF!</v>
      </c>
      <c r="DJ38" t="e">
        <f>AND(#REF!,"MaK0sCaNanE=")</f>
        <v>#REF!</v>
      </c>
      <c r="DK38" t="e">
        <f>AND(#REF!,"MaK0sCaNanI=")</f>
        <v>#REF!</v>
      </c>
      <c r="DL38" t="e">
        <f>AND(#REF!,"MaK0sCaNanM=")</f>
        <v>#REF!</v>
      </c>
      <c r="DM38" t="e">
        <f>AND(#REF!,"MaK0sCaNanQ=")</f>
        <v>#REF!</v>
      </c>
      <c r="DN38" t="e">
        <f>AND(#REF!,"MaK0sCaNanU=")</f>
        <v>#REF!</v>
      </c>
      <c r="DO38" t="e">
        <f>AND(#REF!,"MaK0sCaNanY=")</f>
        <v>#REF!</v>
      </c>
      <c r="DP38" t="e">
        <f>AND(#REF!,"MaK0sCaNanc=")</f>
        <v>#REF!</v>
      </c>
      <c r="DQ38" t="e">
        <f>AND(#REF!,"MaK0sCaNang=")</f>
        <v>#REF!</v>
      </c>
      <c r="DR38" t="e">
        <f>AND(#REF!,"MaK0sCaNank=")</f>
        <v>#REF!</v>
      </c>
      <c r="DS38" t="e">
        <f>AND(#REF!,"MaK0sCaNano=")</f>
        <v>#REF!</v>
      </c>
      <c r="DT38" t="e">
        <f>AND(#REF!,"MaK0sCaNans=")</f>
        <v>#REF!</v>
      </c>
      <c r="DU38" t="e">
        <f>AND(#REF!,"MaK0sCaNanw=")</f>
        <v>#REF!</v>
      </c>
      <c r="DV38" t="e">
        <f>AND(#REF!,"MaK0sCaNan0=")</f>
        <v>#REF!</v>
      </c>
      <c r="DW38" t="e">
        <f>AND(#REF!,"MaK0sCaNan4=")</f>
        <v>#REF!</v>
      </c>
      <c r="DX38" t="e">
        <f>AND(#REF!,"MaK0sCaNan8=")</f>
        <v>#REF!</v>
      </c>
      <c r="DY38" t="e">
        <f>AND(#REF!,"MaK0sCaNaoA=")</f>
        <v>#REF!</v>
      </c>
      <c r="DZ38" t="e">
        <f>AND(#REF!,"MaK0sCaNaoE=")</f>
        <v>#REF!</v>
      </c>
      <c r="EA38" t="e">
        <f>AND(#REF!,"MaK0sCaNaoI=")</f>
        <v>#REF!</v>
      </c>
      <c r="EB38" t="e">
        <f>AND(#REF!,"MaK0sCaNaoM=")</f>
        <v>#REF!</v>
      </c>
      <c r="EC38" t="e">
        <f>AND(#REF!,"MaK0sCaNaoQ=")</f>
        <v>#REF!</v>
      </c>
      <c r="ED38" t="e">
        <f>AND(#REF!,"MaK0sCaNaoU=")</f>
        <v>#REF!</v>
      </c>
      <c r="EE38" t="e">
        <f>AND(#REF!,"MaK0sCaNaoY=")</f>
        <v>#REF!</v>
      </c>
      <c r="EF38" t="e">
        <f>AND(#REF!,"MaK0sCaNaoc=")</f>
        <v>#REF!</v>
      </c>
      <c r="EG38" t="e">
        <f>AND(#REF!,"MaK0sCaNaog=")</f>
        <v>#REF!</v>
      </c>
      <c r="EH38" t="e">
        <f>AND(#REF!,"MaK0sCaNaok=")</f>
        <v>#REF!</v>
      </c>
      <c r="EI38" t="e">
        <f>AND(#REF!,"MaK0sCaNaoo=")</f>
        <v>#REF!</v>
      </c>
      <c r="EJ38" t="e">
        <f>AND(#REF!,"MaK0sCaNaos=")</f>
        <v>#REF!</v>
      </c>
      <c r="EK38" t="e">
        <f>AND(#REF!,"MaK0sCaNaow=")</f>
        <v>#REF!</v>
      </c>
      <c r="EL38" t="e">
        <f>AND(#REF!,"MaK0sCaNao0=")</f>
        <v>#REF!</v>
      </c>
      <c r="EM38" t="e">
        <f>AND(#REF!,"MaK0sCaNao4=")</f>
        <v>#REF!</v>
      </c>
      <c r="EN38" t="e">
        <f>AND(#REF!,"MaK0sCaNao8=")</f>
        <v>#REF!</v>
      </c>
      <c r="EO38" t="e">
        <f>AND(#REF!,"MaK0sCaNapA=")</f>
        <v>#REF!</v>
      </c>
      <c r="EP38" t="e">
        <f>AND(#REF!,"MaK0sCaNapE=")</f>
        <v>#REF!</v>
      </c>
      <c r="EQ38" t="e">
        <f>AND(#REF!,"MaK0sCaNapI=")</f>
        <v>#REF!</v>
      </c>
      <c r="ER38" t="e">
        <f>AND(#REF!,"MaK0sCaNapM=")</f>
        <v>#REF!</v>
      </c>
      <c r="ES38" t="e">
        <f>AND(#REF!,"MaK0sCaNapQ=")</f>
        <v>#REF!</v>
      </c>
      <c r="ET38" t="e">
        <f>AND(#REF!,"MaK0sCaNapU=")</f>
        <v>#REF!</v>
      </c>
      <c r="EU38" t="e">
        <f>AND(#REF!,"MaK0sCaNapY=")</f>
        <v>#REF!</v>
      </c>
      <c r="EV38" t="e">
        <f>AND(#REF!,"MaK0sCaNapc=")</f>
        <v>#REF!</v>
      </c>
      <c r="EW38" t="e">
        <f>AND(#REF!,"MaK0sCaNapg=")</f>
        <v>#REF!</v>
      </c>
      <c r="EX38" t="e">
        <f>AND(#REF!,"MaK0sCaNapk=")</f>
        <v>#REF!</v>
      </c>
      <c r="EY38" t="e">
        <f>AND(#REF!,"MaK0sCaNapo=")</f>
        <v>#REF!</v>
      </c>
      <c r="EZ38" t="e">
        <f>AND(#REF!,"MaK0sCaNaps=")</f>
        <v>#REF!</v>
      </c>
      <c r="FA38" t="e">
        <f>AND(#REF!,"MaK0sCaNapw=")</f>
        <v>#REF!</v>
      </c>
      <c r="FB38" t="e">
        <f>AND(#REF!,"MaK0sCaNap0=")</f>
        <v>#REF!</v>
      </c>
      <c r="FC38" t="e">
        <f>AND(#REF!,"MaK0sCaNap4=")</f>
        <v>#REF!</v>
      </c>
      <c r="FD38" t="e">
        <f>AND(#REF!,"MaK0sCaNap8=")</f>
        <v>#REF!</v>
      </c>
      <c r="FE38" t="e">
        <f>AND(#REF!,"MaK0sCaNaqA=")</f>
        <v>#REF!</v>
      </c>
      <c r="FF38" t="e">
        <f>AND(#REF!,"MaK0sCaNaqE=")</f>
        <v>#REF!</v>
      </c>
      <c r="FG38" t="e">
        <f>AND(#REF!,"MaK0sCaNaqI=")</f>
        <v>#REF!</v>
      </c>
      <c r="FH38" t="e">
        <f>AND(#REF!,"MaK0sCaNaqM=")</f>
        <v>#REF!</v>
      </c>
      <c r="FI38" t="e">
        <f>AND(#REF!,"MaK0sCaNaqQ=")</f>
        <v>#REF!</v>
      </c>
      <c r="FJ38" t="e">
        <f>AND(#REF!,"MaK0sCaNaqU=")</f>
        <v>#REF!</v>
      </c>
      <c r="FK38" t="e">
        <f>AND(#REF!,"MaK0sCaNaqY=")</f>
        <v>#REF!</v>
      </c>
      <c r="FL38" t="e">
        <f>AND(#REF!,"MaK0sCaNaqc=")</f>
        <v>#REF!</v>
      </c>
      <c r="FM38" t="e">
        <f>AND(#REF!,"MaK0sCaNaqg=")</f>
        <v>#REF!</v>
      </c>
      <c r="FN38" t="e">
        <f>AND(#REF!,"MaK0sCaNaqk=")</f>
        <v>#REF!</v>
      </c>
      <c r="FO38" t="e">
        <f>AND(#REF!,"MaK0sCaNaqo=")</f>
        <v>#REF!</v>
      </c>
      <c r="FP38" t="e">
        <f>AND(#REF!,"MaK0sCaNaqs=")</f>
        <v>#REF!</v>
      </c>
      <c r="FQ38" t="e">
        <f>AND(#REF!,"MaK0sCaNaqw=")</f>
        <v>#REF!</v>
      </c>
      <c r="FR38" t="e">
        <f>AND(#REF!,"MaK0sCaNaq0=")</f>
        <v>#REF!</v>
      </c>
      <c r="FS38" t="e">
        <f>AND(#REF!,"MaK0sCaNaq4=")</f>
        <v>#REF!</v>
      </c>
      <c r="FT38" t="e">
        <f>AND(#REF!,"MaK0sCaNaq8=")</f>
        <v>#REF!</v>
      </c>
      <c r="FU38" t="e">
        <f>AND(#REF!,"MaK0sCaNarA=")</f>
        <v>#REF!</v>
      </c>
      <c r="FV38" t="e">
        <f>AND(#REF!,"MaK0sCaNarE=")</f>
        <v>#REF!</v>
      </c>
      <c r="FW38" t="e">
        <f>AND(#REF!,"MaK0sCaNarI=")</f>
        <v>#REF!</v>
      </c>
      <c r="FX38" t="e">
        <f>AND(#REF!,"MaK0sCaNarM=")</f>
        <v>#REF!</v>
      </c>
      <c r="FY38" t="e">
        <f>AND(#REF!,"MaK0sCaNarQ=")</f>
        <v>#REF!</v>
      </c>
      <c r="FZ38" t="e">
        <f>AND(#REF!,"MaK0sCaNarU=")</f>
        <v>#REF!</v>
      </c>
      <c r="GA38" t="e">
        <f>AND(#REF!,"MaK0sCaNarY=")</f>
        <v>#REF!</v>
      </c>
      <c r="GB38" t="e">
        <f>AND(#REF!,"MaK0sCaNarc=")</f>
        <v>#REF!</v>
      </c>
      <c r="GC38" t="e">
        <f>AND(#REF!,"MaK0sCaNarg=")</f>
        <v>#REF!</v>
      </c>
      <c r="GD38" t="e">
        <f>AND(#REF!,"MaK0sCaNark=")</f>
        <v>#REF!</v>
      </c>
      <c r="GE38" t="e">
        <f>AND(#REF!,"MaK0sCaNaro=")</f>
        <v>#REF!</v>
      </c>
      <c r="GF38" t="e">
        <f>AND(#REF!,"MaK0sCaNars=")</f>
        <v>#REF!</v>
      </c>
      <c r="GG38" t="e">
        <f>AND(#REF!,"MaK0sCaNarw=")</f>
        <v>#REF!</v>
      </c>
      <c r="GH38" t="e">
        <f>AND(#REF!,"MaK0sCaNar0=")</f>
        <v>#REF!</v>
      </c>
      <c r="GI38" t="e">
        <f>AND(#REF!,"MaK0sCaNar4=")</f>
        <v>#REF!</v>
      </c>
      <c r="GJ38" t="e">
        <f>AND(#REF!,"MaK0sCaNar8=")</f>
        <v>#REF!</v>
      </c>
      <c r="GK38" t="e">
        <f>AND(#REF!,"MaK0sCaNasA=")</f>
        <v>#REF!</v>
      </c>
      <c r="GL38" t="e">
        <f>AND(#REF!,"MaK0sCaNasE=")</f>
        <v>#REF!</v>
      </c>
      <c r="GM38" t="e">
        <f>AND(#REF!,"MaK0sCaNasI=")</f>
        <v>#REF!</v>
      </c>
      <c r="GN38" t="e">
        <f>AND(#REF!,"MaK0sCaNasM=")</f>
        <v>#REF!</v>
      </c>
      <c r="GO38" t="e">
        <f>AND(#REF!,"MaK0sCaNasQ=")</f>
        <v>#REF!</v>
      </c>
      <c r="GP38" t="e">
        <f>AND(#REF!,"MaK0sCaNasU=")</f>
        <v>#REF!</v>
      </c>
      <c r="GQ38" t="e">
        <f>AND(#REF!,"MaK0sCaNasY=")</f>
        <v>#REF!</v>
      </c>
      <c r="GR38" t="e">
        <f>AND(#REF!,"MaK0sCaNasc=")</f>
        <v>#REF!</v>
      </c>
      <c r="GS38" t="e">
        <f>AND(#REF!,"MaK0sCaNasg=")</f>
        <v>#REF!</v>
      </c>
      <c r="GT38" t="e">
        <f>AND(#REF!,"MaK0sCaNask=")</f>
        <v>#REF!</v>
      </c>
      <c r="GU38" t="e">
        <f>AND(#REF!,"MaK0sCaNaso=")</f>
        <v>#REF!</v>
      </c>
      <c r="GV38" t="e">
        <f>AND(#REF!,"MaK0sCaNass=")</f>
        <v>#REF!</v>
      </c>
      <c r="GW38" t="e">
        <f>AND(#REF!,"MaK0sCaNasw=")</f>
        <v>#REF!</v>
      </c>
      <c r="GX38" t="e">
        <f>AND(#REF!,"MaK0sCaNas0=")</f>
        <v>#REF!</v>
      </c>
      <c r="GY38" t="e">
        <f>AND(#REF!,"MaK0sCaNas4=")</f>
        <v>#REF!</v>
      </c>
      <c r="GZ38" t="e">
        <f>AND(#REF!,"MaK0sCaNas8=")</f>
        <v>#REF!</v>
      </c>
      <c r="HA38" t="e">
        <f>AND(#REF!,"MaK0sCaNatA=")</f>
        <v>#REF!</v>
      </c>
      <c r="HB38" t="e">
        <f>AND(#REF!,"MaK0sCaNatE=")</f>
        <v>#REF!</v>
      </c>
      <c r="HC38" t="e">
        <f>AND(#REF!,"MaK0sCaNatI=")</f>
        <v>#REF!</v>
      </c>
      <c r="HD38" t="e">
        <f>AND(#REF!,"MaK0sCaNatM=")</f>
        <v>#REF!</v>
      </c>
      <c r="HE38" t="e">
        <f>AND(#REF!,"MaK0sCaNatQ=")</f>
        <v>#REF!</v>
      </c>
      <c r="HF38" t="e">
        <f>AND(#REF!,"MaK0sCaNatU=")</f>
        <v>#REF!</v>
      </c>
      <c r="HG38" t="e">
        <f>AND(#REF!,"MaK0sCaNatY=")</f>
        <v>#REF!</v>
      </c>
      <c r="HH38" t="e">
        <f>AND(#REF!,"MaK0sCaNatc=")</f>
        <v>#REF!</v>
      </c>
      <c r="HI38" t="e">
        <f>AND(#REF!,"MaK0sCaNatg=")</f>
        <v>#REF!</v>
      </c>
      <c r="HJ38" t="e">
        <f>AND(#REF!,"MaK0sCaNatk=")</f>
        <v>#REF!</v>
      </c>
      <c r="HK38" t="e">
        <f>AND(#REF!,"MaK0sCaNato=")</f>
        <v>#REF!</v>
      </c>
      <c r="HL38" t="e">
        <f>AND(#REF!,"MaK0sCaNats=")</f>
        <v>#REF!</v>
      </c>
      <c r="HM38" t="e">
        <f>AND(#REF!,"MaK0sCaNatw=")</f>
        <v>#REF!</v>
      </c>
      <c r="HN38" t="e">
        <f>AND(#REF!,"MaK0sCaNat0=")</f>
        <v>#REF!</v>
      </c>
      <c r="HO38" t="e">
        <f>AND(#REF!,"MaK0sCaNat4=")</f>
        <v>#REF!</v>
      </c>
      <c r="HP38" t="e">
        <f>AND(#REF!,"MaK0sCaNat8=")</f>
        <v>#REF!</v>
      </c>
      <c r="HQ38" t="e">
        <f>AND(#REF!,"MaK0sCaNauA=")</f>
        <v>#REF!</v>
      </c>
      <c r="HR38" t="e">
        <f>IF(#REF!,"MaK0sCaNauE=",0)</f>
        <v>#REF!</v>
      </c>
      <c r="HS38" t="e">
        <f>AND(#REF!,"MaK0sCaNauI=")</f>
        <v>#REF!</v>
      </c>
      <c r="HT38" t="e">
        <f>AND(#REF!,"MaK0sCaNauM=")</f>
        <v>#REF!</v>
      </c>
      <c r="HU38" t="e">
        <f>AND(#REF!,"MaK0sCaNauQ=")</f>
        <v>#REF!</v>
      </c>
      <c r="HV38" t="e">
        <f>AND(#REF!,"MaK0sCaNauU=")</f>
        <v>#REF!</v>
      </c>
      <c r="HW38" t="e">
        <f>AND(#REF!,"MaK0sCaNauY=")</f>
        <v>#REF!</v>
      </c>
      <c r="HX38" t="e">
        <f>AND(#REF!,"MaK0sCaNauc=")</f>
        <v>#REF!</v>
      </c>
      <c r="HY38" t="e">
        <f>AND(#REF!,"MaK0sCaNaug=")</f>
        <v>#REF!</v>
      </c>
      <c r="HZ38" t="e">
        <f>AND(#REF!,"MaK0sCaNauk=")</f>
        <v>#REF!</v>
      </c>
      <c r="IA38" t="e">
        <f>AND(#REF!,"MaK0sCaNauo=")</f>
        <v>#REF!</v>
      </c>
      <c r="IB38" t="e">
        <f>AND(#REF!,"MaK0sCaNaus=")</f>
        <v>#REF!</v>
      </c>
      <c r="IC38" t="e">
        <f>AND(#REF!,"MaK0sCaNauw=")</f>
        <v>#REF!</v>
      </c>
      <c r="ID38" t="e">
        <f>AND(#REF!,"MaK0sCaNau0=")</f>
        <v>#REF!</v>
      </c>
      <c r="IE38" t="e">
        <f>AND(#REF!,"MaK0sCaNau4=")</f>
        <v>#REF!</v>
      </c>
      <c r="IF38" t="e">
        <f>AND(#REF!,"MaK0sCaNau8=")</f>
        <v>#REF!</v>
      </c>
      <c r="IG38" t="e">
        <f>AND(#REF!,"MaK0sCaNavA=")</f>
        <v>#REF!</v>
      </c>
      <c r="IH38" t="e">
        <f>AND(#REF!,"MaK0sCaNavE=")</f>
        <v>#REF!</v>
      </c>
      <c r="II38" t="e">
        <f>AND(#REF!,"MaK0sCaNavI=")</f>
        <v>#REF!</v>
      </c>
      <c r="IJ38" t="e">
        <f>AND(#REF!,"MaK0sCaNavM=")</f>
        <v>#REF!</v>
      </c>
      <c r="IK38" t="e">
        <f>AND(#REF!,"MaK0sCaNavQ=")</f>
        <v>#REF!</v>
      </c>
      <c r="IL38" t="e">
        <f>AND(#REF!,"MaK0sCaNavU=")</f>
        <v>#REF!</v>
      </c>
      <c r="IM38" t="e">
        <f>AND(#REF!,"MaK0sCaNavY=")</f>
        <v>#REF!</v>
      </c>
      <c r="IN38" t="e">
        <f>AND(#REF!,"MaK0sCaNavc=")</f>
        <v>#REF!</v>
      </c>
      <c r="IO38" t="e">
        <f>AND(#REF!,"MaK0sCaNavg=")</f>
        <v>#REF!</v>
      </c>
      <c r="IP38" t="e">
        <f>AND(#REF!,"MaK0sCaNavk=")</f>
        <v>#REF!</v>
      </c>
      <c r="IQ38" t="e">
        <f>AND(#REF!,"MaK0sCaNavo=")</f>
        <v>#REF!</v>
      </c>
      <c r="IR38" t="e">
        <f>AND(#REF!,"MaK0sCaNavs=")</f>
        <v>#REF!</v>
      </c>
      <c r="IS38" t="e">
        <f>AND(#REF!,"MaK0sCaNavw=")</f>
        <v>#REF!</v>
      </c>
      <c r="IT38" t="e">
        <f>AND(#REF!,"MaK0sCaNav0=")</f>
        <v>#REF!</v>
      </c>
      <c r="IU38" t="e">
        <f>AND(#REF!,"MaK0sCaNav4=")</f>
        <v>#REF!</v>
      </c>
      <c r="IV38" t="e">
        <f>AND(#REF!,"MaK0sCaNav8=")</f>
        <v>#REF!</v>
      </c>
    </row>
    <row r="39" spans="1:256" x14ac:dyDescent="0.2">
      <c r="A39" t="e">
        <f>AND(#REF!,"NbwdKgbrGQA=")</f>
        <v>#REF!</v>
      </c>
      <c r="B39" t="e">
        <f>AND(#REF!,"NbwdKgbrGQE=")</f>
        <v>#REF!</v>
      </c>
      <c r="C39" t="e">
        <f>AND(#REF!,"NbwdKgbrGQI=")</f>
        <v>#REF!</v>
      </c>
      <c r="D39" t="e">
        <f>AND(#REF!,"NbwdKgbrGQM=")</f>
        <v>#REF!</v>
      </c>
      <c r="E39" t="e">
        <f>AND(#REF!,"NbwdKgbrGQQ=")</f>
        <v>#REF!</v>
      </c>
      <c r="F39" t="e">
        <f>AND(#REF!,"NbwdKgbrGQU=")</f>
        <v>#REF!</v>
      </c>
      <c r="G39" t="e">
        <f>AND(#REF!,"NbwdKgbrGQY=")</f>
        <v>#REF!</v>
      </c>
      <c r="H39" t="e">
        <f>AND(#REF!,"NbwdKgbrGQc=")</f>
        <v>#REF!</v>
      </c>
      <c r="I39" t="e">
        <f>AND(#REF!,"NbwdKgbrGQg=")</f>
        <v>#REF!</v>
      </c>
      <c r="J39" t="e">
        <f>AND(#REF!,"NbwdKgbrGQk=")</f>
        <v>#REF!</v>
      </c>
      <c r="K39" t="e">
        <f>AND(#REF!,"NbwdKgbrGQo=")</f>
        <v>#REF!</v>
      </c>
      <c r="L39" t="e">
        <f>AND(#REF!,"NbwdKgbrGQs=")</f>
        <v>#REF!</v>
      </c>
      <c r="M39" t="e">
        <f>AND(#REF!,"NbwdKgbrGQw=")</f>
        <v>#REF!</v>
      </c>
      <c r="N39" t="e">
        <f>AND(#REF!,"NbwdKgbrGQ0=")</f>
        <v>#REF!</v>
      </c>
      <c r="O39" t="e">
        <f>AND(#REF!,"NbwdKgbrGQ4=")</f>
        <v>#REF!</v>
      </c>
      <c r="P39" t="e">
        <f>AND(#REF!,"NbwdKgbrGQ8=")</f>
        <v>#REF!</v>
      </c>
      <c r="Q39" t="e">
        <f>AND(#REF!,"NbwdKgbrGRA=")</f>
        <v>#REF!</v>
      </c>
      <c r="R39" t="e">
        <f>AND(#REF!,"NbwdKgbrGRE=")</f>
        <v>#REF!</v>
      </c>
      <c r="S39" t="e">
        <f>AND(#REF!,"NbwdKgbrGRI=")</f>
        <v>#REF!</v>
      </c>
      <c r="T39" t="e">
        <f>AND(#REF!,"NbwdKgbrGRM=")</f>
        <v>#REF!</v>
      </c>
      <c r="U39" t="e">
        <f>AND(#REF!,"NbwdKgbrGRQ=")</f>
        <v>#REF!</v>
      </c>
      <c r="V39" t="e">
        <f>AND(#REF!,"NbwdKgbrGRU=")</f>
        <v>#REF!</v>
      </c>
      <c r="W39" t="e">
        <f>AND(#REF!,"NbwdKgbrGRY=")</f>
        <v>#REF!</v>
      </c>
      <c r="X39" t="e">
        <f>AND(#REF!,"NbwdKgbrGRc=")</f>
        <v>#REF!</v>
      </c>
      <c r="Y39" t="e">
        <f>AND(#REF!,"NbwdKgbrGRg=")</f>
        <v>#REF!</v>
      </c>
      <c r="Z39" t="e">
        <f>AND(#REF!,"NbwdKgbrGRk=")</f>
        <v>#REF!</v>
      </c>
      <c r="AA39" t="e">
        <f>AND(#REF!,"NbwdKgbrGRo=")</f>
        <v>#REF!</v>
      </c>
      <c r="AB39" t="e">
        <f>AND(#REF!,"NbwdKgbrGRs=")</f>
        <v>#REF!</v>
      </c>
      <c r="AC39" t="e">
        <f>AND(#REF!,"NbwdKgbrGRw=")</f>
        <v>#REF!</v>
      </c>
      <c r="AD39" t="e">
        <f>AND(#REF!,"NbwdKgbrGR0=")</f>
        <v>#REF!</v>
      </c>
      <c r="AE39" t="e">
        <f>AND(#REF!,"NbwdKgbrGR4=")</f>
        <v>#REF!</v>
      </c>
      <c r="AF39" t="e">
        <f>AND(#REF!,"NbwdKgbrGR8=")</f>
        <v>#REF!</v>
      </c>
      <c r="AG39" t="e">
        <f>AND(#REF!,"NbwdKgbrGSA=")</f>
        <v>#REF!</v>
      </c>
      <c r="AH39" t="e">
        <f>AND(#REF!,"NbwdKgbrGSE=")</f>
        <v>#REF!</v>
      </c>
      <c r="AI39" t="e">
        <f>AND(#REF!,"NbwdKgbrGSI=")</f>
        <v>#REF!</v>
      </c>
      <c r="AJ39" t="e">
        <f>AND(#REF!,"NbwdKgbrGSM=")</f>
        <v>#REF!</v>
      </c>
      <c r="AK39" t="e">
        <f>AND(#REF!,"NbwdKgbrGSQ=")</f>
        <v>#REF!</v>
      </c>
      <c r="AL39" t="e">
        <f>AND(#REF!,"NbwdKgbrGSU=")</f>
        <v>#REF!</v>
      </c>
      <c r="AM39" t="e">
        <f>AND(#REF!,"NbwdKgbrGSY=")</f>
        <v>#REF!</v>
      </c>
      <c r="AN39" t="e">
        <f>AND(#REF!,"NbwdKgbrGSc=")</f>
        <v>#REF!</v>
      </c>
      <c r="AO39" t="e">
        <f>AND(#REF!,"NbwdKgbrGSg=")</f>
        <v>#REF!</v>
      </c>
      <c r="AP39" t="e">
        <f>AND(#REF!,"NbwdKgbrGSk=")</f>
        <v>#REF!</v>
      </c>
      <c r="AQ39" t="e">
        <f>AND(#REF!,"NbwdKgbrGSo=")</f>
        <v>#REF!</v>
      </c>
      <c r="AR39" t="e">
        <f>AND(#REF!,"NbwdKgbrGSs=")</f>
        <v>#REF!</v>
      </c>
      <c r="AS39" t="e">
        <f>AND(#REF!,"NbwdKgbrGSw=")</f>
        <v>#REF!</v>
      </c>
      <c r="AT39" t="e">
        <f>AND(#REF!,"NbwdKgbrGS0=")</f>
        <v>#REF!</v>
      </c>
      <c r="AU39" t="e">
        <f>AND(#REF!,"NbwdKgbrGS4=")</f>
        <v>#REF!</v>
      </c>
      <c r="AV39" t="e">
        <f>AND(#REF!,"NbwdKgbrGS8=")</f>
        <v>#REF!</v>
      </c>
      <c r="AW39" t="e">
        <f>AND(#REF!,"NbwdKgbrGTA=")</f>
        <v>#REF!</v>
      </c>
      <c r="AX39" t="e">
        <f>AND(#REF!,"NbwdKgbrGTE=")</f>
        <v>#REF!</v>
      </c>
      <c r="AY39" t="e">
        <f>AND(#REF!,"NbwdKgbrGTI=")</f>
        <v>#REF!</v>
      </c>
      <c r="AZ39" t="e">
        <f>AND(#REF!,"NbwdKgbrGTM=")</f>
        <v>#REF!</v>
      </c>
      <c r="BA39" t="e">
        <f>AND(#REF!,"NbwdKgbrGTQ=")</f>
        <v>#REF!</v>
      </c>
      <c r="BB39" t="e">
        <f>AND(#REF!,"NbwdKgbrGTU=")</f>
        <v>#REF!</v>
      </c>
      <c r="BC39" t="e">
        <f>AND(#REF!,"NbwdKgbrGTY=")</f>
        <v>#REF!</v>
      </c>
      <c r="BD39" t="e">
        <f>AND(#REF!,"NbwdKgbrGTc=")</f>
        <v>#REF!</v>
      </c>
      <c r="BE39" t="e">
        <f>AND(#REF!,"NbwdKgbrGTg=")</f>
        <v>#REF!</v>
      </c>
      <c r="BF39" t="e">
        <f>AND(#REF!,"NbwdKgbrGTk=")</f>
        <v>#REF!</v>
      </c>
      <c r="BG39" t="e">
        <f>AND(#REF!,"NbwdKgbrGTo=")</f>
        <v>#REF!</v>
      </c>
      <c r="BH39" t="e">
        <f>AND(#REF!,"NbwdKgbrGTs=")</f>
        <v>#REF!</v>
      </c>
      <c r="BI39" t="e">
        <f>AND(#REF!,"NbwdKgbrGTw=")</f>
        <v>#REF!</v>
      </c>
      <c r="BJ39" t="e">
        <f>AND(#REF!,"NbwdKgbrGT0=")</f>
        <v>#REF!</v>
      </c>
      <c r="BK39" t="e">
        <f>AND(#REF!,"NbwdKgbrGT4=")</f>
        <v>#REF!</v>
      </c>
      <c r="BL39" t="e">
        <f>AND(#REF!,"NbwdKgbrGT8=")</f>
        <v>#REF!</v>
      </c>
      <c r="BM39" t="e">
        <f>AND(#REF!,"NbwdKgbrGUA=")</f>
        <v>#REF!</v>
      </c>
      <c r="BN39" t="e">
        <f>AND(#REF!,"NbwdKgbrGUE=")</f>
        <v>#REF!</v>
      </c>
      <c r="BO39" t="e">
        <f>AND(#REF!,"NbwdKgbrGUI=")</f>
        <v>#REF!</v>
      </c>
      <c r="BP39" t="e">
        <f>AND(#REF!,"NbwdKgbrGUM=")</f>
        <v>#REF!</v>
      </c>
      <c r="BQ39" t="e">
        <f>AND(#REF!,"NbwdKgbrGUQ=")</f>
        <v>#REF!</v>
      </c>
      <c r="BR39" t="e">
        <f>AND(#REF!,"NbwdKgbrGUU=")</f>
        <v>#REF!</v>
      </c>
      <c r="BS39" t="e">
        <f>AND(#REF!,"NbwdKgbrGUY=")</f>
        <v>#REF!</v>
      </c>
      <c r="BT39" t="e">
        <f>AND(#REF!,"NbwdKgbrGUc=")</f>
        <v>#REF!</v>
      </c>
      <c r="BU39" t="e">
        <f>AND(#REF!,"NbwdKgbrGUg=")</f>
        <v>#REF!</v>
      </c>
      <c r="BV39" t="e">
        <f>AND(#REF!,"NbwdKgbrGUk=")</f>
        <v>#REF!</v>
      </c>
      <c r="BW39" t="e">
        <f>AND(#REF!,"NbwdKgbrGUo=")</f>
        <v>#REF!</v>
      </c>
      <c r="BX39" t="e">
        <f>AND(#REF!,"NbwdKgbrGUs=")</f>
        <v>#REF!</v>
      </c>
      <c r="BY39" t="e">
        <f>AND(#REF!,"NbwdKgbrGUw=")</f>
        <v>#REF!</v>
      </c>
      <c r="BZ39" t="e">
        <f>AND(#REF!,"NbwdKgbrGU0=")</f>
        <v>#REF!</v>
      </c>
      <c r="CA39" t="e">
        <f>AND(#REF!,"NbwdKgbrGU4=")</f>
        <v>#REF!</v>
      </c>
      <c r="CB39" t="e">
        <f>AND(#REF!,"NbwdKgbrGU8=")</f>
        <v>#REF!</v>
      </c>
      <c r="CC39" t="e">
        <f>AND(#REF!,"NbwdKgbrGVA=")</f>
        <v>#REF!</v>
      </c>
      <c r="CD39" t="e">
        <f>AND(#REF!,"NbwdKgbrGVE=")</f>
        <v>#REF!</v>
      </c>
      <c r="CE39" t="e">
        <f>AND(#REF!,"NbwdKgbrGVI=")</f>
        <v>#REF!</v>
      </c>
      <c r="CF39" t="e">
        <f>AND(#REF!,"NbwdKgbrGVM=")</f>
        <v>#REF!</v>
      </c>
      <c r="CG39" t="e">
        <f>AND(#REF!,"NbwdKgbrGVQ=")</f>
        <v>#REF!</v>
      </c>
      <c r="CH39" t="e">
        <f>AND(#REF!,"NbwdKgbrGVU=")</f>
        <v>#REF!</v>
      </c>
      <c r="CI39" t="e">
        <f>AND(#REF!,"NbwdKgbrGVY=")</f>
        <v>#REF!</v>
      </c>
      <c r="CJ39" t="e">
        <f>AND(#REF!,"NbwdKgbrGVc=")</f>
        <v>#REF!</v>
      </c>
      <c r="CK39" t="e">
        <f>AND(#REF!,"NbwdKgbrGVg=")</f>
        <v>#REF!</v>
      </c>
      <c r="CL39" t="e">
        <f>AND(#REF!,"NbwdKgbrGVk=")</f>
        <v>#REF!</v>
      </c>
      <c r="CM39" t="e">
        <f>AND(#REF!,"NbwdKgbrGVo=")</f>
        <v>#REF!</v>
      </c>
      <c r="CN39" t="e">
        <f>AND(#REF!,"NbwdKgbrGVs=")</f>
        <v>#REF!</v>
      </c>
      <c r="CO39" t="e">
        <f>AND(#REF!,"NbwdKgbrGVw=")</f>
        <v>#REF!</v>
      </c>
      <c r="CP39" t="e">
        <f>AND(#REF!,"NbwdKgbrGV0=")</f>
        <v>#REF!</v>
      </c>
      <c r="CQ39" t="e">
        <f>AND(#REF!,"NbwdKgbrGV4=")</f>
        <v>#REF!</v>
      </c>
      <c r="CR39" t="e">
        <f>AND(#REF!,"NbwdKgbrGV8=")</f>
        <v>#REF!</v>
      </c>
      <c r="CS39" t="e">
        <f>AND(#REF!,"NbwdKgbrGWA=")</f>
        <v>#REF!</v>
      </c>
      <c r="CT39" t="e">
        <f>AND(#REF!,"NbwdKgbrGWE=")</f>
        <v>#REF!</v>
      </c>
      <c r="CU39" t="e">
        <f>AND(#REF!,"NbwdKgbrGWI=")</f>
        <v>#REF!</v>
      </c>
      <c r="CV39" t="e">
        <f>AND(#REF!,"NbwdKgbrGWM=")</f>
        <v>#REF!</v>
      </c>
      <c r="CW39" t="e">
        <f>AND(#REF!,"NbwdKgbrGWQ=")</f>
        <v>#REF!</v>
      </c>
      <c r="CX39" t="e">
        <f>AND(#REF!,"NbwdKgbrGWU=")</f>
        <v>#REF!</v>
      </c>
      <c r="CY39" t="e">
        <f>AND(#REF!,"NbwdKgbrGWY=")</f>
        <v>#REF!</v>
      </c>
      <c r="CZ39" t="e">
        <f>AND(#REF!,"NbwdKgbrGWc=")</f>
        <v>#REF!</v>
      </c>
      <c r="DA39" t="e">
        <f>AND(#REF!,"NbwdKgbrGWg=")</f>
        <v>#REF!</v>
      </c>
      <c r="DB39" t="e">
        <f>AND(#REF!,"NbwdKgbrGWk=")</f>
        <v>#REF!</v>
      </c>
      <c r="DC39" t="e">
        <f>AND(#REF!,"NbwdKgbrGWo=")</f>
        <v>#REF!</v>
      </c>
      <c r="DD39" t="e">
        <f>AND(#REF!,"NbwdKgbrGWs=")</f>
        <v>#REF!</v>
      </c>
      <c r="DE39" t="e">
        <f>AND(#REF!,"NbwdKgbrGWw=")</f>
        <v>#REF!</v>
      </c>
      <c r="DF39" t="e">
        <f>AND(#REF!,"NbwdKgbrGW0=")</f>
        <v>#REF!</v>
      </c>
      <c r="DG39" t="e">
        <f>AND(#REF!,"NbwdKgbrGW4=")</f>
        <v>#REF!</v>
      </c>
      <c r="DH39" t="e">
        <f>AND(#REF!,"NbwdKgbrGW8=")</f>
        <v>#REF!</v>
      </c>
      <c r="DI39" t="e">
        <f>AND(#REF!,"NbwdKgbrGXA=")</f>
        <v>#REF!</v>
      </c>
      <c r="DJ39" t="e">
        <f>AND(#REF!,"NbwdKgbrGXE=")</f>
        <v>#REF!</v>
      </c>
      <c r="DK39" t="e">
        <f>AND(#REF!,"NbwdKgbrGXI=")</f>
        <v>#REF!</v>
      </c>
      <c r="DL39" t="e">
        <f>AND(#REF!,"NbwdKgbrGXM=")</f>
        <v>#REF!</v>
      </c>
      <c r="DM39" t="e">
        <f>AND(#REF!,"NbwdKgbrGXQ=")</f>
        <v>#REF!</v>
      </c>
      <c r="DN39" t="e">
        <f>AND(#REF!,"NbwdKgbrGXU=")</f>
        <v>#REF!</v>
      </c>
      <c r="DO39" t="e">
        <f>AND(#REF!,"NbwdKgbrGXY=")</f>
        <v>#REF!</v>
      </c>
      <c r="DP39" t="e">
        <f>AND(#REF!,"NbwdKgbrGXc=")</f>
        <v>#REF!</v>
      </c>
      <c r="DQ39" t="e">
        <f>AND(#REF!,"NbwdKgbrGXg=")</f>
        <v>#REF!</v>
      </c>
      <c r="DR39" t="e">
        <f>AND(#REF!,"NbwdKgbrGXk=")</f>
        <v>#REF!</v>
      </c>
      <c r="DS39" t="e">
        <f>AND(#REF!,"NbwdKgbrGXo=")</f>
        <v>#REF!</v>
      </c>
      <c r="DT39" t="e">
        <f>AND(#REF!,"NbwdKgbrGXs=")</f>
        <v>#REF!</v>
      </c>
      <c r="DU39" t="e">
        <f>AND(#REF!,"NbwdKgbrGXw=")</f>
        <v>#REF!</v>
      </c>
      <c r="DV39" t="e">
        <f>AND(#REF!,"NbwdKgbrGX0=")</f>
        <v>#REF!</v>
      </c>
      <c r="DW39" t="e">
        <f>AND(#REF!,"NbwdKgbrGX4=")</f>
        <v>#REF!</v>
      </c>
      <c r="DX39" t="e">
        <f>AND(#REF!,"NbwdKgbrGX8=")</f>
        <v>#REF!</v>
      </c>
      <c r="DY39" t="e">
        <f>AND(#REF!,"NbwdKgbrGYA=")</f>
        <v>#REF!</v>
      </c>
      <c r="DZ39" t="e">
        <f>AND(#REF!,"NbwdKgbrGYE=")</f>
        <v>#REF!</v>
      </c>
      <c r="EA39" t="e">
        <f>AND(#REF!,"NbwdKgbrGYI=")</f>
        <v>#REF!</v>
      </c>
      <c r="EB39" t="e">
        <f>AND(#REF!,"NbwdKgbrGYM=")</f>
        <v>#REF!</v>
      </c>
      <c r="EC39" t="e">
        <f>AND(#REF!,"NbwdKgbrGYQ=")</f>
        <v>#REF!</v>
      </c>
      <c r="ED39" t="e">
        <f>AND(#REF!,"NbwdKgbrGYU=")</f>
        <v>#REF!</v>
      </c>
      <c r="EE39" t="e">
        <f>AND(#REF!,"NbwdKgbrGYY=")</f>
        <v>#REF!</v>
      </c>
      <c r="EF39" t="e">
        <f>AND(#REF!,"NbwdKgbrGYc=")</f>
        <v>#REF!</v>
      </c>
      <c r="EG39" t="e">
        <f>AND(#REF!,"NbwdKgbrGYg=")</f>
        <v>#REF!</v>
      </c>
      <c r="EH39" t="e">
        <f>AND(#REF!,"NbwdKgbrGYk=")</f>
        <v>#REF!</v>
      </c>
      <c r="EI39" t="e">
        <f>AND(#REF!,"NbwdKgbrGYo=")</f>
        <v>#REF!</v>
      </c>
      <c r="EJ39" t="e">
        <f>AND(#REF!,"NbwdKgbrGYs=")</f>
        <v>#REF!</v>
      </c>
      <c r="EK39" t="e">
        <f>AND(#REF!,"NbwdKgbrGYw=")</f>
        <v>#REF!</v>
      </c>
      <c r="EL39" t="e">
        <f>AND(#REF!,"NbwdKgbrGY0=")</f>
        <v>#REF!</v>
      </c>
      <c r="EM39" t="e">
        <f>AND(#REF!,"NbwdKgbrGY4=")</f>
        <v>#REF!</v>
      </c>
      <c r="EN39" t="e">
        <f>AND(#REF!,"NbwdKgbrGY8=")</f>
        <v>#REF!</v>
      </c>
      <c r="EO39" t="e">
        <f>AND(#REF!,"NbwdKgbrGZA=")</f>
        <v>#REF!</v>
      </c>
      <c r="EP39" t="e">
        <f>AND(#REF!,"NbwdKgbrGZE=")</f>
        <v>#REF!</v>
      </c>
      <c r="EQ39" t="e">
        <f>AND(#REF!,"NbwdKgbrGZI=")</f>
        <v>#REF!</v>
      </c>
      <c r="ER39" t="e">
        <f>AND(#REF!,"NbwdKgbrGZM=")</f>
        <v>#REF!</v>
      </c>
      <c r="ES39" t="e">
        <f>AND(#REF!,"NbwdKgbrGZQ=")</f>
        <v>#REF!</v>
      </c>
      <c r="ET39" t="e">
        <f>AND(#REF!,"NbwdKgbrGZU=")</f>
        <v>#REF!</v>
      </c>
      <c r="EU39" t="e">
        <f>AND(#REF!,"NbwdKgbrGZY=")</f>
        <v>#REF!</v>
      </c>
      <c r="EV39" t="e">
        <f>AND(#REF!,"NbwdKgbrGZc=")</f>
        <v>#REF!</v>
      </c>
      <c r="EW39" t="e">
        <f>AND(#REF!,"NbwdKgbrGZg=")</f>
        <v>#REF!</v>
      </c>
      <c r="EX39" t="e">
        <f>AND(#REF!,"NbwdKgbrGZk=")</f>
        <v>#REF!</v>
      </c>
      <c r="EY39" t="e">
        <f>AND(#REF!,"NbwdKgbrGZo=")</f>
        <v>#REF!</v>
      </c>
      <c r="EZ39" t="e">
        <f>AND(#REF!,"NbwdKgbrGZs=")</f>
        <v>#REF!</v>
      </c>
      <c r="FA39" t="e">
        <f>AND(#REF!,"NbwdKgbrGZw=")</f>
        <v>#REF!</v>
      </c>
      <c r="FB39" t="e">
        <f>AND(#REF!,"NbwdKgbrGZ0=")</f>
        <v>#REF!</v>
      </c>
      <c r="FC39" t="e">
        <f>AND(#REF!,"NbwdKgbrGZ4=")</f>
        <v>#REF!</v>
      </c>
      <c r="FD39" t="e">
        <f>AND(#REF!,"NbwdKgbrGZ8=")</f>
        <v>#REF!</v>
      </c>
      <c r="FE39" t="e">
        <f>AND(#REF!,"NbwdKgbrGaA=")</f>
        <v>#REF!</v>
      </c>
      <c r="FF39" t="e">
        <f>AND(#REF!,"NbwdKgbrGaE=")</f>
        <v>#REF!</v>
      </c>
      <c r="FG39" t="e">
        <f>AND(#REF!,"NbwdKgbrGaI=")</f>
        <v>#REF!</v>
      </c>
      <c r="FH39" t="e">
        <f>AND(#REF!,"NbwdKgbrGaM=")</f>
        <v>#REF!</v>
      </c>
      <c r="FI39" t="e">
        <f>AND(#REF!,"NbwdKgbrGaQ=")</f>
        <v>#REF!</v>
      </c>
      <c r="FJ39" t="e">
        <f>AND(#REF!,"NbwdKgbrGaU=")</f>
        <v>#REF!</v>
      </c>
      <c r="FK39" t="e">
        <f>AND(#REF!,"NbwdKgbrGaY=")</f>
        <v>#REF!</v>
      </c>
      <c r="FL39" t="e">
        <f>AND(#REF!,"NbwdKgbrGac=")</f>
        <v>#REF!</v>
      </c>
      <c r="FM39" t="e">
        <f>IF(#REF!,"NbwdKgbrGag=",0)</f>
        <v>#REF!</v>
      </c>
      <c r="FN39" t="e">
        <f>AND(#REF!,"NbwdKgbrGak=")</f>
        <v>#REF!</v>
      </c>
      <c r="FO39" t="e">
        <f>AND(#REF!,"NbwdKgbrGao=")</f>
        <v>#REF!</v>
      </c>
      <c r="FP39" t="e">
        <f>AND(#REF!,"NbwdKgbrGas=")</f>
        <v>#REF!</v>
      </c>
      <c r="FQ39" t="e">
        <f>AND(#REF!,"NbwdKgbrGaw=")</f>
        <v>#REF!</v>
      </c>
      <c r="FR39" t="e">
        <f>AND(#REF!,"NbwdKgbrGa0=")</f>
        <v>#REF!</v>
      </c>
      <c r="FS39" t="e">
        <f>AND(#REF!,"NbwdKgbrGa4=")</f>
        <v>#REF!</v>
      </c>
      <c r="FT39" t="e">
        <f>AND(#REF!,"NbwdKgbrGa8=")</f>
        <v>#REF!</v>
      </c>
      <c r="FU39" t="e">
        <f>AND(#REF!,"NbwdKgbrGbA=")</f>
        <v>#REF!</v>
      </c>
      <c r="FV39" t="e">
        <f>AND(#REF!,"NbwdKgbrGbE=")</f>
        <v>#REF!</v>
      </c>
      <c r="FW39" t="e">
        <f>AND(#REF!,"NbwdKgbrGbI=")</f>
        <v>#REF!</v>
      </c>
      <c r="FX39" t="e">
        <f>AND(#REF!,"NbwdKgbrGbM=")</f>
        <v>#REF!</v>
      </c>
      <c r="FY39" t="e">
        <f>AND(#REF!,"NbwdKgbrGbQ=")</f>
        <v>#REF!</v>
      </c>
      <c r="FZ39" t="e">
        <f>AND(#REF!,"NbwdKgbrGbU=")</f>
        <v>#REF!</v>
      </c>
      <c r="GA39" t="e">
        <f>AND(#REF!,"NbwdKgbrGbY=")</f>
        <v>#REF!</v>
      </c>
      <c r="GB39" t="e">
        <f>AND(#REF!,"NbwdKgbrGbc=")</f>
        <v>#REF!</v>
      </c>
      <c r="GC39" t="e">
        <f>AND(#REF!,"NbwdKgbrGbg=")</f>
        <v>#REF!</v>
      </c>
      <c r="GD39" t="e">
        <f>AND(#REF!,"NbwdKgbrGbk=")</f>
        <v>#REF!</v>
      </c>
      <c r="GE39" t="e">
        <f>AND(#REF!,"NbwdKgbrGbo=")</f>
        <v>#REF!</v>
      </c>
      <c r="GF39" t="e">
        <f>AND(#REF!,"NbwdKgbrGbs=")</f>
        <v>#REF!</v>
      </c>
      <c r="GG39" t="e">
        <f>AND(#REF!,"NbwdKgbrGbw=")</f>
        <v>#REF!</v>
      </c>
      <c r="GH39" t="e">
        <f>AND(#REF!,"NbwdKgbrGb0=")</f>
        <v>#REF!</v>
      </c>
      <c r="GI39" t="e">
        <f>AND(#REF!,"NbwdKgbrGb4=")</f>
        <v>#REF!</v>
      </c>
      <c r="GJ39" t="e">
        <f>AND(#REF!,"NbwdKgbrGb8=")</f>
        <v>#REF!</v>
      </c>
      <c r="GK39" t="e">
        <f>AND(#REF!,"NbwdKgbrGcA=")</f>
        <v>#REF!</v>
      </c>
      <c r="GL39" t="e">
        <f>AND(#REF!,"NbwdKgbrGcE=")</f>
        <v>#REF!</v>
      </c>
      <c r="GM39" t="e">
        <f>AND(#REF!,"NbwdKgbrGcI=")</f>
        <v>#REF!</v>
      </c>
      <c r="GN39" t="e">
        <f>AND(#REF!,"NbwdKgbrGcM=")</f>
        <v>#REF!</v>
      </c>
      <c r="GO39" t="e">
        <f>AND(#REF!,"NbwdKgbrGcQ=")</f>
        <v>#REF!</v>
      </c>
      <c r="GP39" t="e">
        <f>AND(#REF!,"NbwdKgbrGcU=")</f>
        <v>#REF!</v>
      </c>
      <c r="GQ39" t="e">
        <f>AND(#REF!,"NbwdKgbrGcY=")</f>
        <v>#REF!</v>
      </c>
      <c r="GR39" t="e">
        <f>AND(#REF!,"NbwdKgbrGcc=")</f>
        <v>#REF!</v>
      </c>
      <c r="GS39" t="e">
        <f>AND(#REF!,"NbwdKgbrGcg=")</f>
        <v>#REF!</v>
      </c>
      <c r="GT39" t="e">
        <f>AND(#REF!,"NbwdKgbrGck=")</f>
        <v>#REF!</v>
      </c>
      <c r="GU39" t="e">
        <f>AND(#REF!,"NbwdKgbrGco=")</f>
        <v>#REF!</v>
      </c>
      <c r="GV39" t="e">
        <f>AND(#REF!,"NbwdKgbrGcs=")</f>
        <v>#REF!</v>
      </c>
      <c r="GW39" t="e">
        <f>AND(#REF!,"NbwdKgbrGcw=")</f>
        <v>#REF!</v>
      </c>
      <c r="GX39" t="e">
        <f>AND(#REF!,"NbwdKgbrGc0=")</f>
        <v>#REF!</v>
      </c>
      <c r="GY39" t="e">
        <f>AND(#REF!,"NbwdKgbrGc4=")</f>
        <v>#REF!</v>
      </c>
      <c r="GZ39" t="e">
        <f>AND(#REF!,"NbwdKgbrGc8=")</f>
        <v>#REF!</v>
      </c>
      <c r="HA39" t="e">
        <f>AND(#REF!,"NbwdKgbrGdA=")</f>
        <v>#REF!</v>
      </c>
      <c r="HB39" t="e">
        <f>AND(#REF!,"NbwdKgbrGdE=")</f>
        <v>#REF!</v>
      </c>
      <c r="HC39" t="e">
        <f>AND(#REF!,"NbwdKgbrGdI=")</f>
        <v>#REF!</v>
      </c>
      <c r="HD39" t="e">
        <f>AND(#REF!,"NbwdKgbrGdM=")</f>
        <v>#REF!</v>
      </c>
      <c r="HE39" t="e">
        <f>AND(#REF!,"NbwdKgbrGdQ=")</f>
        <v>#REF!</v>
      </c>
      <c r="HF39" t="e">
        <f>AND(#REF!,"NbwdKgbrGdU=")</f>
        <v>#REF!</v>
      </c>
      <c r="HG39" t="e">
        <f>AND(#REF!,"NbwdKgbrGdY=")</f>
        <v>#REF!</v>
      </c>
      <c r="HH39" t="e">
        <f>AND(#REF!,"NbwdKgbrGdc=")</f>
        <v>#REF!</v>
      </c>
      <c r="HI39" t="e">
        <f>AND(#REF!,"NbwdKgbrGdg=")</f>
        <v>#REF!</v>
      </c>
      <c r="HJ39" t="e">
        <f>AND(#REF!,"NbwdKgbrGdk=")</f>
        <v>#REF!</v>
      </c>
      <c r="HK39" t="e">
        <f>AND(#REF!,"NbwdKgbrGdo=")</f>
        <v>#REF!</v>
      </c>
      <c r="HL39" t="e">
        <f>AND(#REF!,"NbwdKgbrGds=")</f>
        <v>#REF!</v>
      </c>
      <c r="HM39" t="e">
        <f>AND(#REF!,"NbwdKgbrGdw=")</f>
        <v>#REF!</v>
      </c>
      <c r="HN39" t="e">
        <f>AND(#REF!,"NbwdKgbrGd0=")</f>
        <v>#REF!</v>
      </c>
      <c r="HO39" t="e">
        <f>AND(#REF!,"NbwdKgbrGd4=")</f>
        <v>#REF!</v>
      </c>
      <c r="HP39" t="e">
        <f>AND(#REF!,"NbwdKgbrGd8=")</f>
        <v>#REF!</v>
      </c>
      <c r="HQ39" t="e">
        <f>AND(#REF!,"NbwdKgbrGeA=")</f>
        <v>#REF!</v>
      </c>
      <c r="HR39" t="e">
        <f>AND(#REF!,"NbwdKgbrGeE=")</f>
        <v>#REF!</v>
      </c>
      <c r="HS39" t="e">
        <f>AND(#REF!,"NbwdKgbrGeI=")</f>
        <v>#REF!</v>
      </c>
      <c r="HT39" t="e">
        <f>AND(#REF!,"NbwdKgbrGeM=")</f>
        <v>#REF!</v>
      </c>
      <c r="HU39" t="e">
        <f>AND(#REF!,"NbwdKgbrGeQ=")</f>
        <v>#REF!</v>
      </c>
      <c r="HV39" t="e">
        <f>AND(#REF!,"NbwdKgbrGeU=")</f>
        <v>#REF!</v>
      </c>
      <c r="HW39" t="e">
        <f>AND(#REF!,"NbwdKgbrGeY=")</f>
        <v>#REF!</v>
      </c>
      <c r="HX39" t="e">
        <f>AND(#REF!,"NbwdKgbrGec=")</f>
        <v>#REF!</v>
      </c>
      <c r="HY39" t="e">
        <f>AND(#REF!,"NbwdKgbrGeg=")</f>
        <v>#REF!</v>
      </c>
      <c r="HZ39" t="e">
        <f>AND(#REF!,"NbwdKgbrGek=")</f>
        <v>#REF!</v>
      </c>
      <c r="IA39" t="e">
        <f>AND(#REF!,"NbwdKgbrGeo=")</f>
        <v>#REF!</v>
      </c>
      <c r="IB39" t="e">
        <f>AND(#REF!,"NbwdKgbrGes=")</f>
        <v>#REF!</v>
      </c>
      <c r="IC39" t="e">
        <f>AND(#REF!,"NbwdKgbrGew=")</f>
        <v>#REF!</v>
      </c>
      <c r="ID39" t="e">
        <f>AND(#REF!,"NbwdKgbrGe0=")</f>
        <v>#REF!</v>
      </c>
      <c r="IE39" t="e">
        <f>AND(#REF!,"NbwdKgbrGe4=")</f>
        <v>#REF!</v>
      </c>
      <c r="IF39" t="e">
        <f>AND(#REF!,"NbwdKgbrGe8=")</f>
        <v>#REF!</v>
      </c>
      <c r="IG39" t="e">
        <f>AND(#REF!,"NbwdKgbrGfA=")</f>
        <v>#REF!</v>
      </c>
      <c r="IH39" t="e">
        <f>AND(#REF!,"NbwdKgbrGfE=")</f>
        <v>#REF!</v>
      </c>
      <c r="II39" t="e">
        <f>AND(#REF!,"NbwdKgbrGfI=")</f>
        <v>#REF!</v>
      </c>
      <c r="IJ39" t="e">
        <f>AND(#REF!,"NbwdKgbrGfM=")</f>
        <v>#REF!</v>
      </c>
      <c r="IK39" t="e">
        <f>AND(#REF!,"NbwdKgbrGfQ=")</f>
        <v>#REF!</v>
      </c>
      <c r="IL39" t="e">
        <f>AND(#REF!,"NbwdKgbrGfU=")</f>
        <v>#REF!</v>
      </c>
      <c r="IM39" t="e">
        <f>AND(#REF!,"NbwdKgbrGfY=")</f>
        <v>#REF!</v>
      </c>
      <c r="IN39" t="e">
        <f>AND(#REF!,"NbwdKgbrGfc=")</f>
        <v>#REF!</v>
      </c>
      <c r="IO39" t="e">
        <f>AND(#REF!,"NbwdKgbrGfg=")</f>
        <v>#REF!</v>
      </c>
      <c r="IP39" t="e">
        <f>AND(#REF!,"NbwdKgbrGfk=")</f>
        <v>#REF!</v>
      </c>
      <c r="IQ39" t="e">
        <f>AND(#REF!,"NbwdKgbrGfo=")</f>
        <v>#REF!</v>
      </c>
      <c r="IR39" t="e">
        <f>AND(#REF!,"NbwdKgbrGfs=")</f>
        <v>#REF!</v>
      </c>
      <c r="IS39" t="e">
        <f>AND(#REF!,"NbwdKgbrGfw=")</f>
        <v>#REF!</v>
      </c>
      <c r="IT39" t="e">
        <f>AND(#REF!,"NbwdKgbrGf0=")</f>
        <v>#REF!</v>
      </c>
      <c r="IU39" t="e">
        <f>AND(#REF!,"NbwdKgbrGf4=")</f>
        <v>#REF!</v>
      </c>
      <c r="IV39" t="e">
        <f>AND(#REF!,"NbwdKgbrGf8=")</f>
        <v>#REF!</v>
      </c>
    </row>
    <row r="40" spans="1:256" x14ac:dyDescent="0.2">
      <c r="A40" t="e">
        <f>AND(#REF!,"WIsVcQcpJQA=")</f>
        <v>#REF!</v>
      </c>
      <c r="B40" t="e">
        <f>AND(#REF!,"WIsVcQcpJQE=")</f>
        <v>#REF!</v>
      </c>
      <c r="C40" t="e">
        <f>AND(#REF!,"WIsVcQcpJQI=")</f>
        <v>#REF!</v>
      </c>
      <c r="D40" t="e">
        <f>AND(#REF!,"WIsVcQcpJQM=")</f>
        <v>#REF!</v>
      </c>
      <c r="E40" t="e">
        <f>AND(#REF!,"WIsVcQcpJQQ=")</f>
        <v>#REF!</v>
      </c>
      <c r="F40" t="e">
        <f>AND(#REF!,"WIsVcQcpJQU=")</f>
        <v>#REF!</v>
      </c>
      <c r="G40" t="e">
        <f>AND(#REF!,"WIsVcQcpJQY=")</f>
        <v>#REF!</v>
      </c>
      <c r="H40" t="e">
        <f>AND(#REF!,"WIsVcQcpJQc=")</f>
        <v>#REF!</v>
      </c>
      <c r="I40" t="e">
        <f>AND(#REF!,"WIsVcQcpJQg=")</f>
        <v>#REF!</v>
      </c>
      <c r="J40" t="e">
        <f>AND(#REF!,"WIsVcQcpJQk=")</f>
        <v>#REF!</v>
      </c>
      <c r="K40" t="e">
        <f>AND(#REF!,"WIsVcQcpJQo=")</f>
        <v>#REF!</v>
      </c>
      <c r="L40" t="e">
        <f>AND(#REF!,"WIsVcQcpJQs=")</f>
        <v>#REF!</v>
      </c>
      <c r="M40" t="e">
        <f>AND(#REF!,"WIsVcQcpJQw=")</f>
        <v>#REF!</v>
      </c>
      <c r="N40" t="e">
        <f>AND(#REF!,"WIsVcQcpJQ0=")</f>
        <v>#REF!</v>
      </c>
      <c r="O40" t="e">
        <f>AND(#REF!,"WIsVcQcpJQ4=")</f>
        <v>#REF!</v>
      </c>
      <c r="P40" t="e">
        <f>AND(#REF!,"WIsVcQcpJQ8=")</f>
        <v>#REF!</v>
      </c>
      <c r="Q40" t="e">
        <f>AND(#REF!,"WIsVcQcpJRA=")</f>
        <v>#REF!</v>
      </c>
      <c r="R40" t="e">
        <f>AND(#REF!,"WIsVcQcpJRE=")</f>
        <v>#REF!</v>
      </c>
      <c r="S40" t="e">
        <f>AND(#REF!,"WIsVcQcpJRI=")</f>
        <v>#REF!</v>
      </c>
      <c r="T40" t="e">
        <f>AND(#REF!,"WIsVcQcpJRM=")</f>
        <v>#REF!</v>
      </c>
      <c r="U40" t="e">
        <f>AND(#REF!,"WIsVcQcpJRQ=")</f>
        <v>#REF!</v>
      </c>
      <c r="V40" t="e">
        <f>AND(#REF!,"WIsVcQcpJRU=")</f>
        <v>#REF!</v>
      </c>
      <c r="W40" t="e">
        <f>AND(#REF!,"WIsVcQcpJRY=")</f>
        <v>#REF!</v>
      </c>
      <c r="X40" t="e">
        <f>AND(#REF!,"WIsVcQcpJRc=")</f>
        <v>#REF!</v>
      </c>
      <c r="Y40" t="e">
        <f>AND(#REF!,"WIsVcQcpJRg=")</f>
        <v>#REF!</v>
      </c>
      <c r="Z40" t="e">
        <f>AND(#REF!,"WIsVcQcpJRk=")</f>
        <v>#REF!</v>
      </c>
      <c r="AA40" t="e">
        <f>AND(#REF!,"WIsVcQcpJRo=")</f>
        <v>#REF!</v>
      </c>
      <c r="AB40" t="e">
        <f>AND(#REF!,"WIsVcQcpJRs=")</f>
        <v>#REF!</v>
      </c>
      <c r="AC40" t="e">
        <f>AND(#REF!,"WIsVcQcpJRw=")</f>
        <v>#REF!</v>
      </c>
      <c r="AD40" t="e">
        <f>AND(#REF!,"WIsVcQcpJR0=")</f>
        <v>#REF!</v>
      </c>
      <c r="AE40" t="e">
        <f>AND(#REF!,"WIsVcQcpJR4=")</f>
        <v>#REF!</v>
      </c>
      <c r="AF40" t="e">
        <f>AND(#REF!,"WIsVcQcpJR8=")</f>
        <v>#REF!</v>
      </c>
      <c r="AG40" t="e">
        <f>AND(#REF!,"WIsVcQcpJSA=")</f>
        <v>#REF!</v>
      </c>
      <c r="AH40" t="e">
        <f>AND(#REF!,"WIsVcQcpJSE=")</f>
        <v>#REF!</v>
      </c>
      <c r="AI40" t="e">
        <f>AND(#REF!,"WIsVcQcpJSI=")</f>
        <v>#REF!</v>
      </c>
      <c r="AJ40" t="e">
        <f>AND(#REF!,"WIsVcQcpJSM=")</f>
        <v>#REF!</v>
      </c>
      <c r="AK40" t="e">
        <f>AND(#REF!,"WIsVcQcpJSQ=")</f>
        <v>#REF!</v>
      </c>
      <c r="AL40" t="e">
        <f>AND(#REF!,"WIsVcQcpJSU=")</f>
        <v>#REF!</v>
      </c>
      <c r="AM40" t="e">
        <f>AND(#REF!,"WIsVcQcpJSY=")</f>
        <v>#REF!</v>
      </c>
      <c r="AN40" t="e">
        <f>AND(#REF!,"WIsVcQcpJSc=")</f>
        <v>#REF!</v>
      </c>
      <c r="AO40" t="e">
        <f>AND(#REF!,"WIsVcQcpJSg=")</f>
        <v>#REF!</v>
      </c>
      <c r="AP40" t="e">
        <f>AND(#REF!,"WIsVcQcpJSk=")</f>
        <v>#REF!</v>
      </c>
      <c r="AQ40" t="e">
        <f>AND(#REF!,"WIsVcQcpJSo=")</f>
        <v>#REF!</v>
      </c>
      <c r="AR40" t="e">
        <f>AND(#REF!,"WIsVcQcpJSs=")</f>
        <v>#REF!</v>
      </c>
      <c r="AS40" t="e">
        <f>AND(#REF!,"WIsVcQcpJSw=")</f>
        <v>#REF!</v>
      </c>
      <c r="AT40" t="e">
        <f>AND(#REF!,"WIsVcQcpJS0=")</f>
        <v>#REF!</v>
      </c>
      <c r="AU40" t="e">
        <f>AND(#REF!,"WIsVcQcpJS4=")</f>
        <v>#REF!</v>
      </c>
      <c r="AV40" t="e">
        <f>AND(#REF!,"WIsVcQcpJS8=")</f>
        <v>#REF!</v>
      </c>
      <c r="AW40" t="e">
        <f>AND(#REF!,"WIsVcQcpJTA=")</f>
        <v>#REF!</v>
      </c>
      <c r="AX40" t="e">
        <f>AND(#REF!,"WIsVcQcpJTE=")</f>
        <v>#REF!</v>
      </c>
      <c r="AY40" t="e">
        <f>AND(#REF!,"WIsVcQcpJTI=")</f>
        <v>#REF!</v>
      </c>
      <c r="AZ40" t="e">
        <f>AND(#REF!,"WIsVcQcpJTM=")</f>
        <v>#REF!</v>
      </c>
      <c r="BA40" t="e">
        <f>AND(#REF!,"WIsVcQcpJTQ=")</f>
        <v>#REF!</v>
      </c>
      <c r="BB40" t="e">
        <f>AND(#REF!,"WIsVcQcpJTU=")</f>
        <v>#REF!</v>
      </c>
      <c r="BC40" t="e">
        <f>AND(#REF!,"WIsVcQcpJTY=")</f>
        <v>#REF!</v>
      </c>
      <c r="BD40" t="e">
        <f>AND(#REF!,"WIsVcQcpJTc=")</f>
        <v>#REF!</v>
      </c>
      <c r="BE40" t="e">
        <f>AND(#REF!,"WIsVcQcpJTg=")</f>
        <v>#REF!</v>
      </c>
      <c r="BF40" t="e">
        <f>AND(#REF!,"WIsVcQcpJTk=")</f>
        <v>#REF!</v>
      </c>
      <c r="BG40" t="e">
        <f>AND(#REF!,"WIsVcQcpJTo=")</f>
        <v>#REF!</v>
      </c>
      <c r="BH40" t="e">
        <f>AND(#REF!,"WIsVcQcpJTs=")</f>
        <v>#REF!</v>
      </c>
      <c r="BI40" t="e">
        <f>AND(#REF!,"WIsVcQcpJTw=")</f>
        <v>#REF!</v>
      </c>
      <c r="BJ40" t="e">
        <f>AND(#REF!,"WIsVcQcpJT0=")</f>
        <v>#REF!</v>
      </c>
      <c r="BK40" t="e">
        <f>AND(#REF!,"WIsVcQcpJT4=")</f>
        <v>#REF!</v>
      </c>
      <c r="BL40" t="e">
        <f>AND(#REF!,"WIsVcQcpJT8=")</f>
        <v>#REF!</v>
      </c>
      <c r="BM40" t="e">
        <f>AND(#REF!,"WIsVcQcpJUA=")</f>
        <v>#REF!</v>
      </c>
      <c r="BN40" t="e">
        <f>AND(#REF!,"WIsVcQcpJUE=")</f>
        <v>#REF!</v>
      </c>
      <c r="BO40" t="e">
        <f>AND(#REF!,"WIsVcQcpJUI=")</f>
        <v>#REF!</v>
      </c>
      <c r="BP40" t="e">
        <f>AND(#REF!,"WIsVcQcpJUM=")</f>
        <v>#REF!</v>
      </c>
      <c r="BQ40" t="e">
        <f>AND(#REF!,"WIsVcQcpJUQ=")</f>
        <v>#REF!</v>
      </c>
      <c r="BR40" t="e">
        <f>AND(#REF!,"WIsVcQcpJUU=")</f>
        <v>#REF!</v>
      </c>
      <c r="BS40" t="e">
        <f>AND(#REF!,"WIsVcQcpJUY=")</f>
        <v>#REF!</v>
      </c>
      <c r="BT40" t="e">
        <f>AND(#REF!,"WIsVcQcpJUc=")</f>
        <v>#REF!</v>
      </c>
      <c r="BU40" t="e">
        <f>AND(#REF!,"WIsVcQcpJUg=")</f>
        <v>#REF!</v>
      </c>
      <c r="BV40" t="e">
        <f>AND(#REF!,"WIsVcQcpJUk=")</f>
        <v>#REF!</v>
      </c>
      <c r="BW40" t="e">
        <f>AND(#REF!,"WIsVcQcpJUo=")</f>
        <v>#REF!</v>
      </c>
      <c r="BX40" t="e">
        <f>AND(#REF!,"WIsVcQcpJUs=")</f>
        <v>#REF!</v>
      </c>
      <c r="BY40" t="e">
        <f>AND(#REF!,"WIsVcQcpJUw=")</f>
        <v>#REF!</v>
      </c>
      <c r="BZ40" t="e">
        <f>AND(#REF!,"WIsVcQcpJU0=")</f>
        <v>#REF!</v>
      </c>
      <c r="CA40" t="e">
        <f>AND(#REF!,"WIsVcQcpJU4=")</f>
        <v>#REF!</v>
      </c>
      <c r="CB40" t="e">
        <f>AND(#REF!,"WIsVcQcpJU8=")</f>
        <v>#REF!</v>
      </c>
      <c r="CC40" t="e">
        <f>AND(#REF!,"WIsVcQcpJVA=")</f>
        <v>#REF!</v>
      </c>
      <c r="CD40" t="e">
        <f>AND(#REF!,"WIsVcQcpJVE=")</f>
        <v>#REF!</v>
      </c>
      <c r="CE40" t="e">
        <f>AND(#REF!,"WIsVcQcpJVI=")</f>
        <v>#REF!</v>
      </c>
      <c r="CF40" t="e">
        <f>AND(#REF!,"WIsVcQcpJVM=")</f>
        <v>#REF!</v>
      </c>
      <c r="CG40" t="e">
        <f>AND(#REF!,"WIsVcQcpJVQ=")</f>
        <v>#REF!</v>
      </c>
      <c r="CH40" t="e">
        <f>AND(#REF!,"WIsVcQcpJVU=")</f>
        <v>#REF!</v>
      </c>
      <c r="CI40" t="e">
        <f>AND(#REF!,"WIsVcQcpJVY=")</f>
        <v>#REF!</v>
      </c>
      <c r="CJ40" t="e">
        <f>AND(#REF!,"WIsVcQcpJVc=")</f>
        <v>#REF!</v>
      </c>
      <c r="CK40" t="e">
        <f>AND(#REF!,"WIsVcQcpJVg=")</f>
        <v>#REF!</v>
      </c>
      <c r="CL40" t="e">
        <f>AND(#REF!,"WIsVcQcpJVk=")</f>
        <v>#REF!</v>
      </c>
      <c r="CM40" t="e">
        <f>AND(#REF!,"WIsVcQcpJVo=")</f>
        <v>#REF!</v>
      </c>
      <c r="CN40" t="e">
        <f>AND(#REF!,"WIsVcQcpJVs=")</f>
        <v>#REF!</v>
      </c>
      <c r="CO40" t="e">
        <f>AND(#REF!,"WIsVcQcpJVw=")</f>
        <v>#REF!</v>
      </c>
      <c r="CP40" t="e">
        <f>AND(#REF!,"WIsVcQcpJV0=")</f>
        <v>#REF!</v>
      </c>
      <c r="CQ40" t="e">
        <f>AND(#REF!,"WIsVcQcpJV4=")</f>
        <v>#REF!</v>
      </c>
      <c r="CR40" t="e">
        <f>AND(#REF!,"WIsVcQcpJV8=")</f>
        <v>#REF!</v>
      </c>
      <c r="CS40" t="e">
        <f>AND(#REF!,"WIsVcQcpJWA=")</f>
        <v>#REF!</v>
      </c>
      <c r="CT40" t="e">
        <f>AND(#REF!,"WIsVcQcpJWE=")</f>
        <v>#REF!</v>
      </c>
      <c r="CU40" t="e">
        <f>AND(#REF!,"WIsVcQcpJWI=")</f>
        <v>#REF!</v>
      </c>
      <c r="CV40" t="e">
        <f>AND(#REF!,"WIsVcQcpJWM=")</f>
        <v>#REF!</v>
      </c>
      <c r="CW40" t="e">
        <f>AND(#REF!,"WIsVcQcpJWQ=")</f>
        <v>#REF!</v>
      </c>
      <c r="CX40" t="e">
        <f>AND(#REF!,"WIsVcQcpJWU=")</f>
        <v>#REF!</v>
      </c>
      <c r="CY40" t="e">
        <f>AND(#REF!,"WIsVcQcpJWY=")</f>
        <v>#REF!</v>
      </c>
      <c r="CZ40" t="e">
        <f>AND(#REF!,"WIsVcQcpJWc=")</f>
        <v>#REF!</v>
      </c>
      <c r="DA40" t="e">
        <f>AND(#REF!,"WIsVcQcpJWg=")</f>
        <v>#REF!</v>
      </c>
      <c r="DB40" t="e">
        <f>AND(#REF!,"WIsVcQcpJWk=")</f>
        <v>#REF!</v>
      </c>
      <c r="DC40" t="e">
        <f>AND(#REF!,"WIsVcQcpJWo=")</f>
        <v>#REF!</v>
      </c>
      <c r="DD40" t="e">
        <f>AND(#REF!,"WIsVcQcpJWs=")</f>
        <v>#REF!</v>
      </c>
      <c r="DE40" t="e">
        <f>AND(#REF!,"WIsVcQcpJWw=")</f>
        <v>#REF!</v>
      </c>
      <c r="DF40" t="e">
        <f>AND(#REF!,"WIsVcQcpJW0=")</f>
        <v>#REF!</v>
      </c>
      <c r="DG40" t="e">
        <f>AND(#REF!,"WIsVcQcpJW4=")</f>
        <v>#REF!</v>
      </c>
      <c r="DH40" t="e">
        <f>IF(#REF!,"WIsVcQcpJW8=",0)</f>
        <v>#REF!</v>
      </c>
      <c r="DI40" t="e">
        <f>AND(#REF!,"WIsVcQcpJXA=")</f>
        <v>#REF!</v>
      </c>
      <c r="DJ40" t="e">
        <f>AND(#REF!,"WIsVcQcpJXE=")</f>
        <v>#REF!</v>
      </c>
      <c r="DK40" t="e">
        <f>AND(#REF!,"WIsVcQcpJXI=")</f>
        <v>#REF!</v>
      </c>
      <c r="DL40" t="e">
        <f>AND(#REF!,"WIsVcQcpJXM=")</f>
        <v>#REF!</v>
      </c>
      <c r="DM40" t="e">
        <f>AND(#REF!,"WIsVcQcpJXQ=")</f>
        <v>#REF!</v>
      </c>
      <c r="DN40" t="e">
        <f>AND(#REF!,"WIsVcQcpJXU=")</f>
        <v>#REF!</v>
      </c>
      <c r="DO40" t="e">
        <f>AND(#REF!,"WIsVcQcpJXY=")</f>
        <v>#REF!</v>
      </c>
      <c r="DP40" t="e">
        <f>AND(#REF!,"WIsVcQcpJXc=")</f>
        <v>#REF!</v>
      </c>
      <c r="DQ40" t="e">
        <f>AND(#REF!,"WIsVcQcpJXg=")</f>
        <v>#REF!</v>
      </c>
      <c r="DR40" t="e">
        <f>AND(#REF!,"WIsVcQcpJXk=")</f>
        <v>#REF!</v>
      </c>
      <c r="DS40" t="e">
        <f>AND(#REF!,"WIsVcQcpJXo=")</f>
        <v>#REF!</v>
      </c>
      <c r="DT40" t="e">
        <f>AND(#REF!,"WIsVcQcpJXs=")</f>
        <v>#REF!</v>
      </c>
      <c r="DU40" t="e">
        <f>AND(#REF!,"WIsVcQcpJXw=")</f>
        <v>#REF!</v>
      </c>
      <c r="DV40" t="e">
        <f>AND(#REF!,"WIsVcQcpJX0=")</f>
        <v>#REF!</v>
      </c>
      <c r="DW40" t="e">
        <f>AND(#REF!,"WIsVcQcpJX4=")</f>
        <v>#REF!</v>
      </c>
      <c r="DX40" t="e">
        <f>AND(#REF!,"WIsVcQcpJX8=")</f>
        <v>#REF!</v>
      </c>
      <c r="DY40" t="e">
        <f>AND(#REF!,"WIsVcQcpJYA=")</f>
        <v>#REF!</v>
      </c>
      <c r="DZ40" t="e">
        <f>AND(#REF!,"WIsVcQcpJYE=")</f>
        <v>#REF!</v>
      </c>
      <c r="EA40" t="e">
        <f>AND(#REF!,"WIsVcQcpJYI=")</f>
        <v>#REF!</v>
      </c>
      <c r="EB40" t="e">
        <f>AND(#REF!,"WIsVcQcpJYM=")</f>
        <v>#REF!</v>
      </c>
      <c r="EC40" t="e">
        <f>AND(#REF!,"WIsVcQcpJYQ=")</f>
        <v>#REF!</v>
      </c>
      <c r="ED40" t="e">
        <f>AND(#REF!,"WIsVcQcpJYU=")</f>
        <v>#REF!</v>
      </c>
      <c r="EE40" t="e">
        <f>AND(#REF!,"WIsVcQcpJYY=")</f>
        <v>#REF!</v>
      </c>
      <c r="EF40" t="e">
        <f>AND(#REF!,"WIsVcQcpJYc=")</f>
        <v>#REF!</v>
      </c>
      <c r="EG40" t="e">
        <f>AND(#REF!,"WIsVcQcpJYg=")</f>
        <v>#REF!</v>
      </c>
      <c r="EH40" t="e">
        <f>AND(#REF!,"WIsVcQcpJYk=")</f>
        <v>#REF!</v>
      </c>
      <c r="EI40" t="e">
        <f>AND(#REF!,"WIsVcQcpJYo=")</f>
        <v>#REF!</v>
      </c>
      <c r="EJ40" t="e">
        <f>AND(#REF!,"WIsVcQcpJYs=")</f>
        <v>#REF!</v>
      </c>
      <c r="EK40" t="e">
        <f>AND(#REF!,"WIsVcQcpJYw=")</f>
        <v>#REF!</v>
      </c>
      <c r="EL40" t="e">
        <f>AND(#REF!,"WIsVcQcpJY0=")</f>
        <v>#REF!</v>
      </c>
      <c r="EM40" t="e">
        <f>AND(#REF!,"WIsVcQcpJY4=")</f>
        <v>#REF!</v>
      </c>
      <c r="EN40" t="e">
        <f>AND(#REF!,"WIsVcQcpJY8=")</f>
        <v>#REF!</v>
      </c>
      <c r="EO40" t="e">
        <f>AND(#REF!,"WIsVcQcpJZA=")</f>
        <v>#REF!</v>
      </c>
      <c r="EP40" t="e">
        <f>AND(#REF!,"WIsVcQcpJZE=")</f>
        <v>#REF!</v>
      </c>
      <c r="EQ40" t="e">
        <f>AND(#REF!,"WIsVcQcpJZI=")</f>
        <v>#REF!</v>
      </c>
      <c r="ER40" t="e">
        <f>AND(#REF!,"WIsVcQcpJZM=")</f>
        <v>#REF!</v>
      </c>
      <c r="ES40" t="e">
        <f>AND(#REF!,"WIsVcQcpJZQ=")</f>
        <v>#REF!</v>
      </c>
      <c r="ET40" t="e">
        <f>AND(#REF!,"WIsVcQcpJZU=")</f>
        <v>#REF!</v>
      </c>
      <c r="EU40" t="e">
        <f>AND(#REF!,"WIsVcQcpJZY=")</f>
        <v>#REF!</v>
      </c>
      <c r="EV40" t="e">
        <f>AND(#REF!,"WIsVcQcpJZc=")</f>
        <v>#REF!</v>
      </c>
      <c r="EW40" t="e">
        <f>AND(#REF!,"WIsVcQcpJZg=")</f>
        <v>#REF!</v>
      </c>
      <c r="EX40" t="e">
        <f>AND(#REF!,"WIsVcQcpJZk=")</f>
        <v>#REF!</v>
      </c>
      <c r="EY40" t="e">
        <f>AND(#REF!,"WIsVcQcpJZo=")</f>
        <v>#REF!</v>
      </c>
      <c r="EZ40" t="e">
        <f>AND(#REF!,"WIsVcQcpJZs=")</f>
        <v>#REF!</v>
      </c>
      <c r="FA40" t="e">
        <f>AND(#REF!,"WIsVcQcpJZw=")</f>
        <v>#REF!</v>
      </c>
      <c r="FB40" t="e">
        <f>AND(#REF!,"WIsVcQcpJZ0=")</f>
        <v>#REF!</v>
      </c>
      <c r="FC40" t="e">
        <f>AND(#REF!,"WIsVcQcpJZ4=")</f>
        <v>#REF!</v>
      </c>
      <c r="FD40" t="e">
        <f>AND(#REF!,"WIsVcQcpJZ8=")</f>
        <v>#REF!</v>
      </c>
      <c r="FE40" t="e">
        <f>AND(#REF!,"WIsVcQcpJaA=")</f>
        <v>#REF!</v>
      </c>
      <c r="FF40" t="e">
        <f>AND(#REF!,"WIsVcQcpJaE=")</f>
        <v>#REF!</v>
      </c>
      <c r="FG40" t="e">
        <f>AND(#REF!,"WIsVcQcpJaI=")</f>
        <v>#REF!</v>
      </c>
      <c r="FH40" t="e">
        <f>AND(#REF!,"WIsVcQcpJaM=")</f>
        <v>#REF!</v>
      </c>
      <c r="FI40" t="e">
        <f>AND(#REF!,"WIsVcQcpJaQ=")</f>
        <v>#REF!</v>
      </c>
      <c r="FJ40" t="e">
        <f>AND(#REF!,"WIsVcQcpJaU=")</f>
        <v>#REF!</v>
      </c>
      <c r="FK40" t="e">
        <f>AND(#REF!,"WIsVcQcpJaY=")</f>
        <v>#REF!</v>
      </c>
      <c r="FL40" t="e">
        <f>AND(#REF!,"WIsVcQcpJac=")</f>
        <v>#REF!</v>
      </c>
      <c r="FM40" t="e">
        <f>AND(#REF!,"WIsVcQcpJag=")</f>
        <v>#REF!</v>
      </c>
      <c r="FN40" t="e">
        <f>AND(#REF!,"WIsVcQcpJak=")</f>
        <v>#REF!</v>
      </c>
      <c r="FO40" t="e">
        <f>AND(#REF!,"WIsVcQcpJao=")</f>
        <v>#REF!</v>
      </c>
      <c r="FP40" t="e">
        <f>AND(#REF!,"WIsVcQcpJas=")</f>
        <v>#REF!</v>
      </c>
      <c r="FQ40" t="e">
        <f>AND(#REF!,"WIsVcQcpJaw=")</f>
        <v>#REF!</v>
      </c>
      <c r="FR40" t="e">
        <f>AND(#REF!,"WIsVcQcpJa0=")</f>
        <v>#REF!</v>
      </c>
      <c r="FS40" t="e">
        <f>AND(#REF!,"WIsVcQcpJa4=")</f>
        <v>#REF!</v>
      </c>
      <c r="FT40" t="e">
        <f>AND(#REF!,"WIsVcQcpJa8=")</f>
        <v>#REF!</v>
      </c>
      <c r="FU40" t="e">
        <f>AND(#REF!,"WIsVcQcpJbA=")</f>
        <v>#REF!</v>
      </c>
      <c r="FV40" t="e">
        <f>AND(#REF!,"WIsVcQcpJbE=")</f>
        <v>#REF!</v>
      </c>
      <c r="FW40" t="e">
        <f>AND(#REF!,"WIsVcQcpJbI=")</f>
        <v>#REF!</v>
      </c>
      <c r="FX40" t="e">
        <f>AND(#REF!,"WIsVcQcpJbM=")</f>
        <v>#REF!</v>
      </c>
      <c r="FY40" t="e">
        <f>AND(#REF!,"WIsVcQcpJbQ=")</f>
        <v>#REF!</v>
      </c>
      <c r="FZ40" t="e">
        <f>AND(#REF!,"WIsVcQcpJbU=")</f>
        <v>#REF!</v>
      </c>
      <c r="GA40" t="e">
        <f>AND(#REF!,"WIsVcQcpJbY=")</f>
        <v>#REF!</v>
      </c>
      <c r="GB40" t="e">
        <f>AND(#REF!,"WIsVcQcpJbc=")</f>
        <v>#REF!</v>
      </c>
      <c r="GC40" t="e">
        <f>AND(#REF!,"WIsVcQcpJbg=")</f>
        <v>#REF!</v>
      </c>
      <c r="GD40" t="e">
        <f>AND(#REF!,"WIsVcQcpJbk=")</f>
        <v>#REF!</v>
      </c>
      <c r="GE40" t="e">
        <f>AND(#REF!,"WIsVcQcpJbo=")</f>
        <v>#REF!</v>
      </c>
      <c r="GF40" t="e">
        <f>AND(#REF!,"WIsVcQcpJbs=")</f>
        <v>#REF!</v>
      </c>
      <c r="GG40" t="e">
        <f>AND(#REF!,"WIsVcQcpJbw=")</f>
        <v>#REF!</v>
      </c>
      <c r="GH40" t="e">
        <f>AND(#REF!,"WIsVcQcpJb0=")</f>
        <v>#REF!</v>
      </c>
      <c r="GI40" t="e">
        <f>AND(#REF!,"WIsVcQcpJb4=")</f>
        <v>#REF!</v>
      </c>
      <c r="GJ40" t="e">
        <f>AND(#REF!,"WIsVcQcpJb8=")</f>
        <v>#REF!</v>
      </c>
      <c r="GK40" t="e">
        <f>AND(#REF!,"WIsVcQcpJcA=")</f>
        <v>#REF!</v>
      </c>
      <c r="GL40" t="e">
        <f>AND(#REF!,"WIsVcQcpJcE=")</f>
        <v>#REF!</v>
      </c>
      <c r="GM40" t="e">
        <f>AND(#REF!,"WIsVcQcpJcI=")</f>
        <v>#REF!</v>
      </c>
      <c r="GN40" t="e">
        <f>AND(#REF!,"WIsVcQcpJcM=")</f>
        <v>#REF!</v>
      </c>
      <c r="GO40" t="e">
        <f>AND(#REF!,"WIsVcQcpJcQ=")</f>
        <v>#REF!</v>
      </c>
      <c r="GP40" t="e">
        <f>AND(#REF!,"WIsVcQcpJcU=")</f>
        <v>#REF!</v>
      </c>
      <c r="GQ40" t="e">
        <f>AND(#REF!,"WIsVcQcpJcY=")</f>
        <v>#REF!</v>
      </c>
      <c r="GR40" t="e">
        <f>AND(#REF!,"WIsVcQcpJcc=")</f>
        <v>#REF!</v>
      </c>
      <c r="GS40" t="e">
        <f>AND(#REF!,"WIsVcQcpJcg=")</f>
        <v>#REF!</v>
      </c>
      <c r="GT40" t="e">
        <f>AND(#REF!,"WIsVcQcpJck=")</f>
        <v>#REF!</v>
      </c>
      <c r="GU40" t="e">
        <f>AND(#REF!,"WIsVcQcpJco=")</f>
        <v>#REF!</v>
      </c>
      <c r="GV40" t="e">
        <f>AND(#REF!,"WIsVcQcpJcs=")</f>
        <v>#REF!</v>
      </c>
      <c r="GW40" t="e">
        <f>AND(#REF!,"WIsVcQcpJcw=")</f>
        <v>#REF!</v>
      </c>
      <c r="GX40" t="e">
        <f>AND(#REF!,"WIsVcQcpJc0=")</f>
        <v>#REF!</v>
      </c>
      <c r="GY40" t="e">
        <f>AND(#REF!,"WIsVcQcpJc4=")</f>
        <v>#REF!</v>
      </c>
      <c r="GZ40" t="e">
        <f>AND(#REF!,"WIsVcQcpJc8=")</f>
        <v>#REF!</v>
      </c>
      <c r="HA40" t="e">
        <f>AND(#REF!,"WIsVcQcpJdA=")</f>
        <v>#REF!</v>
      </c>
      <c r="HB40" t="e">
        <f>AND(#REF!,"WIsVcQcpJdE=")</f>
        <v>#REF!</v>
      </c>
      <c r="HC40" t="e">
        <f>AND(#REF!,"WIsVcQcpJdI=")</f>
        <v>#REF!</v>
      </c>
      <c r="HD40" t="e">
        <f>AND(#REF!,"WIsVcQcpJdM=")</f>
        <v>#REF!</v>
      </c>
      <c r="HE40" t="e">
        <f>AND(#REF!,"WIsVcQcpJdQ=")</f>
        <v>#REF!</v>
      </c>
      <c r="HF40" t="e">
        <f>AND(#REF!,"WIsVcQcpJdU=")</f>
        <v>#REF!</v>
      </c>
      <c r="HG40" t="e">
        <f>AND(#REF!,"WIsVcQcpJdY=")</f>
        <v>#REF!</v>
      </c>
      <c r="HH40" t="e">
        <f>AND(#REF!,"WIsVcQcpJdc=")</f>
        <v>#REF!</v>
      </c>
      <c r="HI40" t="e">
        <f>AND(#REF!,"WIsVcQcpJdg=")</f>
        <v>#REF!</v>
      </c>
      <c r="HJ40" t="e">
        <f>AND(#REF!,"WIsVcQcpJdk=")</f>
        <v>#REF!</v>
      </c>
      <c r="HK40" t="e">
        <f>AND(#REF!,"WIsVcQcpJdo=")</f>
        <v>#REF!</v>
      </c>
      <c r="HL40" t="e">
        <f>AND(#REF!,"WIsVcQcpJds=")</f>
        <v>#REF!</v>
      </c>
      <c r="HM40" t="e">
        <f>AND(#REF!,"WIsVcQcpJdw=")</f>
        <v>#REF!</v>
      </c>
      <c r="HN40" t="e">
        <f>AND(#REF!,"WIsVcQcpJd0=")</f>
        <v>#REF!</v>
      </c>
      <c r="HO40" t="e">
        <f>AND(#REF!,"WIsVcQcpJd4=")</f>
        <v>#REF!</v>
      </c>
      <c r="HP40" t="e">
        <f>AND(#REF!,"WIsVcQcpJd8=")</f>
        <v>#REF!</v>
      </c>
      <c r="HQ40" t="e">
        <f>AND(#REF!,"WIsVcQcpJeA=")</f>
        <v>#REF!</v>
      </c>
      <c r="HR40" t="e">
        <f>AND(#REF!,"WIsVcQcpJeE=")</f>
        <v>#REF!</v>
      </c>
      <c r="HS40" t="e">
        <f>AND(#REF!,"WIsVcQcpJeI=")</f>
        <v>#REF!</v>
      </c>
      <c r="HT40" t="e">
        <f>AND(#REF!,"WIsVcQcpJeM=")</f>
        <v>#REF!</v>
      </c>
      <c r="HU40" t="e">
        <f>AND(#REF!,"WIsVcQcpJeQ=")</f>
        <v>#REF!</v>
      </c>
      <c r="HV40" t="e">
        <f>AND(#REF!,"WIsVcQcpJeU=")</f>
        <v>#REF!</v>
      </c>
      <c r="HW40" t="e">
        <f>AND(#REF!,"WIsVcQcpJeY=")</f>
        <v>#REF!</v>
      </c>
      <c r="HX40" t="e">
        <f>AND(#REF!,"WIsVcQcpJec=")</f>
        <v>#REF!</v>
      </c>
      <c r="HY40" t="e">
        <f>AND(#REF!,"WIsVcQcpJeg=")</f>
        <v>#REF!</v>
      </c>
      <c r="HZ40" t="e">
        <f>AND(#REF!,"WIsVcQcpJek=")</f>
        <v>#REF!</v>
      </c>
      <c r="IA40" t="e">
        <f>AND(#REF!,"WIsVcQcpJeo=")</f>
        <v>#REF!</v>
      </c>
      <c r="IB40" t="e">
        <f>AND(#REF!,"WIsVcQcpJes=")</f>
        <v>#REF!</v>
      </c>
      <c r="IC40" t="e">
        <f>AND(#REF!,"WIsVcQcpJew=")</f>
        <v>#REF!</v>
      </c>
      <c r="ID40" t="e">
        <f>AND(#REF!,"WIsVcQcpJe0=")</f>
        <v>#REF!</v>
      </c>
      <c r="IE40" t="e">
        <f>AND(#REF!,"WIsVcQcpJe4=")</f>
        <v>#REF!</v>
      </c>
      <c r="IF40" t="e">
        <f>AND(#REF!,"WIsVcQcpJe8=")</f>
        <v>#REF!</v>
      </c>
      <c r="IG40" t="e">
        <f>AND(#REF!,"WIsVcQcpJfA=")</f>
        <v>#REF!</v>
      </c>
      <c r="IH40" t="e">
        <f>AND(#REF!,"WIsVcQcpJfE=")</f>
        <v>#REF!</v>
      </c>
      <c r="II40" t="e">
        <f>AND(#REF!,"WIsVcQcpJfI=")</f>
        <v>#REF!</v>
      </c>
      <c r="IJ40" t="e">
        <f>AND(#REF!,"WIsVcQcpJfM=")</f>
        <v>#REF!</v>
      </c>
      <c r="IK40" t="e">
        <f>AND(#REF!,"WIsVcQcpJfQ=")</f>
        <v>#REF!</v>
      </c>
      <c r="IL40" t="e">
        <f>AND(#REF!,"WIsVcQcpJfU=")</f>
        <v>#REF!</v>
      </c>
      <c r="IM40" t="e">
        <f>AND(#REF!,"WIsVcQcpJfY=")</f>
        <v>#REF!</v>
      </c>
      <c r="IN40" t="e">
        <f>AND(#REF!,"WIsVcQcpJfc=")</f>
        <v>#REF!</v>
      </c>
      <c r="IO40" t="e">
        <f>AND(#REF!,"WIsVcQcpJfg=")</f>
        <v>#REF!</v>
      </c>
      <c r="IP40" t="e">
        <f>AND(#REF!,"WIsVcQcpJfk=")</f>
        <v>#REF!</v>
      </c>
      <c r="IQ40" t="e">
        <f>AND(#REF!,"WIsVcQcpJfo=")</f>
        <v>#REF!</v>
      </c>
      <c r="IR40" t="e">
        <f>AND(#REF!,"WIsVcQcpJfs=")</f>
        <v>#REF!</v>
      </c>
      <c r="IS40" t="e">
        <f>AND(#REF!,"WIsVcQcpJfw=")</f>
        <v>#REF!</v>
      </c>
      <c r="IT40" t="e">
        <f>AND(#REF!,"WIsVcQcpJf0=")</f>
        <v>#REF!</v>
      </c>
      <c r="IU40" t="e">
        <f>AND(#REF!,"WIsVcQcpJf4=")</f>
        <v>#REF!</v>
      </c>
      <c r="IV40" t="e">
        <f>AND(#REF!,"WIsVcQcpJf8=")</f>
        <v>#REF!</v>
      </c>
    </row>
    <row r="41" spans="1:256" x14ac:dyDescent="0.2">
      <c r="A41" t="e">
        <f>AND(#REF!,"CjSYRAKu8QA=")</f>
        <v>#REF!</v>
      </c>
      <c r="B41" t="e">
        <f>AND(#REF!,"CjSYRAKu8QE=")</f>
        <v>#REF!</v>
      </c>
      <c r="C41" t="e">
        <f>AND(#REF!,"CjSYRAKu8QI=")</f>
        <v>#REF!</v>
      </c>
      <c r="D41" t="e">
        <f>AND(#REF!,"CjSYRAKu8QM=")</f>
        <v>#REF!</v>
      </c>
      <c r="E41" t="e">
        <f>AND(#REF!,"CjSYRAKu8QQ=")</f>
        <v>#REF!</v>
      </c>
      <c r="F41" t="e">
        <f>AND(#REF!,"CjSYRAKu8QU=")</f>
        <v>#REF!</v>
      </c>
      <c r="G41" t="e">
        <f>AND(#REF!,"CjSYRAKu8QY=")</f>
        <v>#REF!</v>
      </c>
      <c r="H41" t="e">
        <f>AND(#REF!,"CjSYRAKu8Qc=")</f>
        <v>#REF!</v>
      </c>
      <c r="I41" t="e">
        <f>AND(#REF!,"CjSYRAKu8Qg=")</f>
        <v>#REF!</v>
      </c>
      <c r="J41" t="e">
        <f>AND(#REF!,"CjSYRAKu8Qk=")</f>
        <v>#REF!</v>
      </c>
      <c r="K41" t="e">
        <f>AND(#REF!,"CjSYRAKu8Qo=")</f>
        <v>#REF!</v>
      </c>
      <c r="L41" t="e">
        <f>AND(#REF!,"CjSYRAKu8Qs=")</f>
        <v>#REF!</v>
      </c>
      <c r="M41" t="e">
        <f>AND(#REF!,"CjSYRAKu8Qw=")</f>
        <v>#REF!</v>
      </c>
      <c r="N41" t="e">
        <f>AND(#REF!,"CjSYRAKu8Q0=")</f>
        <v>#REF!</v>
      </c>
      <c r="O41" t="e">
        <f>AND(#REF!,"CjSYRAKu8Q4=")</f>
        <v>#REF!</v>
      </c>
      <c r="P41" t="e">
        <f>AND(#REF!,"CjSYRAKu8Q8=")</f>
        <v>#REF!</v>
      </c>
      <c r="Q41" t="e">
        <f>AND(#REF!,"CjSYRAKu8RA=")</f>
        <v>#REF!</v>
      </c>
      <c r="R41" t="e">
        <f>AND(#REF!,"CjSYRAKu8RE=")</f>
        <v>#REF!</v>
      </c>
      <c r="S41" t="e">
        <f>AND(#REF!,"CjSYRAKu8RI=")</f>
        <v>#REF!</v>
      </c>
      <c r="T41" t="e">
        <f>AND(#REF!,"CjSYRAKu8RM=")</f>
        <v>#REF!</v>
      </c>
      <c r="U41" t="e">
        <f>AND(#REF!,"CjSYRAKu8RQ=")</f>
        <v>#REF!</v>
      </c>
      <c r="V41" t="e">
        <f>AND(#REF!,"CjSYRAKu8RU=")</f>
        <v>#REF!</v>
      </c>
      <c r="W41" t="e">
        <f>AND(#REF!,"CjSYRAKu8RY=")</f>
        <v>#REF!</v>
      </c>
      <c r="X41" t="e">
        <f>AND(#REF!,"CjSYRAKu8Rc=")</f>
        <v>#REF!</v>
      </c>
      <c r="Y41" t="e">
        <f>AND(#REF!,"CjSYRAKu8Rg=")</f>
        <v>#REF!</v>
      </c>
      <c r="Z41" t="e">
        <f>AND(#REF!,"CjSYRAKu8Rk=")</f>
        <v>#REF!</v>
      </c>
      <c r="AA41" t="e">
        <f>AND(#REF!,"CjSYRAKu8Ro=")</f>
        <v>#REF!</v>
      </c>
      <c r="AB41" t="e">
        <f>AND(#REF!,"CjSYRAKu8Rs=")</f>
        <v>#REF!</v>
      </c>
      <c r="AC41" t="e">
        <f>AND(#REF!,"CjSYRAKu8Rw=")</f>
        <v>#REF!</v>
      </c>
      <c r="AD41" t="e">
        <f>AND(#REF!,"CjSYRAKu8R0=")</f>
        <v>#REF!</v>
      </c>
      <c r="AE41" t="e">
        <f>AND(#REF!,"CjSYRAKu8R4=")</f>
        <v>#REF!</v>
      </c>
      <c r="AF41" t="e">
        <f>AND(#REF!,"CjSYRAKu8R8=")</f>
        <v>#REF!</v>
      </c>
      <c r="AG41" t="e">
        <f>AND(#REF!,"CjSYRAKu8SA=")</f>
        <v>#REF!</v>
      </c>
      <c r="AH41" t="e">
        <f>AND(#REF!,"CjSYRAKu8SE=")</f>
        <v>#REF!</v>
      </c>
      <c r="AI41" t="e">
        <f>AND(#REF!,"CjSYRAKu8SI=")</f>
        <v>#REF!</v>
      </c>
      <c r="AJ41" t="e">
        <f>AND(#REF!,"CjSYRAKu8SM=")</f>
        <v>#REF!</v>
      </c>
      <c r="AK41" t="e">
        <f>AND(#REF!,"CjSYRAKu8SQ=")</f>
        <v>#REF!</v>
      </c>
      <c r="AL41" t="e">
        <f>AND(#REF!,"CjSYRAKu8SU=")</f>
        <v>#REF!</v>
      </c>
      <c r="AM41" t="e">
        <f>AND(#REF!,"CjSYRAKu8SY=")</f>
        <v>#REF!</v>
      </c>
      <c r="AN41" t="e">
        <f>AND(#REF!,"CjSYRAKu8Sc=")</f>
        <v>#REF!</v>
      </c>
      <c r="AO41" t="e">
        <f>AND(#REF!,"CjSYRAKu8Sg=")</f>
        <v>#REF!</v>
      </c>
      <c r="AP41" t="e">
        <f>AND(#REF!,"CjSYRAKu8Sk=")</f>
        <v>#REF!</v>
      </c>
      <c r="AQ41" t="e">
        <f>AND(#REF!,"CjSYRAKu8So=")</f>
        <v>#REF!</v>
      </c>
      <c r="AR41" t="e">
        <f>AND(#REF!,"CjSYRAKu8Ss=")</f>
        <v>#REF!</v>
      </c>
      <c r="AS41" t="e">
        <f>AND(#REF!,"CjSYRAKu8Sw=")</f>
        <v>#REF!</v>
      </c>
      <c r="AT41" t="e">
        <f>AND(#REF!,"CjSYRAKu8S0=")</f>
        <v>#REF!</v>
      </c>
      <c r="AU41" t="e">
        <f>AND(#REF!,"CjSYRAKu8S4=")</f>
        <v>#REF!</v>
      </c>
      <c r="AV41" t="e">
        <f>AND(#REF!,"CjSYRAKu8S8=")</f>
        <v>#REF!</v>
      </c>
      <c r="AW41" t="e">
        <f>AND(#REF!,"CjSYRAKu8TA=")</f>
        <v>#REF!</v>
      </c>
      <c r="AX41" t="e">
        <f>AND(#REF!,"CjSYRAKu8TE=")</f>
        <v>#REF!</v>
      </c>
      <c r="AY41" t="e">
        <f>AND(#REF!,"CjSYRAKu8TI=")</f>
        <v>#REF!</v>
      </c>
      <c r="AZ41" t="e">
        <f>AND(#REF!,"CjSYRAKu8TM=")</f>
        <v>#REF!</v>
      </c>
      <c r="BA41" t="e">
        <f>AND(#REF!,"CjSYRAKu8TQ=")</f>
        <v>#REF!</v>
      </c>
      <c r="BB41" t="e">
        <f>AND(#REF!,"CjSYRAKu8TU=")</f>
        <v>#REF!</v>
      </c>
      <c r="BC41" t="e">
        <f>IF(#REF!,"CjSYRAKu8TY=",0)</f>
        <v>#REF!</v>
      </c>
      <c r="BD41" t="e">
        <f>AND(#REF!,"CjSYRAKu8Tc=")</f>
        <v>#REF!</v>
      </c>
      <c r="BE41" t="e">
        <f>AND(#REF!,"CjSYRAKu8Tg=")</f>
        <v>#REF!</v>
      </c>
      <c r="BF41" t="e">
        <f>AND(#REF!,"CjSYRAKu8Tk=")</f>
        <v>#REF!</v>
      </c>
      <c r="BG41" t="e">
        <f>AND(#REF!,"CjSYRAKu8To=")</f>
        <v>#REF!</v>
      </c>
      <c r="BH41" t="e">
        <f>AND(#REF!,"CjSYRAKu8Ts=")</f>
        <v>#REF!</v>
      </c>
      <c r="BI41" t="e">
        <f>AND(#REF!,"CjSYRAKu8Tw=")</f>
        <v>#REF!</v>
      </c>
      <c r="BJ41" t="e">
        <f>AND(#REF!,"CjSYRAKu8T0=")</f>
        <v>#REF!</v>
      </c>
      <c r="BK41" t="e">
        <f>AND(#REF!,"CjSYRAKu8T4=")</f>
        <v>#REF!</v>
      </c>
      <c r="BL41" t="e">
        <f>AND(#REF!,"CjSYRAKu8T8=")</f>
        <v>#REF!</v>
      </c>
      <c r="BM41" t="e">
        <f>AND(#REF!,"CjSYRAKu8UA=")</f>
        <v>#REF!</v>
      </c>
      <c r="BN41" t="e">
        <f>AND(#REF!,"CjSYRAKu8UE=")</f>
        <v>#REF!</v>
      </c>
      <c r="BO41" t="e">
        <f>AND(#REF!,"CjSYRAKu8UI=")</f>
        <v>#REF!</v>
      </c>
      <c r="BP41" t="e">
        <f>AND(#REF!,"CjSYRAKu8UM=")</f>
        <v>#REF!</v>
      </c>
      <c r="BQ41" t="e">
        <f>AND(#REF!,"CjSYRAKu8UQ=")</f>
        <v>#REF!</v>
      </c>
      <c r="BR41" t="e">
        <f>AND(#REF!,"CjSYRAKu8UU=")</f>
        <v>#REF!</v>
      </c>
      <c r="BS41" t="e">
        <f>AND(#REF!,"CjSYRAKu8UY=")</f>
        <v>#REF!</v>
      </c>
      <c r="BT41" t="e">
        <f>AND(#REF!,"CjSYRAKu8Uc=")</f>
        <v>#REF!</v>
      </c>
      <c r="BU41" t="e">
        <f>AND(#REF!,"CjSYRAKu8Ug=")</f>
        <v>#REF!</v>
      </c>
      <c r="BV41" t="e">
        <f>AND(#REF!,"CjSYRAKu8Uk=")</f>
        <v>#REF!</v>
      </c>
      <c r="BW41" t="e">
        <f>AND(#REF!,"CjSYRAKu8Uo=")</f>
        <v>#REF!</v>
      </c>
      <c r="BX41" t="e">
        <f>AND(#REF!,"CjSYRAKu8Us=")</f>
        <v>#REF!</v>
      </c>
      <c r="BY41" t="e">
        <f>AND(#REF!,"CjSYRAKu8Uw=")</f>
        <v>#REF!</v>
      </c>
      <c r="BZ41" t="e">
        <f>AND(#REF!,"CjSYRAKu8U0=")</f>
        <v>#REF!</v>
      </c>
      <c r="CA41" t="e">
        <f>AND(#REF!,"CjSYRAKu8U4=")</f>
        <v>#REF!</v>
      </c>
      <c r="CB41" t="e">
        <f>AND(#REF!,"CjSYRAKu8U8=")</f>
        <v>#REF!</v>
      </c>
      <c r="CC41" t="e">
        <f>AND(#REF!,"CjSYRAKu8VA=")</f>
        <v>#REF!</v>
      </c>
      <c r="CD41" t="e">
        <f>AND(#REF!,"CjSYRAKu8VE=")</f>
        <v>#REF!</v>
      </c>
      <c r="CE41" t="e">
        <f>AND(#REF!,"CjSYRAKu8VI=")</f>
        <v>#REF!</v>
      </c>
      <c r="CF41" t="e">
        <f>AND(#REF!,"CjSYRAKu8VM=")</f>
        <v>#REF!</v>
      </c>
      <c r="CG41" t="e">
        <f>AND(#REF!,"CjSYRAKu8VQ=")</f>
        <v>#REF!</v>
      </c>
      <c r="CH41" t="e">
        <f>AND(#REF!,"CjSYRAKu8VU=")</f>
        <v>#REF!</v>
      </c>
      <c r="CI41" t="e">
        <f>AND(#REF!,"CjSYRAKu8VY=")</f>
        <v>#REF!</v>
      </c>
      <c r="CJ41" t="e">
        <f>AND(#REF!,"CjSYRAKu8Vc=")</f>
        <v>#REF!</v>
      </c>
      <c r="CK41" t="e">
        <f>AND(#REF!,"CjSYRAKu8Vg=")</f>
        <v>#REF!</v>
      </c>
      <c r="CL41" t="e">
        <f>AND(#REF!,"CjSYRAKu8Vk=")</f>
        <v>#REF!</v>
      </c>
      <c r="CM41" t="e">
        <f>AND(#REF!,"CjSYRAKu8Vo=")</f>
        <v>#REF!</v>
      </c>
      <c r="CN41" t="e">
        <f>AND(#REF!,"CjSYRAKu8Vs=")</f>
        <v>#REF!</v>
      </c>
      <c r="CO41" t="e">
        <f>AND(#REF!,"CjSYRAKu8Vw=")</f>
        <v>#REF!</v>
      </c>
      <c r="CP41" t="e">
        <f>AND(#REF!,"CjSYRAKu8V0=")</f>
        <v>#REF!</v>
      </c>
      <c r="CQ41" t="e">
        <f>AND(#REF!,"CjSYRAKu8V4=")</f>
        <v>#REF!</v>
      </c>
      <c r="CR41" t="e">
        <f>AND(#REF!,"CjSYRAKu8V8=")</f>
        <v>#REF!</v>
      </c>
      <c r="CS41" t="e">
        <f>AND(#REF!,"CjSYRAKu8WA=")</f>
        <v>#REF!</v>
      </c>
      <c r="CT41" t="e">
        <f>AND(#REF!,"CjSYRAKu8WE=")</f>
        <v>#REF!</v>
      </c>
      <c r="CU41" t="e">
        <f>AND(#REF!,"CjSYRAKu8WI=")</f>
        <v>#REF!</v>
      </c>
      <c r="CV41" t="e">
        <f>AND(#REF!,"CjSYRAKu8WM=")</f>
        <v>#REF!</v>
      </c>
      <c r="CW41" t="e">
        <f>AND(#REF!,"CjSYRAKu8WQ=")</f>
        <v>#REF!</v>
      </c>
      <c r="CX41" t="e">
        <f>AND(#REF!,"CjSYRAKu8WU=")</f>
        <v>#REF!</v>
      </c>
      <c r="CY41" t="e">
        <f>AND(#REF!,"CjSYRAKu8WY=")</f>
        <v>#REF!</v>
      </c>
      <c r="CZ41" t="e">
        <f>AND(#REF!,"CjSYRAKu8Wc=")</f>
        <v>#REF!</v>
      </c>
      <c r="DA41" t="e">
        <f>AND(#REF!,"CjSYRAKu8Wg=")</f>
        <v>#REF!</v>
      </c>
      <c r="DB41" t="e">
        <f>AND(#REF!,"CjSYRAKu8Wk=")</f>
        <v>#REF!</v>
      </c>
      <c r="DC41" t="e">
        <f>AND(#REF!,"CjSYRAKu8Wo=")</f>
        <v>#REF!</v>
      </c>
      <c r="DD41" t="e">
        <f>AND(#REF!,"CjSYRAKu8Ws=")</f>
        <v>#REF!</v>
      </c>
      <c r="DE41" t="e">
        <f>AND(#REF!,"CjSYRAKu8Ww=")</f>
        <v>#REF!</v>
      </c>
      <c r="DF41" t="e">
        <f>AND(#REF!,"CjSYRAKu8W0=")</f>
        <v>#REF!</v>
      </c>
      <c r="DG41" t="e">
        <f>AND(#REF!,"CjSYRAKu8W4=")</f>
        <v>#REF!</v>
      </c>
      <c r="DH41" t="e">
        <f>AND(#REF!,"CjSYRAKu8W8=")</f>
        <v>#REF!</v>
      </c>
      <c r="DI41" t="e">
        <f>AND(#REF!,"CjSYRAKu8XA=")</f>
        <v>#REF!</v>
      </c>
      <c r="DJ41" t="e">
        <f>AND(#REF!,"CjSYRAKu8XE=")</f>
        <v>#REF!</v>
      </c>
      <c r="DK41" t="e">
        <f>AND(#REF!,"CjSYRAKu8XI=")</f>
        <v>#REF!</v>
      </c>
      <c r="DL41" t="e">
        <f>AND(#REF!,"CjSYRAKu8XM=")</f>
        <v>#REF!</v>
      </c>
      <c r="DM41" t="e">
        <f>AND(#REF!,"CjSYRAKu8XQ=")</f>
        <v>#REF!</v>
      </c>
      <c r="DN41" t="e">
        <f>AND(#REF!,"CjSYRAKu8XU=")</f>
        <v>#REF!</v>
      </c>
      <c r="DO41" t="e">
        <f>AND(#REF!,"CjSYRAKu8XY=")</f>
        <v>#REF!</v>
      </c>
      <c r="DP41" t="e">
        <f>AND(#REF!,"CjSYRAKu8Xc=")</f>
        <v>#REF!</v>
      </c>
      <c r="DQ41" t="e">
        <f>AND(#REF!,"CjSYRAKu8Xg=")</f>
        <v>#REF!</v>
      </c>
      <c r="DR41" t="e">
        <f>AND(#REF!,"CjSYRAKu8Xk=")</f>
        <v>#REF!</v>
      </c>
      <c r="DS41" t="e">
        <f>AND(#REF!,"CjSYRAKu8Xo=")</f>
        <v>#REF!</v>
      </c>
      <c r="DT41" t="e">
        <f>AND(#REF!,"CjSYRAKu8Xs=")</f>
        <v>#REF!</v>
      </c>
      <c r="DU41" t="e">
        <f>AND(#REF!,"CjSYRAKu8Xw=")</f>
        <v>#REF!</v>
      </c>
      <c r="DV41" t="e">
        <f>AND(#REF!,"CjSYRAKu8X0=")</f>
        <v>#REF!</v>
      </c>
      <c r="DW41" t="e">
        <f>AND(#REF!,"CjSYRAKu8X4=")</f>
        <v>#REF!</v>
      </c>
      <c r="DX41" t="e">
        <f>AND(#REF!,"CjSYRAKu8X8=")</f>
        <v>#REF!</v>
      </c>
      <c r="DY41" t="e">
        <f>AND(#REF!,"CjSYRAKu8YA=")</f>
        <v>#REF!</v>
      </c>
      <c r="DZ41" t="e">
        <f>AND(#REF!,"CjSYRAKu8YE=")</f>
        <v>#REF!</v>
      </c>
      <c r="EA41" t="e">
        <f>AND(#REF!,"CjSYRAKu8YI=")</f>
        <v>#REF!</v>
      </c>
      <c r="EB41" t="e">
        <f>AND(#REF!,"CjSYRAKu8YM=")</f>
        <v>#REF!</v>
      </c>
      <c r="EC41" t="e">
        <f>AND(#REF!,"CjSYRAKu8YQ=")</f>
        <v>#REF!</v>
      </c>
      <c r="ED41" t="e">
        <f>AND(#REF!,"CjSYRAKu8YU=")</f>
        <v>#REF!</v>
      </c>
      <c r="EE41" t="e">
        <f>AND(#REF!,"CjSYRAKu8YY=")</f>
        <v>#REF!</v>
      </c>
      <c r="EF41" t="e">
        <f>AND(#REF!,"CjSYRAKu8Yc=")</f>
        <v>#REF!</v>
      </c>
      <c r="EG41" t="e">
        <f>AND(#REF!,"CjSYRAKu8Yg=")</f>
        <v>#REF!</v>
      </c>
      <c r="EH41" t="e">
        <f>AND(#REF!,"CjSYRAKu8Yk=")</f>
        <v>#REF!</v>
      </c>
      <c r="EI41" t="e">
        <f>AND(#REF!,"CjSYRAKu8Yo=")</f>
        <v>#REF!</v>
      </c>
      <c r="EJ41" t="e">
        <f>AND(#REF!,"CjSYRAKu8Ys=")</f>
        <v>#REF!</v>
      </c>
      <c r="EK41" t="e">
        <f>AND(#REF!,"CjSYRAKu8Yw=")</f>
        <v>#REF!</v>
      </c>
      <c r="EL41" t="e">
        <f>AND(#REF!,"CjSYRAKu8Y0=")</f>
        <v>#REF!</v>
      </c>
      <c r="EM41" t="e">
        <f>AND(#REF!,"CjSYRAKu8Y4=")</f>
        <v>#REF!</v>
      </c>
      <c r="EN41" t="e">
        <f>AND(#REF!,"CjSYRAKu8Y8=")</f>
        <v>#REF!</v>
      </c>
      <c r="EO41" t="e">
        <f>AND(#REF!,"CjSYRAKu8ZA=")</f>
        <v>#REF!</v>
      </c>
      <c r="EP41" t="e">
        <f>AND(#REF!,"CjSYRAKu8ZE=")</f>
        <v>#REF!</v>
      </c>
      <c r="EQ41" t="e">
        <f>AND(#REF!,"CjSYRAKu8ZI=")</f>
        <v>#REF!</v>
      </c>
      <c r="ER41" t="e">
        <f>AND(#REF!,"CjSYRAKu8ZM=")</f>
        <v>#REF!</v>
      </c>
      <c r="ES41" t="e">
        <f>AND(#REF!,"CjSYRAKu8ZQ=")</f>
        <v>#REF!</v>
      </c>
      <c r="ET41" t="e">
        <f>AND(#REF!,"CjSYRAKu8ZU=")</f>
        <v>#REF!</v>
      </c>
      <c r="EU41" t="e">
        <f>AND(#REF!,"CjSYRAKu8ZY=")</f>
        <v>#REF!</v>
      </c>
      <c r="EV41" t="e">
        <f>AND(#REF!,"CjSYRAKu8Zc=")</f>
        <v>#REF!</v>
      </c>
      <c r="EW41" t="e">
        <f>AND(#REF!,"CjSYRAKu8Zg=")</f>
        <v>#REF!</v>
      </c>
      <c r="EX41" t="e">
        <f>AND(#REF!,"CjSYRAKu8Zk=")</f>
        <v>#REF!</v>
      </c>
      <c r="EY41" t="e">
        <f>AND(#REF!,"CjSYRAKu8Zo=")</f>
        <v>#REF!</v>
      </c>
      <c r="EZ41" t="e">
        <f>AND(#REF!,"CjSYRAKu8Zs=")</f>
        <v>#REF!</v>
      </c>
      <c r="FA41" t="e">
        <f>AND(#REF!,"CjSYRAKu8Zw=")</f>
        <v>#REF!</v>
      </c>
      <c r="FB41" t="e">
        <f>AND(#REF!,"CjSYRAKu8Z0=")</f>
        <v>#REF!</v>
      </c>
      <c r="FC41" t="e">
        <f>AND(#REF!,"CjSYRAKu8Z4=")</f>
        <v>#REF!</v>
      </c>
      <c r="FD41" t="e">
        <f>AND(#REF!,"CjSYRAKu8Z8=")</f>
        <v>#REF!</v>
      </c>
      <c r="FE41" t="e">
        <f>AND(#REF!,"CjSYRAKu8aA=")</f>
        <v>#REF!</v>
      </c>
      <c r="FF41" t="e">
        <f>AND(#REF!,"CjSYRAKu8aE=")</f>
        <v>#REF!</v>
      </c>
      <c r="FG41" t="e">
        <f>AND(#REF!,"CjSYRAKu8aI=")</f>
        <v>#REF!</v>
      </c>
      <c r="FH41" t="e">
        <f>AND(#REF!,"CjSYRAKu8aM=")</f>
        <v>#REF!</v>
      </c>
      <c r="FI41" t="e">
        <f>AND(#REF!,"CjSYRAKu8aQ=")</f>
        <v>#REF!</v>
      </c>
      <c r="FJ41" t="e">
        <f>AND(#REF!,"CjSYRAKu8aU=")</f>
        <v>#REF!</v>
      </c>
      <c r="FK41" t="e">
        <f>AND(#REF!,"CjSYRAKu8aY=")</f>
        <v>#REF!</v>
      </c>
      <c r="FL41" t="e">
        <f>AND(#REF!,"CjSYRAKu8ac=")</f>
        <v>#REF!</v>
      </c>
      <c r="FM41" t="e">
        <f>AND(#REF!,"CjSYRAKu8ag=")</f>
        <v>#REF!</v>
      </c>
      <c r="FN41" t="e">
        <f>AND(#REF!,"CjSYRAKu8ak=")</f>
        <v>#REF!</v>
      </c>
      <c r="FO41" t="e">
        <f>AND(#REF!,"CjSYRAKu8ao=")</f>
        <v>#REF!</v>
      </c>
      <c r="FP41" t="e">
        <f>AND(#REF!,"CjSYRAKu8as=")</f>
        <v>#REF!</v>
      </c>
      <c r="FQ41" t="e">
        <f>AND(#REF!,"CjSYRAKu8aw=")</f>
        <v>#REF!</v>
      </c>
      <c r="FR41" t="e">
        <f>AND(#REF!,"CjSYRAKu8a0=")</f>
        <v>#REF!</v>
      </c>
      <c r="FS41" t="e">
        <f>AND(#REF!,"CjSYRAKu8a4=")</f>
        <v>#REF!</v>
      </c>
      <c r="FT41" t="e">
        <f>AND(#REF!,"CjSYRAKu8a8=")</f>
        <v>#REF!</v>
      </c>
      <c r="FU41" t="e">
        <f>AND(#REF!,"CjSYRAKu8bA=")</f>
        <v>#REF!</v>
      </c>
      <c r="FV41" t="e">
        <f>AND(#REF!,"CjSYRAKu8bE=")</f>
        <v>#REF!</v>
      </c>
      <c r="FW41" t="e">
        <f>AND(#REF!,"CjSYRAKu8bI=")</f>
        <v>#REF!</v>
      </c>
      <c r="FX41" t="e">
        <f>AND(#REF!,"CjSYRAKu8bM=")</f>
        <v>#REF!</v>
      </c>
      <c r="FY41" t="e">
        <f>AND(#REF!,"CjSYRAKu8bQ=")</f>
        <v>#REF!</v>
      </c>
      <c r="FZ41" t="e">
        <f>AND(#REF!,"CjSYRAKu8bU=")</f>
        <v>#REF!</v>
      </c>
      <c r="GA41" t="e">
        <f>AND(#REF!,"CjSYRAKu8bY=")</f>
        <v>#REF!</v>
      </c>
      <c r="GB41" t="e">
        <f>AND(#REF!,"CjSYRAKu8bc=")</f>
        <v>#REF!</v>
      </c>
      <c r="GC41" t="e">
        <f>AND(#REF!,"CjSYRAKu8bg=")</f>
        <v>#REF!</v>
      </c>
      <c r="GD41" t="e">
        <f>AND(#REF!,"CjSYRAKu8bk=")</f>
        <v>#REF!</v>
      </c>
      <c r="GE41" t="e">
        <f>AND(#REF!,"CjSYRAKu8bo=")</f>
        <v>#REF!</v>
      </c>
      <c r="GF41" t="e">
        <f>AND(#REF!,"CjSYRAKu8bs=")</f>
        <v>#REF!</v>
      </c>
      <c r="GG41" t="e">
        <f>AND(#REF!,"CjSYRAKu8bw=")</f>
        <v>#REF!</v>
      </c>
      <c r="GH41" t="e">
        <f>AND(#REF!,"CjSYRAKu8b0=")</f>
        <v>#REF!</v>
      </c>
      <c r="GI41" t="e">
        <f>AND(#REF!,"CjSYRAKu8b4=")</f>
        <v>#REF!</v>
      </c>
      <c r="GJ41" t="e">
        <f>AND(#REF!,"CjSYRAKu8b8=")</f>
        <v>#REF!</v>
      </c>
      <c r="GK41" t="e">
        <f>AND(#REF!,"CjSYRAKu8cA=")</f>
        <v>#REF!</v>
      </c>
      <c r="GL41" t="e">
        <f>AND(#REF!,"CjSYRAKu8cE=")</f>
        <v>#REF!</v>
      </c>
      <c r="GM41" t="e">
        <f>AND(#REF!,"CjSYRAKu8cI=")</f>
        <v>#REF!</v>
      </c>
      <c r="GN41" t="e">
        <f>AND(#REF!,"CjSYRAKu8cM=")</f>
        <v>#REF!</v>
      </c>
      <c r="GO41" t="e">
        <f>AND(#REF!,"CjSYRAKu8cQ=")</f>
        <v>#REF!</v>
      </c>
      <c r="GP41" t="e">
        <f>AND(#REF!,"CjSYRAKu8cU=")</f>
        <v>#REF!</v>
      </c>
      <c r="GQ41" t="e">
        <f>AND(#REF!,"CjSYRAKu8cY=")</f>
        <v>#REF!</v>
      </c>
      <c r="GR41" t="e">
        <f>AND(#REF!,"CjSYRAKu8cc=")</f>
        <v>#REF!</v>
      </c>
      <c r="GS41" t="e">
        <f>AND(#REF!,"CjSYRAKu8cg=")</f>
        <v>#REF!</v>
      </c>
      <c r="GT41" t="e">
        <f>AND(#REF!,"CjSYRAKu8ck=")</f>
        <v>#REF!</v>
      </c>
      <c r="GU41" t="e">
        <f>AND(#REF!,"CjSYRAKu8co=")</f>
        <v>#REF!</v>
      </c>
      <c r="GV41" t="e">
        <f>AND(#REF!,"CjSYRAKu8cs=")</f>
        <v>#REF!</v>
      </c>
      <c r="GW41" t="e">
        <f>AND(#REF!,"CjSYRAKu8cw=")</f>
        <v>#REF!</v>
      </c>
      <c r="GX41" t="e">
        <f>AND(#REF!,"CjSYRAKu8c0=")</f>
        <v>#REF!</v>
      </c>
      <c r="GY41" t="e">
        <f>AND(#REF!,"CjSYRAKu8c4=")</f>
        <v>#REF!</v>
      </c>
      <c r="GZ41" t="e">
        <f>AND(#REF!,"CjSYRAKu8c8=")</f>
        <v>#REF!</v>
      </c>
      <c r="HA41" t="e">
        <f>AND(#REF!,"CjSYRAKu8dA=")</f>
        <v>#REF!</v>
      </c>
      <c r="HB41" t="e">
        <f>AND(#REF!,"CjSYRAKu8dE=")</f>
        <v>#REF!</v>
      </c>
      <c r="HC41" t="e">
        <f>AND(#REF!,"CjSYRAKu8dI=")</f>
        <v>#REF!</v>
      </c>
      <c r="HD41" t="e">
        <f>AND(#REF!,"CjSYRAKu8dM=")</f>
        <v>#REF!</v>
      </c>
      <c r="HE41" t="e">
        <f>AND(#REF!,"CjSYRAKu8dQ=")</f>
        <v>#REF!</v>
      </c>
      <c r="HF41" t="e">
        <f>AND(#REF!,"CjSYRAKu8dU=")</f>
        <v>#REF!</v>
      </c>
      <c r="HG41" t="e">
        <f>AND(#REF!,"CjSYRAKu8dY=")</f>
        <v>#REF!</v>
      </c>
      <c r="HH41" t="e">
        <f>AND(#REF!,"CjSYRAKu8dc=")</f>
        <v>#REF!</v>
      </c>
      <c r="HI41" t="e">
        <f>AND(#REF!,"CjSYRAKu8dg=")</f>
        <v>#REF!</v>
      </c>
      <c r="HJ41" t="e">
        <f>AND(#REF!,"CjSYRAKu8dk=")</f>
        <v>#REF!</v>
      </c>
      <c r="HK41" t="e">
        <f>AND(#REF!,"CjSYRAKu8do=")</f>
        <v>#REF!</v>
      </c>
      <c r="HL41" t="e">
        <f>AND(#REF!,"CjSYRAKu8ds=")</f>
        <v>#REF!</v>
      </c>
      <c r="HM41" t="e">
        <f>AND(#REF!,"CjSYRAKu8dw=")</f>
        <v>#REF!</v>
      </c>
      <c r="HN41" t="e">
        <f>AND(#REF!,"CjSYRAKu8d0=")</f>
        <v>#REF!</v>
      </c>
      <c r="HO41" t="e">
        <f>AND(#REF!,"CjSYRAKu8d4=")</f>
        <v>#REF!</v>
      </c>
      <c r="HP41" t="e">
        <f>AND(#REF!,"CjSYRAKu8d8=")</f>
        <v>#REF!</v>
      </c>
      <c r="HQ41" t="e">
        <f>AND(#REF!,"CjSYRAKu8eA=")</f>
        <v>#REF!</v>
      </c>
      <c r="HR41" t="e">
        <f>AND(#REF!,"CjSYRAKu8eE=")</f>
        <v>#REF!</v>
      </c>
      <c r="HS41" t="e">
        <f>AND(#REF!,"CjSYRAKu8eI=")</f>
        <v>#REF!</v>
      </c>
      <c r="HT41" t="e">
        <f>AND(#REF!,"CjSYRAKu8eM=")</f>
        <v>#REF!</v>
      </c>
      <c r="HU41" t="e">
        <f>AND(#REF!,"CjSYRAKu8eQ=")</f>
        <v>#REF!</v>
      </c>
      <c r="HV41" t="e">
        <f>AND(#REF!,"CjSYRAKu8eU=")</f>
        <v>#REF!</v>
      </c>
      <c r="HW41" t="e">
        <f>AND(#REF!,"CjSYRAKu8eY=")</f>
        <v>#REF!</v>
      </c>
      <c r="HX41" t="e">
        <f>AND(#REF!,"CjSYRAKu8ec=")</f>
        <v>#REF!</v>
      </c>
      <c r="HY41" t="e">
        <f>AND(#REF!,"CjSYRAKu8eg=")</f>
        <v>#REF!</v>
      </c>
      <c r="HZ41" t="e">
        <f>AND(#REF!,"CjSYRAKu8ek=")</f>
        <v>#REF!</v>
      </c>
      <c r="IA41" t="e">
        <f>AND(#REF!,"CjSYRAKu8eo=")</f>
        <v>#REF!</v>
      </c>
      <c r="IB41" t="e">
        <f>AND(#REF!,"CjSYRAKu8es=")</f>
        <v>#REF!</v>
      </c>
      <c r="IC41" t="e">
        <f>AND(#REF!,"CjSYRAKu8ew=")</f>
        <v>#REF!</v>
      </c>
      <c r="ID41" t="e">
        <f>AND(#REF!,"CjSYRAKu8e0=")</f>
        <v>#REF!</v>
      </c>
      <c r="IE41" t="e">
        <f>AND(#REF!,"CjSYRAKu8e4=")</f>
        <v>#REF!</v>
      </c>
      <c r="IF41" t="e">
        <f>AND(#REF!,"CjSYRAKu8e8=")</f>
        <v>#REF!</v>
      </c>
      <c r="IG41" t="e">
        <f>AND(#REF!,"CjSYRAKu8fA=")</f>
        <v>#REF!</v>
      </c>
      <c r="IH41" t="e">
        <f>AND(#REF!,"CjSYRAKu8fE=")</f>
        <v>#REF!</v>
      </c>
      <c r="II41" t="e">
        <f>AND(#REF!,"CjSYRAKu8fI=")</f>
        <v>#REF!</v>
      </c>
      <c r="IJ41" t="e">
        <f>AND(#REF!,"CjSYRAKu8fM=")</f>
        <v>#REF!</v>
      </c>
      <c r="IK41" t="e">
        <f>AND(#REF!,"CjSYRAKu8fQ=")</f>
        <v>#REF!</v>
      </c>
      <c r="IL41" t="e">
        <f>AND(#REF!,"CjSYRAKu8fU=")</f>
        <v>#REF!</v>
      </c>
      <c r="IM41" t="e">
        <f>AND(#REF!,"CjSYRAKu8fY=")</f>
        <v>#REF!</v>
      </c>
      <c r="IN41" t="e">
        <f>AND(#REF!,"CjSYRAKu8fc=")</f>
        <v>#REF!</v>
      </c>
      <c r="IO41" t="e">
        <f>AND(#REF!,"CjSYRAKu8fg=")</f>
        <v>#REF!</v>
      </c>
      <c r="IP41" t="e">
        <f>AND(#REF!,"CjSYRAKu8fk=")</f>
        <v>#REF!</v>
      </c>
      <c r="IQ41" t="e">
        <f>AND(#REF!,"CjSYRAKu8fo=")</f>
        <v>#REF!</v>
      </c>
      <c r="IR41" t="e">
        <f>AND(#REF!,"CjSYRAKu8fs=")</f>
        <v>#REF!</v>
      </c>
      <c r="IS41" t="e">
        <f>AND(#REF!,"CjSYRAKu8fw=")</f>
        <v>#REF!</v>
      </c>
      <c r="IT41" t="e">
        <f>IF(#REF!,"CjSYRAKu8f0=",0)</f>
        <v>#REF!</v>
      </c>
      <c r="IU41" t="e">
        <f>AND(#REF!,"CjSYRAKu8f4=")</f>
        <v>#REF!</v>
      </c>
      <c r="IV41" t="e">
        <f>AND(#REF!,"CjSYRAKu8f8=")</f>
        <v>#REF!</v>
      </c>
    </row>
    <row r="42" spans="1:256" x14ac:dyDescent="0.2">
      <c r="A42" t="e">
        <f>AND(#REF!,"PA0zhWuIAQA=")</f>
        <v>#REF!</v>
      </c>
      <c r="B42" t="e">
        <f>AND(#REF!,"PA0zhWuIAQE=")</f>
        <v>#REF!</v>
      </c>
      <c r="C42" t="e">
        <f>AND(#REF!,"PA0zhWuIAQI=")</f>
        <v>#REF!</v>
      </c>
      <c r="D42" t="e">
        <f>AND(#REF!,"PA0zhWuIAQM=")</f>
        <v>#REF!</v>
      </c>
      <c r="E42" t="e">
        <f>AND(#REF!,"PA0zhWuIAQQ=")</f>
        <v>#REF!</v>
      </c>
      <c r="F42" t="e">
        <f>AND(#REF!,"PA0zhWuIAQU=")</f>
        <v>#REF!</v>
      </c>
      <c r="G42" t="e">
        <f>AND(#REF!,"PA0zhWuIAQY=")</f>
        <v>#REF!</v>
      </c>
      <c r="H42" t="e">
        <f>AND(#REF!,"PA0zhWuIAQc=")</f>
        <v>#REF!</v>
      </c>
      <c r="I42" t="e">
        <f>AND(#REF!,"PA0zhWuIAQg=")</f>
        <v>#REF!</v>
      </c>
      <c r="J42" t="e">
        <f>AND(#REF!,"PA0zhWuIAQk=")</f>
        <v>#REF!</v>
      </c>
      <c r="K42" t="e">
        <f>AND(#REF!,"PA0zhWuIAQo=")</f>
        <v>#REF!</v>
      </c>
      <c r="L42" t="e">
        <f>AND(#REF!,"PA0zhWuIAQs=")</f>
        <v>#REF!</v>
      </c>
      <c r="M42" t="e">
        <f>AND(#REF!,"PA0zhWuIAQw=")</f>
        <v>#REF!</v>
      </c>
      <c r="N42" t="e">
        <f>AND(#REF!,"PA0zhWuIAQ0=")</f>
        <v>#REF!</v>
      </c>
      <c r="O42" t="e">
        <f>AND(#REF!,"PA0zhWuIAQ4=")</f>
        <v>#REF!</v>
      </c>
      <c r="P42" t="e">
        <f>AND(#REF!,"PA0zhWuIAQ8=")</f>
        <v>#REF!</v>
      </c>
      <c r="Q42" t="e">
        <f>AND(#REF!,"PA0zhWuIARA=")</f>
        <v>#REF!</v>
      </c>
      <c r="R42" t="e">
        <f>AND(#REF!,"PA0zhWuIARE=")</f>
        <v>#REF!</v>
      </c>
      <c r="S42" t="e">
        <f>AND(#REF!,"PA0zhWuIARI=")</f>
        <v>#REF!</v>
      </c>
      <c r="T42" t="e">
        <f>AND(#REF!,"PA0zhWuIARM=")</f>
        <v>#REF!</v>
      </c>
      <c r="U42" t="e">
        <f>AND(#REF!,"PA0zhWuIARQ=")</f>
        <v>#REF!</v>
      </c>
      <c r="V42" t="e">
        <f>AND(#REF!,"PA0zhWuIARU=")</f>
        <v>#REF!</v>
      </c>
      <c r="W42" t="e">
        <f>AND(#REF!,"PA0zhWuIARY=")</f>
        <v>#REF!</v>
      </c>
      <c r="X42" t="e">
        <f>AND(#REF!,"PA0zhWuIARc=")</f>
        <v>#REF!</v>
      </c>
      <c r="Y42" t="e">
        <f>AND(#REF!,"PA0zhWuIARg=")</f>
        <v>#REF!</v>
      </c>
      <c r="Z42" t="e">
        <f>AND(#REF!,"PA0zhWuIARk=")</f>
        <v>#REF!</v>
      </c>
      <c r="AA42" t="e">
        <f>AND(#REF!,"PA0zhWuIARo=")</f>
        <v>#REF!</v>
      </c>
      <c r="AB42" t="e">
        <f>AND(#REF!,"PA0zhWuIARs=")</f>
        <v>#REF!</v>
      </c>
      <c r="AC42" t="e">
        <f>AND(#REF!,"PA0zhWuIARw=")</f>
        <v>#REF!</v>
      </c>
      <c r="AD42" t="e">
        <f>AND(#REF!,"PA0zhWuIAR0=")</f>
        <v>#REF!</v>
      </c>
      <c r="AE42" t="e">
        <f>AND(#REF!,"PA0zhWuIAR4=")</f>
        <v>#REF!</v>
      </c>
      <c r="AF42" t="e">
        <f>AND(#REF!,"PA0zhWuIAR8=")</f>
        <v>#REF!</v>
      </c>
      <c r="AG42" t="e">
        <f>AND(#REF!,"PA0zhWuIASA=")</f>
        <v>#REF!</v>
      </c>
      <c r="AH42" t="e">
        <f>AND(#REF!,"PA0zhWuIASE=")</f>
        <v>#REF!</v>
      </c>
      <c r="AI42" t="e">
        <f>AND(#REF!,"PA0zhWuIASI=")</f>
        <v>#REF!</v>
      </c>
      <c r="AJ42" t="e">
        <f>AND(#REF!,"PA0zhWuIASM=")</f>
        <v>#REF!</v>
      </c>
      <c r="AK42" t="e">
        <f>AND(#REF!,"PA0zhWuIASQ=")</f>
        <v>#REF!</v>
      </c>
      <c r="AL42" t="e">
        <f>AND(#REF!,"PA0zhWuIASU=")</f>
        <v>#REF!</v>
      </c>
      <c r="AM42" t="e">
        <f>AND(#REF!,"PA0zhWuIASY=")</f>
        <v>#REF!</v>
      </c>
      <c r="AN42" t="e">
        <f>AND(#REF!,"PA0zhWuIASc=")</f>
        <v>#REF!</v>
      </c>
      <c r="AO42" t="e">
        <f>AND(#REF!,"PA0zhWuIASg=")</f>
        <v>#REF!</v>
      </c>
      <c r="AP42" t="e">
        <f>AND(#REF!,"PA0zhWuIASk=")</f>
        <v>#REF!</v>
      </c>
      <c r="AQ42" t="e">
        <f>AND(#REF!,"PA0zhWuIASo=")</f>
        <v>#REF!</v>
      </c>
      <c r="AR42" t="e">
        <f>AND(#REF!,"PA0zhWuIASs=")</f>
        <v>#REF!</v>
      </c>
      <c r="AS42" t="e">
        <f>AND(#REF!,"PA0zhWuIASw=")</f>
        <v>#REF!</v>
      </c>
      <c r="AT42" t="e">
        <f>AND(#REF!,"PA0zhWuIAS0=")</f>
        <v>#REF!</v>
      </c>
      <c r="AU42" t="e">
        <f>AND(#REF!,"PA0zhWuIAS4=")</f>
        <v>#REF!</v>
      </c>
      <c r="AV42" t="e">
        <f>AND(#REF!,"PA0zhWuIAS8=")</f>
        <v>#REF!</v>
      </c>
      <c r="AW42" t="e">
        <f>AND(#REF!,"PA0zhWuIATA=")</f>
        <v>#REF!</v>
      </c>
      <c r="AX42" t="e">
        <f>AND(#REF!,"PA0zhWuIATE=")</f>
        <v>#REF!</v>
      </c>
      <c r="AY42" t="e">
        <f>AND(#REF!,"PA0zhWuIATI=")</f>
        <v>#REF!</v>
      </c>
      <c r="AZ42" t="e">
        <f>AND(#REF!,"PA0zhWuIATM=")</f>
        <v>#REF!</v>
      </c>
      <c r="BA42" t="e">
        <f>AND(#REF!,"PA0zhWuIATQ=")</f>
        <v>#REF!</v>
      </c>
      <c r="BB42" t="e">
        <f>AND(#REF!,"PA0zhWuIATU=")</f>
        <v>#REF!</v>
      </c>
      <c r="BC42" t="e">
        <f>AND(#REF!,"PA0zhWuIATY=")</f>
        <v>#REF!</v>
      </c>
      <c r="BD42" t="e">
        <f>AND(#REF!,"PA0zhWuIATc=")</f>
        <v>#REF!</v>
      </c>
      <c r="BE42" t="e">
        <f>AND(#REF!,"PA0zhWuIATg=")</f>
        <v>#REF!</v>
      </c>
      <c r="BF42" t="e">
        <f>AND(#REF!,"PA0zhWuIATk=")</f>
        <v>#REF!</v>
      </c>
      <c r="BG42" t="e">
        <f>AND(#REF!,"PA0zhWuIATo=")</f>
        <v>#REF!</v>
      </c>
      <c r="BH42" t="e">
        <f>AND(#REF!,"PA0zhWuIATs=")</f>
        <v>#REF!</v>
      </c>
      <c r="BI42" t="e">
        <f>AND(#REF!,"PA0zhWuIATw=")</f>
        <v>#REF!</v>
      </c>
      <c r="BJ42" t="e">
        <f>AND(#REF!,"PA0zhWuIAT0=")</f>
        <v>#REF!</v>
      </c>
      <c r="BK42" t="e">
        <f>AND(#REF!,"PA0zhWuIAT4=")</f>
        <v>#REF!</v>
      </c>
      <c r="BL42" t="e">
        <f>AND(#REF!,"PA0zhWuIAT8=")</f>
        <v>#REF!</v>
      </c>
      <c r="BM42" t="e">
        <f>AND(#REF!,"PA0zhWuIAUA=")</f>
        <v>#REF!</v>
      </c>
      <c r="BN42" t="e">
        <f>AND(#REF!,"PA0zhWuIAUE=")</f>
        <v>#REF!</v>
      </c>
      <c r="BO42" t="e">
        <f>AND(#REF!,"PA0zhWuIAUI=")</f>
        <v>#REF!</v>
      </c>
      <c r="BP42" t="e">
        <f>AND(#REF!,"PA0zhWuIAUM=")</f>
        <v>#REF!</v>
      </c>
      <c r="BQ42" t="e">
        <f>AND(#REF!,"PA0zhWuIAUQ=")</f>
        <v>#REF!</v>
      </c>
      <c r="BR42" t="e">
        <f>AND(#REF!,"PA0zhWuIAUU=")</f>
        <v>#REF!</v>
      </c>
      <c r="BS42" t="e">
        <f>AND(#REF!,"PA0zhWuIAUY=")</f>
        <v>#REF!</v>
      </c>
      <c r="BT42" t="e">
        <f>AND(#REF!,"PA0zhWuIAUc=")</f>
        <v>#REF!</v>
      </c>
      <c r="BU42" t="e">
        <f>AND(#REF!,"PA0zhWuIAUg=")</f>
        <v>#REF!</v>
      </c>
      <c r="BV42" t="e">
        <f>AND(#REF!,"PA0zhWuIAUk=")</f>
        <v>#REF!</v>
      </c>
      <c r="BW42" t="e">
        <f>AND(#REF!,"PA0zhWuIAUo=")</f>
        <v>#REF!</v>
      </c>
      <c r="BX42" t="e">
        <f>AND(#REF!,"PA0zhWuIAUs=")</f>
        <v>#REF!</v>
      </c>
      <c r="BY42" t="e">
        <f>AND(#REF!,"PA0zhWuIAUw=")</f>
        <v>#REF!</v>
      </c>
      <c r="BZ42" t="e">
        <f>AND(#REF!,"PA0zhWuIAU0=")</f>
        <v>#REF!</v>
      </c>
      <c r="CA42" t="e">
        <f>AND(#REF!,"PA0zhWuIAU4=")</f>
        <v>#REF!</v>
      </c>
      <c r="CB42" t="e">
        <f>AND(#REF!,"PA0zhWuIAU8=")</f>
        <v>#REF!</v>
      </c>
      <c r="CC42" t="e">
        <f>AND(#REF!,"PA0zhWuIAVA=")</f>
        <v>#REF!</v>
      </c>
      <c r="CD42" t="e">
        <f>AND(#REF!,"PA0zhWuIAVE=")</f>
        <v>#REF!</v>
      </c>
      <c r="CE42" t="e">
        <f>AND(#REF!,"PA0zhWuIAVI=")</f>
        <v>#REF!</v>
      </c>
      <c r="CF42" t="e">
        <f>AND(#REF!,"PA0zhWuIAVM=")</f>
        <v>#REF!</v>
      </c>
      <c r="CG42" t="e">
        <f>AND(#REF!,"PA0zhWuIAVQ=")</f>
        <v>#REF!</v>
      </c>
      <c r="CH42" t="e">
        <f>AND(#REF!,"PA0zhWuIAVU=")</f>
        <v>#REF!</v>
      </c>
      <c r="CI42" t="e">
        <f>AND(#REF!,"PA0zhWuIAVY=")</f>
        <v>#REF!</v>
      </c>
      <c r="CJ42" t="e">
        <f>AND(#REF!,"PA0zhWuIAVc=")</f>
        <v>#REF!</v>
      </c>
      <c r="CK42" t="e">
        <f>AND(#REF!,"PA0zhWuIAVg=")</f>
        <v>#REF!</v>
      </c>
      <c r="CL42" t="e">
        <f>AND(#REF!,"PA0zhWuIAVk=")</f>
        <v>#REF!</v>
      </c>
      <c r="CM42" t="e">
        <f>AND(#REF!,"PA0zhWuIAVo=")</f>
        <v>#REF!</v>
      </c>
      <c r="CN42" t="e">
        <f>AND(#REF!,"PA0zhWuIAVs=")</f>
        <v>#REF!</v>
      </c>
      <c r="CO42" t="e">
        <f>AND(#REF!,"PA0zhWuIAVw=")</f>
        <v>#REF!</v>
      </c>
      <c r="CP42" t="e">
        <f>AND(#REF!,"PA0zhWuIAV0=")</f>
        <v>#REF!</v>
      </c>
      <c r="CQ42" t="e">
        <f>AND(#REF!,"PA0zhWuIAV4=")</f>
        <v>#REF!</v>
      </c>
      <c r="CR42" t="e">
        <f>AND(#REF!,"PA0zhWuIAV8=")</f>
        <v>#REF!</v>
      </c>
      <c r="CS42" t="e">
        <f>AND(#REF!,"PA0zhWuIAWA=")</f>
        <v>#REF!</v>
      </c>
      <c r="CT42" t="e">
        <f>AND(#REF!,"PA0zhWuIAWE=")</f>
        <v>#REF!</v>
      </c>
      <c r="CU42" t="e">
        <f>AND(#REF!,"PA0zhWuIAWI=")</f>
        <v>#REF!</v>
      </c>
      <c r="CV42" t="e">
        <f>AND(#REF!,"PA0zhWuIAWM=")</f>
        <v>#REF!</v>
      </c>
      <c r="CW42" t="e">
        <f>AND(#REF!,"PA0zhWuIAWQ=")</f>
        <v>#REF!</v>
      </c>
      <c r="CX42" t="e">
        <f>AND(#REF!,"PA0zhWuIAWU=")</f>
        <v>#REF!</v>
      </c>
      <c r="CY42" t="e">
        <f>AND(#REF!,"PA0zhWuIAWY=")</f>
        <v>#REF!</v>
      </c>
      <c r="CZ42" t="e">
        <f>AND(#REF!,"PA0zhWuIAWc=")</f>
        <v>#REF!</v>
      </c>
      <c r="DA42" t="e">
        <f>AND(#REF!,"PA0zhWuIAWg=")</f>
        <v>#REF!</v>
      </c>
      <c r="DB42" t="e">
        <f>AND(#REF!,"PA0zhWuIAWk=")</f>
        <v>#REF!</v>
      </c>
      <c r="DC42" t="e">
        <f>AND(#REF!,"PA0zhWuIAWo=")</f>
        <v>#REF!</v>
      </c>
      <c r="DD42" t="e">
        <f>AND(#REF!,"PA0zhWuIAWs=")</f>
        <v>#REF!</v>
      </c>
      <c r="DE42" t="e">
        <f>AND(#REF!,"PA0zhWuIAWw=")</f>
        <v>#REF!</v>
      </c>
      <c r="DF42" t="e">
        <f>AND(#REF!,"PA0zhWuIAW0=")</f>
        <v>#REF!</v>
      </c>
      <c r="DG42" t="e">
        <f>AND(#REF!,"PA0zhWuIAW4=")</f>
        <v>#REF!</v>
      </c>
      <c r="DH42" t="e">
        <f>AND(#REF!,"PA0zhWuIAW8=")</f>
        <v>#REF!</v>
      </c>
      <c r="DI42" t="e">
        <f>AND(#REF!,"PA0zhWuIAXA=")</f>
        <v>#REF!</v>
      </c>
      <c r="DJ42" t="e">
        <f>AND(#REF!,"PA0zhWuIAXE=")</f>
        <v>#REF!</v>
      </c>
      <c r="DK42" t="e">
        <f>AND(#REF!,"PA0zhWuIAXI=")</f>
        <v>#REF!</v>
      </c>
      <c r="DL42" t="e">
        <f>AND(#REF!,"PA0zhWuIAXM=")</f>
        <v>#REF!</v>
      </c>
      <c r="DM42" t="e">
        <f>AND(#REF!,"PA0zhWuIAXQ=")</f>
        <v>#REF!</v>
      </c>
      <c r="DN42" t="e">
        <f>AND(#REF!,"PA0zhWuIAXU=")</f>
        <v>#REF!</v>
      </c>
      <c r="DO42" t="e">
        <f>AND(#REF!,"PA0zhWuIAXY=")</f>
        <v>#REF!</v>
      </c>
      <c r="DP42" t="e">
        <f>AND(#REF!,"PA0zhWuIAXc=")</f>
        <v>#REF!</v>
      </c>
      <c r="DQ42" t="e">
        <f>AND(#REF!,"PA0zhWuIAXg=")</f>
        <v>#REF!</v>
      </c>
      <c r="DR42" t="e">
        <f>AND(#REF!,"PA0zhWuIAXk=")</f>
        <v>#REF!</v>
      </c>
      <c r="DS42" t="e">
        <f>AND(#REF!,"PA0zhWuIAXo=")</f>
        <v>#REF!</v>
      </c>
      <c r="DT42" t="e">
        <f>AND(#REF!,"PA0zhWuIAXs=")</f>
        <v>#REF!</v>
      </c>
      <c r="DU42" t="e">
        <f>AND(#REF!,"PA0zhWuIAXw=")</f>
        <v>#REF!</v>
      </c>
      <c r="DV42" t="e">
        <f>AND(#REF!,"PA0zhWuIAX0=")</f>
        <v>#REF!</v>
      </c>
      <c r="DW42" t="e">
        <f>AND(#REF!,"PA0zhWuIAX4=")</f>
        <v>#REF!</v>
      </c>
      <c r="DX42" t="e">
        <f>AND(#REF!,"PA0zhWuIAX8=")</f>
        <v>#REF!</v>
      </c>
      <c r="DY42" t="e">
        <f>AND(#REF!,"PA0zhWuIAYA=")</f>
        <v>#REF!</v>
      </c>
      <c r="DZ42" t="e">
        <f>AND(#REF!,"PA0zhWuIAYE=")</f>
        <v>#REF!</v>
      </c>
      <c r="EA42" t="e">
        <f>AND(#REF!,"PA0zhWuIAYI=")</f>
        <v>#REF!</v>
      </c>
      <c r="EB42" t="e">
        <f>AND(#REF!,"PA0zhWuIAYM=")</f>
        <v>#REF!</v>
      </c>
      <c r="EC42" t="e">
        <f>AND(#REF!,"PA0zhWuIAYQ=")</f>
        <v>#REF!</v>
      </c>
      <c r="ED42" t="e">
        <f>AND(#REF!,"PA0zhWuIAYU=")</f>
        <v>#REF!</v>
      </c>
      <c r="EE42" t="e">
        <f>AND(#REF!,"PA0zhWuIAYY=")</f>
        <v>#REF!</v>
      </c>
      <c r="EF42" t="e">
        <f>AND(#REF!,"PA0zhWuIAYc=")</f>
        <v>#REF!</v>
      </c>
      <c r="EG42" t="e">
        <f>AND(#REF!,"PA0zhWuIAYg=")</f>
        <v>#REF!</v>
      </c>
      <c r="EH42" t="e">
        <f>AND(#REF!,"PA0zhWuIAYk=")</f>
        <v>#REF!</v>
      </c>
      <c r="EI42" t="e">
        <f>AND(#REF!,"PA0zhWuIAYo=")</f>
        <v>#REF!</v>
      </c>
      <c r="EJ42" t="e">
        <f>AND(#REF!,"PA0zhWuIAYs=")</f>
        <v>#REF!</v>
      </c>
      <c r="EK42" t="e">
        <f>AND(#REF!,"PA0zhWuIAYw=")</f>
        <v>#REF!</v>
      </c>
      <c r="EL42" t="e">
        <f>AND(#REF!,"PA0zhWuIAY0=")</f>
        <v>#REF!</v>
      </c>
      <c r="EM42" t="e">
        <f>AND(#REF!,"PA0zhWuIAY4=")</f>
        <v>#REF!</v>
      </c>
      <c r="EN42" t="e">
        <f>AND(#REF!,"PA0zhWuIAY8=")</f>
        <v>#REF!</v>
      </c>
      <c r="EO42" t="e">
        <f>AND(#REF!,"PA0zhWuIAZA=")</f>
        <v>#REF!</v>
      </c>
      <c r="EP42" t="e">
        <f>AND(#REF!,"PA0zhWuIAZE=")</f>
        <v>#REF!</v>
      </c>
      <c r="EQ42" t="e">
        <f>AND(#REF!,"PA0zhWuIAZI=")</f>
        <v>#REF!</v>
      </c>
      <c r="ER42" t="e">
        <f>AND(#REF!,"PA0zhWuIAZM=")</f>
        <v>#REF!</v>
      </c>
      <c r="ES42" t="e">
        <f>AND(#REF!,"PA0zhWuIAZQ=")</f>
        <v>#REF!</v>
      </c>
      <c r="ET42" t="e">
        <f>AND(#REF!,"PA0zhWuIAZU=")</f>
        <v>#REF!</v>
      </c>
      <c r="EU42" t="e">
        <f>AND(#REF!,"PA0zhWuIAZY=")</f>
        <v>#REF!</v>
      </c>
      <c r="EV42" t="e">
        <f>AND(#REF!,"PA0zhWuIAZc=")</f>
        <v>#REF!</v>
      </c>
      <c r="EW42" t="e">
        <f>AND(#REF!,"PA0zhWuIAZg=")</f>
        <v>#REF!</v>
      </c>
      <c r="EX42" t="e">
        <f>AND(#REF!,"PA0zhWuIAZk=")</f>
        <v>#REF!</v>
      </c>
      <c r="EY42" t="e">
        <f>AND(#REF!,"PA0zhWuIAZo=")</f>
        <v>#REF!</v>
      </c>
      <c r="EZ42" t="e">
        <f>AND(#REF!,"PA0zhWuIAZs=")</f>
        <v>#REF!</v>
      </c>
      <c r="FA42" t="e">
        <f>AND(#REF!,"PA0zhWuIAZw=")</f>
        <v>#REF!</v>
      </c>
      <c r="FB42" t="e">
        <f>AND(#REF!,"PA0zhWuIAZ0=")</f>
        <v>#REF!</v>
      </c>
      <c r="FC42" t="e">
        <f>AND(#REF!,"PA0zhWuIAZ4=")</f>
        <v>#REF!</v>
      </c>
      <c r="FD42" t="e">
        <f>AND(#REF!,"PA0zhWuIAZ8=")</f>
        <v>#REF!</v>
      </c>
      <c r="FE42" t="e">
        <f>AND(#REF!,"PA0zhWuIAaA=")</f>
        <v>#REF!</v>
      </c>
      <c r="FF42" t="e">
        <f>AND(#REF!,"PA0zhWuIAaE=")</f>
        <v>#REF!</v>
      </c>
      <c r="FG42" t="e">
        <f>AND(#REF!,"PA0zhWuIAaI=")</f>
        <v>#REF!</v>
      </c>
      <c r="FH42" t="e">
        <f>AND(#REF!,"PA0zhWuIAaM=")</f>
        <v>#REF!</v>
      </c>
      <c r="FI42" t="e">
        <f>AND(#REF!,"PA0zhWuIAaQ=")</f>
        <v>#REF!</v>
      </c>
      <c r="FJ42" t="e">
        <f>AND(#REF!,"PA0zhWuIAaU=")</f>
        <v>#REF!</v>
      </c>
      <c r="FK42" t="e">
        <f>AND(#REF!,"PA0zhWuIAaY=")</f>
        <v>#REF!</v>
      </c>
      <c r="FL42" t="e">
        <f>AND(#REF!,"PA0zhWuIAac=")</f>
        <v>#REF!</v>
      </c>
      <c r="FM42" t="e">
        <f>AND(#REF!,"PA0zhWuIAag=")</f>
        <v>#REF!</v>
      </c>
      <c r="FN42" t="e">
        <f>AND(#REF!,"PA0zhWuIAak=")</f>
        <v>#REF!</v>
      </c>
      <c r="FO42" t="e">
        <f>AND(#REF!,"PA0zhWuIAao=")</f>
        <v>#REF!</v>
      </c>
      <c r="FP42" t="e">
        <f>AND(#REF!,"PA0zhWuIAas=")</f>
        <v>#REF!</v>
      </c>
      <c r="FQ42" t="e">
        <f>AND(#REF!,"PA0zhWuIAaw=")</f>
        <v>#REF!</v>
      </c>
      <c r="FR42" t="e">
        <f>AND(#REF!,"PA0zhWuIAa0=")</f>
        <v>#REF!</v>
      </c>
      <c r="FS42" t="e">
        <f>AND(#REF!,"PA0zhWuIAa4=")</f>
        <v>#REF!</v>
      </c>
      <c r="FT42" t="e">
        <f>AND(#REF!,"PA0zhWuIAa8=")</f>
        <v>#REF!</v>
      </c>
      <c r="FU42" t="e">
        <f>AND(#REF!,"PA0zhWuIAbA=")</f>
        <v>#REF!</v>
      </c>
      <c r="FV42" t="e">
        <f>AND(#REF!,"PA0zhWuIAbE=")</f>
        <v>#REF!</v>
      </c>
      <c r="FW42" t="e">
        <f>AND(#REF!,"PA0zhWuIAbI=")</f>
        <v>#REF!</v>
      </c>
      <c r="FX42" t="e">
        <f>AND(#REF!,"PA0zhWuIAbM=")</f>
        <v>#REF!</v>
      </c>
      <c r="FY42" t="e">
        <f>AND(#REF!,"PA0zhWuIAbQ=")</f>
        <v>#REF!</v>
      </c>
      <c r="FZ42" t="e">
        <f>AND(#REF!,"PA0zhWuIAbU=")</f>
        <v>#REF!</v>
      </c>
      <c r="GA42" t="e">
        <f>AND(#REF!,"PA0zhWuIAbY=")</f>
        <v>#REF!</v>
      </c>
      <c r="GB42" t="e">
        <f>AND(#REF!,"PA0zhWuIAbc=")</f>
        <v>#REF!</v>
      </c>
      <c r="GC42" t="e">
        <f>AND(#REF!,"PA0zhWuIAbg=")</f>
        <v>#REF!</v>
      </c>
      <c r="GD42" t="e">
        <f>AND(#REF!,"PA0zhWuIAbk=")</f>
        <v>#REF!</v>
      </c>
      <c r="GE42" t="e">
        <f>AND(#REF!,"PA0zhWuIAbo=")</f>
        <v>#REF!</v>
      </c>
      <c r="GF42" t="e">
        <f>AND(#REF!,"PA0zhWuIAbs=")</f>
        <v>#REF!</v>
      </c>
      <c r="GG42" t="e">
        <f>AND(#REF!,"PA0zhWuIAbw=")</f>
        <v>#REF!</v>
      </c>
      <c r="GH42" t="e">
        <f>AND(#REF!,"PA0zhWuIAb0=")</f>
        <v>#REF!</v>
      </c>
      <c r="GI42" t="e">
        <f>AND(#REF!,"PA0zhWuIAb4=")</f>
        <v>#REF!</v>
      </c>
      <c r="GJ42" t="e">
        <f>AND(#REF!,"PA0zhWuIAb8=")</f>
        <v>#REF!</v>
      </c>
      <c r="GK42" t="e">
        <f>AND(#REF!,"PA0zhWuIAcA=")</f>
        <v>#REF!</v>
      </c>
      <c r="GL42" t="e">
        <f>AND(#REF!,"PA0zhWuIAcE=")</f>
        <v>#REF!</v>
      </c>
      <c r="GM42" t="e">
        <f>AND(#REF!,"PA0zhWuIAcI=")</f>
        <v>#REF!</v>
      </c>
      <c r="GN42" t="e">
        <f>AND(#REF!,"PA0zhWuIAcM=")</f>
        <v>#REF!</v>
      </c>
      <c r="GO42" t="e">
        <f>IF(#REF!,"PA0zhWuIAcQ=",0)</f>
        <v>#REF!</v>
      </c>
      <c r="GP42" t="e">
        <f>AND(#REF!,"PA0zhWuIAcU=")</f>
        <v>#REF!</v>
      </c>
      <c r="GQ42" t="e">
        <f>AND(#REF!,"PA0zhWuIAcY=")</f>
        <v>#REF!</v>
      </c>
      <c r="GR42" t="e">
        <f>AND(#REF!,"PA0zhWuIAcc=")</f>
        <v>#REF!</v>
      </c>
      <c r="GS42" t="e">
        <f>AND(#REF!,"PA0zhWuIAcg=")</f>
        <v>#REF!</v>
      </c>
      <c r="GT42" t="e">
        <f>AND(#REF!,"PA0zhWuIAck=")</f>
        <v>#REF!</v>
      </c>
      <c r="GU42" t="e">
        <f>AND(#REF!,"PA0zhWuIAco=")</f>
        <v>#REF!</v>
      </c>
      <c r="GV42" t="e">
        <f>AND(#REF!,"PA0zhWuIAcs=")</f>
        <v>#REF!</v>
      </c>
      <c r="GW42" t="e">
        <f>AND(#REF!,"PA0zhWuIAcw=")</f>
        <v>#REF!</v>
      </c>
      <c r="GX42" t="e">
        <f>AND(#REF!,"PA0zhWuIAc0=")</f>
        <v>#REF!</v>
      </c>
      <c r="GY42" t="e">
        <f>AND(#REF!,"PA0zhWuIAc4=")</f>
        <v>#REF!</v>
      </c>
      <c r="GZ42" t="e">
        <f>AND(#REF!,"PA0zhWuIAc8=")</f>
        <v>#REF!</v>
      </c>
      <c r="HA42" t="e">
        <f>AND(#REF!,"PA0zhWuIAdA=")</f>
        <v>#REF!</v>
      </c>
      <c r="HB42" t="e">
        <f>AND(#REF!,"PA0zhWuIAdE=")</f>
        <v>#REF!</v>
      </c>
      <c r="HC42" t="e">
        <f>AND(#REF!,"PA0zhWuIAdI=")</f>
        <v>#REF!</v>
      </c>
      <c r="HD42" t="e">
        <f>AND(#REF!,"PA0zhWuIAdM=")</f>
        <v>#REF!</v>
      </c>
      <c r="HE42" t="e">
        <f>AND(#REF!,"PA0zhWuIAdQ=")</f>
        <v>#REF!</v>
      </c>
      <c r="HF42" t="e">
        <f>AND(#REF!,"PA0zhWuIAdU=")</f>
        <v>#REF!</v>
      </c>
      <c r="HG42" t="e">
        <f>AND(#REF!,"PA0zhWuIAdY=")</f>
        <v>#REF!</v>
      </c>
      <c r="HH42" t="e">
        <f>AND(#REF!,"PA0zhWuIAdc=")</f>
        <v>#REF!</v>
      </c>
      <c r="HI42" t="e">
        <f>AND(#REF!,"PA0zhWuIAdg=")</f>
        <v>#REF!</v>
      </c>
      <c r="HJ42" t="e">
        <f>AND(#REF!,"PA0zhWuIAdk=")</f>
        <v>#REF!</v>
      </c>
      <c r="HK42" t="e">
        <f>AND(#REF!,"PA0zhWuIAdo=")</f>
        <v>#REF!</v>
      </c>
      <c r="HL42" t="e">
        <f>AND(#REF!,"PA0zhWuIAds=")</f>
        <v>#REF!</v>
      </c>
      <c r="HM42" t="e">
        <f>AND(#REF!,"PA0zhWuIAdw=")</f>
        <v>#REF!</v>
      </c>
      <c r="HN42" t="e">
        <f>AND(#REF!,"PA0zhWuIAd0=")</f>
        <v>#REF!</v>
      </c>
      <c r="HO42" t="e">
        <f>AND(#REF!,"PA0zhWuIAd4=")</f>
        <v>#REF!</v>
      </c>
      <c r="HP42" t="e">
        <f>AND(#REF!,"PA0zhWuIAd8=")</f>
        <v>#REF!</v>
      </c>
      <c r="HQ42" t="e">
        <f>AND(#REF!,"PA0zhWuIAeA=")</f>
        <v>#REF!</v>
      </c>
      <c r="HR42" t="e">
        <f>AND(#REF!,"PA0zhWuIAeE=")</f>
        <v>#REF!</v>
      </c>
      <c r="HS42" t="e">
        <f>AND(#REF!,"PA0zhWuIAeI=")</f>
        <v>#REF!</v>
      </c>
      <c r="HT42" t="e">
        <f>AND(#REF!,"PA0zhWuIAeM=")</f>
        <v>#REF!</v>
      </c>
      <c r="HU42" t="e">
        <f>AND(#REF!,"PA0zhWuIAeQ=")</f>
        <v>#REF!</v>
      </c>
      <c r="HV42" t="e">
        <f>AND(#REF!,"PA0zhWuIAeU=")</f>
        <v>#REF!</v>
      </c>
      <c r="HW42" t="e">
        <f>AND(#REF!,"PA0zhWuIAeY=")</f>
        <v>#REF!</v>
      </c>
      <c r="HX42" t="e">
        <f>AND(#REF!,"PA0zhWuIAec=")</f>
        <v>#REF!</v>
      </c>
      <c r="HY42" t="e">
        <f>AND(#REF!,"PA0zhWuIAeg=")</f>
        <v>#REF!</v>
      </c>
      <c r="HZ42" t="e">
        <f>AND(#REF!,"PA0zhWuIAek=")</f>
        <v>#REF!</v>
      </c>
      <c r="IA42" t="e">
        <f>AND(#REF!,"PA0zhWuIAeo=")</f>
        <v>#REF!</v>
      </c>
      <c r="IB42" t="e">
        <f>AND(#REF!,"PA0zhWuIAes=")</f>
        <v>#REF!</v>
      </c>
      <c r="IC42" t="e">
        <f>AND(#REF!,"PA0zhWuIAew=")</f>
        <v>#REF!</v>
      </c>
      <c r="ID42" t="e">
        <f>AND(#REF!,"PA0zhWuIAe0=")</f>
        <v>#REF!</v>
      </c>
      <c r="IE42" t="e">
        <f>AND(#REF!,"PA0zhWuIAe4=")</f>
        <v>#REF!</v>
      </c>
      <c r="IF42" t="e">
        <f>AND(#REF!,"PA0zhWuIAe8=")</f>
        <v>#REF!</v>
      </c>
      <c r="IG42" t="e">
        <f>AND(#REF!,"PA0zhWuIAfA=")</f>
        <v>#REF!</v>
      </c>
      <c r="IH42" t="e">
        <f>AND(#REF!,"PA0zhWuIAfE=")</f>
        <v>#REF!</v>
      </c>
      <c r="II42" t="e">
        <f>AND(#REF!,"PA0zhWuIAfI=")</f>
        <v>#REF!</v>
      </c>
      <c r="IJ42" t="e">
        <f>AND(#REF!,"PA0zhWuIAfM=")</f>
        <v>#REF!</v>
      </c>
      <c r="IK42" t="e">
        <f>AND(#REF!,"PA0zhWuIAfQ=")</f>
        <v>#REF!</v>
      </c>
      <c r="IL42" t="e">
        <f>AND(#REF!,"PA0zhWuIAfU=")</f>
        <v>#REF!</v>
      </c>
      <c r="IM42" t="e">
        <f>AND(#REF!,"PA0zhWuIAfY=")</f>
        <v>#REF!</v>
      </c>
      <c r="IN42" t="e">
        <f>AND(#REF!,"PA0zhWuIAfc=")</f>
        <v>#REF!</v>
      </c>
      <c r="IO42" t="e">
        <f>AND(#REF!,"PA0zhWuIAfg=")</f>
        <v>#REF!</v>
      </c>
      <c r="IP42" t="e">
        <f>AND(#REF!,"PA0zhWuIAfk=")</f>
        <v>#REF!</v>
      </c>
      <c r="IQ42" t="e">
        <f>AND(#REF!,"PA0zhWuIAfo=")</f>
        <v>#REF!</v>
      </c>
      <c r="IR42" t="e">
        <f>AND(#REF!,"PA0zhWuIAfs=")</f>
        <v>#REF!</v>
      </c>
      <c r="IS42" t="e">
        <f>AND(#REF!,"PA0zhWuIAfw=")</f>
        <v>#REF!</v>
      </c>
      <c r="IT42" t="e">
        <f>AND(#REF!,"PA0zhWuIAf0=")</f>
        <v>#REF!</v>
      </c>
      <c r="IU42" t="e">
        <f>AND(#REF!,"PA0zhWuIAf4=")</f>
        <v>#REF!</v>
      </c>
      <c r="IV42" t="e">
        <f>AND(#REF!,"PA0zhWuIAf8=")</f>
        <v>#REF!</v>
      </c>
    </row>
    <row r="43" spans="1:256" x14ac:dyDescent="0.2">
      <c r="A43" t="e">
        <f>AND(#REF!,"VUJyzXdBbQA=")</f>
        <v>#REF!</v>
      </c>
      <c r="B43" t="e">
        <f>AND(#REF!,"VUJyzXdBbQE=")</f>
        <v>#REF!</v>
      </c>
      <c r="C43" t="e">
        <f>AND(#REF!,"VUJyzXdBbQI=")</f>
        <v>#REF!</v>
      </c>
      <c r="D43" t="e">
        <f>AND(#REF!,"VUJyzXdBbQM=")</f>
        <v>#REF!</v>
      </c>
      <c r="E43" t="e">
        <f>AND(#REF!,"VUJyzXdBbQQ=")</f>
        <v>#REF!</v>
      </c>
      <c r="F43" t="e">
        <f>AND(#REF!,"VUJyzXdBbQU=")</f>
        <v>#REF!</v>
      </c>
      <c r="G43" t="e">
        <f>AND(#REF!,"VUJyzXdBbQY=")</f>
        <v>#REF!</v>
      </c>
      <c r="H43" t="e">
        <f>AND(#REF!,"VUJyzXdBbQc=")</f>
        <v>#REF!</v>
      </c>
      <c r="I43" t="e">
        <f>AND(#REF!,"VUJyzXdBbQg=")</f>
        <v>#REF!</v>
      </c>
      <c r="J43" t="e">
        <f>AND(#REF!,"VUJyzXdBbQk=")</f>
        <v>#REF!</v>
      </c>
      <c r="K43" t="e">
        <f>AND(#REF!,"VUJyzXdBbQo=")</f>
        <v>#REF!</v>
      </c>
      <c r="L43" t="e">
        <f>AND(#REF!,"VUJyzXdBbQs=")</f>
        <v>#REF!</v>
      </c>
      <c r="M43" t="e">
        <f>AND(#REF!,"VUJyzXdBbQw=")</f>
        <v>#REF!</v>
      </c>
      <c r="N43" t="e">
        <f>AND(#REF!,"VUJyzXdBbQ0=")</f>
        <v>#REF!</v>
      </c>
      <c r="O43" t="e">
        <f>AND(#REF!,"VUJyzXdBbQ4=")</f>
        <v>#REF!</v>
      </c>
      <c r="P43" t="e">
        <f>AND(#REF!,"VUJyzXdBbQ8=")</f>
        <v>#REF!</v>
      </c>
      <c r="Q43" t="e">
        <f>AND(#REF!,"VUJyzXdBbRA=")</f>
        <v>#REF!</v>
      </c>
      <c r="R43" t="e">
        <f>AND(#REF!,"VUJyzXdBbRE=")</f>
        <v>#REF!</v>
      </c>
      <c r="S43" t="e">
        <f>AND(#REF!,"VUJyzXdBbRI=")</f>
        <v>#REF!</v>
      </c>
      <c r="T43" t="e">
        <f>AND(#REF!,"VUJyzXdBbRM=")</f>
        <v>#REF!</v>
      </c>
      <c r="U43" t="e">
        <f>AND(#REF!,"VUJyzXdBbRQ=")</f>
        <v>#REF!</v>
      </c>
      <c r="V43" t="e">
        <f>AND(#REF!,"VUJyzXdBbRU=")</f>
        <v>#REF!</v>
      </c>
      <c r="W43" t="e">
        <f>AND(#REF!,"VUJyzXdBbRY=")</f>
        <v>#REF!</v>
      </c>
      <c r="X43" t="e">
        <f>AND(#REF!,"VUJyzXdBbRc=")</f>
        <v>#REF!</v>
      </c>
      <c r="Y43" t="e">
        <f>AND(#REF!,"VUJyzXdBbRg=")</f>
        <v>#REF!</v>
      </c>
      <c r="Z43" t="e">
        <f>AND(#REF!,"VUJyzXdBbRk=")</f>
        <v>#REF!</v>
      </c>
      <c r="AA43" t="e">
        <f>AND(#REF!,"VUJyzXdBbRo=")</f>
        <v>#REF!</v>
      </c>
      <c r="AB43" t="e">
        <f>AND(#REF!,"VUJyzXdBbRs=")</f>
        <v>#REF!</v>
      </c>
      <c r="AC43" t="e">
        <f>AND(#REF!,"VUJyzXdBbRw=")</f>
        <v>#REF!</v>
      </c>
      <c r="AD43" t="e">
        <f>AND(#REF!,"VUJyzXdBbR0=")</f>
        <v>#REF!</v>
      </c>
      <c r="AE43" t="e">
        <f>AND(#REF!,"VUJyzXdBbR4=")</f>
        <v>#REF!</v>
      </c>
      <c r="AF43" t="e">
        <f>AND(#REF!,"VUJyzXdBbR8=")</f>
        <v>#REF!</v>
      </c>
      <c r="AG43" t="e">
        <f>AND(#REF!,"VUJyzXdBbSA=")</f>
        <v>#REF!</v>
      </c>
      <c r="AH43" t="e">
        <f>AND(#REF!,"VUJyzXdBbSE=")</f>
        <v>#REF!</v>
      </c>
      <c r="AI43" t="e">
        <f>AND(#REF!,"VUJyzXdBbSI=")</f>
        <v>#REF!</v>
      </c>
      <c r="AJ43" t="e">
        <f>AND(#REF!,"VUJyzXdBbSM=")</f>
        <v>#REF!</v>
      </c>
      <c r="AK43" t="e">
        <f>AND(#REF!,"VUJyzXdBbSQ=")</f>
        <v>#REF!</v>
      </c>
      <c r="AL43" t="e">
        <f>AND(#REF!,"VUJyzXdBbSU=")</f>
        <v>#REF!</v>
      </c>
      <c r="AM43" t="e">
        <f>AND(#REF!,"VUJyzXdBbSY=")</f>
        <v>#REF!</v>
      </c>
      <c r="AN43" t="e">
        <f>AND(#REF!,"VUJyzXdBbSc=")</f>
        <v>#REF!</v>
      </c>
      <c r="AO43" t="e">
        <f>AND(#REF!,"VUJyzXdBbSg=")</f>
        <v>#REF!</v>
      </c>
      <c r="AP43" t="e">
        <f>AND(#REF!,"VUJyzXdBbSk=")</f>
        <v>#REF!</v>
      </c>
      <c r="AQ43" t="e">
        <f>AND(#REF!,"VUJyzXdBbSo=")</f>
        <v>#REF!</v>
      </c>
      <c r="AR43" t="e">
        <f>AND(#REF!,"VUJyzXdBbSs=")</f>
        <v>#REF!</v>
      </c>
      <c r="AS43" t="e">
        <f>AND(#REF!,"VUJyzXdBbSw=")</f>
        <v>#REF!</v>
      </c>
      <c r="AT43" t="e">
        <f>AND(#REF!,"VUJyzXdBbS0=")</f>
        <v>#REF!</v>
      </c>
      <c r="AU43" t="e">
        <f>AND(#REF!,"VUJyzXdBbS4=")</f>
        <v>#REF!</v>
      </c>
      <c r="AV43" t="e">
        <f>AND(#REF!,"VUJyzXdBbS8=")</f>
        <v>#REF!</v>
      </c>
      <c r="AW43" t="e">
        <f>AND(#REF!,"VUJyzXdBbTA=")</f>
        <v>#REF!</v>
      </c>
      <c r="AX43" t="e">
        <f>AND(#REF!,"VUJyzXdBbTE=")</f>
        <v>#REF!</v>
      </c>
      <c r="AY43" t="e">
        <f>AND(#REF!,"VUJyzXdBbTI=")</f>
        <v>#REF!</v>
      </c>
      <c r="AZ43" t="e">
        <f>AND(#REF!,"VUJyzXdBbTM=")</f>
        <v>#REF!</v>
      </c>
      <c r="BA43" t="e">
        <f>AND(#REF!,"VUJyzXdBbTQ=")</f>
        <v>#REF!</v>
      </c>
      <c r="BB43" t="e">
        <f>AND(#REF!,"VUJyzXdBbTU=")</f>
        <v>#REF!</v>
      </c>
      <c r="BC43" t="e">
        <f>AND(#REF!,"VUJyzXdBbTY=")</f>
        <v>#REF!</v>
      </c>
      <c r="BD43" t="e">
        <f>AND(#REF!,"VUJyzXdBbTc=")</f>
        <v>#REF!</v>
      </c>
      <c r="BE43" t="e">
        <f>AND(#REF!,"VUJyzXdBbTg=")</f>
        <v>#REF!</v>
      </c>
      <c r="BF43" t="e">
        <f>AND(#REF!,"VUJyzXdBbTk=")</f>
        <v>#REF!</v>
      </c>
      <c r="BG43" t="e">
        <f>AND(#REF!,"VUJyzXdBbTo=")</f>
        <v>#REF!</v>
      </c>
      <c r="BH43" t="e">
        <f>AND(#REF!,"VUJyzXdBbTs=")</f>
        <v>#REF!</v>
      </c>
      <c r="BI43" t="e">
        <f>AND(#REF!,"VUJyzXdBbTw=")</f>
        <v>#REF!</v>
      </c>
      <c r="BJ43" t="e">
        <f>AND(#REF!,"VUJyzXdBbT0=")</f>
        <v>#REF!</v>
      </c>
      <c r="BK43" t="e">
        <f>AND(#REF!,"VUJyzXdBbT4=")</f>
        <v>#REF!</v>
      </c>
      <c r="BL43" t="e">
        <f>AND(#REF!,"VUJyzXdBbT8=")</f>
        <v>#REF!</v>
      </c>
      <c r="BM43" t="e">
        <f>AND(#REF!,"VUJyzXdBbUA=")</f>
        <v>#REF!</v>
      </c>
      <c r="BN43" t="e">
        <f>AND(#REF!,"VUJyzXdBbUE=")</f>
        <v>#REF!</v>
      </c>
      <c r="BO43" t="e">
        <f>AND(#REF!,"VUJyzXdBbUI=")</f>
        <v>#REF!</v>
      </c>
      <c r="BP43" t="e">
        <f>AND(#REF!,"VUJyzXdBbUM=")</f>
        <v>#REF!</v>
      </c>
      <c r="BQ43" t="e">
        <f>AND(#REF!,"VUJyzXdBbUQ=")</f>
        <v>#REF!</v>
      </c>
      <c r="BR43" t="e">
        <f>AND(#REF!,"VUJyzXdBbUU=")</f>
        <v>#REF!</v>
      </c>
      <c r="BS43" t="e">
        <f>AND(#REF!,"VUJyzXdBbUY=")</f>
        <v>#REF!</v>
      </c>
      <c r="BT43" t="e">
        <f>AND(#REF!,"VUJyzXdBbUc=")</f>
        <v>#REF!</v>
      </c>
      <c r="BU43" t="e">
        <f>AND(#REF!,"VUJyzXdBbUg=")</f>
        <v>#REF!</v>
      </c>
      <c r="BV43" t="e">
        <f>AND(#REF!,"VUJyzXdBbUk=")</f>
        <v>#REF!</v>
      </c>
      <c r="BW43" t="e">
        <f>AND(#REF!,"VUJyzXdBbUo=")</f>
        <v>#REF!</v>
      </c>
      <c r="BX43" t="e">
        <f>AND(#REF!,"VUJyzXdBbUs=")</f>
        <v>#REF!</v>
      </c>
      <c r="BY43" t="e">
        <f>AND(#REF!,"VUJyzXdBbUw=")</f>
        <v>#REF!</v>
      </c>
      <c r="BZ43" t="e">
        <f>AND(#REF!,"VUJyzXdBbU0=")</f>
        <v>#REF!</v>
      </c>
      <c r="CA43" t="e">
        <f>AND(#REF!,"VUJyzXdBbU4=")</f>
        <v>#REF!</v>
      </c>
      <c r="CB43" t="e">
        <f>AND(#REF!,"VUJyzXdBbU8=")</f>
        <v>#REF!</v>
      </c>
      <c r="CC43" t="e">
        <f>AND(#REF!,"VUJyzXdBbVA=")</f>
        <v>#REF!</v>
      </c>
      <c r="CD43" t="e">
        <f>AND(#REF!,"VUJyzXdBbVE=")</f>
        <v>#REF!</v>
      </c>
      <c r="CE43" t="e">
        <f>AND(#REF!,"VUJyzXdBbVI=")</f>
        <v>#REF!</v>
      </c>
      <c r="CF43" t="e">
        <f>AND(#REF!,"VUJyzXdBbVM=")</f>
        <v>#REF!</v>
      </c>
      <c r="CG43" t="e">
        <f>AND(#REF!,"VUJyzXdBbVQ=")</f>
        <v>#REF!</v>
      </c>
      <c r="CH43" t="e">
        <f>AND(#REF!,"VUJyzXdBbVU=")</f>
        <v>#REF!</v>
      </c>
      <c r="CI43" t="e">
        <f>AND(#REF!,"VUJyzXdBbVY=")</f>
        <v>#REF!</v>
      </c>
      <c r="CJ43" t="e">
        <f>AND(#REF!,"VUJyzXdBbVc=")</f>
        <v>#REF!</v>
      </c>
      <c r="CK43" t="e">
        <f>AND(#REF!,"VUJyzXdBbVg=")</f>
        <v>#REF!</v>
      </c>
      <c r="CL43" t="e">
        <f>AND(#REF!,"VUJyzXdBbVk=")</f>
        <v>#REF!</v>
      </c>
      <c r="CM43" t="e">
        <f>AND(#REF!,"VUJyzXdBbVo=")</f>
        <v>#REF!</v>
      </c>
      <c r="CN43" t="e">
        <f>AND(#REF!,"VUJyzXdBbVs=")</f>
        <v>#REF!</v>
      </c>
      <c r="CO43" t="e">
        <f>AND(#REF!,"VUJyzXdBbVw=")</f>
        <v>#REF!</v>
      </c>
      <c r="CP43" t="e">
        <f>AND(#REF!,"VUJyzXdBbV0=")</f>
        <v>#REF!</v>
      </c>
      <c r="CQ43" t="e">
        <f>AND(#REF!,"VUJyzXdBbV4=")</f>
        <v>#REF!</v>
      </c>
      <c r="CR43" t="e">
        <f>AND(#REF!,"VUJyzXdBbV8=")</f>
        <v>#REF!</v>
      </c>
      <c r="CS43" t="e">
        <f>AND(#REF!,"VUJyzXdBbWA=")</f>
        <v>#REF!</v>
      </c>
      <c r="CT43" t="e">
        <f>AND(#REF!,"VUJyzXdBbWE=")</f>
        <v>#REF!</v>
      </c>
      <c r="CU43" t="e">
        <f>AND(#REF!,"VUJyzXdBbWI=")</f>
        <v>#REF!</v>
      </c>
      <c r="CV43" t="e">
        <f>AND(#REF!,"VUJyzXdBbWM=")</f>
        <v>#REF!</v>
      </c>
      <c r="CW43" t="e">
        <f>AND(#REF!,"VUJyzXdBbWQ=")</f>
        <v>#REF!</v>
      </c>
      <c r="CX43" t="e">
        <f>AND(#REF!,"VUJyzXdBbWU=")</f>
        <v>#REF!</v>
      </c>
      <c r="CY43" t="e">
        <f>AND(#REF!,"VUJyzXdBbWY=")</f>
        <v>#REF!</v>
      </c>
      <c r="CZ43" t="e">
        <f>AND(#REF!,"VUJyzXdBbWc=")</f>
        <v>#REF!</v>
      </c>
      <c r="DA43" t="e">
        <f>AND(#REF!,"VUJyzXdBbWg=")</f>
        <v>#REF!</v>
      </c>
      <c r="DB43" t="e">
        <f>AND(#REF!,"VUJyzXdBbWk=")</f>
        <v>#REF!</v>
      </c>
      <c r="DC43" t="e">
        <f>AND(#REF!,"VUJyzXdBbWo=")</f>
        <v>#REF!</v>
      </c>
      <c r="DD43" t="e">
        <f>AND(#REF!,"VUJyzXdBbWs=")</f>
        <v>#REF!</v>
      </c>
      <c r="DE43" t="e">
        <f>AND(#REF!,"VUJyzXdBbWw=")</f>
        <v>#REF!</v>
      </c>
      <c r="DF43" t="e">
        <f>AND(#REF!,"VUJyzXdBbW0=")</f>
        <v>#REF!</v>
      </c>
      <c r="DG43" t="e">
        <f>AND(#REF!,"VUJyzXdBbW4=")</f>
        <v>#REF!</v>
      </c>
      <c r="DH43" t="e">
        <f>AND(#REF!,"VUJyzXdBbW8=")</f>
        <v>#REF!</v>
      </c>
      <c r="DI43" t="e">
        <f>AND(#REF!,"VUJyzXdBbXA=")</f>
        <v>#REF!</v>
      </c>
      <c r="DJ43" t="e">
        <f>AND(#REF!,"VUJyzXdBbXE=")</f>
        <v>#REF!</v>
      </c>
      <c r="DK43" t="e">
        <f>AND(#REF!,"VUJyzXdBbXI=")</f>
        <v>#REF!</v>
      </c>
      <c r="DL43" t="e">
        <f>AND(#REF!,"VUJyzXdBbXM=")</f>
        <v>#REF!</v>
      </c>
      <c r="DM43" t="e">
        <f>AND(#REF!,"VUJyzXdBbXQ=")</f>
        <v>#REF!</v>
      </c>
      <c r="DN43" t="e">
        <f>AND(#REF!,"VUJyzXdBbXU=")</f>
        <v>#REF!</v>
      </c>
      <c r="DO43" t="e">
        <f>AND(#REF!,"VUJyzXdBbXY=")</f>
        <v>#REF!</v>
      </c>
      <c r="DP43" t="e">
        <f>AND(#REF!,"VUJyzXdBbXc=")</f>
        <v>#REF!</v>
      </c>
      <c r="DQ43" t="e">
        <f>AND(#REF!,"VUJyzXdBbXg=")</f>
        <v>#REF!</v>
      </c>
      <c r="DR43" t="e">
        <f>AND(#REF!,"VUJyzXdBbXk=")</f>
        <v>#REF!</v>
      </c>
      <c r="DS43" t="e">
        <f>AND(#REF!,"VUJyzXdBbXo=")</f>
        <v>#REF!</v>
      </c>
      <c r="DT43" t="e">
        <f>AND(#REF!,"VUJyzXdBbXs=")</f>
        <v>#REF!</v>
      </c>
      <c r="DU43" t="e">
        <f>AND(#REF!,"VUJyzXdBbXw=")</f>
        <v>#REF!</v>
      </c>
      <c r="DV43" t="e">
        <f>AND(#REF!,"VUJyzXdBbX0=")</f>
        <v>#REF!</v>
      </c>
      <c r="DW43" t="e">
        <f>AND(#REF!,"VUJyzXdBbX4=")</f>
        <v>#REF!</v>
      </c>
      <c r="DX43" t="e">
        <f>AND(#REF!,"VUJyzXdBbX8=")</f>
        <v>#REF!</v>
      </c>
      <c r="DY43" t="e">
        <f>AND(#REF!,"VUJyzXdBbYA=")</f>
        <v>#REF!</v>
      </c>
      <c r="DZ43" t="e">
        <f>AND(#REF!,"VUJyzXdBbYE=")</f>
        <v>#REF!</v>
      </c>
      <c r="EA43" t="e">
        <f>AND(#REF!,"VUJyzXdBbYI=")</f>
        <v>#REF!</v>
      </c>
      <c r="EB43" t="e">
        <f>AND(#REF!,"VUJyzXdBbYM=")</f>
        <v>#REF!</v>
      </c>
      <c r="EC43" t="e">
        <f>AND(#REF!,"VUJyzXdBbYQ=")</f>
        <v>#REF!</v>
      </c>
      <c r="ED43" t="e">
        <f>AND(#REF!,"VUJyzXdBbYU=")</f>
        <v>#REF!</v>
      </c>
      <c r="EE43" t="e">
        <f>AND(#REF!,"VUJyzXdBbYY=")</f>
        <v>#REF!</v>
      </c>
      <c r="EF43" t="e">
        <f>AND(#REF!,"VUJyzXdBbYc=")</f>
        <v>#REF!</v>
      </c>
      <c r="EG43" t="e">
        <f>AND(#REF!,"VUJyzXdBbYg=")</f>
        <v>#REF!</v>
      </c>
      <c r="EH43" t="e">
        <f>AND(#REF!,"VUJyzXdBbYk=")</f>
        <v>#REF!</v>
      </c>
      <c r="EI43" t="e">
        <f>AND(#REF!,"VUJyzXdBbYo=")</f>
        <v>#REF!</v>
      </c>
      <c r="EJ43" t="e">
        <f>IF(#REF!,"VUJyzXdBbYs=",0)</f>
        <v>#REF!</v>
      </c>
      <c r="EK43" t="e">
        <f>AND(#REF!,"VUJyzXdBbYw=")</f>
        <v>#REF!</v>
      </c>
      <c r="EL43" t="e">
        <f>AND(#REF!,"VUJyzXdBbY0=")</f>
        <v>#REF!</v>
      </c>
      <c r="EM43" t="e">
        <f>AND(#REF!,"VUJyzXdBbY4=")</f>
        <v>#REF!</v>
      </c>
      <c r="EN43" t="e">
        <f>AND(#REF!,"VUJyzXdBbY8=")</f>
        <v>#REF!</v>
      </c>
      <c r="EO43" t="e">
        <f>AND(#REF!,"VUJyzXdBbZA=")</f>
        <v>#REF!</v>
      </c>
      <c r="EP43" t="e">
        <f>AND(#REF!,"VUJyzXdBbZE=")</f>
        <v>#REF!</v>
      </c>
      <c r="EQ43" t="e">
        <f>AND(#REF!,"VUJyzXdBbZI=")</f>
        <v>#REF!</v>
      </c>
      <c r="ER43" t="e">
        <f>AND(#REF!,"VUJyzXdBbZM=")</f>
        <v>#REF!</v>
      </c>
      <c r="ES43" t="e">
        <f>AND(#REF!,"VUJyzXdBbZQ=")</f>
        <v>#REF!</v>
      </c>
      <c r="ET43" t="e">
        <f>AND(#REF!,"VUJyzXdBbZU=")</f>
        <v>#REF!</v>
      </c>
      <c r="EU43" t="e">
        <f>AND(#REF!,"VUJyzXdBbZY=")</f>
        <v>#REF!</v>
      </c>
      <c r="EV43" t="e">
        <f>AND(#REF!,"VUJyzXdBbZc=")</f>
        <v>#REF!</v>
      </c>
      <c r="EW43" t="e">
        <f>AND(#REF!,"VUJyzXdBbZg=")</f>
        <v>#REF!</v>
      </c>
      <c r="EX43" t="e">
        <f>AND(#REF!,"VUJyzXdBbZk=")</f>
        <v>#REF!</v>
      </c>
      <c r="EY43" t="e">
        <f>AND(#REF!,"VUJyzXdBbZo=")</f>
        <v>#REF!</v>
      </c>
      <c r="EZ43" t="e">
        <f>AND(#REF!,"VUJyzXdBbZs=")</f>
        <v>#REF!</v>
      </c>
      <c r="FA43" t="e">
        <f>AND(#REF!,"VUJyzXdBbZw=")</f>
        <v>#REF!</v>
      </c>
      <c r="FB43" t="e">
        <f>AND(#REF!,"VUJyzXdBbZ0=")</f>
        <v>#REF!</v>
      </c>
      <c r="FC43" t="e">
        <f>AND(#REF!,"VUJyzXdBbZ4=")</f>
        <v>#REF!</v>
      </c>
      <c r="FD43" t="e">
        <f>AND(#REF!,"VUJyzXdBbZ8=")</f>
        <v>#REF!</v>
      </c>
      <c r="FE43" t="e">
        <f>AND(#REF!,"VUJyzXdBbaA=")</f>
        <v>#REF!</v>
      </c>
      <c r="FF43" t="e">
        <f>AND(#REF!,"VUJyzXdBbaE=")</f>
        <v>#REF!</v>
      </c>
      <c r="FG43" t="e">
        <f>AND(#REF!,"VUJyzXdBbaI=")</f>
        <v>#REF!</v>
      </c>
      <c r="FH43" t="e">
        <f>AND(#REF!,"VUJyzXdBbaM=")</f>
        <v>#REF!</v>
      </c>
      <c r="FI43" t="e">
        <f>AND(#REF!,"VUJyzXdBbaQ=")</f>
        <v>#REF!</v>
      </c>
      <c r="FJ43" t="e">
        <f>AND(#REF!,"VUJyzXdBbaU=")</f>
        <v>#REF!</v>
      </c>
      <c r="FK43" t="e">
        <f>AND(#REF!,"VUJyzXdBbaY=")</f>
        <v>#REF!</v>
      </c>
      <c r="FL43" t="e">
        <f>AND(#REF!,"VUJyzXdBbac=")</f>
        <v>#REF!</v>
      </c>
      <c r="FM43" t="e">
        <f>AND(#REF!,"VUJyzXdBbag=")</f>
        <v>#REF!</v>
      </c>
      <c r="FN43" t="e">
        <f>AND(#REF!,"VUJyzXdBbak=")</f>
        <v>#REF!</v>
      </c>
      <c r="FO43" t="e">
        <f>AND(#REF!,"VUJyzXdBbao=")</f>
        <v>#REF!</v>
      </c>
      <c r="FP43" t="e">
        <f>AND(#REF!,"VUJyzXdBbas=")</f>
        <v>#REF!</v>
      </c>
      <c r="FQ43" t="e">
        <f>AND(#REF!,"VUJyzXdBbaw=")</f>
        <v>#REF!</v>
      </c>
      <c r="FR43" t="e">
        <f>AND(#REF!,"VUJyzXdBba0=")</f>
        <v>#REF!</v>
      </c>
      <c r="FS43" t="e">
        <f>AND(#REF!,"VUJyzXdBba4=")</f>
        <v>#REF!</v>
      </c>
      <c r="FT43" t="e">
        <f>AND(#REF!,"VUJyzXdBba8=")</f>
        <v>#REF!</v>
      </c>
      <c r="FU43" t="e">
        <f>AND(#REF!,"VUJyzXdBbbA=")</f>
        <v>#REF!</v>
      </c>
      <c r="FV43" t="e">
        <f>AND(#REF!,"VUJyzXdBbbE=")</f>
        <v>#REF!</v>
      </c>
      <c r="FW43" t="e">
        <f>AND(#REF!,"VUJyzXdBbbI=")</f>
        <v>#REF!</v>
      </c>
      <c r="FX43" t="e">
        <f>AND(#REF!,"VUJyzXdBbbM=")</f>
        <v>#REF!</v>
      </c>
      <c r="FY43" t="e">
        <f>AND(#REF!,"VUJyzXdBbbQ=")</f>
        <v>#REF!</v>
      </c>
      <c r="FZ43" t="e">
        <f>AND(#REF!,"VUJyzXdBbbU=")</f>
        <v>#REF!</v>
      </c>
      <c r="GA43" t="e">
        <f>AND(#REF!,"VUJyzXdBbbY=")</f>
        <v>#REF!</v>
      </c>
      <c r="GB43" t="e">
        <f>AND(#REF!,"VUJyzXdBbbc=")</f>
        <v>#REF!</v>
      </c>
      <c r="GC43" t="e">
        <f>AND(#REF!,"VUJyzXdBbbg=")</f>
        <v>#REF!</v>
      </c>
      <c r="GD43" t="e">
        <f>AND(#REF!,"VUJyzXdBbbk=")</f>
        <v>#REF!</v>
      </c>
      <c r="GE43" t="e">
        <f>AND(#REF!,"VUJyzXdBbbo=")</f>
        <v>#REF!</v>
      </c>
      <c r="GF43" t="e">
        <f>AND(#REF!,"VUJyzXdBbbs=")</f>
        <v>#REF!</v>
      </c>
      <c r="GG43" t="e">
        <f>AND(#REF!,"VUJyzXdBbbw=")</f>
        <v>#REF!</v>
      </c>
      <c r="GH43" t="e">
        <f>AND(#REF!,"VUJyzXdBbb0=")</f>
        <v>#REF!</v>
      </c>
      <c r="GI43" t="e">
        <f>AND(#REF!,"VUJyzXdBbb4=")</f>
        <v>#REF!</v>
      </c>
      <c r="GJ43" t="e">
        <f>AND(#REF!,"VUJyzXdBbb8=")</f>
        <v>#REF!</v>
      </c>
      <c r="GK43" t="e">
        <f>AND(#REF!,"VUJyzXdBbcA=")</f>
        <v>#REF!</v>
      </c>
      <c r="GL43" t="e">
        <f>AND(#REF!,"VUJyzXdBbcE=")</f>
        <v>#REF!</v>
      </c>
      <c r="GM43" t="e">
        <f>AND(#REF!,"VUJyzXdBbcI=")</f>
        <v>#REF!</v>
      </c>
      <c r="GN43" t="e">
        <f>AND(#REF!,"VUJyzXdBbcM=")</f>
        <v>#REF!</v>
      </c>
      <c r="GO43" t="e">
        <f>AND(#REF!,"VUJyzXdBbcQ=")</f>
        <v>#REF!</v>
      </c>
      <c r="GP43" t="e">
        <f>AND(#REF!,"VUJyzXdBbcU=")</f>
        <v>#REF!</v>
      </c>
      <c r="GQ43" t="e">
        <f>AND(#REF!,"VUJyzXdBbcY=")</f>
        <v>#REF!</v>
      </c>
      <c r="GR43" t="e">
        <f>AND(#REF!,"VUJyzXdBbcc=")</f>
        <v>#REF!</v>
      </c>
      <c r="GS43" t="e">
        <f>AND(#REF!,"VUJyzXdBbcg=")</f>
        <v>#REF!</v>
      </c>
      <c r="GT43" t="e">
        <f>AND(#REF!,"VUJyzXdBbck=")</f>
        <v>#REF!</v>
      </c>
      <c r="GU43" t="e">
        <f>AND(#REF!,"VUJyzXdBbco=")</f>
        <v>#REF!</v>
      </c>
      <c r="GV43" t="e">
        <f>AND(#REF!,"VUJyzXdBbcs=")</f>
        <v>#REF!</v>
      </c>
      <c r="GW43" t="e">
        <f>AND(#REF!,"VUJyzXdBbcw=")</f>
        <v>#REF!</v>
      </c>
      <c r="GX43" t="e">
        <f>AND(#REF!,"VUJyzXdBbc0=")</f>
        <v>#REF!</v>
      </c>
      <c r="GY43" t="e">
        <f>AND(#REF!,"VUJyzXdBbc4=")</f>
        <v>#REF!</v>
      </c>
      <c r="GZ43" t="e">
        <f>AND(#REF!,"VUJyzXdBbc8=")</f>
        <v>#REF!</v>
      </c>
      <c r="HA43" t="e">
        <f>AND(#REF!,"VUJyzXdBbdA=")</f>
        <v>#REF!</v>
      </c>
      <c r="HB43" t="e">
        <f>AND(#REF!,"VUJyzXdBbdE=")</f>
        <v>#REF!</v>
      </c>
      <c r="HC43" t="e">
        <f>AND(#REF!,"VUJyzXdBbdI=")</f>
        <v>#REF!</v>
      </c>
      <c r="HD43" t="e">
        <f>AND(#REF!,"VUJyzXdBbdM=")</f>
        <v>#REF!</v>
      </c>
      <c r="HE43" t="e">
        <f>AND(#REF!,"VUJyzXdBbdQ=")</f>
        <v>#REF!</v>
      </c>
      <c r="HF43" t="e">
        <f>AND(#REF!,"VUJyzXdBbdU=")</f>
        <v>#REF!</v>
      </c>
      <c r="HG43" t="e">
        <f>AND(#REF!,"VUJyzXdBbdY=")</f>
        <v>#REF!</v>
      </c>
      <c r="HH43" t="e">
        <f>AND(#REF!,"VUJyzXdBbdc=")</f>
        <v>#REF!</v>
      </c>
      <c r="HI43" t="e">
        <f>AND(#REF!,"VUJyzXdBbdg=")</f>
        <v>#REF!</v>
      </c>
      <c r="HJ43" t="e">
        <f>AND(#REF!,"VUJyzXdBbdk=")</f>
        <v>#REF!</v>
      </c>
      <c r="HK43" t="e">
        <f>AND(#REF!,"VUJyzXdBbdo=")</f>
        <v>#REF!</v>
      </c>
      <c r="HL43" t="e">
        <f>AND(#REF!,"VUJyzXdBbds=")</f>
        <v>#REF!</v>
      </c>
      <c r="HM43" t="e">
        <f>AND(#REF!,"VUJyzXdBbdw=")</f>
        <v>#REF!</v>
      </c>
      <c r="HN43" t="e">
        <f>AND(#REF!,"VUJyzXdBbd0=")</f>
        <v>#REF!</v>
      </c>
      <c r="HO43" t="e">
        <f>AND(#REF!,"VUJyzXdBbd4=")</f>
        <v>#REF!</v>
      </c>
      <c r="HP43" t="e">
        <f>AND(#REF!,"VUJyzXdBbd8=")</f>
        <v>#REF!</v>
      </c>
      <c r="HQ43" t="e">
        <f>AND(#REF!,"VUJyzXdBbeA=")</f>
        <v>#REF!</v>
      </c>
      <c r="HR43" t="e">
        <f>AND(#REF!,"VUJyzXdBbeE=")</f>
        <v>#REF!</v>
      </c>
      <c r="HS43" t="e">
        <f>AND(#REF!,"VUJyzXdBbeI=")</f>
        <v>#REF!</v>
      </c>
      <c r="HT43" t="e">
        <f>AND(#REF!,"VUJyzXdBbeM=")</f>
        <v>#REF!</v>
      </c>
      <c r="HU43" t="e">
        <f>AND(#REF!,"VUJyzXdBbeQ=")</f>
        <v>#REF!</v>
      </c>
      <c r="HV43" t="e">
        <f>AND(#REF!,"VUJyzXdBbeU=")</f>
        <v>#REF!</v>
      </c>
      <c r="HW43" t="e">
        <f>AND(#REF!,"VUJyzXdBbeY=")</f>
        <v>#REF!</v>
      </c>
      <c r="HX43" t="e">
        <f>AND(#REF!,"VUJyzXdBbec=")</f>
        <v>#REF!</v>
      </c>
      <c r="HY43" t="e">
        <f>AND(#REF!,"VUJyzXdBbeg=")</f>
        <v>#REF!</v>
      </c>
      <c r="HZ43" t="e">
        <f>AND(#REF!,"VUJyzXdBbek=")</f>
        <v>#REF!</v>
      </c>
      <c r="IA43" t="e">
        <f>AND(#REF!,"VUJyzXdBbeo=")</f>
        <v>#REF!</v>
      </c>
      <c r="IB43" t="e">
        <f>AND(#REF!,"VUJyzXdBbes=")</f>
        <v>#REF!</v>
      </c>
      <c r="IC43" t="e">
        <f>AND(#REF!,"VUJyzXdBbew=")</f>
        <v>#REF!</v>
      </c>
      <c r="ID43" t="e">
        <f>AND(#REF!,"VUJyzXdBbe0=")</f>
        <v>#REF!</v>
      </c>
      <c r="IE43" t="e">
        <f>AND(#REF!,"VUJyzXdBbe4=")</f>
        <v>#REF!</v>
      </c>
      <c r="IF43" t="e">
        <f>AND(#REF!,"VUJyzXdBbe8=")</f>
        <v>#REF!</v>
      </c>
      <c r="IG43" t="e">
        <f>AND(#REF!,"VUJyzXdBbfA=")</f>
        <v>#REF!</v>
      </c>
      <c r="IH43" t="e">
        <f>AND(#REF!,"VUJyzXdBbfE=")</f>
        <v>#REF!</v>
      </c>
      <c r="II43" t="e">
        <f>AND(#REF!,"VUJyzXdBbfI=")</f>
        <v>#REF!</v>
      </c>
      <c r="IJ43" t="e">
        <f>AND(#REF!,"VUJyzXdBbfM=")</f>
        <v>#REF!</v>
      </c>
      <c r="IK43" t="e">
        <f>AND(#REF!,"VUJyzXdBbfQ=")</f>
        <v>#REF!</v>
      </c>
      <c r="IL43" t="e">
        <f>AND(#REF!,"VUJyzXdBbfU=")</f>
        <v>#REF!</v>
      </c>
      <c r="IM43" t="e">
        <f>AND(#REF!,"VUJyzXdBbfY=")</f>
        <v>#REF!</v>
      </c>
      <c r="IN43" t="e">
        <f>AND(#REF!,"VUJyzXdBbfc=")</f>
        <v>#REF!</v>
      </c>
      <c r="IO43" t="e">
        <f>AND(#REF!,"VUJyzXdBbfg=")</f>
        <v>#REF!</v>
      </c>
      <c r="IP43" t="e">
        <f>AND(#REF!,"VUJyzXdBbfk=")</f>
        <v>#REF!</v>
      </c>
      <c r="IQ43" t="e">
        <f>AND(#REF!,"VUJyzXdBbfo=")</f>
        <v>#REF!</v>
      </c>
      <c r="IR43" t="e">
        <f>AND(#REF!,"VUJyzXdBbfs=")</f>
        <v>#REF!</v>
      </c>
      <c r="IS43" t="e">
        <f>AND(#REF!,"VUJyzXdBbfw=")</f>
        <v>#REF!</v>
      </c>
      <c r="IT43" t="e">
        <f>AND(#REF!,"VUJyzXdBbf0=")</f>
        <v>#REF!</v>
      </c>
      <c r="IU43" t="e">
        <f>AND(#REF!,"VUJyzXdBbf4=")</f>
        <v>#REF!</v>
      </c>
      <c r="IV43" t="e">
        <f>AND(#REF!,"VUJyzXdBbf8=")</f>
        <v>#REF!</v>
      </c>
    </row>
    <row r="44" spans="1:256" x14ac:dyDescent="0.2">
      <c r="A44" t="e">
        <f>AND(#REF!,"D/pczm0RdQA=")</f>
        <v>#REF!</v>
      </c>
      <c r="B44" t="e">
        <f>AND(#REF!,"D/pczm0RdQE=")</f>
        <v>#REF!</v>
      </c>
      <c r="C44" t="e">
        <f>AND(#REF!,"D/pczm0RdQI=")</f>
        <v>#REF!</v>
      </c>
      <c r="D44" t="e">
        <f>AND(#REF!,"D/pczm0RdQM=")</f>
        <v>#REF!</v>
      </c>
      <c r="E44" t="e">
        <f>AND(#REF!,"D/pczm0RdQQ=")</f>
        <v>#REF!</v>
      </c>
      <c r="F44" t="e">
        <f>AND(#REF!,"D/pczm0RdQU=")</f>
        <v>#REF!</v>
      </c>
      <c r="G44" t="e">
        <f>AND(#REF!,"D/pczm0RdQY=")</f>
        <v>#REF!</v>
      </c>
      <c r="H44" t="e">
        <f>AND(#REF!,"D/pczm0RdQc=")</f>
        <v>#REF!</v>
      </c>
      <c r="I44" t="e">
        <f>AND(#REF!,"D/pczm0RdQg=")</f>
        <v>#REF!</v>
      </c>
      <c r="J44" t="e">
        <f>AND(#REF!,"D/pczm0RdQk=")</f>
        <v>#REF!</v>
      </c>
      <c r="K44" t="e">
        <f>AND(#REF!,"D/pczm0RdQo=")</f>
        <v>#REF!</v>
      </c>
      <c r="L44" t="e">
        <f>AND(#REF!,"D/pczm0RdQs=")</f>
        <v>#REF!</v>
      </c>
      <c r="M44" t="e">
        <f>AND(#REF!,"D/pczm0RdQw=")</f>
        <v>#REF!</v>
      </c>
      <c r="N44" t="e">
        <f>AND(#REF!,"D/pczm0RdQ0=")</f>
        <v>#REF!</v>
      </c>
      <c r="O44" t="e">
        <f>AND(#REF!,"D/pczm0RdQ4=")</f>
        <v>#REF!</v>
      </c>
      <c r="P44" t="e">
        <f>AND(#REF!,"D/pczm0RdQ8=")</f>
        <v>#REF!</v>
      </c>
      <c r="Q44" t="e">
        <f>AND(#REF!,"D/pczm0RdRA=")</f>
        <v>#REF!</v>
      </c>
      <c r="R44" t="e">
        <f>AND(#REF!,"D/pczm0RdRE=")</f>
        <v>#REF!</v>
      </c>
      <c r="S44" t="e">
        <f>AND(#REF!,"D/pczm0RdRI=")</f>
        <v>#REF!</v>
      </c>
      <c r="T44" t="e">
        <f>AND(#REF!,"D/pczm0RdRM=")</f>
        <v>#REF!</v>
      </c>
      <c r="U44" t="e">
        <f>AND(#REF!,"D/pczm0RdRQ=")</f>
        <v>#REF!</v>
      </c>
      <c r="V44" t="e">
        <f>AND(#REF!,"D/pczm0RdRU=")</f>
        <v>#REF!</v>
      </c>
      <c r="W44" t="e">
        <f>AND(#REF!,"D/pczm0RdRY=")</f>
        <v>#REF!</v>
      </c>
      <c r="X44" t="e">
        <f>AND(#REF!,"D/pczm0RdRc=")</f>
        <v>#REF!</v>
      </c>
      <c r="Y44" t="e">
        <f>AND(#REF!,"D/pczm0RdRg=")</f>
        <v>#REF!</v>
      </c>
      <c r="Z44" t="e">
        <f>AND(#REF!,"D/pczm0RdRk=")</f>
        <v>#REF!</v>
      </c>
      <c r="AA44" t="e">
        <f>AND(#REF!,"D/pczm0RdRo=")</f>
        <v>#REF!</v>
      </c>
      <c r="AB44" t="e">
        <f>AND(#REF!,"D/pczm0RdRs=")</f>
        <v>#REF!</v>
      </c>
      <c r="AC44" t="e">
        <f>AND(#REF!,"D/pczm0RdRw=")</f>
        <v>#REF!</v>
      </c>
      <c r="AD44" t="e">
        <f>AND(#REF!,"D/pczm0RdR0=")</f>
        <v>#REF!</v>
      </c>
      <c r="AE44" t="e">
        <f>AND(#REF!,"D/pczm0RdR4=")</f>
        <v>#REF!</v>
      </c>
      <c r="AF44" t="e">
        <f>AND(#REF!,"D/pczm0RdR8=")</f>
        <v>#REF!</v>
      </c>
      <c r="AG44" t="e">
        <f>AND(#REF!,"D/pczm0RdSA=")</f>
        <v>#REF!</v>
      </c>
      <c r="AH44" t="e">
        <f>AND(#REF!,"D/pczm0RdSE=")</f>
        <v>#REF!</v>
      </c>
      <c r="AI44" t="e">
        <f>AND(#REF!,"D/pczm0RdSI=")</f>
        <v>#REF!</v>
      </c>
      <c r="AJ44" t="e">
        <f>AND(#REF!,"D/pczm0RdSM=")</f>
        <v>#REF!</v>
      </c>
      <c r="AK44" t="e">
        <f>AND(#REF!,"D/pczm0RdSQ=")</f>
        <v>#REF!</v>
      </c>
      <c r="AL44" t="e">
        <f>AND(#REF!,"D/pczm0RdSU=")</f>
        <v>#REF!</v>
      </c>
      <c r="AM44" t="e">
        <f>AND(#REF!,"D/pczm0RdSY=")</f>
        <v>#REF!</v>
      </c>
      <c r="AN44" t="e">
        <f>AND(#REF!,"D/pczm0RdSc=")</f>
        <v>#REF!</v>
      </c>
      <c r="AO44" t="e">
        <f>AND(#REF!,"D/pczm0RdSg=")</f>
        <v>#REF!</v>
      </c>
      <c r="AP44" t="e">
        <f>AND(#REF!,"D/pczm0RdSk=")</f>
        <v>#REF!</v>
      </c>
      <c r="AQ44" t="e">
        <f>AND(#REF!,"D/pczm0RdSo=")</f>
        <v>#REF!</v>
      </c>
      <c r="AR44" t="e">
        <f>AND(#REF!,"D/pczm0RdSs=")</f>
        <v>#REF!</v>
      </c>
      <c r="AS44" t="e">
        <f>AND(#REF!,"D/pczm0RdSw=")</f>
        <v>#REF!</v>
      </c>
      <c r="AT44" t="e">
        <f>AND(#REF!,"D/pczm0RdS0=")</f>
        <v>#REF!</v>
      </c>
      <c r="AU44" t="e">
        <f>AND(#REF!,"D/pczm0RdS4=")</f>
        <v>#REF!</v>
      </c>
      <c r="AV44" t="e">
        <f>AND(#REF!,"D/pczm0RdS8=")</f>
        <v>#REF!</v>
      </c>
      <c r="AW44" t="e">
        <f>AND(#REF!,"D/pczm0RdTA=")</f>
        <v>#REF!</v>
      </c>
      <c r="AX44" t="e">
        <f>AND(#REF!,"D/pczm0RdTE=")</f>
        <v>#REF!</v>
      </c>
      <c r="AY44" t="e">
        <f>AND(#REF!,"D/pczm0RdTI=")</f>
        <v>#REF!</v>
      </c>
      <c r="AZ44" t="e">
        <f>AND(#REF!,"D/pczm0RdTM=")</f>
        <v>#REF!</v>
      </c>
      <c r="BA44" t="e">
        <f>AND(#REF!,"D/pczm0RdTQ=")</f>
        <v>#REF!</v>
      </c>
      <c r="BB44" t="e">
        <f>AND(#REF!,"D/pczm0RdTU=")</f>
        <v>#REF!</v>
      </c>
      <c r="BC44" t="e">
        <f>AND(#REF!,"D/pczm0RdTY=")</f>
        <v>#REF!</v>
      </c>
      <c r="BD44" t="e">
        <f>AND(#REF!,"D/pczm0RdTc=")</f>
        <v>#REF!</v>
      </c>
      <c r="BE44" t="e">
        <f>AND(#REF!,"D/pczm0RdTg=")</f>
        <v>#REF!</v>
      </c>
      <c r="BF44" t="e">
        <f>AND(#REF!,"D/pczm0RdTk=")</f>
        <v>#REF!</v>
      </c>
      <c r="BG44" t="e">
        <f>AND(#REF!,"D/pczm0RdTo=")</f>
        <v>#REF!</v>
      </c>
      <c r="BH44" t="e">
        <f>AND(#REF!,"D/pczm0RdTs=")</f>
        <v>#REF!</v>
      </c>
      <c r="BI44" t="e">
        <f>AND(#REF!,"D/pczm0RdTw=")</f>
        <v>#REF!</v>
      </c>
      <c r="BJ44" t="e">
        <f>AND(#REF!,"D/pczm0RdT0=")</f>
        <v>#REF!</v>
      </c>
      <c r="BK44" t="e">
        <f>AND(#REF!,"D/pczm0RdT4=")</f>
        <v>#REF!</v>
      </c>
      <c r="BL44" t="e">
        <f>AND(#REF!,"D/pczm0RdT8=")</f>
        <v>#REF!</v>
      </c>
      <c r="BM44" t="e">
        <f>AND(#REF!,"D/pczm0RdUA=")</f>
        <v>#REF!</v>
      </c>
      <c r="BN44" t="e">
        <f>AND(#REF!,"D/pczm0RdUE=")</f>
        <v>#REF!</v>
      </c>
      <c r="BO44" t="e">
        <f>AND(#REF!,"D/pczm0RdUI=")</f>
        <v>#REF!</v>
      </c>
      <c r="BP44" t="e">
        <f>AND(#REF!,"D/pczm0RdUM=")</f>
        <v>#REF!</v>
      </c>
      <c r="BQ44" t="e">
        <f>AND(#REF!,"D/pczm0RdUQ=")</f>
        <v>#REF!</v>
      </c>
      <c r="BR44" t="e">
        <f>AND(#REF!,"D/pczm0RdUU=")</f>
        <v>#REF!</v>
      </c>
      <c r="BS44" t="e">
        <f>AND(#REF!,"D/pczm0RdUY=")</f>
        <v>#REF!</v>
      </c>
      <c r="BT44" t="e">
        <f>AND(#REF!,"D/pczm0RdUc=")</f>
        <v>#REF!</v>
      </c>
      <c r="BU44" t="e">
        <f>AND(#REF!,"D/pczm0RdUg=")</f>
        <v>#REF!</v>
      </c>
      <c r="BV44" t="e">
        <f>AND(#REF!,"D/pczm0RdUk=")</f>
        <v>#REF!</v>
      </c>
      <c r="BW44" t="e">
        <f>AND(#REF!,"D/pczm0RdUo=")</f>
        <v>#REF!</v>
      </c>
      <c r="BX44" t="e">
        <f>AND(#REF!,"D/pczm0RdUs=")</f>
        <v>#REF!</v>
      </c>
      <c r="BY44" t="e">
        <f>AND(#REF!,"D/pczm0RdUw=")</f>
        <v>#REF!</v>
      </c>
      <c r="BZ44" t="e">
        <f>AND(#REF!,"D/pczm0RdU0=")</f>
        <v>#REF!</v>
      </c>
      <c r="CA44" t="e">
        <f>AND(#REF!,"D/pczm0RdU4=")</f>
        <v>#REF!</v>
      </c>
      <c r="CB44" t="e">
        <f>AND(#REF!,"D/pczm0RdU8=")</f>
        <v>#REF!</v>
      </c>
      <c r="CC44" t="e">
        <f>AND(#REF!,"D/pczm0RdVA=")</f>
        <v>#REF!</v>
      </c>
      <c r="CD44" t="e">
        <f>AND(#REF!,"D/pczm0RdVE=")</f>
        <v>#REF!</v>
      </c>
      <c r="CE44" t="e">
        <f>IF(#REF!,"D/pczm0RdVI=",0)</f>
        <v>#REF!</v>
      </c>
      <c r="CF44" t="e">
        <f>AND(#REF!,"D/pczm0RdVM=")</f>
        <v>#REF!</v>
      </c>
      <c r="CG44" t="e">
        <f>AND(#REF!,"D/pczm0RdVQ=")</f>
        <v>#REF!</v>
      </c>
      <c r="CH44" t="e">
        <f>AND(#REF!,"D/pczm0RdVU=")</f>
        <v>#REF!</v>
      </c>
      <c r="CI44" t="e">
        <f>AND(#REF!,"D/pczm0RdVY=")</f>
        <v>#REF!</v>
      </c>
      <c r="CJ44" t="e">
        <f>AND(#REF!,"D/pczm0RdVc=")</f>
        <v>#REF!</v>
      </c>
      <c r="CK44" t="e">
        <f>AND(#REF!,"D/pczm0RdVg=")</f>
        <v>#REF!</v>
      </c>
      <c r="CL44" t="e">
        <f>AND(#REF!,"D/pczm0RdVk=")</f>
        <v>#REF!</v>
      </c>
      <c r="CM44" t="e">
        <f>AND(#REF!,"D/pczm0RdVo=")</f>
        <v>#REF!</v>
      </c>
      <c r="CN44" t="e">
        <f>AND(#REF!,"D/pczm0RdVs=")</f>
        <v>#REF!</v>
      </c>
      <c r="CO44" t="e">
        <f>AND(#REF!,"D/pczm0RdVw=")</f>
        <v>#REF!</v>
      </c>
      <c r="CP44" t="e">
        <f>AND(#REF!,"D/pczm0RdV0=")</f>
        <v>#REF!</v>
      </c>
      <c r="CQ44" t="e">
        <f>AND(#REF!,"D/pczm0RdV4=")</f>
        <v>#REF!</v>
      </c>
      <c r="CR44" t="e">
        <f>AND(#REF!,"D/pczm0RdV8=")</f>
        <v>#REF!</v>
      </c>
      <c r="CS44" t="e">
        <f>AND(#REF!,"D/pczm0RdWA=")</f>
        <v>#REF!</v>
      </c>
      <c r="CT44" t="e">
        <f>AND(#REF!,"D/pczm0RdWE=")</f>
        <v>#REF!</v>
      </c>
      <c r="CU44" t="e">
        <f>AND(#REF!,"D/pczm0RdWI=")</f>
        <v>#REF!</v>
      </c>
      <c r="CV44" t="e">
        <f>AND(#REF!,"D/pczm0RdWM=")</f>
        <v>#REF!</v>
      </c>
      <c r="CW44" t="e">
        <f>AND(#REF!,"D/pczm0RdWQ=")</f>
        <v>#REF!</v>
      </c>
      <c r="CX44" t="e">
        <f>AND(#REF!,"D/pczm0RdWU=")</f>
        <v>#REF!</v>
      </c>
      <c r="CY44" t="e">
        <f>AND(#REF!,"D/pczm0RdWY=")</f>
        <v>#REF!</v>
      </c>
      <c r="CZ44" t="e">
        <f>AND(#REF!,"D/pczm0RdWc=")</f>
        <v>#REF!</v>
      </c>
      <c r="DA44" t="e">
        <f>AND(#REF!,"D/pczm0RdWg=")</f>
        <v>#REF!</v>
      </c>
      <c r="DB44" t="e">
        <f>AND(#REF!,"D/pczm0RdWk=")</f>
        <v>#REF!</v>
      </c>
      <c r="DC44" t="e">
        <f>AND(#REF!,"D/pczm0RdWo=")</f>
        <v>#REF!</v>
      </c>
      <c r="DD44" t="e">
        <f>AND(#REF!,"D/pczm0RdWs=")</f>
        <v>#REF!</v>
      </c>
      <c r="DE44" t="e">
        <f>AND(#REF!,"D/pczm0RdWw=")</f>
        <v>#REF!</v>
      </c>
      <c r="DF44" t="e">
        <f>AND(#REF!,"D/pczm0RdW0=")</f>
        <v>#REF!</v>
      </c>
      <c r="DG44" t="e">
        <f>AND(#REF!,"D/pczm0RdW4=")</f>
        <v>#REF!</v>
      </c>
      <c r="DH44" t="e">
        <f>AND(#REF!,"D/pczm0RdW8=")</f>
        <v>#REF!</v>
      </c>
      <c r="DI44" t="e">
        <f>AND(#REF!,"D/pczm0RdXA=")</f>
        <v>#REF!</v>
      </c>
      <c r="DJ44" t="e">
        <f>AND(#REF!,"D/pczm0RdXE=")</f>
        <v>#REF!</v>
      </c>
      <c r="DK44" t="e">
        <f>AND(#REF!,"D/pczm0RdXI=")</f>
        <v>#REF!</v>
      </c>
      <c r="DL44" t="e">
        <f>AND(#REF!,"D/pczm0RdXM=")</f>
        <v>#REF!</v>
      </c>
      <c r="DM44" t="e">
        <f>AND(#REF!,"D/pczm0RdXQ=")</f>
        <v>#REF!</v>
      </c>
      <c r="DN44" t="e">
        <f>AND(#REF!,"D/pczm0RdXU=")</f>
        <v>#REF!</v>
      </c>
      <c r="DO44" t="e">
        <f>AND(#REF!,"D/pczm0RdXY=")</f>
        <v>#REF!</v>
      </c>
      <c r="DP44" t="e">
        <f>AND(#REF!,"D/pczm0RdXc=")</f>
        <v>#REF!</v>
      </c>
      <c r="DQ44" t="e">
        <f>AND(#REF!,"D/pczm0RdXg=")</f>
        <v>#REF!</v>
      </c>
      <c r="DR44" t="e">
        <f>AND(#REF!,"D/pczm0RdXk=")</f>
        <v>#REF!</v>
      </c>
      <c r="DS44" t="e">
        <f>AND(#REF!,"D/pczm0RdXo=")</f>
        <v>#REF!</v>
      </c>
      <c r="DT44" t="e">
        <f>AND(#REF!,"D/pczm0RdXs=")</f>
        <v>#REF!</v>
      </c>
      <c r="DU44" t="e">
        <f>AND(#REF!,"D/pczm0RdXw=")</f>
        <v>#REF!</v>
      </c>
      <c r="DV44" t="e">
        <f>AND(#REF!,"D/pczm0RdX0=")</f>
        <v>#REF!</v>
      </c>
      <c r="DW44" t="e">
        <f>AND(#REF!,"D/pczm0RdX4=")</f>
        <v>#REF!</v>
      </c>
      <c r="DX44" t="e">
        <f>AND(#REF!,"D/pczm0RdX8=")</f>
        <v>#REF!</v>
      </c>
      <c r="DY44" t="e">
        <f>AND(#REF!,"D/pczm0RdYA=")</f>
        <v>#REF!</v>
      </c>
      <c r="DZ44" t="e">
        <f>AND(#REF!,"D/pczm0RdYE=")</f>
        <v>#REF!</v>
      </c>
      <c r="EA44" t="e">
        <f>AND(#REF!,"D/pczm0RdYI=")</f>
        <v>#REF!</v>
      </c>
      <c r="EB44" t="e">
        <f>AND(#REF!,"D/pczm0RdYM=")</f>
        <v>#REF!</v>
      </c>
      <c r="EC44" t="e">
        <f>AND(#REF!,"D/pczm0RdYQ=")</f>
        <v>#REF!</v>
      </c>
      <c r="ED44" t="e">
        <f>AND(#REF!,"D/pczm0RdYU=")</f>
        <v>#REF!</v>
      </c>
      <c r="EE44" t="e">
        <f>AND(#REF!,"D/pczm0RdYY=")</f>
        <v>#REF!</v>
      </c>
      <c r="EF44" t="e">
        <f>AND(#REF!,"D/pczm0RdYc=")</f>
        <v>#REF!</v>
      </c>
      <c r="EG44" t="e">
        <f>AND(#REF!,"D/pczm0RdYg=")</f>
        <v>#REF!</v>
      </c>
      <c r="EH44" t="e">
        <f>AND(#REF!,"D/pczm0RdYk=")</f>
        <v>#REF!</v>
      </c>
      <c r="EI44" t="e">
        <f>AND(#REF!,"D/pczm0RdYo=")</f>
        <v>#REF!</v>
      </c>
      <c r="EJ44" t="e">
        <f>AND(#REF!,"D/pczm0RdYs=")</f>
        <v>#REF!</v>
      </c>
      <c r="EK44" t="e">
        <f>AND(#REF!,"D/pczm0RdYw=")</f>
        <v>#REF!</v>
      </c>
      <c r="EL44" t="e">
        <f>AND(#REF!,"D/pczm0RdY0=")</f>
        <v>#REF!</v>
      </c>
      <c r="EM44" t="e">
        <f>AND(#REF!,"D/pczm0RdY4=")</f>
        <v>#REF!</v>
      </c>
      <c r="EN44" t="e">
        <f>AND(#REF!,"D/pczm0RdY8=")</f>
        <v>#REF!</v>
      </c>
      <c r="EO44" t="e">
        <f>AND(#REF!,"D/pczm0RdZA=")</f>
        <v>#REF!</v>
      </c>
      <c r="EP44" t="e">
        <f>AND(#REF!,"D/pczm0RdZE=")</f>
        <v>#REF!</v>
      </c>
      <c r="EQ44" t="e">
        <f>AND(#REF!,"D/pczm0RdZI=")</f>
        <v>#REF!</v>
      </c>
      <c r="ER44" t="e">
        <f>AND(#REF!,"D/pczm0RdZM=")</f>
        <v>#REF!</v>
      </c>
      <c r="ES44" t="e">
        <f>AND(#REF!,"D/pczm0RdZQ=")</f>
        <v>#REF!</v>
      </c>
      <c r="ET44" t="e">
        <f>AND(#REF!,"D/pczm0RdZU=")</f>
        <v>#REF!</v>
      </c>
      <c r="EU44" t="e">
        <f>AND(#REF!,"D/pczm0RdZY=")</f>
        <v>#REF!</v>
      </c>
      <c r="EV44" t="e">
        <f>AND(#REF!,"D/pczm0RdZc=")</f>
        <v>#REF!</v>
      </c>
      <c r="EW44" t="e">
        <f>AND(#REF!,"D/pczm0RdZg=")</f>
        <v>#REF!</v>
      </c>
      <c r="EX44" t="e">
        <f>AND(#REF!,"D/pczm0RdZk=")</f>
        <v>#REF!</v>
      </c>
      <c r="EY44" t="e">
        <f>AND(#REF!,"D/pczm0RdZo=")</f>
        <v>#REF!</v>
      </c>
      <c r="EZ44" t="e">
        <f>AND(#REF!,"D/pczm0RdZs=")</f>
        <v>#REF!</v>
      </c>
      <c r="FA44" t="e">
        <f>AND(#REF!,"D/pczm0RdZw=")</f>
        <v>#REF!</v>
      </c>
      <c r="FB44" t="e">
        <f>AND(#REF!,"D/pczm0RdZ0=")</f>
        <v>#REF!</v>
      </c>
      <c r="FC44" t="e">
        <f>AND(#REF!,"D/pczm0RdZ4=")</f>
        <v>#REF!</v>
      </c>
      <c r="FD44" t="e">
        <f>AND(#REF!,"D/pczm0RdZ8=")</f>
        <v>#REF!</v>
      </c>
      <c r="FE44" t="e">
        <f>AND(#REF!,"D/pczm0RdaA=")</f>
        <v>#REF!</v>
      </c>
      <c r="FF44" t="e">
        <f>AND(#REF!,"D/pczm0RdaE=")</f>
        <v>#REF!</v>
      </c>
      <c r="FG44" t="e">
        <f>AND(#REF!,"D/pczm0RdaI=")</f>
        <v>#REF!</v>
      </c>
      <c r="FH44" t="e">
        <f>AND(#REF!,"D/pczm0RdaM=")</f>
        <v>#REF!</v>
      </c>
      <c r="FI44" t="e">
        <f>AND(#REF!,"D/pczm0RdaQ=")</f>
        <v>#REF!</v>
      </c>
      <c r="FJ44" t="e">
        <f>AND(#REF!,"D/pczm0RdaU=")</f>
        <v>#REF!</v>
      </c>
      <c r="FK44" t="e">
        <f>AND(#REF!,"D/pczm0RdaY=")</f>
        <v>#REF!</v>
      </c>
      <c r="FL44" t="e">
        <f>AND(#REF!,"D/pczm0Rdac=")</f>
        <v>#REF!</v>
      </c>
      <c r="FM44" t="e">
        <f>AND(#REF!,"D/pczm0Rdag=")</f>
        <v>#REF!</v>
      </c>
      <c r="FN44" t="e">
        <f>AND(#REF!,"D/pczm0Rdak=")</f>
        <v>#REF!</v>
      </c>
      <c r="FO44" t="e">
        <f>AND(#REF!,"D/pczm0Rdao=")</f>
        <v>#REF!</v>
      </c>
      <c r="FP44" t="e">
        <f>AND(#REF!,"D/pczm0Rdas=")</f>
        <v>#REF!</v>
      </c>
      <c r="FQ44" t="e">
        <f>AND(#REF!,"D/pczm0Rdaw=")</f>
        <v>#REF!</v>
      </c>
      <c r="FR44" t="e">
        <f>AND(#REF!,"D/pczm0Rda0=")</f>
        <v>#REF!</v>
      </c>
      <c r="FS44" t="e">
        <f>AND(#REF!,"D/pczm0Rda4=")</f>
        <v>#REF!</v>
      </c>
      <c r="FT44" t="e">
        <f>AND(#REF!,"D/pczm0Rda8=")</f>
        <v>#REF!</v>
      </c>
      <c r="FU44" t="e">
        <f>AND(#REF!,"D/pczm0RdbA=")</f>
        <v>#REF!</v>
      </c>
      <c r="FV44" t="e">
        <f>AND(#REF!,"D/pczm0RdbE=")</f>
        <v>#REF!</v>
      </c>
      <c r="FW44" t="e">
        <f>AND(#REF!,"D/pczm0RdbI=")</f>
        <v>#REF!</v>
      </c>
      <c r="FX44" t="e">
        <f>AND(#REF!,"D/pczm0RdbM=")</f>
        <v>#REF!</v>
      </c>
      <c r="FY44" t="e">
        <f>AND(#REF!,"D/pczm0RdbQ=")</f>
        <v>#REF!</v>
      </c>
      <c r="FZ44" t="e">
        <f>AND(#REF!,"D/pczm0RdbU=")</f>
        <v>#REF!</v>
      </c>
      <c r="GA44" t="e">
        <f>AND(#REF!,"D/pczm0RdbY=")</f>
        <v>#REF!</v>
      </c>
      <c r="GB44" t="e">
        <f>AND(#REF!,"D/pczm0Rdbc=")</f>
        <v>#REF!</v>
      </c>
      <c r="GC44" t="e">
        <f>AND(#REF!,"D/pczm0Rdbg=")</f>
        <v>#REF!</v>
      </c>
      <c r="GD44" t="e">
        <f>AND(#REF!,"D/pczm0Rdbk=")</f>
        <v>#REF!</v>
      </c>
      <c r="GE44" t="e">
        <f>AND(#REF!,"D/pczm0Rdbo=")</f>
        <v>#REF!</v>
      </c>
      <c r="GF44" t="e">
        <f>AND(#REF!,"D/pczm0Rdbs=")</f>
        <v>#REF!</v>
      </c>
      <c r="GG44" t="e">
        <f>AND(#REF!,"D/pczm0Rdbw=")</f>
        <v>#REF!</v>
      </c>
      <c r="GH44" t="e">
        <f>AND(#REF!,"D/pczm0Rdb0=")</f>
        <v>#REF!</v>
      </c>
      <c r="GI44" t="e">
        <f>AND(#REF!,"D/pczm0Rdb4=")</f>
        <v>#REF!</v>
      </c>
      <c r="GJ44" t="e">
        <f>AND(#REF!,"D/pczm0Rdb8=")</f>
        <v>#REF!</v>
      </c>
      <c r="GK44" t="e">
        <f>AND(#REF!,"D/pczm0RdcA=")</f>
        <v>#REF!</v>
      </c>
      <c r="GL44" t="e">
        <f>AND(#REF!,"D/pczm0RdcE=")</f>
        <v>#REF!</v>
      </c>
      <c r="GM44" t="e">
        <f>AND(#REF!,"D/pczm0RdcI=")</f>
        <v>#REF!</v>
      </c>
      <c r="GN44" t="e">
        <f>AND(#REF!,"D/pczm0RdcM=")</f>
        <v>#REF!</v>
      </c>
      <c r="GO44" t="e">
        <f>AND(#REF!,"D/pczm0RdcQ=")</f>
        <v>#REF!</v>
      </c>
      <c r="GP44" t="e">
        <f>AND(#REF!,"D/pczm0RdcU=")</f>
        <v>#REF!</v>
      </c>
      <c r="GQ44" t="e">
        <f>AND(#REF!,"D/pczm0RdcY=")</f>
        <v>#REF!</v>
      </c>
      <c r="GR44" t="e">
        <f>AND(#REF!,"D/pczm0Rdcc=")</f>
        <v>#REF!</v>
      </c>
      <c r="GS44" t="e">
        <f>AND(#REF!,"D/pczm0Rdcg=")</f>
        <v>#REF!</v>
      </c>
      <c r="GT44" t="e">
        <f>AND(#REF!,"D/pczm0Rdck=")</f>
        <v>#REF!</v>
      </c>
      <c r="GU44" t="e">
        <f>AND(#REF!,"D/pczm0Rdco=")</f>
        <v>#REF!</v>
      </c>
      <c r="GV44" t="e">
        <f>AND(#REF!,"D/pczm0Rdcs=")</f>
        <v>#REF!</v>
      </c>
      <c r="GW44" t="e">
        <f>AND(#REF!,"D/pczm0Rdcw=")</f>
        <v>#REF!</v>
      </c>
      <c r="GX44" t="e">
        <f>AND(#REF!,"D/pczm0Rdc0=")</f>
        <v>#REF!</v>
      </c>
      <c r="GY44" t="e">
        <f>AND(#REF!,"D/pczm0Rdc4=")</f>
        <v>#REF!</v>
      </c>
      <c r="GZ44" t="e">
        <f>AND(#REF!,"D/pczm0Rdc8=")</f>
        <v>#REF!</v>
      </c>
      <c r="HA44" t="e">
        <f>AND(#REF!,"D/pczm0RddA=")</f>
        <v>#REF!</v>
      </c>
      <c r="HB44" t="e">
        <f>AND(#REF!,"D/pczm0RddE=")</f>
        <v>#REF!</v>
      </c>
      <c r="HC44" t="e">
        <f>AND(#REF!,"D/pczm0RddI=")</f>
        <v>#REF!</v>
      </c>
      <c r="HD44" t="e">
        <f>AND(#REF!,"D/pczm0RddM=")</f>
        <v>#REF!</v>
      </c>
      <c r="HE44" t="e">
        <f>AND(#REF!,"D/pczm0RddQ=")</f>
        <v>#REF!</v>
      </c>
      <c r="HF44" t="e">
        <f>AND(#REF!,"D/pczm0RddU=")</f>
        <v>#REF!</v>
      </c>
      <c r="HG44" t="e">
        <f>AND(#REF!,"D/pczm0RddY=")</f>
        <v>#REF!</v>
      </c>
      <c r="HH44" t="e">
        <f>AND(#REF!,"D/pczm0Rddc=")</f>
        <v>#REF!</v>
      </c>
      <c r="HI44" t="e">
        <f>AND(#REF!,"D/pczm0Rddg=")</f>
        <v>#REF!</v>
      </c>
      <c r="HJ44" t="e">
        <f>AND(#REF!,"D/pczm0Rddk=")</f>
        <v>#REF!</v>
      </c>
      <c r="HK44" t="e">
        <f>AND(#REF!,"D/pczm0Rddo=")</f>
        <v>#REF!</v>
      </c>
      <c r="HL44" t="e">
        <f>AND(#REF!,"D/pczm0Rdds=")</f>
        <v>#REF!</v>
      </c>
      <c r="HM44" t="e">
        <f>AND(#REF!,"D/pczm0Rddw=")</f>
        <v>#REF!</v>
      </c>
      <c r="HN44" t="e">
        <f>AND(#REF!,"D/pczm0Rdd0=")</f>
        <v>#REF!</v>
      </c>
      <c r="HO44" t="e">
        <f>AND(#REF!,"D/pczm0Rdd4=")</f>
        <v>#REF!</v>
      </c>
      <c r="HP44" t="e">
        <f>AND(#REF!,"D/pczm0Rdd8=")</f>
        <v>#REF!</v>
      </c>
      <c r="HQ44" t="e">
        <f>AND(#REF!,"D/pczm0RdeA=")</f>
        <v>#REF!</v>
      </c>
      <c r="HR44" t="e">
        <f>AND(#REF!,"D/pczm0RdeE=")</f>
        <v>#REF!</v>
      </c>
      <c r="HS44" t="e">
        <f>AND(#REF!,"D/pczm0RdeI=")</f>
        <v>#REF!</v>
      </c>
      <c r="HT44" t="e">
        <f>AND(#REF!,"D/pczm0RdeM=")</f>
        <v>#REF!</v>
      </c>
      <c r="HU44" t="e">
        <f>AND(#REF!,"D/pczm0RdeQ=")</f>
        <v>#REF!</v>
      </c>
      <c r="HV44" t="e">
        <f>AND(#REF!,"D/pczm0RdeU=")</f>
        <v>#REF!</v>
      </c>
      <c r="HW44" t="e">
        <f>AND(#REF!,"D/pczm0RdeY=")</f>
        <v>#REF!</v>
      </c>
      <c r="HX44" t="e">
        <f>AND(#REF!,"D/pczm0Rdec=")</f>
        <v>#REF!</v>
      </c>
      <c r="HY44" t="e">
        <f>AND(#REF!,"D/pczm0Rdeg=")</f>
        <v>#REF!</v>
      </c>
      <c r="HZ44" t="e">
        <f>AND(#REF!,"D/pczm0Rdek=")</f>
        <v>#REF!</v>
      </c>
      <c r="IA44" t="e">
        <f>AND(#REF!,"D/pczm0Rdeo=")</f>
        <v>#REF!</v>
      </c>
      <c r="IB44" t="e">
        <f>AND(#REF!,"D/pczm0Rdes=")</f>
        <v>#REF!</v>
      </c>
      <c r="IC44" t="e">
        <f>AND(#REF!,"D/pczm0Rdew=")</f>
        <v>#REF!</v>
      </c>
      <c r="ID44" t="e">
        <f>AND(#REF!,"D/pczm0Rde0=")</f>
        <v>#REF!</v>
      </c>
      <c r="IE44" t="e">
        <f>AND(#REF!,"D/pczm0Rde4=")</f>
        <v>#REF!</v>
      </c>
      <c r="IF44" t="e">
        <f>AND(#REF!,"D/pczm0Rde8=")</f>
        <v>#REF!</v>
      </c>
      <c r="IG44" t="e">
        <f>AND(#REF!,"D/pczm0RdfA=")</f>
        <v>#REF!</v>
      </c>
      <c r="IH44" t="e">
        <f>AND(#REF!,"D/pczm0RdfE=")</f>
        <v>#REF!</v>
      </c>
      <c r="II44" t="e">
        <f>AND(#REF!,"D/pczm0RdfI=")</f>
        <v>#REF!</v>
      </c>
      <c r="IJ44" t="e">
        <f>AND(#REF!,"D/pczm0RdfM=")</f>
        <v>#REF!</v>
      </c>
      <c r="IK44" t="e">
        <f>AND(#REF!,"D/pczm0RdfQ=")</f>
        <v>#REF!</v>
      </c>
      <c r="IL44" t="e">
        <f>AND(#REF!,"D/pczm0RdfU=")</f>
        <v>#REF!</v>
      </c>
      <c r="IM44" t="e">
        <f>AND(#REF!,"D/pczm0RdfY=")</f>
        <v>#REF!</v>
      </c>
      <c r="IN44" t="e">
        <f>AND(#REF!,"D/pczm0Rdfc=")</f>
        <v>#REF!</v>
      </c>
      <c r="IO44" t="e">
        <f>AND(#REF!,"D/pczm0Rdfg=")</f>
        <v>#REF!</v>
      </c>
      <c r="IP44" t="e">
        <f>AND(#REF!,"D/pczm0Rdfk=")</f>
        <v>#REF!</v>
      </c>
      <c r="IQ44" t="e">
        <f>AND(#REF!,"D/pczm0Rdfo=")</f>
        <v>#REF!</v>
      </c>
      <c r="IR44" t="e">
        <f>AND(#REF!,"D/pczm0Rdfs=")</f>
        <v>#REF!</v>
      </c>
      <c r="IS44" t="e">
        <f>AND(#REF!,"D/pczm0Rdfw=")</f>
        <v>#REF!</v>
      </c>
      <c r="IT44" t="e">
        <f>AND(#REF!,"D/pczm0Rdf0=")</f>
        <v>#REF!</v>
      </c>
      <c r="IU44" t="e">
        <f>AND(#REF!,"D/pczm0Rdf4=")</f>
        <v>#REF!</v>
      </c>
      <c r="IV44" t="e">
        <f>AND(#REF!,"D/pczm0Rdf8=")</f>
        <v>#REF!</v>
      </c>
    </row>
    <row r="45" spans="1:256" x14ac:dyDescent="0.2">
      <c r="A45" t="e">
        <f>AND(#REF!,"RD4gB2lM+gA=")</f>
        <v>#REF!</v>
      </c>
      <c r="B45" t="e">
        <f>AND(#REF!,"RD4gB2lM+gE=")</f>
        <v>#REF!</v>
      </c>
      <c r="C45" t="e">
        <f>AND(#REF!,"RD4gB2lM+gI=")</f>
        <v>#REF!</v>
      </c>
      <c r="D45" t="e">
        <f>AND(#REF!,"RD4gB2lM+gM=")</f>
        <v>#REF!</v>
      </c>
      <c r="E45" t="e">
        <f>AND(#REF!,"RD4gB2lM+gQ=")</f>
        <v>#REF!</v>
      </c>
      <c r="F45" t="e">
        <f>AND(#REF!,"RD4gB2lM+gU=")</f>
        <v>#REF!</v>
      </c>
      <c r="G45" t="e">
        <f>AND(#REF!,"RD4gB2lM+gY=")</f>
        <v>#REF!</v>
      </c>
      <c r="H45" t="e">
        <f>AND(#REF!,"RD4gB2lM+gc=")</f>
        <v>#REF!</v>
      </c>
      <c r="I45" t="e">
        <f>AND(#REF!,"RD4gB2lM+gg=")</f>
        <v>#REF!</v>
      </c>
      <c r="J45" t="e">
        <f>AND(#REF!,"RD4gB2lM+gk=")</f>
        <v>#REF!</v>
      </c>
      <c r="K45" t="e">
        <f>AND(#REF!,"RD4gB2lM+go=")</f>
        <v>#REF!</v>
      </c>
      <c r="L45" t="e">
        <f>AND(#REF!,"RD4gB2lM+gs=")</f>
        <v>#REF!</v>
      </c>
      <c r="M45" t="e">
        <f>AND(#REF!,"RD4gB2lM+gw=")</f>
        <v>#REF!</v>
      </c>
      <c r="N45" t="e">
        <f>AND(#REF!,"RD4gB2lM+g0=")</f>
        <v>#REF!</v>
      </c>
      <c r="O45" t="e">
        <f>AND(#REF!,"RD4gB2lM+g4=")</f>
        <v>#REF!</v>
      </c>
      <c r="P45" t="e">
        <f>AND(#REF!,"RD4gB2lM+g8=")</f>
        <v>#REF!</v>
      </c>
      <c r="Q45" t="e">
        <f>AND(#REF!,"RD4gB2lM+hA=")</f>
        <v>#REF!</v>
      </c>
      <c r="R45" t="e">
        <f>AND(#REF!,"RD4gB2lM+hE=")</f>
        <v>#REF!</v>
      </c>
      <c r="S45" t="e">
        <f>AND(#REF!,"RD4gB2lM+hI=")</f>
        <v>#REF!</v>
      </c>
      <c r="T45" t="e">
        <f>AND(#REF!,"RD4gB2lM+hM=")</f>
        <v>#REF!</v>
      </c>
      <c r="U45" t="e">
        <f>AND(#REF!,"RD4gB2lM+hQ=")</f>
        <v>#REF!</v>
      </c>
      <c r="V45" t="e">
        <f>AND(#REF!,"RD4gB2lM+hU=")</f>
        <v>#REF!</v>
      </c>
      <c r="W45" t="e">
        <f>AND(#REF!,"RD4gB2lM+hY=")</f>
        <v>#REF!</v>
      </c>
      <c r="X45" t="e">
        <f>AND(#REF!,"RD4gB2lM+hc=")</f>
        <v>#REF!</v>
      </c>
      <c r="Y45" t="e">
        <f>AND(#REF!,"RD4gB2lM+hg=")</f>
        <v>#REF!</v>
      </c>
      <c r="Z45" t="e">
        <f>IF(#REF!,"RD4gB2lM+hk=",0)</f>
        <v>#REF!</v>
      </c>
      <c r="AA45" t="e">
        <f>AND(#REF!,"RD4gB2lM+ho=")</f>
        <v>#REF!</v>
      </c>
      <c r="AB45" t="e">
        <f>AND(#REF!,"RD4gB2lM+hs=")</f>
        <v>#REF!</v>
      </c>
      <c r="AC45" t="e">
        <f>AND(#REF!,"RD4gB2lM+hw=")</f>
        <v>#REF!</v>
      </c>
      <c r="AD45" t="e">
        <f>AND(#REF!,"RD4gB2lM+h0=")</f>
        <v>#REF!</v>
      </c>
      <c r="AE45" t="e">
        <f>AND(#REF!,"RD4gB2lM+h4=")</f>
        <v>#REF!</v>
      </c>
      <c r="AF45" t="e">
        <f>AND(#REF!,"RD4gB2lM+h8=")</f>
        <v>#REF!</v>
      </c>
      <c r="AG45" t="e">
        <f>AND(#REF!,"RD4gB2lM+iA=")</f>
        <v>#REF!</v>
      </c>
      <c r="AH45" t="e">
        <f>AND(#REF!,"RD4gB2lM+iE=")</f>
        <v>#REF!</v>
      </c>
      <c r="AI45" t="e">
        <f>AND(#REF!,"RD4gB2lM+iI=")</f>
        <v>#REF!</v>
      </c>
      <c r="AJ45" t="e">
        <f>AND(#REF!,"RD4gB2lM+iM=")</f>
        <v>#REF!</v>
      </c>
      <c r="AK45" t="e">
        <f>AND(#REF!,"RD4gB2lM+iQ=")</f>
        <v>#REF!</v>
      </c>
      <c r="AL45" t="e">
        <f>AND(#REF!,"RD4gB2lM+iU=")</f>
        <v>#REF!</v>
      </c>
      <c r="AM45" t="e">
        <f>AND(#REF!,"RD4gB2lM+iY=")</f>
        <v>#REF!</v>
      </c>
      <c r="AN45" t="e">
        <f>AND(#REF!,"RD4gB2lM+ic=")</f>
        <v>#REF!</v>
      </c>
      <c r="AO45" t="e">
        <f>AND(#REF!,"RD4gB2lM+ig=")</f>
        <v>#REF!</v>
      </c>
      <c r="AP45" t="e">
        <f>AND(#REF!,"RD4gB2lM+ik=")</f>
        <v>#REF!</v>
      </c>
      <c r="AQ45" t="e">
        <f>AND(#REF!,"RD4gB2lM+io=")</f>
        <v>#REF!</v>
      </c>
      <c r="AR45" t="e">
        <f>AND(#REF!,"RD4gB2lM+is=")</f>
        <v>#REF!</v>
      </c>
      <c r="AS45" t="e">
        <f>AND(#REF!,"RD4gB2lM+iw=")</f>
        <v>#REF!</v>
      </c>
      <c r="AT45" t="e">
        <f>AND(#REF!,"RD4gB2lM+i0=")</f>
        <v>#REF!</v>
      </c>
      <c r="AU45" t="e">
        <f>AND(#REF!,"RD4gB2lM+i4=")</f>
        <v>#REF!</v>
      </c>
      <c r="AV45" t="e">
        <f>AND(#REF!,"RD4gB2lM+i8=")</f>
        <v>#REF!</v>
      </c>
      <c r="AW45" t="e">
        <f>AND(#REF!,"RD4gB2lM+jA=")</f>
        <v>#REF!</v>
      </c>
      <c r="AX45" t="e">
        <f>AND(#REF!,"RD4gB2lM+jE=")</f>
        <v>#REF!</v>
      </c>
      <c r="AY45" t="e">
        <f>AND(#REF!,"RD4gB2lM+jI=")</f>
        <v>#REF!</v>
      </c>
      <c r="AZ45" t="e">
        <f>AND(#REF!,"RD4gB2lM+jM=")</f>
        <v>#REF!</v>
      </c>
      <c r="BA45" t="e">
        <f>AND(#REF!,"RD4gB2lM+jQ=")</f>
        <v>#REF!</v>
      </c>
      <c r="BB45" t="e">
        <f>AND(#REF!,"RD4gB2lM+jU=")</f>
        <v>#REF!</v>
      </c>
      <c r="BC45" t="e">
        <f>AND(#REF!,"RD4gB2lM+jY=")</f>
        <v>#REF!</v>
      </c>
      <c r="BD45" t="e">
        <f>AND(#REF!,"RD4gB2lM+jc=")</f>
        <v>#REF!</v>
      </c>
      <c r="BE45" t="e">
        <f>AND(#REF!,"RD4gB2lM+jg=")</f>
        <v>#REF!</v>
      </c>
      <c r="BF45" t="e">
        <f>AND(#REF!,"RD4gB2lM+jk=")</f>
        <v>#REF!</v>
      </c>
      <c r="BG45" t="e">
        <f>AND(#REF!,"RD4gB2lM+jo=")</f>
        <v>#REF!</v>
      </c>
      <c r="BH45" t="e">
        <f>AND(#REF!,"RD4gB2lM+js=")</f>
        <v>#REF!</v>
      </c>
      <c r="BI45" t="e">
        <f>AND(#REF!,"RD4gB2lM+jw=")</f>
        <v>#REF!</v>
      </c>
      <c r="BJ45" t="e">
        <f>AND(#REF!,"RD4gB2lM+j0=")</f>
        <v>#REF!</v>
      </c>
      <c r="BK45" t="e">
        <f>AND(#REF!,"RD4gB2lM+j4=")</f>
        <v>#REF!</v>
      </c>
      <c r="BL45" t="e">
        <f>AND(#REF!,"RD4gB2lM+j8=")</f>
        <v>#REF!</v>
      </c>
      <c r="BM45" t="e">
        <f>AND(#REF!,"RD4gB2lM+kA=")</f>
        <v>#REF!</v>
      </c>
      <c r="BN45" t="e">
        <f>AND(#REF!,"RD4gB2lM+kE=")</f>
        <v>#REF!</v>
      </c>
      <c r="BO45" t="e">
        <f>AND(#REF!,"RD4gB2lM+kI=")</f>
        <v>#REF!</v>
      </c>
      <c r="BP45" t="e">
        <f>AND(#REF!,"RD4gB2lM+kM=")</f>
        <v>#REF!</v>
      </c>
      <c r="BQ45" t="e">
        <f>AND(#REF!,"RD4gB2lM+kQ=")</f>
        <v>#REF!</v>
      </c>
      <c r="BR45" t="e">
        <f>AND(#REF!,"RD4gB2lM+kU=")</f>
        <v>#REF!</v>
      </c>
      <c r="BS45" t="e">
        <f>AND(#REF!,"RD4gB2lM+kY=")</f>
        <v>#REF!</v>
      </c>
      <c r="BT45" t="e">
        <f>AND(#REF!,"RD4gB2lM+kc=")</f>
        <v>#REF!</v>
      </c>
      <c r="BU45" t="e">
        <f>AND(#REF!,"RD4gB2lM+kg=")</f>
        <v>#REF!</v>
      </c>
      <c r="BV45" t="e">
        <f>AND(#REF!,"RD4gB2lM+kk=")</f>
        <v>#REF!</v>
      </c>
      <c r="BW45" t="e">
        <f>AND(#REF!,"RD4gB2lM+ko=")</f>
        <v>#REF!</v>
      </c>
      <c r="BX45" t="e">
        <f>AND(#REF!,"RD4gB2lM+ks=")</f>
        <v>#REF!</v>
      </c>
      <c r="BY45" t="e">
        <f>AND(#REF!,"RD4gB2lM+kw=")</f>
        <v>#REF!</v>
      </c>
      <c r="BZ45" t="e">
        <f>AND(#REF!,"RD4gB2lM+k0=")</f>
        <v>#REF!</v>
      </c>
      <c r="CA45" t="e">
        <f>AND(#REF!,"RD4gB2lM+k4=")</f>
        <v>#REF!</v>
      </c>
      <c r="CB45" t="e">
        <f>AND(#REF!,"RD4gB2lM+k8=")</f>
        <v>#REF!</v>
      </c>
      <c r="CC45" t="e">
        <f>AND(#REF!,"RD4gB2lM+lA=")</f>
        <v>#REF!</v>
      </c>
      <c r="CD45" t="e">
        <f>AND(#REF!,"RD4gB2lM+lE=")</f>
        <v>#REF!</v>
      </c>
      <c r="CE45" t="e">
        <f>AND(#REF!,"RD4gB2lM+lI=")</f>
        <v>#REF!</v>
      </c>
      <c r="CF45" t="e">
        <f>AND(#REF!,"RD4gB2lM+lM=")</f>
        <v>#REF!</v>
      </c>
      <c r="CG45" t="e">
        <f>AND(#REF!,"RD4gB2lM+lQ=")</f>
        <v>#REF!</v>
      </c>
      <c r="CH45" t="e">
        <f>AND(#REF!,"RD4gB2lM+lU=")</f>
        <v>#REF!</v>
      </c>
      <c r="CI45" t="e">
        <f>AND(#REF!,"RD4gB2lM+lY=")</f>
        <v>#REF!</v>
      </c>
      <c r="CJ45" t="e">
        <f>AND(#REF!,"RD4gB2lM+lc=")</f>
        <v>#REF!</v>
      </c>
      <c r="CK45" t="e">
        <f>AND(#REF!,"RD4gB2lM+lg=")</f>
        <v>#REF!</v>
      </c>
      <c r="CL45" t="e">
        <f>AND(#REF!,"RD4gB2lM+lk=")</f>
        <v>#REF!</v>
      </c>
      <c r="CM45" t="e">
        <f>AND(#REF!,"RD4gB2lM+lo=")</f>
        <v>#REF!</v>
      </c>
      <c r="CN45" t="e">
        <f>AND(#REF!,"RD4gB2lM+ls=")</f>
        <v>#REF!</v>
      </c>
      <c r="CO45" t="e">
        <f>AND(#REF!,"RD4gB2lM+lw=")</f>
        <v>#REF!</v>
      </c>
      <c r="CP45" t="e">
        <f>AND(#REF!,"RD4gB2lM+l0=")</f>
        <v>#REF!</v>
      </c>
      <c r="CQ45" t="e">
        <f>AND(#REF!,"RD4gB2lM+l4=")</f>
        <v>#REF!</v>
      </c>
      <c r="CR45" t="e">
        <f>AND(#REF!,"RD4gB2lM+l8=")</f>
        <v>#REF!</v>
      </c>
      <c r="CS45" t="e">
        <f>AND(#REF!,"RD4gB2lM+mA=")</f>
        <v>#REF!</v>
      </c>
      <c r="CT45" t="e">
        <f>AND(#REF!,"RD4gB2lM+mE=")</f>
        <v>#REF!</v>
      </c>
      <c r="CU45" t="e">
        <f>AND(#REF!,"RD4gB2lM+mI=")</f>
        <v>#REF!</v>
      </c>
      <c r="CV45" t="e">
        <f>AND(#REF!,"RD4gB2lM+mM=")</f>
        <v>#REF!</v>
      </c>
      <c r="CW45" t="e">
        <f>AND(#REF!,"RD4gB2lM+mQ=")</f>
        <v>#REF!</v>
      </c>
      <c r="CX45" t="e">
        <f>AND(#REF!,"RD4gB2lM+mU=")</f>
        <v>#REF!</v>
      </c>
      <c r="CY45" t="e">
        <f>AND(#REF!,"RD4gB2lM+mY=")</f>
        <v>#REF!</v>
      </c>
      <c r="CZ45" t="e">
        <f>AND(#REF!,"RD4gB2lM+mc=")</f>
        <v>#REF!</v>
      </c>
      <c r="DA45" t="e">
        <f>AND(#REF!,"RD4gB2lM+mg=")</f>
        <v>#REF!</v>
      </c>
      <c r="DB45" t="e">
        <f>AND(#REF!,"RD4gB2lM+mk=")</f>
        <v>#REF!</v>
      </c>
      <c r="DC45" t="e">
        <f>AND(#REF!,"RD4gB2lM+mo=")</f>
        <v>#REF!</v>
      </c>
      <c r="DD45" t="e">
        <f>AND(#REF!,"RD4gB2lM+ms=")</f>
        <v>#REF!</v>
      </c>
      <c r="DE45" t="e">
        <f>AND(#REF!,"RD4gB2lM+mw=")</f>
        <v>#REF!</v>
      </c>
      <c r="DF45" t="e">
        <f>AND(#REF!,"RD4gB2lM+m0=")</f>
        <v>#REF!</v>
      </c>
      <c r="DG45" t="e">
        <f>AND(#REF!,"RD4gB2lM+m4=")</f>
        <v>#REF!</v>
      </c>
      <c r="DH45" t="e">
        <f>AND(#REF!,"RD4gB2lM+m8=")</f>
        <v>#REF!</v>
      </c>
      <c r="DI45" t="e">
        <f>AND(#REF!,"RD4gB2lM+nA=")</f>
        <v>#REF!</v>
      </c>
      <c r="DJ45" t="e">
        <f>AND(#REF!,"RD4gB2lM+nE=")</f>
        <v>#REF!</v>
      </c>
      <c r="DK45" t="e">
        <f>AND(#REF!,"RD4gB2lM+nI=")</f>
        <v>#REF!</v>
      </c>
      <c r="DL45" t="e">
        <f>AND(#REF!,"RD4gB2lM+nM=")</f>
        <v>#REF!</v>
      </c>
      <c r="DM45" t="e">
        <f>AND(#REF!,"RD4gB2lM+nQ=")</f>
        <v>#REF!</v>
      </c>
      <c r="DN45" t="e">
        <f>AND(#REF!,"RD4gB2lM+nU=")</f>
        <v>#REF!</v>
      </c>
      <c r="DO45" t="e">
        <f>AND(#REF!,"RD4gB2lM+nY=")</f>
        <v>#REF!</v>
      </c>
      <c r="DP45" t="e">
        <f>AND(#REF!,"RD4gB2lM+nc=")</f>
        <v>#REF!</v>
      </c>
      <c r="DQ45" t="e">
        <f>AND(#REF!,"RD4gB2lM+ng=")</f>
        <v>#REF!</v>
      </c>
      <c r="DR45" t="e">
        <f>AND(#REF!,"RD4gB2lM+nk=")</f>
        <v>#REF!</v>
      </c>
      <c r="DS45" t="e">
        <f>AND(#REF!,"RD4gB2lM+no=")</f>
        <v>#REF!</v>
      </c>
      <c r="DT45" t="e">
        <f>AND(#REF!,"RD4gB2lM+ns=")</f>
        <v>#REF!</v>
      </c>
      <c r="DU45" t="e">
        <f>AND(#REF!,"RD4gB2lM+nw=")</f>
        <v>#REF!</v>
      </c>
      <c r="DV45" t="e">
        <f>AND(#REF!,"RD4gB2lM+n0=")</f>
        <v>#REF!</v>
      </c>
      <c r="DW45" t="e">
        <f>AND(#REF!,"RD4gB2lM+n4=")</f>
        <v>#REF!</v>
      </c>
      <c r="DX45" t="e">
        <f>AND(#REF!,"RD4gB2lM+n8=")</f>
        <v>#REF!</v>
      </c>
      <c r="DY45" t="e">
        <f>AND(#REF!,"RD4gB2lM+oA=")</f>
        <v>#REF!</v>
      </c>
      <c r="DZ45" t="e">
        <f>AND(#REF!,"RD4gB2lM+oE=")</f>
        <v>#REF!</v>
      </c>
      <c r="EA45" t="e">
        <f>AND(#REF!,"RD4gB2lM+oI=")</f>
        <v>#REF!</v>
      </c>
      <c r="EB45" t="e">
        <f>AND(#REF!,"RD4gB2lM+oM=")</f>
        <v>#REF!</v>
      </c>
      <c r="EC45" t="e">
        <f>AND(#REF!,"RD4gB2lM+oQ=")</f>
        <v>#REF!</v>
      </c>
      <c r="ED45" t="e">
        <f>AND(#REF!,"RD4gB2lM+oU=")</f>
        <v>#REF!</v>
      </c>
      <c r="EE45" t="e">
        <f>AND(#REF!,"RD4gB2lM+oY=")</f>
        <v>#REF!</v>
      </c>
      <c r="EF45" t="e">
        <f>AND(#REF!,"RD4gB2lM+oc=")</f>
        <v>#REF!</v>
      </c>
      <c r="EG45" t="e">
        <f>AND(#REF!,"RD4gB2lM+og=")</f>
        <v>#REF!</v>
      </c>
      <c r="EH45" t="e">
        <f>AND(#REF!,"RD4gB2lM+ok=")</f>
        <v>#REF!</v>
      </c>
      <c r="EI45" t="e">
        <f>AND(#REF!,"RD4gB2lM+oo=")</f>
        <v>#REF!</v>
      </c>
      <c r="EJ45" t="e">
        <f>AND(#REF!,"RD4gB2lM+os=")</f>
        <v>#REF!</v>
      </c>
      <c r="EK45" t="e">
        <f>AND(#REF!,"RD4gB2lM+ow=")</f>
        <v>#REF!</v>
      </c>
      <c r="EL45" t="e">
        <f>AND(#REF!,"RD4gB2lM+o0=")</f>
        <v>#REF!</v>
      </c>
      <c r="EM45" t="e">
        <f>AND(#REF!,"RD4gB2lM+o4=")</f>
        <v>#REF!</v>
      </c>
      <c r="EN45" t="e">
        <f>AND(#REF!,"RD4gB2lM+o8=")</f>
        <v>#REF!</v>
      </c>
      <c r="EO45" t="e">
        <f>AND(#REF!,"RD4gB2lM+pA=")</f>
        <v>#REF!</v>
      </c>
      <c r="EP45" t="e">
        <f>AND(#REF!,"RD4gB2lM+pE=")</f>
        <v>#REF!</v>
      </c>
      <c r="EQ45" t="e">
        <f>AND(#REF!,"RD4gB2lM+pI=")</f>
        <v>#REF!</v>
      </c>
      <c r="ER45" t="e">
        <f>AND(#REF!,"RD4gB2lM+pM=")</f>
        <v>#REF!</v>
      </c>
      <c r="ES45" t="e">
        <f>AND(#REF!,"RD4gB2lM+pQ=")</f>
        <v>#REF!</v>
      </c>
      <c r="ET45" t="e">
        <f>AND(#REF!,"RD4gB2lM+pU=")</f>
        <v>#REF!</v>
      </c>
      <c r="EU45" t="e">
        <f>AND(#REF!,"RD4gB2lM+pY=")</f>
        <v>#REF!</v>
      </c>
      <c r="EV45" t="e">
        <f>AND(#REF!,"RD4gB2lM+pc=")</f>
        <v>#REF!</v>
      </c>
      <c r="EW45" t="e">
        <f>AND(#REF!,"RD4gB2lM+pg=")</f>
        <v>#REF!</v>
      </c>
      <c r="EX45" t="e">
        <f>AND(#REF!,"RD4gB2lM+pk=")</f>
        <v>#REF!</v>
      </c>
      <c r="EY45" t="e">
        <f>AND(#REF!,"RD4gB2lM+po=")</f>
        <v>#REF!</v>
      </c>
      <c r="EZ45" t="e">
        <f>AND(#REF!,"RD4gB2lM+ps=")</f>
        <v>#REF!</v>
      </c>
      <c r="FA45" t="e">
        <f>AND(#REF!,"RD4gB2lM+pw=")</f>
        <v>#REF!</v>
      </c>
      <c r="FB45" t="e">
        <f>AND(#REF!,"RD4gB2lM+p0=")</f>
        <v>#REF!</v>
      </c>
      <c r="FC45" t="e">
        <f>AND(#REF!,"RD4gB2lM+p4=")</f>
        <v>#REF!</v>
      </c>
      <c r="FD45" t="e">
        <f>AND(#REF!,"RD4gB2lM+p8=")</f>
        <v>#REF!</v>
      </c>
      <c r="FE45" t="e">
        <f>AND(#REF!,"RD4gB2lM+qA=")</f>
        <v>#REF!</v>
      </c>
      <c r="FF45" t="e">
        <f>AND(#REF!,"RD4gB2lM+qE=")</f>
        <v>#REF!</v>
      </c>
      <c r="FG45" t="e">
        <f>AND(#REF!,"RD4gB2lM+qI=")</f>
        <v>#REF!</v>
      </c>
      <c r="FH45" t="e">
        <f>AND(#REF!,"RD4gB2lM+qM=")</f>
        <v>#REF!</v>
      </c>
      <c r="FI45" t="e">
        <f>AND(#REF!,"RD4gB2lM+qQ=")</f>
        <v>#REF!</v>
      </c>
      <c r="FJ45" t="e">
        <f>AND(#REF!,"RD4gB2lM+qU=")</f>
        <v>#REF!</v>
      </c>
      <c r="FK45" t="e">
        <f>AND(#REF!,"RD4gB2lM+qY=")</f>
        <v>#REF!</v>
      </c>
      <c r="FL45" t="e">
        <f>AND(#REF!,"RD4gB2lM+qc=")</f>
        <v>#REF!</v>
      </c>
      <c r="FM45" t="e">
        <f>AND(#REF!,"RD4gB2lM+qg=")</f>
        <v>#REF!</v>
      </c>
      <c r="FN45" t="e">
        <f>AND(#REF!,"RD4gB2lM+qk=")</f>
        <v>#REF!</v>
      </c>
      <c r="FO45" t="e">
        <f>AND(#REF!,"RD4gB2lM+qo=")</f>
        <v>#REF!</v>
      </c>
      <c r="FP45" t="e">
        <f>AND(#REF!,"RD4gB2lM+qs=")</f>
        <v>#REF!</v>
      </c>
      <c r="FQ45" t="e">
        <f>AND(#REF!,"RD4gB2lM+qw=")</f>
        <v>#REF!</v>
      </c>
      <c r="FR45" t="e">
        <f>AND(#REF!,"RD4gB2lM+q0=")</f>
        <v>#REF!</v>
      </c>
      <c r="FS45" t="e">
        <f>AND(#REF!,"RD4gB2lM+q4=")</f>
        <v>#REF!</v>
      </c>
      <c r="FT45" t="e">
        <f>AND(#REF!,"RD4gB2lM+q8=")</f>
        <v>#REF!</v>
      </c>
      <c r="FU45" t="e">
        <f>AND(#REF!,"RD4gB2lM+rA=")</f>
        <v>#REF!</v>
      </c>
      <c r="FV45" t="e">
        <f>AND(#REF!,"RD4gB2lM+rE=")</f>
        <v>#REF!</v>
      </c>
      <c r="FW45" t="e">
        <f>AND(#REF!,"RD4gB2lM+rI=")</f>
        <v>#REF!</v>
      </c>
      <c r="FX45" t="e">
        <f>AND(#REF!,"RD4gB2lM+rM=")</f>
        <v>#REF!</v>
      </c>
      <c r="FY45" t="e">
        <f>AND(#REF!,"RD4gB2lM+rQ=")</f>
        <v>#REF!</v>
      </c>
      <c r="FZ45" t="e">
        <f>AND(#REF!,"RD4gB2lM+rU=")</f>
        <v>#REF!</v>
      </c>
      <c r="GA45" t="e">
        <f>AND(#REF!,"RD4gB2lM+rY=")</f>
        <v>#REF!</v>
      </c>
      <c r="GB45" t="e">
        <f>AND(#REF!,"RD4gB2lM+rc=")</f>
        <v>#REF!</v>
      </c>
      <c r="GC45" t="e">
        <f>AND(#REF!,"RD4gB2lM+rg=")</f>
        <v>#REF!</v>
      </c>
      <c r="GD45" t="e">
        <f>AND(#REF!,"RD4gB2lM+rk=")</f>
        <v>#REF!</v>
      </c>
      <c r="GE45" t="e">
        <f>AND(#REF!,"RD4gB2lM+ro=")</f>
        <v>#REF!</v>
      </c>
      <c r="GF45" t="e">
        <f>AND(#REF!,"RD4gB2lM+rs=")</f>
        <v>#REF!</v>
      </c>
      <c r="GG45" t="e">
        <f>AND(#REF!,"RD4gB2lM+rw=")</f>
        <v>#REF!</v>
      </c>
      <c r="GH45" t="e">
        <f>AND(#REF!,"RD4gB2lM+r0=")</f>
        <v>#REF!</v>
      </c>
      <c r="GI45" t="e">
        <f>AND(#REF!,"RD4gB2lM+r4=")</f>
        <v>#REF!</v>
      </c>
      <c r="GJ45" t="e">
        <f>AND(#REF!,"RD4gB2lM+r8=")</f>
        <v>#REF!</v>
      </c>
      <c r="GK45" t="e">
        <f>AND(#REF!,"RD4gB2lM+sA=")</f>
        <v>#REF!</v>
      </c>
      <c r="GL45" t="e">
        <f>AND(#REF!,"RD4gB2lM+sE=")</f>
        <v>#REF!</v>
      </c>
      <c r="GM45" t="e">
        <f>AND(#REF!,"RD4gB2lM+sI=")</f>
        <v>#REF!</v>
      </c>
      <c r="GN45" t="e">
        <f>AND(#REF!,"RD4gB2lM+sM=")</f>
        <v>#REF!</v>
      </c>
      <c r="GO45" t="e">
        <f>AND(#REF!,"RD4gB2lM+sQ=")</f>
        <v>#REF!</v>
      </c>
      <c r="GP45" t="e">
        <f>AND(#REF!,"RD4gB2lM+sU=")</f>
        <v>#REF!</v>
      </c>
      <c r="GQ45" t="e">
        <f>AND(#REF!,"RD4gB2lM+sY=")</f>
        <v>#REF!</v>
      </c>
      <c r="GR45" t="e">
        <f>AND(#REF!,"RD4gB2lM+sc=")</f>
        <v>#REF!</v>
      </c>
      <c r="GS45" t="e">
        <f>AND(#REF!,"RD4gB2lM+sg=")</f>
        <v>#REF!</v>
      </c>
      <c r="GT45" t="e">
        <f>AND(#REF!,"RD4gB2lM+sk=")</f>
        <v>#REF!</v>
      </c>
      <c r="GU45" t="e">
        <f>AND(#REF!,"RD4gB2lM+so=")</f>
        <v>#REF!</v>
      </c>
      <c r="GV45" t="e">
        <f>AND(#REF!,"RD4gB2lM+ss=")</f>
        <v>#REF!</v>
      </c>
      <c r="GW45" t="e">
        <f>AND(#REF!,"RD4gB2lM+sw=")</f>
        <v>#REF!</v>
      </c>
      <c r="GX45" t="e">
        <f>AND(#REF!,"RD4gB2lM+s0=")</f>
        <v>#REF!</v>
      </c>
      <c r="GY45" t="e">
        <f>AND(#REF!,"RD4gB2lM+s4=")</f>
        <v>#REF!</v>
      </c>
      <c r="GZ45" t="e">
        <f>AND(#REF!,"RD4gB2lM+s8=")</f>
        <v>#REF!</v>
      </c>
      <c r="HA45" t="e">
        <f>AND(#REF!,"RD4gB2lM+tA=")</f>
        <v>#REF!</v>
      </c>
      <c r="HB45" t="e">
        <f>AND(#REF!,"RD4gB2lM+tE=")</f>
        <v>#REF!</v>
      </c>
      <c r="HC45" t="e">
        <f>AND(#REF!,"RD4gB2lM+tI=")</f>
        <v>#REF!</v>
      </c>
      <c r="HD45" t="e">
        <f>AND(#REF!,"RD4gB2lM+tM=")</f>
        <v>#REF!</v>
      </c>
      <c r="HE45" t="e">
        <f>AND(#REF!,"RD4gB2lM+tQ=")</f>
        <v>#REF!</v>
      </c>
      <c r="HF45" t="e">
        <f>AND(#REF!,"RD4gB2lM+tU=")</f>
        <v>#REF!</v>
      </c>
      <c r="HG45" t="e">
        <f>AND(#REF!,"RD4gB2lM+tY=")</f>
        <v>#REF!</v>
      </c>
      <c r="HH45" t="e">
        <f>AND(#REF!,"RD4gB2lM+tc=")</f>
        <v>#REF!</v>
      </c>
      <c r="HI45" t="e">
        <f>AND(#REF!,"RD4gB2lM+tg=")</f>
        <v>#REF!</v>
      </c>
      <c r="HJ45" t="e">
        <f>AND(#REF!,"RD4gB2lM+tk=")</f>
        <v>#REF!</v>
      </c>
      <c r="HK45" t="e">
        <f>AND(#REF!,"RD4gB2lM+to=")</f>
        <v>#REF!</v>
      </c>
      <c r="HL45" t="e">
        <f>AND(#REF!,"RD4gB2lM+ts=")</f>
        <v>#REF!</v>
      </c>
      <c r="HM45" t="e">
        <f>AND(#REF!,"RD4gB2lM+tw=")</f>
        <v>#REF!</v>
      </c>
      <c r="HN45" t="e">
        <f>AND(#REF!,"RD4gB2lM+t0=")</f>
        <v>#REF!</v>
      </c>
      <c r="HO45" t="e">
        <f>AND(#REF!,"RD4gB2lM+t4=")</f>
        <v>#REF!</v>
      </c>
      <c r="HP45" t="e">
        <f>AND(#REF!,"RD4gB2lM+t8=")</f>
        <v>#REF!</v>
      </c>
      <c r="HQ45" t="e">
        <f>IF(#REF!,"RD4gB2lM+uA=",0)</f>
        <v>#REF!</v>
      </c>
      <c r="HR45" t="e">
        <f>AND(#REF!,"RD4gB2lM+uE=")</f>
        <v>#REF!</v>
      </c>
      <c r="HS45" t="e">
        <f>AND(#REF!,"RD4gB2lM+uI=")</f>
        <v>#REF!</v>
      </c>
      <c r="HT45" t="e">
        <f>AND(#REF!,"RD4gB2lM+uM=")</f>
        <v>#REF!</v>
      </c>
      <c r="HU45" t="e">
        <f>AND(#REF!,"RD4gB2lM+uQ=")</f>
        <v>#REF!</v>
      </c>
      <c r="HV45" t="e">
        <f>AND(#REF!,"RD4gB2lM+uU=")</f>
        <v>#REF!</v>
      </c>
      <c r="HW45" t="e">
        <f>AND(#REF!,"RD4gB2lM+uY=")</f>
        <v>#REF!</v>
      </c>
      <c r="HX45" t="e">
        <f>AND(#REF!,"RD4gB2lM+uc=")</f>
        <v>#REF!</v>
      </c>
      <c r="HY45" t="e">
        <f>AND(#REF!,"RD4gB2lM+ug=")</f>
        <v>#REF!</v>
      </c>
      <c r="HZ45" t="e">
        <f>AND(#REF!,"RD4gB2lM+uk=")</f>
        <v>#REF!</v>
      </c>
      <c r="IA45" t="e">
        <f>AND(#REF!,"RD4gB2lM+uo=")</f>
        <v>#REF!</v>
      </c>
      <c r="IB45" t="e">
        <f>AND(#REF!,"RD4gB2lM+us=")</f>
        <v>#REF!</v>
      </c>
      <c r="IC45" t="e">
        <f>AND(#REF!,"RD4gB2lM+uw=")</f>
        <v>#REF!</v>
      </c>
      <c r="ID45" t="e">
        <f>AND(#REF!,"RD4gB2lM+u0=")</f>
        <v>#REF!</v>
      </c>
      <c r="IE45" t="e">
        <f>AND(#REF!,"RD4gB2lM+u4=")</f>
        <v>#REF!</v>
      </c>
      <c r="IF45" t="e">
        <f>AND(#REF!,"RD4gB2lM+u8=")</f>
        <v>#REF!</v>
      </c>
      <c r="IG45" t="e">
        <f>AND(#REF!,"RD4gB2lM+vA=")</f>
        <v>#REF!</v>
      </c>
      <c r="IH45" t="e">
        <f>AND(#REF!,"RD4gB2lM+vE=")</f>
        <v>#REF!</v>
      </c>
      <c r="II45" t="e">
        <f>AND(#REF!,"RD4gB2lM+vI=")</f>
        <v>#REF!</v>
      </c>
      <c r="IJ45" t="e">
        <f>AND(#REF!,"RD4gB2lM+vM=")</f>
        <v>#REF!</v>
      </c>
      <c r="IK45" t="e">
        <f>AND(#REF!,"RD4gB2lM+vQ=")</f>
        <v>#REF!</v>
      </c>
      <c r="IL45" t="e">
        <f>AND(#REF!,"RD4gB2lM+vU=")</f>
        <v>#REF!</v>
      </c>
      <c r="IM45" t="e">
        <f>AND(#REF!,"RD4gB2lM+vY=")</f>
        <v>#REF!</v>
      </c>
      <c r="IN45" t="e">
        <f>AND(#REF!,"RD4gB2lM+vc=")</f>
        <v>#REF!</v>
      </c>
      <c r="IO45" t="e">
        <f>AND(#REF!,"RD4gB2lM+vg=")</f>
        <v>#REF!</v>
      </c>
      <c r="IP45" t="e">
        <f>AND(#REF!,"RD4gB2lM+vk=")</f>
        <v>#REF!</v>
      </c>
      <c r="IQ45" t="e">
        <f>AND(#REF!,"RD4gB2lM+vo=")</f>
        <v>#REF!</v>
      </c>
      <c r="IR45" t="e">
        <f>AND(#REF!,"RD4gB2lM+vs=")</f>
        <v>#REF!</v>
      </c>
      <c r="IS45" t="e">
        <f>AND(#REF!,"RD4gB2lM+vw=")</f>
        <v>#REF!</v>
      </c>
      <c r="IT45" t="e">
        <f>AND(#REF!,"RD4gB2lM+v0=")</f>
        <v>#REF!</v>
      </c>
      <c r="IU45" t="e">
        <f>AND(#REF!,"RD4gB2lM+v4=")</f>
        <v>#REF!</v>
      </c>
      <c r="IV45" t="e">
        <f>AND(#REF!,"RD4gB2lM+v8=")</f>
        <v>#REF!</v>
      </c>
    </row>
    <row r="46" spans="1:256" x14ac:dyDescent="0.2">
      <c r="A46" t="e">
        <f>AND(#REF!,"C0xbyhTKIgA=")</f>
        <v>#REF!</v>
      </c>
      <c r="B46" t="e">
        <f>AND(#REF!,"C0xbyhTKIgE=")</f>
        <v>#REF!</v>
      </c>
      <c r="C46" t="e">
        <f>AND(#REF!,"C0xbyhTKIgI=")</f>
        <v>#REF!</v>
      </c>
      <c r="D46" t="e">
        <f>AND(#REF!,"C0xbyhTKIgM=")</f>
        <v>#REF!</v>
      </c>
      <c r="E46" t="e">
        <f>AND(#REF!,"C0xbyhTKIgQ=")</f>
        <v>#REF!</v>
      </c>
      <c r="F46" t="e">
        <f>AND(#REF!,"C0xbyhTKIgU=")</f>
        <v>#REF!</v>
      </c>
      <c r="G46" t="e">
        <f>AND(#REF!,"C0xbyhTKIgY=")</f>
        <v>#REF!</v>
      </c>
      <c r="H46" t="e">
        <f>AND(#REF!,"C0xbyhTKIgc=")</f>
        <v>#REF!</v>
      </c>
      <c r="I46" t="e">
        <f>AND(#REF!,"C0xbyhTKIgg=")</f>
        <v>#REF!</v>
      </c>
      <c r="J46" t="e">
        <f>AND(#REF!,"C0xbyhTKIgk=")</f>
        <v>#REF!</v>
      </c>
      <c r="K46" t="e">
        <f>AND(#REF!,"C0xbyhTKIgo=")</f>
        <v>#REF!</v>
      </c>
      <c r="L46" t="e">
        <f>AND(#REF!,"C0xbyhTKIgs=")</f>
        <v>#REF!</v>
      </c>
      <c r="M46" t="e">
        <f>AND(#REF!,"C0xbyhTKIgw=")</f>
        <v>#REF!</v>
      </c>
      <c r="N46" t="e">
        <f>AND(#REF!,"C0xbyhTKIg0=")</f>
        <v>#REF!</v>
      </c>
      <c r="O46" t="e">
        <f>AND(#REF!,"C0xbyhTKIg4=")</f>
        <v>#REF!</v>
      </c>
      <c r="P46" t="e">
        <f>AND(#REF!,"C0xbyhTKIg8=")</f>
        <v>#REF!</v>
      </c>
      <c r="Q46" t="e">
        <f>AND(#REF!,"C0xbyhTKIhA=")</f>
        <v>#REF!</v>
      </c>
      <c r="R46" t="e">
        <f>AND(#REF!,"C0xbyhTKIhE=")</f>
        <v>#REF!</v>
      </c>
      <c r="S46" t="e">
        <f>AND(#REF!,"C0xbyhTKIhI=")</f>
        <v>#REF!</v>
      </c>
      <c r="T46" t="e">
        <f>AND(#REF!,"C0xbyhTKIhM=")</f>
        <v>#REF!</v>
      </c>
      <c r="U46" t="e">
        <f>AND(#REF!,"C0xbyhTKIhQ=")</f>
        <v>#REF!</v>
      </c>
      <c r="V46" t="e">
        <f>AND(#REF!,"C0xbyhTKIhU=")</f>
        <v>#REF!</v>
      </c>
      <c r="W46" t="e">
        <f>AND(#REF!,"C0xbyhTKIhY=")</f>
        <v>#REF!</v>
      </c>
      <c r="X46" t="e">
        <f>AND(#REF!,"C0xbyhTKIhc=")</f>
        <v>#REF!</v>
      </c>
      <c r="Y46" t="e">
        <f>AND(#REF!,"C0xbyhTKIhg=")</f>
        <v>#REF!</v>
      </c>
      <c r="Z46" t="e">
        <f>AND(#REF!,"C0xbyhTKIhk=")</f>
        <v>#REF!</v>
      </c>
      <c r="AA46" t="e">
        <f>AND(#REF!,"C0xbyhTKIho=")</f>
        <v>#REF!</v>
      </c>
      <c r="AB46" t="e">
        <f>AND(#REF!,"C0xbyhTKIhs=")</f>
        <v>#REF!</v>
      </c>
      <c r="AC46" t="e">
        <f>AND(#REF!,"C0xbyhTKIhw=")</f>
        <v>#REF!</v>
      </c>
      <c r="AD46" t="e">
        <f>AND(#REF!,"C0xbyhTKIh0=")</f>
        <v>#REF!</v>
      </c>
      <c r="AE46" t="e">
        <f>AND(#REF!,"C0xbyhTKIh4=")</f>
        <v>#REF!</v>
      </c>
      <c r="AF46" t="e">
        <f>AND(#REF!,"C0xbyhTKIh8=")</f>
        <v>#REF!</v>
      </c>
      <c r="AG46" t="e">
        <f>AND(#REF!,"C0xbyhTKIiA=")</f>
        <v>#REF!</v>
      </c>
      <c r="AH46" t="e">
        <f>AND(#REF!,"C0xbyhTKIiE=")</f>
        <v>#REF!</v>
      </c>
      <c r="AI46" t="e">
        <f>AND(#REF!,"C0xbyhTKIiI=")</f>
        <v>#REF!</v>
      </c>
      <c r="AJ46" t="e">
        <f>AND(#REF!,"C0xbyhTKIiM=")</f>
        <v>#REF!</v>
      </c>
      <c r="AK46" t="e">
        <f>AND(#REF!,"C0xbyhTKIiQ=")</f>
        <v>#REF!</v>
      </c>
      <c r="AL46" t="e">
        <f>AND(#REF!,"C0xbyhTKIiU=")</f>
        <v>#REF!</v>
      </c>
      <c r="AM46" t="e">
        <f>AND(#REF!,"C0xbyhTKIiY=")</f>
        <v>#REF!</v>
      </c>
      <c r="AN46" t="e">
        <f>AND(#REF!,"C0xbyhTKIic=")</f>
        <v>#REF!</v>
      </c>
      <c r="AO46" t="e">
        <f>AND(#REF!,"C0xbyhTKIig=")</f>
        <v>#REF!</v>
      </c>
      <c r="AP46" t="e">
        <f>AND(#REF!,"C0xbyhTKIik=")</f>
        <v>#REF!</v>
      </c>
      <c r="AQ46" t="e">
        <f>AND(#REF!,"C0xbyhTKIio=")</f>
        <v>#REF!</v>
      </c>
      <c r="AR46" t="e">
        <f>AND(#REF!,"C0xbyhTKIis=")</f>
        <v>#REF!</v>
      </c>
      <c r="AS46" t="e">
        <f>AND(#REF!,"C0xbyhTKIiw=")</f>
        <v>#REF!</v>
      </c>
      <c r="AT46" t="e">
        <f>AND(#REF!,"C0xbyhTKIi0=")</f>
        <v>#REF!</v>
      </c>
      <c r="AU46" t="e">
        <f>AND(#REF!,"C0xbyhTKIi4=")</f>
        <v>#REF!</v>
      </c>
      <c r="AV46" t="e">
        <f>AND(#REF!,"C0xbyhTKIi8=")</f>
        <v>#REF!</v>
      </c>
      <c r="AW46" t="e">
        <f>AND(#REF!,"C0xbyhTKIjA=")</f>
        <v>#REF!</v>
      </c>
      <c r="AX46" t="e">
        <f>AND(#REF!,"C0xbyhTKIjE=")</f>
        <v>#REF!</v>
      </c>
      <c r="AY46" t="e">
        <f>AND(#REF!,"C0xbyhTKIjI=")</f>
        <v>#REF!</v>
      </c>
      <c r="AZ46" t="e">
        <f>AND(#REF!,"C0xbyhTKIjM=")</f>
        <v>#REF!</v>
      </c>
      <c r="BA46" t="e">
        <f>AND(#REF!,"C0xbyhTKIjQ=")</f>
        <v>#REF!</v>
      </c>
      <c r="BB46" t="e">
        <f>AND(#REF!,"C0xbyhTKIjU=")</f>
        <v>#REF!</v>
      </c>
      <c r="BC46" t="e">
        <f>AND(#REF!,"C0xbyhTKIjY=")</f>
        <v>#REF!</v>
      </c>
      <c r="BD46" t="e">
        <f>AND(#REF!,"C0xbyhTKIjc=")</f>
        <v>#REF!</v>
      </c>
      <c r="BE46" t="e">
        <f>AND(#REF!,"C0xbyhTKIjg=")</f>
        <v>#REF!</v>
      </c>
      <c r="BF46" t="e">
        <f>AND(#REF!,"C0xbyhTKIjk=")</f>
        <v>#REF!</v>
      </c>
      <c r="BG46" t="e">
        <f>AND(#REF!,"C0xbyhTKIjo=")</f>
        <v>#REF!</v>
      </c>
      <c r="BH46" t="e">
        <f>AND(#REF!,"C0xbyhTKIjs=")</f>
        <v>#REF!</v>
      </c>
      <c r="BI46" t="e">
        <f>AND(#REF!,"C0xbyhTKIjw=")</f>
        <v>#REF!</v>
      </c>
      <c r="BJ46" t="e">
        <f>AND(#REF!,"C0xbyhTKIj0=")</f>
        <v>#REF!</v>
      </c>
      <c r="BK46" t="e">
        <f>AND(#REF!,"C0xbyhTKIj4=")</f>
        <v>#REF!</v>
      </c>
      <c r="BL46" t="e">
        <f>AND(#REF!,"C0xbyhTKIj8=")</f>
        <v>#REF!</v>
      </c>
      <c r="BM46" t="e">
        <f>AND(#REF!,"C0xbyhTKIkA=")</f>
        <v>#REF!</v>
      </c>
      <c r="BN46" t="e">
        <f>AND(#REF!,"C0xbyhTKIkE=")</f>
        <v>#REF!</v>
      </c>
      <c r="BO46" t="e">
        <f>AND(#REF!,"C0xbyhTKIkI=")</f>
        <v>#REF!</v>
      </c>
      <c r="BP46" t="e">
        <f>AND(#REF!,"C0xbyhTKIkM=")</f>
        <v>#REF!</v>
      </c>
      <c r="BQ46" t="e">
        <f>AND(#REF!,"C0xbyhTKIkQ=")</f>
        <v>#REF!</v>
      </c>
      <c r="BR46" t="e">
        <f>AND(#REF!,"C0xbyhTKIkU=")</f>
        <v>#REF!</v>
      </c>
      <c r="BS46" t="e">
        <f>AND(#REF!,"C0xbyhTKIkY=")</f>
        <v>#REF!</v>
      </c>
      <c r="BT46" t="e">
        <f>AND(#REF!,"C0xbyhTKIkc=")</f>
        <v>#REF!</v>
      </c>
      <c r="BU46" t="e">
        <f>AND(#REF!,"C0xbyhTKIkg=")</f>
        <v>#REF!</v>
      </c>
      <c r="BV46" t="e">
        <f>AND(#REF!,"C0xbyhTKIkk=")</f>
        <v>#REF!</v>
      </c>
      <c r="BW46" t="e">
        <f>AND(#REF!,"C0xbyhTKIko=")</f>
        <v>#REF!</v>
      </c>
      <c r="BX46" t="e">
        <f>AND(#REF!,"C0xbyhTKIks=")</f>
        <v>#REF!</v>
      </c>
      <c r="BY46" t="e">
        <f>AND(#REF!,"C0xbyhTKIkw=")</f>
        <v>#REF!</v>
      </c>
      <c r="BZ46" t="e">
        <f>AND(#REF!,"C0xbyhTKIk0=")</f>
        <v>#REF!</v>
      </c>
      <c r="CA46" t="e">
        <f>AND(#REF!,"C0xbyhTKIk4=")</f>
        <v>#REF!</v>
      </c>
      <c r="CB46" t="e">
        <f>AND(#REF!,"C0xbyhTKIk8=")</f>
        <v>#REF!</v>
      </c>
      <c r="CC46" t="e">
        <f>AND(#REF!,"C0xbyhTKIlA=")</f>
        <v>#REF!</v>
      </c>
      <c r="CD46" t="e">
        <f>AND(#REF!,"C0xbyhTKIlE=")</f>
        <v>#REF!</v>
      </c>
      <c r="CE46" t="e">
        <f>AND(#REF!,"C0xbyhTKIlI=")</f>
        <v>#REF!</v>
      </c>
      <c r="CF46" t="e">
        <f>AND(#REF!,"C0xbyhTKIlM=")</f>
        <v>#REF!</v>
      </c>
      <c r="CG46" t="e">
        <f>AND(#REF!,"C0xbyhTKIlQ=")</f>
        <v>#REF!</v>
      </c>
      <c r="CH46" t="e">
        <f>AND(#REF!,"C0xbyhTKIlU=")</f>
        <v>#REF!</v>
      </c>
      <c r="CI46" t="e">
        <f>AND(#REF!,"C0xbyhTKIlY=")</f>
        <v>#REF!</v>
      </c>
      <c r="CJ46" t="e">
        <f>AND(#REF!,"C0xbyhTKIlc=")</f>
        <v>#REF!</v>
      </c>
      <c r="CK46" t="e">
        <f>AND(#REF!,"C0xbyhTKIlg=")</f>
        <v>#REF!</v>
      </c>
      <c r="CL46" t="e">
        <f>AND(#REF!,"C0xbyhTKIlk=")</f>
        <v>#REF!</v>
      </c>
      <c r="CM46" t="e">
        <f>AND(#REF!,"C0xbyhTKIlo=")</f>
        <v>#REF!</v>
      </c>
      <c r="CN46" t="e">
        <f>AND(#REF!,"C0xbyhTKIls=")</f>
        <v>#REF!</v>
      </c>
      <c r="CO46" t="e">
        <f>AND(#REF!,"C0xbyhTKIlw=")</f>
        <v>#REF!</v>
      </c>
      <c r="CP46" t="e">
        <f>AND(#REF!,"C0xbyhTKIl0=")</f>
        <v>#REF!</v>
      </c>
      <c r="CQ46" t="e">
        <f>AND(#REF!,"C0xbyhTKIl4=")</f>
        <v>#REF!</v>
      </c>
      <c r="CR46" t="e">
        <f>AND(#REF!,"C0xbyhTKIl8=")</f>
        <v>#REF!</v>
      </c>
      <c r="CS46" t="e">
        <f>AND(#REF!,"C0xbyhTKImA=")</f>
        <v>#REF!</v>
      </c>
      <c r="CT46" t="e">
        <f>AND(#REF!,"C0xbyhTKImE=")</f>
        <v>#REF!</v>
      </c>
      <c r="CU46" t="e">
        <f>AND(#REF!,"C0xbyhTKImI=")</f>
        <v>#REF!</v>
      </c>
      <c r="CV46" t="e">
        <f>AND(#REF!,"C0xbyhTKImM=")</f>
        <v>#REF!</v>
      </c>
      <c r="CW46" t="e">
        <f>AND(#REF!,"C0xbyhTKImQ=")</f>
        <v>#REF!</v>
      </c>
      <c r="CX46" t="e">
        <f>AND(#REF!,"C0xbyhTKImU=")</f>
        <v>#REF!</v>
      </c>
      <c r="CY46" t="e">
        <f>AND(#REF!,"C0xbyhTKImY=")</f>
        <v>#REF!</v>
      </c>
      <c r="CZ46" t="e">
        <f>AND(#REF!,"C0xbyhTKImc=")</f>
        <v>#REF!</v>
      </c>
      <c r="DA46" t="e">
        <f>AND(#REF!,"C0xbyhTKImg=")</f>
        <v>#REF!</v>
      </c>
      <c r="DB46" t="e">
        <f>AND(#REF!,"C0xbyhTKImk=")</f>
        <v>#REF!</v>
      </c>
      <c r="DC46" t="e">
        <f>AND(#REF!,"C0xbyhTKImo=")</f>
        <v>#REF!</v>
      </c>
      <c r="DD46" t="e">
        <f>AND(#REF!,"C0xbyhTKIms=")</f>
        <v>#REF!</v>
      </c>
      <c r="DE46" t="e">
        <f>AND(#REF!,"C0xbyhTKImw=")</f>
        <v>#REF!</v>
      </c>
      <c r="DF46" t="e">
        <f>AND(#REF!,"C0xbyhTKIm0=")</f>
        <v>#REF!</v>
      </c>
      <c r="DG46" t="e">
        <f>AND(#REF!,"C0xbyhTKIm4=")</f>
        <v>#REF!</v>
      </c>
      <c r="DH46" t="e">
        <f>AND(#REF!,"C0xbyhTKIm8=")</f>
        <v>#REF!</v>
      </c>
      <c r="DI46" t="e">
        <f>AND(#REF!,"C0xbyhTKInA=")</f>
        <v>#REF!</v>
      </c>
      <c r="DJ46" t="e">
        <f>AND(#REF!,"C0xbyhTKInE=")</f>
        <v>#REF!</v>
      </c>
      <c r="DK46" t="e">
        <f>AND(#REF!,"C0xbyhTKInI=")</f>
        <v>#REF!</v>
      </c>
      <c r="DL46" t="e">
        <f>AND(#REF!,"C0xbyhTKInM=")</f>
        <v>#REF!</v>
      </c>
      <c r="DM46" t="e">
        <f>AND(#REF!,"C0xbyhTKInQ=")</f>
        <v>#REF!</v>
      </c>
      <c r="DN46" t="e">
        <f>AND(#REF!,"C0xbyhTKInU=")</f>
        <v>#REF!</v>
      </c>
      <c r="DO46" t="e">
        <f>AND(#REF!,"C0xbyhTKInY=")</f>
        <v>#REF!</v>
      </c>
      <c r="DP46" t="e">
        <f>AND(#REF!,"C0xbyhTKInc=")</f>
        <v>#REF!</v>
      </c>
      <c r="DQ46" t="e">
        <f>AND(#REF!,"C0xbyhTKIng=")</f>
        <v>#REF!</v>
      </c>
      <c r="DR46" t="e">
        <f>AND(#REF!,"C0xbyhTKInk=")</f>
        <v>#REF!</v>
      </c>
      <c r="DS46" t="e">
        <f>AND(#REF!,"C0xbyhTKIno=")</f>
        <v>#REF!</v>
      </c>
      <c r="DT46" t="e">
        <f>AND(#REF!,"C0xbyhTKIns=")</f>
        <v>#REF!</v>
      </c>
      <c r="DU46" t="e">
        <f>AND(#REF!,"C0xbyhTKInw=")</f>
        <v>#REF!</v>
      </c>
      <c r="DV46" t="e">
        <f>AND(#REF!,"C0xbyhTKIn0=")</f>
        <v>#REF!</v>
      </c>
      <c r="DW46" t="e">
        <f>AND(#REF!,"C0xbyhTKIn4=")</f>
        <v>#REF!</v>
      </c>
      <c r="DX46" t="e">
        <f>AND(#REF!,"C0xbyhTKIn8=")</f>
        <v>#REF!</v>
      </c>
      <c r="DY46" t="e">
        <f>AND(#REF!,"C0xbyhTKIoA=")</f>
        <v>#REF!</v>
      </c>
      <c r="DZ46" t="e">
        <f>AND(#REF!,"C0xbyhTKIoE=")</f>
        <v>#REF!</v>
      </c>
      <c r="EA46" t="e">
        <f>AND(#REF!,"C0xbyhTKIoI=")</f>
        <v>#REF!</v>
      </c>
      <c r="EB46" t="e">
        <f>AND(#REF!,"C0xbyhTKIoM=")</f>
        <v>#REF!</v>
      </c>
      <c r="EC46" t="e">
        <f>AND(#REF!,"C0xbyhTKIoQ=")</f>
        <v>#REF!</v>
      </c>
      <c r="ED46" t="e">
        <f>AND(#REF!,"C0xbyhTKIoU=")</f>
        <v>#REF!</v>
      </c>
      <c r="EE46" t="e">
        <f>AND(#REF!,"C0xbyhTKIoY=")</f>
        <v>#REF!</v>
      </c>
      <c r="EF46" t="e">
        <f>AND(#REF!,"C0xbyhTKIoc=")</f>
        <v>#REF!</v>
      </c>
      <c r="EG46" t="e">
        <f>AND(#REF!,"C0xbyhTKIog=")</f>
        <v>#REF!</v>
      </c>
      <c r="EH46" t="e">
        <f>AND(#REF!,"C0xbyhTKIok=")</f>
        <v>#REF!</v>
      </c>
      <c r="EI46" t="e">
        <f>AND(#REF!,"C0xbyhTKIoo=")</f>
        <v>#REF!</v>
      </c>
      <c r="EJ46" t="e">
        <f>AND(#REF!,"C0xbyhTKIos=")</f>
        <v>#REF!</v>
      </c>
      <c r="EK46" t="e">
        <f>AND(#REF!,"C0xbyhTKIow=")</f>
        <v>#REF!</v>
      </c>
      <c r="EL46" t="e">
        <f>AND(#REF!,"C0xbyhTKIo0=")</f>
        <v>#REF!</v>
      </c>
      <c r="EM46" t="e">
        <f>AND(#REF!,"C0xbyhTKIo4=")</f>
        <v>#REF!</v>
      </c>
      <c r="EN46" t="e">
        <f>AND(#REF!,"C0xbyhTKIo8=")</f>
        <v>#REF!</v>
      </c>
      <c r="EO46" t="e">
        <f>AND(#REF!,"C0xbyhTKIpA=")</f>
        <v>#REF!</v>
      </c>
      <c r="EP46" t="e">
        <f>AND(#REF!,"C0xbyhTKIpE=")</f>
        <v>#REF!</v>
      </c>
      <c r="EQ46" t="e">
        <f>AND(#REF!,"C0xbyhTKIpI=")</f>
        <v>#REF!</v>
      </c>
      <c r="ER46" t="e">
        <f>AND(#REF!,"C0xbyhTKIpM=")</f>
        <v>#REF!</v>
      </c>
      <c r="ES46" t="e">
        <f>AND(#REF!,"C0xbyhTKIpQ=")</f>
        <v>#REF!</v>
      </c>
      <c r="ET46" t="e">
        <f>AND(#REF!,"C0xbyhTKIpU=")</f>
        <v>#REF!</v>
      </c>
      <c r="EU46" t="e">
        <f>AND(#REF!,"C0xbyhTKIpY=")</f>
        <v>#REF!</v>
      </c>
      <c r="EV46" t="e">
        <f>AND(#REF!,"C0xbyhTKIpc=")</f>
        <v>#REF!</v>
      </c>
      <c r="EW46" t="e">
        <f>AND(#REF!,"C0xbyhTKIpg=")</f>
        <v>#REF!</v>
      </c>
      <c r="EX46" t="e">
        <f>AND(#REF!,"C0xbyhTKIpk=")</f>
        <v>#REF!</v>
      </c>
      <c r="EY46" t="e">
        <f>AND(#REF!,"C0xbyhTKIpo=")</f>
        <v>#REF!</v>
      </c>
      <c r="EZ46" t="e">
        <f>AND(#REF!,"C0xbyhTKIps=")</f>
        <v>#REF!</v>
      </c>
      <c r="FA46" t="e">
        <f>AND(#REF!,"C0xbyhTKIpw=")</f>
        <v>#REF!</v>
      </c>
      <c r="FB46" t="e">
        <f>AND(#REF!,"C0xbyhTKIp0=")</f>
        <v>#REF!</v>
      </c>
      <c r="FC46" t="e">
        <f>AND(#REF!,"C0xbyhTKIp4=")</f>
        <v>#REF!</v>
      </c>
      <c r="FD46" t="e">
        <f>AND(#REF!,"C0xbyhTKIp8=")</f>
        <v>#REF!</v>
      </c>
      <c r="FE46" t="e">
        <f>AND(#REF!,"C0xbyhTKIqA=")</f>
        <v>#REF!</v>
      </c>
      <c r="FF46" t="e">
        <f>AND(#REF!,"C0xbyhTKIqE=")</f>
        <v>#REF!</v>
      </c>
      <c r="FG46" t="e">
        <f>AND(#REF!,"C0xbyhTKIqI=")</f>
        <v>#REF!</v>
      </c>
      <c r="FH46" t="e">
        <f>AND(#REF!,"C0xbyhTKIqM=")</f>
        <v>#REF!</v>
      </c>
      <c r="FI46" t="e">
        <f>AND(#REF!,"C0xbyhTKIqQ=")</f>
        <v>#REF!</v>
      </c>
      <c r="FJ46" t="e">
        <f>AND(#REF!,"C0xbyhTKIqU=")</f>
        <v>#REF!</v>
      </c>
      <c r="FK46" t="e">
        <f>AND(#REF!,"C0xbyhTKIqY=")</f>
        <v>#REF!</v>
      </c>
      <c r="FL46" t="e">
        <f>IF(#REF!,"C0xbyhTKIqc=",0)</f>
        <v>#REF!</v>
      </c>
      <c r="FM46" t="e">
        <f>AND(#REF!,"C0xbyhTKIqg=")</f>
        <v>#REF!</v>
      </c>
      <c r="FN46" t="e">
        <f>AND(#REF!,"C0xbyhTKIqk=")</f>
        <v>#REF!</v>
      </c>
      <c r="FO46" t="e">
        <f>AND(#REF!,"C0xbyhTKIqo=")</f>
        <v>#REF!</v>
      </c>
      <c r="FP46" t="e">
        <f>AND(#REF!,"C0xbyhTKIqs=")</f>
        <v>#REF!</v>
      </c>
      <c r="FQ46" t="e">
        <f>AND(#REF!,"C0xbyhTKIqw=")</f>
        <v>#REF!</v>
      </c>
      <c r="FR46" t="e">
        <f>AND(#REF!,"C0xbyhTKIq0=")</f>
        <v>#REF!</v>
      </c>
      <c r="FS46" t="e">
        <f>AND(#REF!,"C0xbyhTKIq4=")</f>
        <v>#REF!</v>
      </c>
      <c r="FT46" t="e">
        <f>AND(#REF!,"C0xbyhTKIq8=")</f>
        <v>#REF!</v>
      </c>
      <c r="FU46" t="e">
        <f>AND(#REF!,"C0xbyhTKIrA=")</f>
        <v>#REF!</v>
      </c>
      <c r="FV46" t="e">
        <f>AND(#REF!,"C0xbyhTKIrE=")</f>
        <v>#REF!</v>
      </c>
      <c r="FW46" t="e">
        <f>AND(#REF!,"C0xbyhTKIrI=")</f>
        <v>#REF!</v>
      </c>
      <c r="FX46" t="e">
        <f>AND(#REF!,"C0xbyhTKIrM=")</f>
        <v>#REF!</v>
      </c>
      <c r="FY46" t="e">
        <f>AND(#REF!,"C0xbyhTKIrQ=")</f>
        <v>#REF!</v>
      </c>
      <c r="FZ46" t="e">
        <f>AND(#REF!,"C0xbyhTKIrU=")</f>
        <v>#REF!</v>
      </c>
      <c r="GA46" t="e">
        <f>AND(#REF!,"C0xbyhTKIrY=")</f>
        <v>#REF!</v>
      </c>
      <c r="GB46" t="e">
        <f>AND(#REF!,"C0xbyhTKIrc=")</f>
        <v>#REF!</v>
      </c>
      <c r="GC46" t="e">
        <f>AND(#REF!,"C0xbyhTKIrg=")</f>
        <v>#REF!</v>
      </c>
      <c r="GD46" t="e">
        <f>AND(#REF!,"C0xbyhTKIrk=")</f>
        <v>#REF!</v>
      </c>
      <c r="GE46" t="e">
        <f>AND(#REF!,"C0xbyhTKIro=")</f>
        <v>#REF!</v>
      </c>
      <c r="GF46" t="e">
        <f>AND(#REF!,"C0xbyhTKIrs=")</f>
        <v>#REF!</v>
      </c>
      <c r="GG46" t="e">
        <f>AND(#REF!,"C0xbyhTKIrw=")</f>
        <v>#REF!</v>
      </c>
      <c r="GH46" t="e">
        <f>AND(#REF!,"C0xbyhTKIr0=")</f>
        <v>#REF!</v>
      </c>
      <c r="GI46" t="e">
        <f>AND(#REF!,"C0xbyhTKIr4=")</f>
        <v>#REF!</v>
      </c>
      <c r="GJ46" t="e">
        <f>AND(#REF!,"C0xbyhTKIr8=")</f>
        <v>#REF!</v>
      </c>
      <c r="GK46" t="e">
        <f>AND(#REF!,"C0xbyhTKIsA=")</f>
        <v>#REF!</v>
      </c>
      <c r="GL46" t="e">
        <f>AND(#REF!,"C0xbyhTKIsE=")</f>
        <v>#REF!</v>
      </c>
      <c r="GM46" t="e">
        <f>AND(#REF!,"C0xbyhTKIsI=")</f>
        <v>#REF!</v>
      </c>
      <c r="GN46" t="e">
        <f>AND(#REF!,"C0xbyhTKIsM=")</f>
        <v>#REF!</v>
      </c>
      <c r="GO46" t="e">
        <f>AND(#REF!,"C0xbyhTKIsQ=")</f>
        <v>#REF!</v>
      </c>
      <c r="GP46" t="e">
        <f>AND(#REF!,"C0xbyhTKIsU=")</f>
        <v>#REF!</v>
      </c>
      <c r="GQ46" t="e">
        <f>AND(#REF!,"C0xbyhTKIsY=")</f>
        <v>#REF!</v>
      </c>
      <c r="GR46" t="e">
        <f>AND(#REF!,"C0xbyhTKIsc=")</f>
        <v>#REF!</v>
      </c>
      <c r="GS46" t="e">
        <f>AND(#REF!,"C0xbyhTKIsg=")</f>
        <v>#REF!</v>
      </c>
      <c r="GT46" t="e">
        <f>AND(#REF!,"C0xbyhTKIsk=")</f>
        <v>#REF!</v>
      </c>
      <c r="GU46" t="e">
        <f>AND(#REF!,"C0xbyhTKIso=")</f>
        <v>#REF!</v>
      </c>
      <c r="GV46" t="e">
        <f>AND(#REF!,"C0xbyhTKIss=")</f>
        <v>#REF!</v>
      </c>
      <c r="GW46" t="e">
        <f>AND(#REF!,"C0xbyhTKIsw=")</f>
        <v>#REF!</v>
      </c>
      <c r="GX46" t="e">
        <f>AND(#REF!,"C0xbyhTKIs0=")</f>
        <v>#REF!</v>
      </c>
      <c r="GY46" t="e">
        <f>AND(#REF!,"C0xbyhTKIs4=")</f>
        <v>#REF!</v>
      </c>
      <c r="GZ46" t="e">
        <f>AND(#REF!,"C0xbyhTKIs8=")</f>
        <v>#REF!</v>
      </c>
      <c r="HA46" t="e">
        <f>AND(#REF!,"C0xbyhTKItA=")</f>
        <v>#REF!</v>
      </c>
      <c r="HB46" t="e">
        <f>AND(#REF!,"C0xbyhTKItE=")</f>
        <v>#REF!</v>
      </c>
      <c r="HC46" t="e">
        <f>AND(#REF!,"C0xbyhTKItI=")</f>
        <v>#REF!</v>
      </c>
      <c r="HD46" t="e">
        <f>AND(#REF!,"C0xbyhTKItM=")</f>
        <v>#REF!</v>
      </c>
      <c r="HE46" t="e">
        <f>AND(#REF!,"C0xbyhTKItQ=")</f>
        <v>#REF!</v>
      </c>
      <c r="HF46" t="e">
        <f>AND(#REF!,"C0xbyhTKItU=")</f>
        <v>#REF!</v>
      </c>
      <c r="HG46" t="e">
        <f>AND(#REF!,"C0xbyhTKItY=")</f>
        <v>#REF!</v>
      </c>
      <c r="HH46" t="e">
        <f>AND(#REF!,"C0xbyhTKItc=")</f>
        <v>#REF!</v>
      </c>
      <c r="HI46" t="e">
        <f>AND(#REF!,"C0xbyhTKItg=")</f>
        <v>#REF!</v>
      </c>
      <c r="HJ46" t="e">
        <f>AND(#REF!,"C0xbyhTKItk=")</f>
        <v>#REF!</v>
      </c>
      <c r="HK46" t="e">
        <f>AND(#REF!,"C0xbyhTKIto=")</f>
        <v>#REF!</v>
      </c>
      <c r="HL46" t="e">
        <f>AND(#REF!,"C0xbyhTKIts=")</f>
        <v>#REF!</v>
      </c>
      <c r="HM46" t="e">
        <f>AND(#REF!,"C0xbyhTKItw=")</f>
        <v>#REF!</v>
      </c>
      <c r="HN46" t="e">
        <f>AND(#REF!,"C0xbyhTKIt0=")</f>
        <v>#REF!</v>
      </c>
      <c r="HO46" t="e">
        <f>AND(#REF!,"C0xbyhTKIt4=")</f>
        <v>#REF!</v>
      </c>
      <c r="HP46" t="e">
        <f>AND(#REF!,"C0xbyhTKIt8=")</f>
        <v>#REF!</v>
      </c>
      <c r="HQ46" t="e">
        <f>AND(#REF!,"C0xbyhTKIuA=")</f>
        <v>#REF!</v>
      </c>
      <c r="HR46" t="e">
        <f>AND(#REF!,"C0xbyhTKIuE=")</f>
        <v>#REF!</v>
      </c>
      <c r="HS46" t="e">
        <f>AND(#REF!,"C0xbyhTKIuI=")</f>
        <v>#REF!</v>
      </c>
      <c r="HT46" t="e">
        <f>AND(#REF!,"C0xbyhTKIuM=")</f>
        <v>#REF!</v>
      </c>
      <c r="HU46" t="e">
        <f>AND(#REF!,"C0xbyhTKIuQ=")</f>
        <v>#REF!</v>
      </c>
      <c r="HV46" t="e">
        <f>AND(#REF!,"C0xbyhTKIuU=")</f>
        <v>#REF!</v>
      </c>
      <c r="HW46" t="e">
        <f>AND(#REF!,"C0xbyhTKIuY=")</f>
        <v>#REF!</v>
      </c>
      <c r="HX46" t="e">
        <f>AND(#REF!,"C0xbyhTKIuc=")</f>
        <v>#REF!</v>
      </c>
      <c r="HY46" t="e">
        <f>AND(#REF!,"C0xbyhTKIug=")</f>
        <v>#REF!</v>
      </c>
      <c r="HZ46" t="e">
        <f>AND(#REF!,"C0xbyhTKIuk=")</f>
        <v>#REF!</v>
      </c>
      <c r="IA46" t="e">
        <f>AND(#REF!,"C0xbyhTKIuo=")</f>
        <v>#REF!</v>
      </c>
      <c r="IB46" t="e">
        <f>AND(#REF!,"C0xbyhTKIus=")</f>
        <v>#REF!</v>
      </c>
      <c r="IC46" t="e">
        <f>AND(#REF!,"C0xbyhTKIuw=")</f>
        <v>#REF!</v>
      </c>
      <c r="ID46" t="e">
        <f>AND(#REF!,"C0xbyhTKIu0=")</f>
        <v>#REF!</v>
      </c>
      <c r="IE46" t="e">
        <f>AND(#REF!,"C0xbyhTKIu4=")</f>
        <v>#REF!</v>
      </c>
      <c r="IF46" t="e">
        <f>AND(#REF!,"C0xbyhTKIu8=")</f>
        <v>#REF!</v>
      </c>
      <c r="IG46" t="e">
        <f>AND(#REF!,"C0xbyhTKIvA=")</f>
        <v>#REF!</v>
      </c>
      <c r="IH46" t="e">
        <f>AND(#REF!,"C0xbyhTKIvE=")</f>
        <v>#REF!</v>
      </c>
      <c r="II46" t="e">
        <f>AND(#REF!,"C0xbyhTKIvI=")</f>
        <v>#REF!</v>
      </c>
      <c r="IJ46" t="e">
        <f>AND(#REF!,"C0xbyhTKIvM=")</f>
        <v>#REF!</v>
      </c>
      <c r="IK46" t="e">
        <f>AND(#REF!,"C0xbyhTKIvQ=")</f>
        <v>#REF!</v>
      </c>
      <c r="IL46" t="e">
        <f>AND(#REF!,"C0xbyhTKIvU=")</f>
        <v>#REF!</v>
      </c>
      <c r="IM46" t="e">
        <f>AND(#REF!,"C0xbyhTKIvY=")</f>
        <v>#REF!</v>
      </c>
      <c r="IN46" t="e">
        <f>AND(#REF!,"C0xbyhTKIvc=")</f>
        <v>#REF!</v>
      </c>
      <c r="IO46" t="e">
        <f>AND(#REF!,"C0xbyhTKIvg=")</f>
        <v>#REF!</v>
      </c>
      <c r="IP46" t="e">
        <f>AND(#REF!,"C0xbyhTKIvk=")</f>
        <v>#REF!</v>
      </c>
      <c r="IQ46" t="e">
        <f>AND(#REF!,"C0xbyhTKIvo=")</f>
        <v>#REF!</v>
      </c>
      <c r="IR46" t="e">
        <f>AND(#REF!,"C0xbyhTKIvs=")</f>
        <v>#REF!</v>
      </c>
      <c r="IS46" t="e">
        <f>AND(#REF!,"C0xbyhTKIvw=")</f>
        <v>#REF!</v>
      </c>
      <c r="IT46" t="e">
        <f>AND(#REF!,"C0xbyhTKIv0=")</f>
        <v>#REF!</v>
      </c>
      <c r="IU46" t="e">
        <f>AND(#REF!,"C0xbyhTKIv4=")</f>
        <v>#REF!</v>
      </c>
      <c r="IV46" t="e">
        <f>AND(#REF!,"C0xbyhTKIv8=")</f>
        <v>#REF!</v>
      </c>
    </row>
    <row r="47" spans="1:256" x14ac:dyDescent="0.2">
      <c r="A47" t="e">
        <f>AND(#REF!,"GhfGyRIAowA=")</f>
        <v>#REF!</v>
      </c>
      <c r="B47" t="e">
        <f>AND(#REF!,"GhfGyRIAowE=")</f>
        <v>#REF!</v>
      </c>
      <c r="C47" t="e">
        <f>AND(#REF!,"GhfGyRIAowI=")</f>
        <v>#REF!</v>
      </c>
      <c r="D47" t="e">
        <f>AND(#REF!,"GhfGyRIAowM=")</f>
        <v>#REF!</v>
      </c>
      <c r="E47" t="e">
        <f>AND(#REF!,"GhfGyRIAowQ=")</f>
        <v>#REF!</v>
      </c>
      <c r="F47" t="e">
        <f>AND(#REF!,"GhfGyRIAowU=")</f>
        <v>#REF!</v>
      </c>
      <c r="G47" t="e">
        <f>AND(#REF!,"GhfGyRIAowY=")</f>
        <v>#REF!</v>
      </c>
      <c r="H47" t="e">
        <f>AND(#REF!,"GhfGyRIAowc=")</f>
        <v>#REF!</v>
      </c>
      <c r="I47" t="e">
        <f>AND(#REF!,"GhfGyRIAowg=")</f>
        <v>#REF!</v>
      </c>
      <c r="J47" t="e">
        <f>AND(#REF!,"GhfGyRIAowk=")</f>
        <v>#REF!</v>
      </c>
      <c r="K47" t="e">
        <f>AND(#REF!,"GhfGyRIAowo=")</f>
        <v>#REF!</v>
      </c>
      <c r="L47" t="e">
        <f>AND(#REF!,"GhfGyRIAows=")</f>
        <v>#REF!</v>
      </c>
      <c r="M47" t="e">
        <f>AND(#REF!,"GhfGyRIAoww=")</f>
        <v>#REF!</v>
      </c>
      <c r="N47" t="e">
        <f>AND(#REF!,"GhfGyRIAow0=")</f>
        <v>#REF!</v>
      </c>
      <c r="O47" t="e">
        <f>AND(#REF!,"GhfGyRIAow4=")</f>
        <v>#REF!</v>
      </c>
      <c r="P47" t="e">
        <f>AND(#REF!,"GhfGyRIAow8=")</f>
        <v>#REF!</v>
      </c>
      <c r="Q47" t="e">
        <f>AND(#REF!,"GhfGyRIAoxA=")</f>
        <v>#REF!</v>
      </c>
      <c r="R47" t="e">
        <f>AND(#REF!,"GhfGyRIAoxE=")</f>
        <v>#REF!</v>
      </c>
      <c r="S47" t="e">
        <f>AND(#REF!,"GhfGyRIAoxI=")</f>
        <v>#REF!</v>
      </c>
      <c r="T47" t="e">
        <f>AND(#REF!,"GhfGyRIAoxM=")</f>
        <v>#REF!</v>
      </c>
      <c r="U47" t="e">
        <f>AND(#REF!,"GhfGyRIAoxQ=")</f>
        <v>#REF!</v>
      </c>
      <c r="V47" t="e">
        <f>AND(#REF!,"GhfGyRIAoxU=")</f>
        <v>#REF!</v>
      </c>
      <c r="W47" t="e">
        <f>AND(#REF!,"GhfGyRIAoxY=")</f>
        <v>#REF!</v>
      </c>
      <c r="X47" t="e">
        <f>AND(#REF!,"GhfGyRIAoxc=")</f>
        <v>#REF!</v>
      </c>
      <c r="Y47" t="e">
        <f>AND(#REF!,"GhfGyRIAoxg=")</f>
        <v>#REF!</v>
      </c>
      <c r="Z47" t="e">
        <f>AND(#REF!,"GhfGyRIAoxk=")</f>
        <v>#REF!</v>
      </c>
      <c r="AA47" t="e">
        <f>AND(#REF!,"GhfGyRIAoxo=")</f>
        <v>#REF!</v>
      </c>
      <c r="AB47" t="e">
        <f>AND(#REF!,"GhfGyRIAoxs=")</f>
        <v>#REF!</v>
      </c>
      <c r="AC47" t="e">
        <f>AND(#REF!,"GhfGyRIAoxw=")</f>
        <v>#REF!</v>
      </c>
      <c r="AD47" t="e">
        <f>AND(#REF!,"GhfGyRIAox0=")</f>
        <v>#REF!</v>
      </c>
      <c r="AE47" t="e">
        <f>AND(#REF!,"GhfGyRIAox4=")</f>
        <v>#REF!</v>
      </c>
      <c r="AF47" t="e">
        <f>AND(#REF!,"GhfGyRIAox8=")</f>
        <v>#REF!</v>
      </c>
      <c r="AG47" t="e">
        <f>AND(#REF!,"GhfGyRIAoyA=")</f>
        <v>#REF!</v>
      </c>
      <c r="AH47" t="e">
        <f>AND(#REF!,"GhfGyRIAoyE=")</f>
        <v>#REF!</v>
      </c>
      <c r="AI47" t="e">
        <f>AND(#REF!,"GhfGyRIAoyI=")</f>
        <v>#REF!</v>
      </c>
      <c r="AJ47" t="e">
        <f>AND(#REF!,"GhfGyRIAoyM=")</f>
        <v>#REF!</v>
      </c>
      <c r="AK47" t="e">
        <f>AND(#REF!,"GhfGyRIAoyQ=")</f>
        <v>#REF!</v>
      </c>
      <c r="AL47" t="e">
        <f>AND(#REF!,"GhfGyRIAoyU=")</f>
        <v>#REF!</v>
      </c>
      <c r="AM47" t="e">
        <f>AND(#REF!,"GhfGyRIAoyY=")</f>
        <v>#REF!</v>
      </c>
      <c r="AN47" t="e">
        <f>AND(#REF!,"GhfGyRIAoyc=")</f>
        <v>#REF!</v>
      </c>
      <c r="AO47" t="e">
        <f>AND(#REF!,"GhfGyRIAoyg=")</f>
        <v>#REF!</v>
      </c>
      <c r="AP47" t="e">
        <f>AND(#REF!,"GhfGyRIAoyk=")</f>
        <v>#REF!</v>
      </c>
      <c r="AQ47" t="e">
        <f>AND(#REF!,"GhfGyRIAoyo=")</f>
        <v>#REF!</v>
      </c>
      <c r="AR47" t="e">
        <f>AND(#REF!,"GhfGyRIAoys=")</f>
        <v>#REF!</v>
      </c>
      <c r="AS47" t="e">
        <f>AND(#REF!,"GhfGyRIAoyw=")</f>
        <v>#REF!</v>
      </c>
      <c r="AT47" t="e">
        <f>AND(#REF!,"GhfGyRIAoy0=")</f>
        <v>#REF!</v>
      </c>
      <c r="AU47" t="e">
        <f>AND(#REF!,"GhfGyRIAoy4=")</f>
        <v>#REF!</v>
      </c>
      <c r="AV47" t="e">
        <f>AND(#REF!,"GhfGyRIAoy8=")</f>
        <v>#REF!</v>
      </c>
      <c r="AW47" t="e">
        <f>AND(#REF!,"GhfGyRIAozA=")</f>
        <v>#REF!</v>
      </c>
      <c r="AX47" t="e">
        <f>AND(#REF!,"GhfGyRIAozE=")</f>
        <v>#REF!</v>
      </c>
      <c r="AY47" t="e">
        <f>AND(#REF!,"GhfGyRIAozI=")</f>
        <v>#REF!</v>
      </c>
      <c r="AZ47" t="e">
        <f>AND(#REF!,"GhfGyRIAozM=")</f>
        <v>#REF!</v>
      </c>
      <c r="BA47" t="e">
        <f>AND(#REF!,"GhfGyRIAozQ=")</f>
        <v>#REF!</v>
      </c>
      <c r="BB47" t="e">
        <f>AND(#REF!,"GhfGyRIAozU=")</f>
        <v>#REF!</v>
      </c>
      <c r="BC47" t="e">
        <f>AND(#REF!,"GhfGyRIAozY=")</f>
        <v>#REF!</v>
      </c>
      <c r="BD47" t="e">
        <f>AND(#REF!,"GhfGyRIAozc=")</f>
        <v>#REF!</v>
      </c>
      <c r="BE47" t="e">
        <f>AND(#REF!,"GhfGyRIAozg=")</f>
        <v>#REF!</v>
      </c>
      <c r="BF47" t="e">
        <f>AND(#REF!,"GhfGyRIAozk=")</f>
        <v>#REF!</v>
      </c>
      <c r="BG47" t="e">
        <f>AND(#REF!,"GhfGyRIAozo=")</f>
        <v>#REF!</v>
      </c>
      <c r="BH47" t="e">
        <f>AND(#REF!,"GhfGyRIAozs=")</f>
        <v>#REF!</v>
      </c>
      <c r="BI47" t="e">
        <f>AND(#REF!,"GhfGyRIAozw=")</f>
        <v>#REF!</v>
      </c>
      <c r="BJ47" t="e">
        <f>AND(#REF!,"GhfGyRIAoz0=")</f>
        <v>#REF!</v>
      </c>
      <c r="BK47" t="e">
        <f>AND(#REF!,"GhfGyRIAoz4=")</f>
        <v>#REF!</v>
      </c>
      <c r="BL47" t="e">
        <f>AND(#REF!,"GhfGyRIAoz8=")</f>
        <v>#REF!</v>
      </c>
      <c r="BM47" t="e">
        <f>AND(#REF!,"GhfGyRIAo0A=")</f>
        <v>#REF!</v>
      </c>
      <c r="BN47" t="e">
        <f>AND(#REF!,"GhfGyRIAo0E=")</f>
        <v>#REF!</v>
      </c>
      <c r="BO47" t="e">
        <f>AND(#REF!,"GhfGyRIAo0I=")</f>
        <v>#REF!</v>
      </c>
      <c r="BP47" t="e">
        <f>AND(#REF!,"GhfGyRIAo0M=")</f>
        <v>#REF!</v>
      </c>
      <c r="BQ47" t="e">
        <f>AND(#REF!,"GhfGyRIAo0Q=")</f>
        <v>#REF!</v>
      </c>
      <c r="BR47" t="e">
        <f>AND(#REF!,"GhfGyRIAo0U=")</f>
        <v>#REF!</v>
      </c>
      <c r="BS47" t="e">
        <f>AND(#REF!,"GhfGyRIAo0Y=")</f>
        <v>#REF!</v>
      </c>
      <c r="BT47" t="e">
        <f>AND(#REF!,"GhfGyRIAo0c=")</f>
        <v>#REF!</v>
      </c>
      <c r="BU47" t="e">
        <f>AND(#REF!,"GhfGyRIAo0g=")</f>
        <v>#REF!</v>
      </c>
      <c r="BV47" t="e">
        <f>AND(#REF!,"GhfGyRIAo0k=")</f>
        <v>#REF!</v>
      </c>
      <c r="BW47" t="e">
        <f>AND(#REF!,"GhfGyRIAo0o=")</f>
        <v>#REF!</v>
      </c>
      <c r="BX47" t="e">
        <f>AND(#REF!,"GhfGyRIAo0s=")</f>
        <v>#REF!</v>
      </c>
      <c r="BY47" t="e">
        <f>AND(#REF!,"GhfGyRIAo0w=")</f>
        <v>#REF!</v>
      </c>
      <c r="BZ47" t="e">
        <f>AND(#REF!,"GhfGyRIAo00=")</f>
        <v>#REF!</v>
      </c>
      <c r="CA47" t="e">
        <f>AND(#REF!,"GhfGyRIAo04=")</f>
        <v>#REF!</v>
      </c>
      <c r="CB47" t="e">
        <f>AND(#REF!,"GhfGyRIAo08=")</f>
        <v>#REF!</v>
      </c>
      <c r="CC47" t="e">
        <f>AND(#REF!,"GhfGyRIAo1A=")</f>
        <v>#REF!</v>
      </c>
      <c r="CD47" t="e">
        <f>AND(#REF!,"GhfGyRIAo1E=")</f>
        <v>#REF!</v>
      </c>
      <c r="CE47" t="e">
        <f>AND(#REF!,"GhfGyRIAo1I=")</f>
        <v>#REF!</v>
      </c>
      <c r="CF47" t="e">
        <f>AND(#REF!,"GhfGyRIAo1M=")</f>
        <v>#REF!</v>
      </c>
      <c r="CG47" t="e">
        <f>AND(#REF!,"GhfGyRIAo1Q=")</f>
        <v>#REF!</v>
      </c>
      <c r="CH47" t="e">
        <f>AND(#REF!,"GhfGyRIAo1U=")</f>
        <v>#REF!</v>
      </c>
      <c r="CI47" t="e">
        <f>AND(#REF!,"GhfGyRIAo1Y=")</f>
        <v>#REF!</v>
      </c>
      <c r="CJ47" t="e">
        <f>AND(#REF!,"GhfGyRIAo1c=")</f>
        <v>#REF!</v>
      </c>
      <c r="CK47" t="e">
        <f>AND(#REF!,"GhfGyRIAo1g=")</f>
        <v>#REF!</v>
      </c>
      <c r="CL47" t="e">
        <f>AND(#REF!,"GhfGyRIAo1k=")</f>
        <v>#REF!</v>
      </c>
      <c r="CM47" t="e">
        <f>AND(#REF!,"GhfGyRIAo1o=")</f>
        <v>#REF!</v>
      </c>
      <c r="CN47" t="e">
        <f>AND(#REF!,"GhfGyRIAo1s=")</f>
        <v>#REF!</v>
      </c>
      <c r="CO47" t="e">
        <f>AND(#REF!,"GhfGyRIAo1w=")</f>
        <v>#REF!</v>
      </c>
      <c r="CP47" t="e">
        <f>AND(#REF!,"GhfGyRIAo10=")</f>
        <v>#REF!</v>
      </c>
      <c r="CQ47" t="e">
        <f>AND(#REF!,"GhfGyRIAo14=")</f>
        <v>#REF!</v>
      </c>
      <c r="CR47" t="e">
        <f>AND(#REF!,"GhfGyRIAo18=")</f>
        <v>#REF!</v>
      </c>
      <c r="CS47" t="e">
        <f>AND(#REF!,"GhfGyRIAo2A=")</f>
        <v>#REF!</v>
      </c>
      <c r="CT47" t="e">
        <f>AND(#REF!,"GhfGyRIAo2E=")</f>
        <v>#REF!</v>
      </c>
      <c r="CU47" t="e">
        <f>AND(#REF!,"GhfGyRIAo2I=")</f>
        <v>#REF!</v>
      </c>
      <c r="CV47" t="e">
        <f>AND(#REF!,"GhfGyRIAo2M=")</f>
        <v>#REF!</v>
      </c>
      <c r="CW47" t="e">
        <f>AND(#REF!,"GhfGyRIAo2Q=")</f>
        <v>#REF!</v>
      </c>
      <c r="CX47" t="e">
        <f>AND(#REF!,"GhfGyRIAo2U=")</f>
        <v>#REF!</v>
      </c>
      <c r="CY47" t="e">
        <f>AND(#REF!,"GhfGyRIAo2Y=")</f>
        <v>#REF!</v>
      </c>
      <c r="CZ47" t="e">
        <f>AND(#REF!,"GhfGyRIAo2c=")</f>
        <v>#REF!</v>
      </c>
      <c r="DA47" t="e">
        <f>AND(#REF!,"GhfGyRIAo2g=")</f>
        <v>#REF!</v>
      </c>
      <c r="DB47" t="e">
        <f>AND(#REF!,"GhfGyRIAo2k=")</f>
        <v>#REF!</v>
      </c>
      <c r="DC47" t="e">
        <f>AND(#REF!,"GhfGyRIAo2o=")</f>
        <v>#REF!</v>
      </c>
      <c r="DD47" t="e">
        <f>AND(#REF!,"GhfGyRIAo2s=")</f>
        <v>#REF!</v>
      </c>
      <c r="DE47" t="e">
        <f>AND(#REF!,"GhfGyRIAo2w=")</f>
        <v>#REF!</v>
      </c>
      <c r="DF47" t="e">
        <f>AND(#REF!,"GhfGyRIAo20=")</f>
        <v>#REF!</v>
      </c>
      <c r="DG47" t="e">
        <f>IF(#REF!,"GhfGyRIAo24=",0)</f>
        <v>#REF!</v>
      </c>
      <c r="DH47" t="e">
        <f>AND(#REF!,"GhfGyRIAo28=")</f>
        <v>#REF!</v>
      </c>
      <c r="DI47" t="e">
        <f>AND(#REF!,"GhfGyRIAo3A=")</f>
        <v>#REF!</v>
      </c>
      <c r="DJ47" t="e">
        <f>AND(#REF!,"GhfGyRIAo3E=")</f>
        <v>#REF!</v>
      </c>
      <c r="DK47" t="e">
        <f>AND(#REF!,"GhfGyRIAo3I=")</f>
        <v>#REF!</v>
      </c>
      <c r="DL47" t="e">
        <f>AND(#REF!,"GhfGyRIAo3M=")</f>
        <v>#REF!</v>
      </c>
      <c r="DM47" t="e">
        <f>AND(#REF!,"GhfGyRIAo3Q=")</f>
        <v>#REF!</v>
      </c>
      <c r="DN47" t="e">
        <f>AND(#REF!,"GhfGyRIAo3U=")</f>
        <v>#REF!</v>
      </c>
      <c r="DO47" t="e">
        <f>AND(#REF!,"GhfGyRIAo3Y=")</f>
        <v>#REF!</v>
      </c>
      <c r="DP47" t="e">
        <f>AND(#REF!,"GhfGyRIAo3c=")</f>
        <v>#REF!</v>
      </c>
      <c r="DQ47" t="e">
        <f>AND(#REF!,"GhfGyRIAo3g=")</f>
        <v>#REF!</v>
      </c>
      <c r="DR47" t="e">
        <f>AND(#REF!,"GhfGyRIAo3k=")</f>
        <v>#REF!</v>
      </c>
      <c r="DS47" t="e">
        <f>AND(#REF!,"GhfGyRIAo3o=")</f>
        <v>#REF!</v>
      </c>
      <c r="DT47" t="e">
        <f>AND(#REF!,"GhfGyRIAo3s=")</f>
        <v>#REF!</v>
      </c>
      <c r="DU47" t="e">
        <f>AND(#REF!,"GhfGyRIAo3w=")</f>
        <v>#REF!</v>
      </c>
      <c r="DV47" t="e">
        <f>AND(#REF!,"GhfGyRIAo30=")</f>
        <v>#REF!</v>
      </c>
      <c r="DW47" t="e">
        <f>AND(#REF!,"GhfGyRIAo34=")</f>
        <v>#REF!</v>
      </c>
      <c r="DX47" t="e">
        <f>AND(#REF!,"GhfGyRIAo38=")</f>
        <v>#REF!</v>
      </c>
      <c r="DY47" t="e">
        <f>AND(#REF!,"GhfGyRIAo4A=")</f>
        <v>#REF!</v>
      </c>
      <c r="DZ47" t="e">
        <f>AND(#REF!,"GhfGyRIAo4E=")</f>
        <v>#REF!</v>
      </c>
      <c r="EA47" t="e">
        <f>AND(#REF!,"GhfGyRIAo4I=")</f>
        <v>#REF!</v>
      </c>
      <c r="EB47" t="e">
        <f>AND(#REF!,"GhfGyRIAo4M=")</f>
        <v>#REF!</v>
      </c>
      <c r="EC47" t="e">
        <f>AND(#REF!,"GhfGyRIAo4Q=")</f>
        <v>#REF!</v>
      </c>
      <c r="ED47" t="e">
        <f>AND(#REF!,"GhfGyRIAo4U=")</f>
        <v>#REF!</v>
      </c>
      <c r="EE47" t="e">
        <f>AND(#REF!,"GhfGyRIAo4Y=")</f>
        <v>#REF!</v>
      </c>
      <c r="EF47" t="e">
        <f>AND(#REF!,"GhfGyRIAo4c=")</f>
        <v>#REF!</v>
      </c>
      <c r="EG47" t="e">
        <f>AND(#REF!,"GhfGyRIAo4g=")</f>
        <v>#REF!</v>
      </c>
      <c r="EH47" t="e">
        <f>AND(#REF!,"GhfGyRIAo4k=")</f>
        <v>#REF!</v>
      </c>
      <c r="EI47" t="e">
        <f>AND(#REF!,"GhfGyRIAo4o=")</f>
        <v>#REF!</v>
      </c>
      <c r="EJ47" t="e">
        <f>AND(#REF!,"GhfGyRIAo4s=")</f>
        <v>#REF!</v>
      </c>
      <c r="EK47" t="e">
        <f>AND(#REF!,"GhfGyRIAo4w=")</f>
        <v>#REF!</v>
      </c>
      <c r="EL47" t="e">
        <f>AND(#REF!,"GhfGyRIAo40=")</f>
        <v>#REF!</v>
      </c>
      <c r="EM47" t="e">
        <f>AND(#REF!,"GhfGyRIAo44=")</f>
        <v>#REF!</v>
      </c>
      <c r="EN47" t="e">
        <f>AND(#REF!,"GhfGyRIAo48=")</f>
        <v>#REF!</v>
      </c>
      <c r="EO47" t="e">
        <f>AND(#REF!,"GhfGyRIAo5A=")</f>
        <v>#REF!</v>
      </c>
      <c r="EP47" t="e">
        <f>AND(#REF!,"GhfGyRIAo5E=")</f>
        <v>#REF!</v>
      </c>
      <c r="EQ47" t="e">
        <f>AND(#REF!,"GhfGyRIAo5I=")</f>
        <v>#REF!</v>
      </c>
      <c r="ER47" t="e">
        <f>AND(#REF!,"GhfGyRIAo5M=")</f>
        <v>#REF!</v>
      </c>
      <c r="ES47" t="e">
        <f>AND(#REF!,"GhfGyRIAo5Q=")</f>
        <v>#REF!</v>
      </c>
      <c r="ET47" t="e">
        <f>AND(#REF!,"GhfGyRIAo5U=")</f>
        <v>#REF!</v>
      </c>
      <c r="EU47" t="e">
        <f>AND(#REF!,"GhfGyRIAo5Y=")</f>
        <v>#REF!</v>
      </c>
      <c r="EV47" t="e">
        <f>AND(#REF!,"GhfGyRIAo5c=")</f>
        <v>#REF!</v>
      </c>
      <c r="EW47" t="e">
        <f>AND(#REF!,"GhfGyRIAo5g=")</f>
        <v>#REF!</v>
      </c>
      <c r="EX47" t="e">
        <f>AND(#REF!,"GhfGyRIAo5k=")</f>
        <v>#REF!</v>
      </c>
      <c r="EY47" t="e">
        <f>AND(#REF!,"GhfGyRIAo5o=")</f>
        <v>#REF!</v>
      </c>
      <c r="EZ47" t="e">
        <f>AND(#REF!,"GhfGyRIAo5s=")</f>
        <v>#REF!</v>
      </c>
      <c r="FA47" t="e">
        <f>AND(#REF!,"GhfGyRIAo5w=")</f>
        <v>#REF!</v>
      </c>
      <c r="FB47" t="e">
        <f>AND(#REF!,"GhfGyRIAo50=")</f>
        <v>#REF!</v>
      </c>
      <c r="FC47" t="e">
        <f>AND(#REF!,"GhfGyRIAo54=")</f>
        <v>#REF!</v>
      </c>
      <c r="FD47" t="e">
        <f>AND(#REF!,"GhfGyRIAo58=")</f>
        <v>#REF!</v>
      </c>
      <c r="FE47" t="e">
        <f>AND(#REF!,"GhfGyRIAo6A=")</f>
        <v>#REF!</v>
      </c>
      <c r="FF47" t="e">
        <f>AND(#REF!,"GhfGyRIAo6E=")</f>
        <v>#REF!</v>
      </c>
      <c r="FG47" t="e">
        <f>AND(#REF!,"GhfGyRIAo6I=")</f>
        <v>#REF!</v>
      </c>
      <c r="FH47" t="e">
        <f>AND(#REF!,"GhfGyRIAo6M=")</f>
        <v>#REF!</v>
      </c>
      <c r="FI47" t="e">
        <f>AND(#REF!,"GhfGyRIAo6Q=")</f>
        <v>#REF!</v>
      </c>
      <c r="FJ47" t="e">
        <f>AND(#REF!,"GhfGyRIAo6U=")</f>
        <v>#REF!</v>
      </c>
      <c r="FK47" t="e">
        <f>AND(#REF!,"GhfGyRIAo6Y=")</f>
        <v>#REF!</v>
      </c>
      <c r="FL47" t="e">
        <f>AND(#REF!,"GhfGyRIAo6c=")</f>
        <v>#REF!</v>
      </c>
      <c r="FM47" t="e">
        <f>AND(#REF!,"GhfGyRIAo6g=")</f>
        <v>#REF!</v>
      </c>
      <c r="FN47" t="e">
        <f>AND(#REF!,"GhfGyRIAo6k=")</f>
        <v>#REF!</v>
      </c>
      <c r="FO47" t="e">
        <f>AND(#REF!,"GhfGyRIAo6o=")</f>
        <v>#REF!</v>
      </c>
      <c r="FP47" t="e">
        <f>AND(#REF!,"GhfGyRIAo6s=")</f>
        <v>#REF!</v>
      </c>
      <c r="FQ47" t="e">
        <f>AND(#REF!,"GhfGyRIAo6w=")</f>
        <v>#REF!</v>
      </c>
      <c r="FR47" t="e">
        <f>AND(#REF!,"GhfGyRIAo60=")</f>
        <v>#REF!</v>
      </c>
      <c r="FS47" t="e">
        <f>AND(#REF!,"GhfGyRIAo64=")</f>
        <v>#REF!</v>
      </c>
      <c r="FT47" t="e">
        <f>AND(#REF!,"GhfGyRIAo68=")</f>
        <v>#REF!</v>
      </c>
      <c r="FU47" t="e">
        <f>AND(#REF!,"GhfGyRIAo7A=")</f>
        <v>#REF!</v>
      </c>
      <c r="FV47" t="e">
        <f>AND(#REF!,"GhfGyRIAo7E=")</f>
        <v>#REF!</v>
      </c>
      <c r="FW47" t="e">
        <f>AND(#REF!,"GhfGyRIAo7I=")</f>
        <v>#REF!</v>
      </c>
      <c r="FX47" t="e">
        <f>AND(#REF!,"GhfGyRIAo7M=")</f>
        <v>#REF!</v>
      </c>
      <c r="FY47" t="e">
        <f>AND(#REF!,"GhfGyRIAo7Q=")</f>
        <v>#REF!</v>
      </c>
      <c r="FZ47" t="e">
        <f>AND(#REF!,"GhfGyRIAo7U=")</f>
        <v>#REF!</v>
      </c>
      <c r="GA47" t="e">
        <f>AND(#REF!,"GhfGyRIAo7Y=")</f>
        <v>#REF!</v>
      </c>
      <c r="GB47" t="e">
        <f>AND(#REF!,"GhfGyRIAo7c=")</f>
        <v>#REF!</v>
      </c>
      <c r="GC47" t="e">
        <f>AND(#REF!,"GhfGyRIAo7g=")</f>
        <v>#REF!</v>
      </c>
      <c r="GD47" t="e">
        <f>AND(#REF!,"GhfGyRIAo7k=")</f>
        <v>#REF!</v>
      </c>
      <c r="GE47" t="e">
        <f>AND(#REF!,"GhfGyRIAo7o=")</f>
        <v>#REF!</v>
      </c>
      <c r="GF47" t="e">
        <f>AND(#REF!,"GhfGyRIAo7s=")</f>
        <v>#REF!</v>
      </c>
      <c r="GG47" t="e">
        <f>AND(#REF!,"GhfGyRIAo7w=")</f>
        <v>#REF!</v>
      </c>
      <c r="GH47" t="e">
        <f>AND(#REF!,"GhfGyRIAo70=")</f>
        <v>#REF!</v>
      </c>
      <c r="GI47" t="e">
        <f>AND(#REF!,"GhfGyRIAo74=")</f>
        <v>#REF!</v>
      </c>
      <c r="GJ47" t="e">
        <f>AND(#REF!,"GhfGyRIAo78=")</f>
        <v>#REF!</v>
      </c>
      <c r="GK47" t="e">
        <f>AND(#REF!,"GhfGyRIAo8A=")</f>
        <v>#REF!</v>
      </c>
      <c r="GL47" t="e">
        <f>AND(#REF!,"GhfGyRIAo8E=")</f>
        <v>#REF!</v>
      </c>
      <c r="GM47" t="e">
        <f>AND(#REF!,"GhfGyRIAo8I=")</f>
        <v>#REF!</v>
      </c>
      <c r="GN47" t="e">
        <f>AND(#REF!,"GhfGyRIAo8M=")</f>
        <v>#REF!</v>
      </c>
      <c r="GO47" t="e">
        <f>AND(#REF!,"GhfGyRIAo8Q=")</f>
        <v>#REF!</v>
      </c>
      <c r="GP47" t="e">
        <f>AND(#REF!,"GhfGyRIAo8U=")</f>
        <v>#REF!</v>
      </c>
      <c r="GQ47" t="e">
        <f>AND(#REF!,"GhfGyRIAo8Y=")</f>
        <v>#REF!</v>
      </c>
      <c r="GR47" t="e">
        <f>AND(#REF!,"GhfGyRIAo8c=")</f>
        <v>#REF!</v>
      </c>
      <c r="GS47" t="e">
        <f>AND(#REF!,"GhfGyRIAo8g=")</f>
        <v>#REF!</v>
      </c>
      <c r="GT47" t="e">
        <f>AND(#REF!,"GhfGyRIAo8k=")</f>
        <v>#REF!</v>
      </c>
      <c r="GU47" t="e">
        <f>AND(#REF!,"GhfGyRIAo8o=")</f>
        <v>#REF!</v>
      </c>
      <c r="GV47" t="e">
        <f>AND(#REF!,"GhfGyRIAo8s=")</f>
        <v>#REF!</v>
      </c>
      <c r="GW47" t="e">
        <f>AND(#REF!,"GhfGyRIAo8w=")</f>
        <v>#REF!</v>
      </c>
      <c r="GX47" t="e">
        <f>AND(#REF!,"GhfGyRIAo80=")</f>
        <v>#REF!</v>
      </c>
      <c r="GY47" t="e">
        <f>AND(#REF!,"GhfGyRIAo84=")</f>
        <v>#REF!</v>
      </c>
      <c r="GZ47" t="e">
        <f>AND(#REF!,"GhfGyRIAo88=")</f>
        <v>#REF!</v>
      </c>
      <c r="HA47" t="e">
        <f>AND(#REF!,"GhfGyRIAo9A=")</f>
        <v>#REF!</v>
      </c>
      <c r="HB47" t="e">
        <f>AND(#REF!,"GhfGyRIAo9E=")</f>
        <v>#REF!</v>
      </c>
      <c r="HC47" t="e">
        <f>AND(#REF!,"GhfGyRIAo9I=")</f>
        <v>#REF!</v>
      </c>
      <c r="HD47" t="e">
        <f>AND(#REF!,"GhfGyRIAo9M=")</f>
        <v>#REF!</v>
      </c>
      <c r="HE47" t="e">
        <f>AND(#REF!,"GhfGyRIAo9Q=")</f>
        <v>#REF!</v>
      </c>
      <c r="HF47" t="e">
        <f>AND(#REF!,"GhfGyRIAo9U=")</f>
        <v>#REF!</v>
      </c>
      <c r="HG47" t="e">
        <f>AND(#REF!,"GhfGyRIAo9Y=")</f>
        <v>#REF!</v>
      </c>
      <c r="HH47" t="e">
        <f>AND(#REF!,"GhfGyRIAo9c=")</f>
        <v>#REF!</v>
      </c>
      <c r="HI47" t="e">
        <f>AND(#REF!,"GhfGyRIAo9g=")</f>
        <v>#REF!</v>
      </c>
      <c r="HJ47" t="e">
        <f>AND(#REF!,"GhfGyRIAo9k=")</f>
        <v>#REF!</v>
      </c>
      <c r="HK47" t="e">
        <f>AND(#REF!,"GhfGyRIAo9o=")</f>
        <v>#REF!</v>
      </c>
      <c r="HL47" t="e">
        <f>AND(#REF!,"GhfGyRIAo9s=")</f>
        <v>#REF!</v>
      </c>
      <c r="HM47" t="e">
        <f>AND(#REF!,"GhfGyRIAo9w=")</f>
        <v>#REF!</v>
      </c>
      <c r="HN47" t="e">
        <f>AND(#REF!,"GhfGyRIAo90=")</f>
        <v>#REF!</v>
      </c>
      <c r="HO47" t="e">
        <f>AND(#REF!,"GhfGyRIAo94=")</f>
        <v>#REF!</v>
      </c>
      <c r="HP47" t="e">
        <f>AND(#REF!,"GhfGyRIAo98=")</f>
        <v>#REF!</v>
      </c>
      <c r="HQ47" t="e">
        <f>AND(#REF!,"GhfGyRIAo+A=")</f>
        <v>#REF!</v>
      </c>
      <c r="HR47" t="e">
        <f>AND(#REF!,"GhfGyRIAo+E=")</f>
        <v>#REF!</v>
      </c>
      <c r="HS47" t="e">
        <f>AND(#REF!,"GhfGyRIAo+I=")</f>
        <v>#REF!</v>
      </c>
      <c r="HT47" t="e">
        <f>AND(#REF!,"GhfGyRIAo+M=")</f>
        <v>#REF!</v>
      </c>
      <c r="HU47" t="e">
        <f>AND(#REF!,"GhfGyRIAo+Q=")</f>
        <v>#REF!</v>
      </c>
      <c r="HV47" t="e">
        <f>AND(#REF!,"GhfGyRIAo+U=")</f>
        <v>#REF!</v>
      </c>
      <c r="HW47" t="e">
        <f>AND(#REF!,"GhfGyRIAo+Y=")</f>
        <v>#REF!</v>
      </c>
      <c r="HX47" t="e">
        <f>AND(#REF!,"GhfGyRIAo+c=")</f>
        <v>#REF!</v>
      </c>
      <c r="HY47" t="e">
        <f>AND(#REF!,"GhfGyRIAo+g=")</f>
        <v>#REF!</v>
      </c>
      <c r="HZ47" t="e">
        <f>AND(#REF!,"GhfGyRIAo+k=")</f>
        <v>#REF!</v>
      </c>
      <c r="IA47" t="e">
        <f>AND(#REF!,"GhfGyRIAo+o=")</f>
        <v>#REF!</v>
      </c>
      <c r="IB47" t="e">
        <f>AND(#REF!,"GhfGyRIAo+s=")</f>
        <v>#REF!</v>
      </c>
      <c r="IC47" t="e">
        <f>AND(#REF!,"GhfGyRIAo+w=")</f>
        <v>#REF!</v>
      </c>
      <c r="ID47" t="e">
        <f>AND(#REF!,"GhfGyRIAo+0=")</f>
        <v>#REF!</v>
      </c>
      <c r="IE47" t="e">
        <f>AND(#REF!,"GhfGyRIAo+4=")</f>
        <v>#REF!</v>
      </c>
      <c r="IF47" t="e">
        <f>AND(#REF!,"GhfGyRIAo+8=")</f>
        <v>#REF!</v>
      </c>
      <c r="IG47" t="e">
        <f>AND(#REF!,"GhfGyRIAo/A=")</f>
        <v>#REF!</v>
      </c>
      <c r="IH47" t="e">
        <f>AND(#REF!,"GhfGyRIAo/E=")</f>
        <v>#REF!</v>
      </c>
      <c r="II47" t="e">
        <f>AND(#REF!,"GhfGyRIAo/I=")</f>
        <v>#REF!</v>
      </c>
      <c r="IJ47" t="e">
        <f>AND(#REF!,"GhfGyRIAo/M=")</f>
        <v>#REF!</v>
      </c>
      <c r="IK47" t="e">
        <f>AND(#REF!,"GhfGyRIAo/Q=")</f>
        <v>#REF!</v>
      </c>
      <c r="IL47" t="e">
        <f>AND(#REF!,"GhfGyRIAo/U=")</f>
        <v>#REF!</v>
      </c>
      <c r="IM47" t="e">
        <f>AND(#REF!,"GhfGyRIAo/Y=")</f>
        <v>#REF!</v>
      </c>
      <c r="IN47" t="e">
        <f>AND(#REF!,"GhfGyRIAo/c=")</f>
        <v>#REF!</v>
      </c>
      <c r="IO47" t="e">
        <f>AND(#REF!,"GhfGyRIAo/g=")</f>
        <v>#REF!</v>
      </c>
      <c r="IP47" t="e">
        <f>AND(#REF!,"GhfGyRIAo/k=")</f>
        <v>#REF!</v>
      </c>
      <c r="IQ47" t="e">
        <f>AND(#REF!,"GhfGyRIAo/o=")</f>
        <v>#REF!</v>
      </c>
      <c r="IR47" t="e">
        <f>AND(#REF!,"GhfGyRIAo/s=")</f>
        <v>#REF!</v>
      </c>
      <c r="IS47" t="e">
        <f>AND(#REF!,"GhfGyRIAo/w=")</f>
        <v>#REF!</v>
      </c>
      <c r="IT47" t="e">
        <f>AND(#REF!,"GhfGyRIAo/0=")</f>
        <v>#REF!</v>
      </c>
      <c r="IU47" t="e">
        <f>AND(#REF!,"GhfGyRIAo/4=")</f>
        <v>#REF!</v>
      </c>
      <c r="IV47" t="e">
        <f>AND(#REF!,"GhfGyRIAo/8=")</f>
        <v>#REF!</v>
      </c>
    </row>
    <row r="48" spans="1:256" x14ac:dyDescent="0.2">
      <c r="A48" t="e">
        <f>AND(#REF!,"OZ9VpVD+MgA=")</f>
        <v>#REF!</v>
      </c>
      <c r="B48" t="e">
        <f>AND(#REF!,"OZ9VpVD+MgE=")</f>
        <v>#REF!</v>
      </c>
      <c r="C48" t="e">
        <f>AND(#REF!,"OZ9VpVD+MgI=")</f>
        <v>#REF!</v>
      </c>
      <c r="D48" t="e">
        <f>AND(#REF!,"OZ9VpVD+MgM=")</f>
        <v>#REF!</v>
      </c>
      <c r="E48" t="e">
        <f>AND(#REF!,"OZ9VpVD+MgQ=")</f>
        <v>#REF!</v>
      </c>
      <c r="F48" t="e">
        <f>AND(#REF!,"OZ9VpVD+MgU=")</f>
        <v>#REF!</v>
      </c>
      <c r="G48" t="e">
        <f>AND(#REF!,"OZ9VpVD+MgY=")</f>
        <v>#REF!</v>
      </c>
      <c r="H48" t="e">
        <f>AND(#REF!,"OZ9VpVD+Mgc=")</f>
        <v>#REF!</v>
      </c>
      <c r="I48" t="e">
        <f>AND(#REF!,"OZ9VpVD+Mgg=")</f>
        <v>#REF!</v>
      </c>
      <c r="J48" t="e">
        <f>AND(#REF!,"OZ9VpVD+Mgk=")</f>
        <v>#REF!</v>
      </c>
      <c r="K48" t="e">
        <f>AND(#REF!,"OZ9VpVD+Mgo=")</f>
        <v>#REF!</v>
      </c>
      <c r="L48" t="e">
        <f>AND(#REF!,"OZ9VpVD+Mgs=")</f>
        <v>#REF!</v>
      </c>
      <c r="M48" t="e">
        <f>AND(#REF!,"OZ9VpVD+Mgw=")</f>
        <v>#REF!</v>
      </c>
      <c r="N48" t="e">
        <f>AND(#REF!,"OZ9VpVD+Mg0=")</f>
        <v>#REF!</v>
      </c>
      <c r="O48" t="e">
        <f>AND(#REF!,"OZ9VpVD+Mg4=")</f>
        <v>#REF!</v>
      </c>
      <c r="P48" t="e">
        <f>AND(#REF!,"OZ9VpVD+Mg8=")</f>
        <v>#REF!</v>
      </c>
      <c r="Q48" t="e">
        <f>AND(#REF!,"OZ9VpVD+MhA=")</f>
        <v>#REF!</v>
      </c>
      <c r="R48" t="e">
        <f>AND(#REF!,"OZ9VpVD+MhE=")</f>
        <v>#REF!</v>
      </c>
      <c r="S48" t="e">
        <f>AND(#REF!,"OZ9VpVD+MhI=")</f>
        <v>#REF!</v>
      </c>
      <c r="T48" t="e">
        <f>AND(#REF!,"OZ9VpVD+MhM=")</f>
        <v>#REF!</v>
      </c>
      <c r="U48" t="e">
        <f>AND(#REF!,"OZ9VpVD+MhQ=")</f>
        <v>#REF!</v>
      </c>
      <c r="V48" t="e">
        <f>AND(#REF!,"OZ9VpVD+MhU=")</f>
        <v>#REF!</v>
      </c>
      <c r="W48" t="e">
        <f>AND(#REF!,"OZ9VpVD+MhY=")</f>
        <v>#REF!</v>
      </c>
      <c r="X48" t="e">
        <f>AND(#REF!,"OZ9VpVD+Mhc=")</f>
        <v>#REF!</v>
      </c>
      <c r="Y48" t="e">
        <f>AND(#REF!,"OZ9VpVD+Mhg=")</f>
        <v>#REF!</v>
      </c>
      <c r="Z48" t="e">
        <f>AND(#REF!,"OZ9VpVD+Mhk=")</f>
        <v>#REF!</v>
      </c>
      <c r="AA48" t="e">
        <f>AND(#REF!,"OZ9VpVD+Mho=")</f>
        <v>#REF!</v>
      </c>
      <c r="AB48" t="e">
        <f>AND(#REF!,"OZ9VpVD+Mhs=")</f>
        <v>#REF!</v>
      </c>
      <c r="AC48" t="e">
        <f>AND(#REF!,"OZ9VpVD+Mhw=")</f>
        <v>#REF!</v>
      </c>
      <c r="AD48" t="e">
        <f>AND(#REF!,"OZ9VpVD+Mh0=")</f>
        <v>#REF!</v>
      </c>
      <c r="AE48" t="e">
        <f>AND(#REF!,"OZ9VpVD+Mh4=")</f>
        <v>#REF!</v>
      </c>
      <c r="AF48" t="e">
        <f>AND(#REF!,"OZ9VpVD+Mh8=")</f>
        <v>#REF!</v>
      </c>
      <c r="AG48" t="e">
        <f>AND(#REF!,"OZ9VpVD+MiA=")</f>
        <v>#REF!</v>
      </c>
      <c r="AH48" t="e">
        <f>AND(#REF!,"OZ9VpVD+MiE=")</f>
        <v>#REF!</v>
      </c>
      <c r="AI48" t="e">
        <f>AND(#REF!,"OZ9VpVD+MiI=")</f>
        <v>#REF!</v>
      </c>
      <c r="AJ48" t="e">
        <f>AND(#REF!,"OZ9VpVD+MiM=")</f>
        <v>#REF!</v>
      </c>
      <c r="AK48" t="e">
        <f>AND(#REF!,"OZ9VpVD+MiQ=")</f>
        <v>#REF!</v>
      </c>
      <c r="AL48" t="e">
        <f>AND(#REF!,"OZ9VpVD+MiU=")</f>
        <v>#REF!</v>
      </c>
      <c r="AM48" t="e">
        <f>AND(#REF!,"OZ9VpVD+MiY=")</f>
        <v>#REF!</v>
      </c>
      <c r="AN48" t="e">
        <f>AND(#REF!,"OZ9VpVD+Mic=")</f>
        <v>#REF!</v>
      </c>
      <c r="AO48" t="e">
        <f>AND(#REF!,"OZ9VpVD+Mig=")</f>
        <v>#REF!</v>
      </c>
      <c r="AP48" t="e">
        <f>AND(#REF!,"OZ9VpVD+Mik=")</f>
        <v>#REF!</v>
      </c>
      <c r="AQ48" t="e">
        <f>AND(#REF!,"OZ9VpVD+Mio=")</f>
        <v>#REF!</v>
      </c>
      <c r="AR48" t="e">
        <f>AND(#REF!,"OZ9VpVD+Mis=")</f>
        <v>#REF!</v>
      </c>
      <c r="AS48" t="e">
        <f>AND(#REF!,"OZ9VpVD+Miw=")</f>
        <v>#REF!</v>
      </c>
      <c r="AT48" t="e">
        <f>AND(#REF!,"OZ9VpVD+Mi0=")</f>
        <v>#REF!</v>
      </c>
      <c r="AU48" t="e">
        <f>AND(#REF!,"OZ9VpVD+Mi4=")</f>
        <v>#REF!</v>
      </c>
      <c r="AV48" t="e">
        <f>AND(#REF!,"OZ9VpVD+Mi8=")</f>
        <v>#REF!</v>
      </c>
      <c r="AW48" t="e">
        <f>AND(#REF!,"OZ9VpVD+MjA=")</f>
        <v>#REF!</v>
      </c>
      <c r="AX48" t="e">
        <f>AND(#REF!,"OZ9VpVD+MjE=")</f>
        <v>#REF!</v>
      </c>
      <c r="AY48" t="e">
        <f>AND(#REF!,"OZ9VpVD+MjI=")</f>
        <v>#REF!</v>
      </c>
      <c r="AZ48" t="e">
        <f>AND(#REF!,"OZ9VpVD+MjM=")</f>
        <v>#REF!</v>
      </c>
      <c r="BA48" t="e">
        <f>AND(#REF!,"OZ9VpVD+MjQ=")</f>
        <v>#REF!</v>
      </c>
      <c r="BB48" t="e">
        <f>IF(#REF!,"OZ9VpVD+MjU=",0)</f>
        <v>#REF!</v>
      </c>
      <c r="BC48" t="e">
        <f>AND(#REF!,"OZ9VpVD+MjY=")</f>
        <v>#REF!</v>
      </c>
      <c r="BD48" t="e">
        <f>AND(#REF!,"OZ9VpVD+Mjc=")</f>
        <v>#REF!</v>
      </c>
      <c r="BE48" t="e">
        <f>AND(#REF!,"OZ9VpVD+Mjg=")</f>
        <v>#REF!</v>
      </c>
      <c r="BF48" t="e">
        <f>AND(#REF!,"OZ9VpVD+Mjk=")</f>
        <v>#REF!</v>
      </c>
      <c r="BG48" t="e">
        <f>AND(#REF!,"OZ9VpVD+Mjo=")</f>
        <v>#REF!</v>
      </c>
      <c r="BH48" t="e">
        <f>AND(#REF!,"OZ9VpVD+Mjs=")</f>
        <v>#REF!</v>
      </c>
      <c r="BI48" t="e">
        <f>AND(#REF!,"OZ9VpVD+Mjw=")</f>
        <v>#REF!</v>
      </c>
      <c r="BJ48" t="e">
        <f>AND(#REF!,"OZ9VpVD+Mj0=")</f>
        <v>#REF!</v>
      </c>
      <c r="BK48" t="e">
        <f>AND(#REF!,"OZ9VpVD+Mj4=")</f>
        <v>#REF!</v>
      </c>
      <c r="BL48" t="e">
        <f>AND(#REF!,"OZ9VpVD+Mj8=")</f>
        <v>#REF!</v>
      </c>
      <c r="BM48" t="e">
        <f>AND(#REF!,"OZ9VpVD+MkA=")</f>
        <v>#REF!</v>
      </c>
      <c r="BN48" t="e">
        <f>AND(#REF!,"OZ9VpVD+MkE=")</f>
        <v>#REF!</v>
      </c>
      <c r="BO48" t="e">
        <f>AND(#REF!,"OZ9VpVD+MkI=")</f>
        <v>#REF!</v>
      </c>
      <c r="BP48" t="e">
        <f>AND(#REF!,"OZ9VpVD+MkM=")</f>
        <v>#REF!</v>
      </c>
      <c r="BQ48" t="e">
        <f>AND(#REF!,"OZ9VpVD+MkQ=")</f>
        <v>#REF!</v>
      </c>
      <c r="BR48" t="e">
        <f>AND(#REF!,"OZ9VpVD+MkU=")</f>
        <v>#REF!</v>
      </c>
      <c r="BS48" t="e">
        <f>AND(#REF!,"OZ9VpVD+MkY=")</f>
        <v>#REF!</v>
      </c>
      <c r="BT48" t="e">
        <f>AND(#REF!,"OZ9VpVD+Mkc=")</f>
        <v>#REF!</v>
      </c>
      <c r="BU48" t="e">
        <f>AND(#REF!,"OZ9VpVD+Mkg=")</f>
        <v>#REF!</v>
      </c>
      <c r="BV48" t="e">
        <f>AND(#REF!,"OZ9VpVD+Mkk=")</f>
        <v>#REF!</v>
      </c>
      <c r="BW48" t="e">
        <f>AND(#REF!,"OZ9VpVD+Mko=")</f>
        <v>#REF!</v>
      </c>
      <c r="BX48" t="e">
        <f>AND(#REF!,"OZ9VpVD+Mks=")</f>
        <v>#REF!</v>
      </c>
      <c r="BY48" t="e">
        <f>AND(#REF!,"OZ9VpVD+Mkw=")</f>
        <v>#REF!</v>
      </c>
      <c r="BZ48" t="e">
        <f>AND(#REF!,"OZ9VpVD+Mk0=")</f>
        <v>#REF!</v>
      </c>
      <c r="CA48" t="e">
        <f>AND(#REF!,"OZ9VpVD+Mk4=")</f>
        <v>#REF!</v>
      </c>
      <c r="CB48" t="e">
        <f>AND(#REF!,"OZ9VpVD+Mk8=")</f>
        <v>#REF!</v>
      </c>
      <c r="CC48" t="e">
        <f>AND(#REF!,"OZ9VpVD+MlA=")</f>
        <v>#REF!</v>
      </c>
      <c r="CD48" t="e">
        <f>AND(#REF!,"OZ9VpVD+MlE=")</f>
        <v>#REF!</v>
      </c>
      <c r="CE48" t="e">
        <f>AND(#REF!,"OZ9VpVD+MlI=")</f>
        <v>#REF!</v>
      </c>
      <c r="CF48" t="e">
        <f>AND(#REF!,"OZ9VpVD+MlM=")</f>
        <v>#REF!</v>
      </c>
      <c r="CG48" t="e">
        <f>AND(#REF!,"OZ9VpVD+MlQ=")</f>
        <v>#REF!</v>
      </c>
      <c r="CH48" t="e">
        <f>AND(#REF!,"OZ9VpVD+MlU=")</f>
        <v>#REF!</v>
      </c>
      <c r="CI48" t="e">
        <f>AND(#REF!,"OZ9VpVD+MlY=")</f>
        <v>#REF!</v>
      </c>
      <c r="CJ48" t="e">
        <f>AND(#REF!,"OZ9VpVD+Mlc=")</f>
        <v>#REF!</v>
      </c>
      <c r="CK48" t="e">
        <f>AND(#REF!,"OZ9VpVD+Mlg=")</f>
        <v>#REF!</v>
      </c>
      <c r="CL48" t="e">
        <f>AND(#REF!,"OZ9VpVD+Mlk=")</f>
        <v>#REF!</v>
      </c>
      <c r="CM48" t="e">
        <f>AND(#REF!,"OZ9VpVD+Mlo=")</f>
        <v>#REF!</v>
      </c>
      <c r="CN48" t="e">
        <f>AND(#REF!,"OZ9VpVD+Mls=")</f>
        <v>#REF!</v>
      </c>
      <c r="CO48" t="e">
        <f>AND(#REF!,"OZ9VpVD+Mlw=")</f>
        <v>#REF!</v>
      </c>
      <c r="CP48" t="e">
        <f>AND(#REF!,"OZ9VpVD+Ml0=")</f>
        <v>#REF!</v>
      </c>
      <c r="CQ48" t="e">
        <f>AND(#REF!,"OZ9VpVD+Ml4=")</f>
        <v>#REF!</v>
      </c>
      <c r="CR48" t="e">
        <f>AND(#REF!,"OZ9VpVD+Ml8=")</f>
        <v>#REF!</v>
      </c>
      <c r="CS48" t="e">
        <f>AND(#REF!,"OZ9VpVD+MmA=")</f>
        <v>#REF!</v>
      </c>
      <c r="CT48" t="e">
        <f>AND(#REF!,"OZ9VpVD+MmE=")</f>
        <v>#REF!</v>
      </c>
      <c r="CU48" t="e">
        <f>AND(#REF!,"OZ9VpVD+MmI=")</f>
        <v>#REF!</v>
      </c>
      <c r="CV48" t="e">
        <f>AND(#REF!,"OZ9VpVD+MmM=")</f>
        <v>#REF!</v>
      </c>
      <c r="CW48" t="e">
        <f>AND(#REF!,"OZ9VpVD+MmQ=")</f>
        <v>#REF!</v>
      </c>
      <c r="CX48" t="e">
        <f>AND(#REF!,"OZ9VpVD+MmU=")</f>
        <v>#REF!</v>
      </c>
      <c r="CY48" t="e">
        <f>AND(#REF!,"OZ9VpVD+MmY=")</f>
        <v>#REF!</v>
      </c>
      <c r="CZ48" t="e">
        <f>AND(#REF!,"OZ9VpVD+Mmc=")</f>
        <v>#REF!</v>
      </c>
      <c r="DA48" t="e">
        <f>AND(#REF!,"OZ9VpVD+Mmg=")</f>
        <v>#REF!</v>
      </c>
      <c r="DB48" t="e">
        <f>AND(#REF!,"OZ9VpVD+Mmk=")</f>
        <v>#REF!</v>
      </c>
      <c r="DC48" t="e">
        <f>AND(#REF!,"OZ9VpVD+Mmo=")</f>
        <v>#REF!</v>
      </c>
      <c r="DD48" t="e">
        <f>AND(#REF!,"OZ9VpVD+Mms=")</f>
        <v>#REF!</v>
      </c>
      <c r="DE48" t="e">
        <f>AND(#REF!,"OZ9VpVD+Mmw=")</f>
        <v>#REF!</v>
      </c>
      <c r="DF48" t="e">
        <f>AND(#REF!,"OZ9VpVD+Mm0=")</f>
        <v>#REF!</v>
      </c>
      <c r="DG48" t="e">
        <f>AND(#REF!,"OZ9VpVD+Mm4=")</f>
        <v>#REF!</v>
      </c>
      <c r="DH48" t="e">
        <f>AND(#REF!,"OZ9VpVD+Mm8=")</f>
        <v>#REF!</v>
      </c>
      <c r="DI48" t="e">
        <f>AND(#REF!,"OZ9VpVD+MnA=")</f>
        <v>#REF!</v>
      </c>
      <c r="DJ48" t="e">
        <f>AND(#REF!,"OZ9VpVD+MnE=")</f>
        <v>#REF!</v>
      </c>
      <c r="DK48" t="e">
        <f>AND(#REF!,"OZ9VpVD+MnI=")</f>
        <v>#REF!</v>
      </c>
      <c r="DL48" t="e">
        <f>AND(#REF!,"OZ9VpVD+MnM=")</f>
        <v>#REF!</v>
      </c>
      <c r="DM48" t="e">
        <f>AND(#REF!,"OZ9VpVD+MnQ=")</f>
        <v>#REF!</v>
      </c>
      <c r="DN48" t="e">
        <f>AND(#REF!,"OZ9VpVD+MnU=")</f>
        <v>#REF!</v>
      </c>
      <c r="DO48" t="e">
        <f>AND(#REF!,"OZ9VpVD+MnY=")</f>
        <v>#REF!</v>
      </c>
      <c r="DP48" t="e">
        <f>AND(#REF!,"OZ9VpVD+Mnc=")</f>
        <v>#REF!</v>
      </c>
      <c r="DQ48" t="e">
        <f>AND(#REF!,"OZ9VpVD+Mng=")</f>
        <v>#REF!</v>
      </c>
      <c r="DR48" t="e">
        <f>AND(#REF!,"OZ9VpVD+Mnk=")</f>
        <v>#REF!</v>
      </c>
      <c r="DS48" t="e">
        <f>AND(#REF!,"OZ9VpVD+Mno=")</f>
        <v>#REF!</v>
      </c>
      <c r="DT48" t="e">
        <f>AND(#REF!,"OZ9VpVD+Mns=")</f>
        <v>#REF!</v>
      </c>
      <c r="DU48" t="e">
        <f>AND(#REF!,"OZ9VpVD+Mnw=")</f>
        <v>#REF!</v>
      </c>
      <c r="DV48" t="e">
        <f>AND(#REF!,"OZ9VpVD+Mn0=")</f>
        <v>#REF!</v>
      </c>
      <c r="DW48" t="e">
        <f>AND(#REF!,"OZ9VpVD+Mn4=")</f>
        <v>#REF!</v>
      </c>
      <c r="DX48" t="e">
        <f>AND(#REF!,"OZ9VpVD+Mn8=")</f>
        <v>#REF!</v>
      </c>
      <c r="DY48" t="e">
        <f>AND(#REF!,"OZ9VpVD+MoA=")</f>
        <v>#REF!</v>
      </c>
      <c r="DZ48" t="e">
        <f>AND(#REF!,"OZ9VpVD+MoE=")</f>
        <v>#REF!</v>
      </c>
      <c r="EA48" t="e">
        <f>AND(#REF!,"OZ9VpVD+MoI=")</f>
        <v>#REF!</v>
      </c>
      <c r="EB48" t="e">
        <f>AND(#REF!,"OZ9VpVD+MoM=")</f>
        <v>#REF!</v>
      </c>
      <c r="EC48" t="e">
        <f>AND(#REF!,"OZ9VpVD+MoQ=")</f>
        <v>#REF!</v>
      </c>
      <c r="ED48" t="e">
        <f>AND(#REF!,"OZ9VpVD+MoU=")</f>
        <v>#REF!</v>
      </c>
      <c r="EE48" t="e">
        <f>AND(#REF!,"OZ9VpVD+MoY=")</f>
        <v>#REF!</v>
      </c>
      <c r="EF48" t="e">
        <f>AND(#REF!,"OZ9VpVD+Moc=")</f>
        <v>#REF!</v>
      </c>
      <c r="EG48" t="e">
        <f>AND(#REF!,"OZ9VpVD+Mog=")</f>
        <v>#REF!</v>
      </c>
      <c r="EH48" t="e">
        <f>AND(#REF!,"OZ9VpVD+Mok=")</f>
        <v>#REF!</v>
      </c>
      <c r="EI48" t="e">
        <f>AND(#REF!,"OZ9VpVD+Moo=")</f>
        <v>#REF!</v>
      </c>
      <c r="EJ48" t="e">
        <f>AND(#REF!,"OZ9VpVD+Mos=")</f>
        <v>#REF!</v>
      </c>
      <c r="EK48" t="e">
        <f>AND(#REF!,"OZ9VpVD+Mow=")</f>
        <v>#REF!</v>
      </c>
      <c r="EL48" t="e">
        <f>AND(#REF!,"OZ9VpVD+Mo0=")</f>
        <v>#REF!</v>
      </c>
      <c r="EM48" t="e">
        <f>AND(#REF!,"OZ9VpVD+Mo4=")</f>
        <v>#REF!</v>
      </c>
      <c r="EN48" t="e">
        <f>AND(#REF!,"OZ9VpVD+Mo8=")</f>
        <v>#REF!</v>
      </c>
      <c r="EO48" t="e">
        <f>AND(#REF!,"OZ9VpVD+MpA=")</f>
        <v>#REF!</v>
      </c>
      <c r="EP48" t="e">
        <f>AND(#REF!,"OZ9VpVD+MpE=")</f>
        <v>#REF!</v>
      </c>
      <c r="EQ48" t="e">
        <f>AND(#REF!,"OZ9VpVD+MpI=")</f>
        <v>#REF!</v>
      </c>
      <c r="ER48" t="e">
        <f>AND(#REF!,"OZ9VpVD+MpM=")</f>
        <v>#REF!</v>
      </c>
      <c r="ES48" t="e">
        <f>AND(#REF!,"OZ9VpVD+MpQ=")</f>
        <v>#REF!</v>
      </c>
      <c r="ET48" t="e">
        <f>AND(#REF!,"OZ9VpVD+MpU=")</f>
        <v>#REF!</v>
      </c>
      <c r="EU48" t="e">
        <f>AND(#REF!,"OZ9VpVD+MpY=")</f>
        <v>#REF!</v>
      </c>
      <c r="EV48" t="e">
        <f>AND(#REF!,"OZ9VpVD+Mpc=")</f>
        <v>#REF!</v>
      </c>
      <c r="EW48" t="e">
        <f>AND(#REF!,"OZ9VpVD+Mpg=")</f>
        <v>#REF!</v>
      </c>
      <c r="EX48" t="e">
        <f>AND(#REF!,"OZ9VpVD+Mpk=")</f>
        <v>#REF!</v>
      </c>
      <c r="EY48" t="e">
        <f>AND(#REF!,"OZ9VpVD+Mpo=")</f>
        <v>#REF!</v>
      </c>
      <c r="EZ48" t="e">
        <f>AND(#REF!,"OZ9VpVD+Mps=")</f>
        <v>#REF!</v>
      </c>
      <c r="FA48" t="e">
        <f>AND(#REF!,"OZ9VpVD+Mpw=")</f>
        <v>#REF!</v>
      </c>
      <c r="FB48" t="e">
        <f>AND(#REF!,"OZ9VpVD+Mp0=")</f>
        <v>#REF!</v>
      </c>
      <c r="FC48" t="e">
        <f>AND(#REF!,"OZ9VpVD+Mp4=")</f>
        <v>#REF!</v>
      </c>
      <c r="FD48" t="e">
        <f>AND(#REF!,"OZ9VpVD+Mp8=")</f>
        <v>#REF!</v>
      </c>
      <c r="FE48" t="e">
        <f>AND(#REF!,"OZ9VpVD+MqA=")</f>
        <v>#REF!</v>
      </c>
      <c r="FF48" t="e">
        <f>AND(#REF!,"OZ9VpVD+MqE=")</f>
        <v>#REF!</v>
      </c>
      <c r="FG48" t="e">
        <f>AND(#REF!,"OZ9VpVD+MqI=")</f>
        <v>#REF!</v>
      </c>
      <c r="FH48" t="e">
        <f>AND(#REF!,"OZ9VpVD+MqM=")</f>
        <v>#REF!</v>
      </c>
      <c r="FI48" t="e">
        <f>AND(#REF!,"OZ9VpVD+MqQ=")</f>
        <v>#REF!</v>
      </c>
      <c r="FJ48" t="e">
        <f>AND(#REF!,"OZ9VpVD+MqU=")</f>
        <v>#REF!</v>
      </c>
      <c r="FK48" t="e">
        <f>AND(#REF!,"OZ9VpVD+MqY=")</f>
        <v>#REF!</v>
      </c>
      <c r="FL48" t="e">
        <f>AND(#REF!,"OZ9VpVD+Mqc=")</f>
        <v>#REF!</v>
      </c>
      <c r="FM48" t="e">
        <f>AND(#REF!,"OZ9VpVD+Mqg=")</f>
        <v>#REF!</v>
      </c>
      <c r="FN48" t="e">
        <f>AND(#REF!,"OZ9VpVD+Mqk=")</f>
        <v>#REF!</v>
      </c>
      <c r="FO48" t="e">
        <f>AND(#REF!,"OZ9VpVD+Mqo=")</f>
        <v>#REF!</v>
      </c>
      <c r="FP48" t="e">
        <f>AND(#REF!,"OZ9VpVD+Mqs=")</f>
        <v>#REF!</v>
      </c>
      <c r="FQ48" t="e">
        <f>AND(#REF!,"OZ9VpVD+Mqw=")</f>
        <v>#REF!</v>
      </c>
      <c r="FR48" t="e">
        <f>AND(#REF!,"OZ9VpVD+Mq0=")</f>
        <v>#REF!</v>
      </c>
      <c r="FS48" t="e">
        <f>AND(#REF!,"OZ9VpVD+Mq4=")</f>
        <v>#REF!</v>
      </c>
      <c r="FT48" t="e">
        <f>AND(#REF!,"OZ9VpVD+Mq8=")</f>
        <v>#REF!</v>
      </c>
      <c r="FU48" t="e">
        <f>AND(#REF!,"OZ9VpVD+MrA=")</f>
        <v>#REF!</v>
      </c>
      <c r="FV48" t="e">
        <f>AND(#REF!,"OZ9VpVD+MrE=")</f>
        <v>#REF!</v>
      </c>
      <c r="FW48" t="e">
        <f>AND(#REF!,"OZ9VpVD+MrI=")</f>
        <v>#REF!</v>
      </c>
      <c r="FX48" t="e">
        <f>AND(#REF!,"OZ9VpVD+MrM=")</f>
        <v>#REF!</v>
      </c>
      <c r="FY48" t="e">
        <f>AND(#REF!,"OZ9VpVD+MrQ=")</f>
        <v>#REF!</v>
      </c>
      <c r="FZ48" t="e">
        <f>AND(#REF!,"OZ9VpVD+MrU=")</f>
        <v>#REF!</v>
      </c>
      <c r="GA48" t="e">
        <f>AND(#REF!,"OZ9VpVD+MrY=")</f>
        <v>#REF!</v>
      </c>
      <c r="GB48" t="e">
        <f>AND(#REF!,"OZ9VpVD+Mrc=")</f>
        <v>#REF!</v>
      </c>
      <c r="GC48" t="e">
        <f>AND(#REF!,"OZ9VpVD+Mrg=")</f>
        <v>#REF!</v>
      </c>
      <c r="GD48" t="e">
        <f>AND(#REF!,"OZ9VpVD+Mrk=")</f>
        <v>#REF!</v>
      </c>
      <c r="GE48" t="e">
        <f>AND(#REF!,"OZ9VpVD+Mro=")</f>
        <v>#REF!</v>
      </c>
      <c r="GF48" t="e">
        <f>AND(#REF!,"OZ9VpVD+Mrs=")</f>
        <v>#REF!</v>
      </c>
      <c r="GG48" t="e">
        <f>AND(#REF!,"OZ9VpVD+Mrw=")</f>
        <v>#REF!</v>
      </c>
      <c r="GH48" t="e">
        <f>AND(#REF!,"OZ9VpVD+Mr0=")</f>
        <v>#REF!</v>
      </c>
      <c r="GI48" t="e">
        <f>AND(#REF!,"OZ9VpVD+Mr4=")</f>
        <v>#REF!</v>
      </c>
      <c r="GJ48" t="e">
        <f>AND(#REF!,"OZ9VpVD+Mr8=")</f>
        <v>#REF!</v>
      </c>
      <c r="GK48" t="e">
        <f>AND(#REF!,"OZ9VpVD+MsA=")</f>
        <v>#REF!</v>
      </c>
      <c r="GL48" t="e">
        <f>AND(#REF!,"OZ9VpVD+MsE=")</f>
        <v>#REF!</v>
      </c>
      <c r="GM48" t="e">
        <f>AND(#REF!,"OZ9VpVD+MsI=")</f>
        <v>#REF!</v>
      </c>
      <c r="GN48" t="e">
        <f>AND(#REF!,"OZ9VpVD+MsM=")</f>
        <v>#REF!</v>
      </c>
      <c r="GO48" t="e">
        <f>AND(#REF!,"OZ9VpVD+MsQ=")</f>
        <v>#REF!</v>
      </c>
      <c r="GP48" t="e">
        <f>AND(#REF!,"OZ9VpVD+MsU=")</f>
        <v>#REF!</v>
      </c>
      <c r="GQ48" t="e">
        <f>AND(#REF!,"OZ9VpVD+MsY=")</f>
        <v>#REF!</v>
      </c>
      <c r="GR48" t="e">
        <f>AND(#REF!,"OZ9VpVD+Msc=")</f>
        <v>#REF!</v>
      </c>
      <c r="GS48" t="e">
        <f>AND(#REF!,"OZ9VpVD+Msg=")</f>
        <v>#REF!</v>
      </c>
      <c r="GT48" t="e">
        <f>AND(#REF!,"OZ9VpVD+Msk=")</f>
        <v>#REF!</v>
      </c>
      <c r="GU48" t="e">
        <f>AND(#REF!,"OZ9VpVD+Mso=")</f>
        <v>#REF!</v>
      </c>
      <c r="GV48" t="e">
        <f>AND(#REF!,"OZ9VpVD+Mss=")</f>
        <v>#REF!</v>
      </c>
      <c r="GW48" t="e">
        <f>AND(#REF!,"OZ9VpVD+Msw=")</f>
        <v>#REF!</v>
      </c>
      <c r="GX48" t="e">
        <f>AND(#REF!,"OZ9VpVD+Ms0=")</f>
        <v>#REF!</v>
      </c>
      <c r="GY48" t="e">
        <f>AND(#REF!,"OZ9VpVD+Ms4=")</f>
        <v>#REF!</v>
      </c>
      <c r="GZ48" t="e">
        <f>AND(#REF!,"OZ9VpVD+Ms8=")</f>
        <v>#REF!</v>
      </c>
      <c r="HA48" t="e">
        <f>AND(#REF!,"OZ9VpVD+MtA=")</f>
        <v>#REF!</v>
      </c>
      <c r="HB48" t="e">
        <f>AND(#REF!,"OZ9VpVD+MtE=")</f>
        <v>#REF!</v>
      </c>
      <c r="HC48" t="e">
        <f>AND(#REF!,"OZ9VpVD+MtI=")</f>
        <v>#REF!</v>
      </c>
      <c r="HD48" t="e">
        <f>AND(#REF!,"OZ9VpVD+MtM=")</f>
        <v>#REF!</v>
      </c>
      <c r="HE48" t="e">
        <f>AND(#REF!,"OZ9VpVD+MtQ=")</f>
        <v>#REF!</v>
      </c>
      <c r="HF48" t="e">
        <f>AND(#REF!,"OZ9VpVD+MtU=")</f>
        <v>#REF!</v>
      </c>
      <c r="HG48" t="e">
        <f>AND(#REF!,"OZ9VpVD+MtY=")</f>
        <v>#REF!</v>
      </c>
      <c r="HH48" t="e">
        <f>AND(#REF!,"OZ9VpVD+Mtc=")</f>
        <v>#REF!</v>
      </c>
      <c r="HI48" t="e">
        <f>AND(#REF!,"OZ9VpVD+Mtg=")</f>
        <v>#REF!</v>
      </c>
      <c r="HJ48" t="e">
        <f>AND(#REF!,"OZ9VpVD+Mtk=")</f>
        <v>#REF!</v>
      </c>
      <c r="HK48" t="e">
        <f>AND(#REF!,"OZ9VpVD+Mto=")</f>
        <v>#REF!</v>
      </c>
      <c r="HL48" t="e">
        <f>AND(#REF!,"OZ9VpVD+Mts=")</f>
        <v>#REF!</v>
      </c>
      <c r="HM48" t="e">
        <f>AND(#REF!,"OZ9VpVD+Mtw=")</f>
        <v>#REF!</v>
      </c>
      <c r="HN48" t="e">
        <f>AND(#REF!,"OZ9VpVD+Mt0=")</f>
        <v>#REF!</v>
      </c>
      <c r="HO48" t="e">
        <f>AND(#REF!,"OZ9VpVD+Mt4=")</f>
        <v>#REF!</v>
      </c>
      <c r="HP48" t="e">
        <f>AND(#REF!,"OZ9VpVD+Mt8=")</f>
        <v>#REF!</v>
      </c>
      <c r="HQ48" t="e">
        <f>AND(#REF!,"OZ9VpVD+MuA=")</f>
        <v>#REF!</v>
      </c>
      <c r="HR48" t="e">
        <f>AND(#REF!,"OZ9VpVD+MuE=")</f>
        <v>#REF!</v>
      </c>
      <c r="HS48" t="e">
        <f>AND(#REF!,"OZ9VpVD+MuI=")</f>
        <v>#REF!</v>
      </c>
      <c r="HT48" t="e">
        <f>AND(#REF!,"OZ9VpVD+MuM=")</f>
        <v>#REF!</v>
      </c>
      <c r="HU48" t="e">
        <f>AND(#REF!,"OZ9VpVD+MuQ=")</f>
        <v>#REF!</v>
      </c>
      <c r="HV48" t="e">
        <f>AND(#REF!,"OZ9VpVD+MuU=")</f>
        <v>#REF!</v>
      </c>
      <c r="HW48" t="e">
        <f>AND(#REF!,"OZ9VpVD+MuY=")</f>
        <v>#REF!</v>
      </c>
      <c r="HX48" t="e">
        <f>AND(#REF!,"OZ9VpVD+Muc=")</f>
        <v>#REF!</v>
      </c>
      <c r="HY48" t="e">
        <f>AND(#REF!,"OZ9VpVD+Mug=")</f>
        <v>#REF!</v>
      </c>
      <c r="HZ48" t="e">
        <f>AND(#REF!,"OZ9VpVD+Muk=")</f>
        <v>#REF!</v>
      </c>
      <c r="IA48" t="e">
        <f>AND(#REF!,"OZ9VpVD+Muo=")</f>
        <v>#REF!</v>
      </c>
      <c r="IB48" t="e">
        <f>AND(#REF!,"OZ9VpVD+Mus=")</f>
        <v>#REF!</v>
      </c>
      <c r="IC48" t="e">
        <f>AND(#REF!,"OZ9VpVD+Muw=")</f>
        <v>#REF!</v>
      </c>
      <c r="ID48" t="e">
        <f>AND(#REF!,"OZ9VpVD+Mu0=")</f>
        <v>#REF!</v>
      </c>
      <c r="IE48" t="e">
        <f>AND(#REF!,"OZ9VpVD+Mu4=")</f>
        <v>#REF!</v>
      </c>
      <c r="IF48" t="e">
        <f>AND(#REF!,"OZ9VpVD+Mu8=")</f>
        <v>#REF!</v>
      </c>
      <c r="IG48" t="e">
        <f>AND(#REF!,"OZ9VpVD+MvA=")</f>
        <v>#REF!</v>
      </c>
      <c r="IH48" t="e">
        <f>AND(#REF!,"OZ9VpVD+MvE=")</f>
        <v>#REF!</v>
      </c>
      <c r="II48" t="e">
        <f>AND(#REF!,"OZ9VpVD+MvI=")</f>
        <v>#REF!</v>
      </c>
      <c r="IJ48" t="e">
        <f>AND(#REF!,"OZ9VpVD+MvM=")</f>
        <v>#REF!</v>
      </c>
      <c r="IK48" t="e">
        <f>AND(#REF!,"OZ9VpVD+MvQ=")</f>
        <v>#REF!</v>
      </c>
      <c r="IL48" t="e">
        <f>AND(#REF!,"OZ9VpVD+MvU=")</f>
        <v>#REF!</v>
      </c>
      <c r="IM48" t="e">
        <f>AND(#REF!,"OZ9VpVD+MvY=")</f>
        <v>#REF!</v>
      </c>
      <c r="IN48" t="e">
        <f>AND(#REF!,"OZ9VpVD+Mvc=")</f>
        <v>#REF!</v>
      </c>
      <c r="IO48" t="e">
        <f>AND(#REF!,"OZ9VpVD+Mvg=")</f>
        <v>#REF!</v>
      </c>
      <c r="IP48" t="e">
        <f>AND(#REF!,"OZ9VpVD+Mvk=")</f>
        <v>#REF!</v>
      </c>
      <c r="IQ48" t="e">
        <f>AND(#REF!,"OZ9VpVD+Mvo=")</f>
        <v>#REF!</v>
      </c>
      <c r="IR48" t="e">
        <f>AND(#REF!,"OZ9VpVD+Mvs=")</f>
        <v>#REF!</v>
      </c>
      <c r="IS48" t="e">
        <f>IF(#REF!,"OZ9VpVD+Mvw=",0)</f>
        <v>#REF!</v>
      </c>
      <c r="IT48" t="e">
        <f>AND(#REF!,"OZ9VpVD+Mv0=")</f>
        <v>#REF!</v>
      </c>
      <c r="IU48" t="e">
        <f>AND(#REF!,"OZ9VpVD+Mv4=")</f>
        <v>#REF!</v>
      </c>
      <c r="IV48" t="e">
        <f>AND(#REF!,"OZ9VpVD+Mv8=")</f>
        <v>#REF!</v>
      </c>
    </row>
    <row r="49" spans="1:256" x14ac:dyDescent="0.2">
      <c r="A49" t="e">
        <f>AND(#REF!,"LJSOTg05gAA=")</f>
        <v>#REF!</v>
      </c>
      <c r="B49" t="e">
        <f>AND(#REF!,"LJSOTg05gAE=")</f>
        <v>#REF!</v>
      </c>
      <c r="C49" t="e">
        <f>AND(#REF!,"LJSOTg05gAI=")</f>
        <v>#REF!</v>
      </c>
      <c r="D49" t="e">
        <f>AND(#REF!,"LJSOTg05gAM=")</f>
        <v>#REF!</v>
      </c>
      <c r="E49" t="e">
        <f>AND(#REF!,"LJSOTg05gAQ=")</f>
        <v>#REF!</v>
      </c>
      <c r="F49" t="e">
        <f>AND(#REF!,"LJSOTg05gAU=")</f>
        <v>#REF!</v>
      </c>
      <c r="G49" t="e">
        <f>AND(#REF!,"LJSOTg05gAY=")</f>
        <v>#REF!</v>
      </c>
      <c r="H49" t="e">
        <f>AND(#REF!,"LJSOTg05gAc=")</f>
        <v>#REF!</v>
      </c>
      <c r="I49" t="e">
        <f>AND(#REF!,"LJSOTg05gAg=")</f>
        <v>#REF!</v>
      </c>
      <c r="J49" t="e">
        <f>AND(#REF!,"LJSOTg05gAk=")</f>
        <v>#REF!</v>
      </c>
      <c r="K49" t="e">
        <f>AND(#REF!,"LJSOTg05gAo=")</f>
        <v>#REF!</v>
      </c>
      <c r="L49" t="e">
        <f>AND(#REF!,"LJSOTg05gAs=")</f>
        <v>#REF!</v>
      </c>
      <c r="M49" t="e">
        <f>AND(#REF!,"LJSOTg05gAw=")</f>
        <v>#REF!</v>
      </c>
      <c r="N49" t="e">
        <f>AND(#REF!,"LJSOTg05gA0=")</f>
        <v>#REF!</v>
      </c>
      <c r="O49" t="e">
        <f>AND(#REF!,"LJSOTg05gA4=")</f>
        <v>#REF!</v>
      </c>
      <c r="P49" t="e">
        <f>AND(#REF!,"LJSOTg05gA8=")</f>
        <v>#REF!</v>
      </c>
      <c r="Q49" t="e">
        <f>AND(#REF!,"LJSOTg05gBA=")</f>
        <v>#REF!</v>
      </c>
      <c r="R49" t="e">
        <f>AND(#REF!,"LJSOTg05gBE=")</f>
        <v>#REF!</v>
      </c>
      <c r="S49" t="e">
        <f>AND(#REF!,"LJSOTg05gBI=")</f>
        <v>#REF!</v>
      </c>
      <c r="T49" t="e">
        <f>AND(#REF!,"LJSOTg05gBM=")</f>
        <v>#REF!</v>
      </c>
      <c r="U49" t="e">
        <f>AND(#REF!,"LJSOTg05gBQ=")</f>
        <v>#REF!</v>
      </c>
      <c r="V49" t="e">
        <f>AND(#REF!,"LJSOTg05gBU=")</f>
        <v>#REF!</v>
      </c>
      <c r="W49" t="e">
        <f>AND(#REF!,"LJSOTg05gBY=")</f>
        <v>#REF!</v>
      </c>
      <c r="X49" t="e">
        <f>AND(#REF!,"LJSOTg05gBc=")</f>
        <v>#REF!</v>
      </c>
      <c r="Y49" t="e">
        <f>AND(#REF!,"LJSOTg05gBg=")</f>
        <v>#REF!</v>
      </c>
      <c r="Z49" t="e">
        <f>AND(#REF!,"LJSOTg05gBk=")</f>
        <v>#REF!</v>
      </c>
      <c r="AA49" t="e">
        <f>AND(#REF!,"LJSOTg05gBo=")</f>
        <v>#REF!</v>
      </c>
      <c r="AB49" t="e">
        <f>AND(#REF!,"LJSOTg05gBs=")</f>
        <v>#REF!</v>
      </c>
      <c r="AC49" t="e">
        <f>AND(#REF!,"LJSOTg05gBw=")</f>
        <v>#REF!</v>
      </c>
      <c r="AD49" t="e">
        <f>AND(#REF!,"LJSOTg05gB0=")</f>
        <v>#REF!</v>
      </c>
      <c r="AE49" t="e">
        <f>AND(#REF!,"LJSOTg05gB4=")</f>
        <v>#REF!</v>
      </c>
      <c r="AF49" t="e">
        <f>AND(#REF!,"LJSOTg05gB8=")</f>
        <v>#REF!</v>
      </c>
      <c r="AG49" t="e">
        <f>AND(#REF!,"LJSOTg05gCA=")</f>
        <v>#REF!</v>
      </c>
      <c r="AH49" t="e">
        <f>AND(#REF!,"LJSOTg05gCE=")</f>
        <v>#REF!</v>
      </c>
      <c r="AI49" t="e">
        <f>AND(#REF!,"LJSOTg05gCI=")</f>
        <v>#REF!</v>
      </c>
      <c r="AJ49" t="e">
        <f>AND(#REF!,"LJSOTg05gCM=")</f>
        <v>#REF!</v>
      </c>
      <c r="AK49" t="e">
        <f>AND(#REF!,"LJSOTg05gCQ=")</f>
        <v>#REF!</v>
      </c>
      <c r="AL49" t="e">
        <f>AND(#REF!,"LJSOTg05gCU=")</f>
        <v>#REF!</v>
      </c>
      <c r="AM49" t="e">
        <f>AND(#REF!,"LJSOTg05gCY=")</f>
        <v>#REF!</v>
      </c>
      <c r="AN49" t="e">
        <f>AND(#REF!,"LJSOTg05gCc=")</f>
        <v>#REF!</v>
      </c>
      <c r="AO49" t="e">
        <f>AND(#REF!,"LJSOTg05gCg=")</f>
        <v>#REF!</v>
      </c>
      <c r="AP49" t="e">
        <f>AND(#REF!,"LJSOTg05gCk=")</f>
        <v>#REF!</v>
      </c>
      <c r="AQ49" t="e">
        <f>AND(#REF!,"LJSOTg05gCo=")</f>
        <v>#REF!</v>
      </c>
      <c r="AR49" t="e">
        <f>AND(#REF!,"LJSOTg05gCs=")</f>
        <v>#REF!</v>
      </c>
      <c r="AS49" t="e">
        <f>AND(#REF!,"LJSOTg05gCw=")</f>
        <v>#REF!</v>
      </c>
      <c r="AT49" t="e">
        <f>AND(#REF!,"LJSOTg05gC0=")</f>
        <v>#REF!</v>
      </c>
      <c r="AU49" t="e">
        <f>AND(#REF!,"LJSOTg05gC4=")</f>
        <v>#REF!</v>
      </c>
      <c r="AV49" t="e">
        <f>AND(#REF!,"LJSOTg05gC8=")</f>
        <v>#REF!</v>
      </c>
      <c r="AW49" t="e">
        <f>AND(#REF!,"LJSOTg05gDA=")</f>
        <v>#REF!</v>
      </c>
      <c r="AX49" t="e">
        <f>AND(#REF!,"LJSOTg05gDE=")</f>
        <v>#REF!</v>
      </c>
      <c r="AY49" t="e">
        <f>AND(#REF!,"LJSOTg05gDI=")</f>
        <v>#REF!</v>
      </c>
      <c r="AZ49" t="e">
        <f>AND(#REF!,"LJSOTg05gDM=")</f>
        <v>#REF!</v>
      </c>
      <c r="BA49" t="e">
        <f>AND(#REF!,"LJSOTg05gDQ=")</f>
        <v>#REF!</v>
      </c>
      <c r="BB49" t="e">
        <f>AND(#REF!,"LJSOTg05gDU=")</f>
        <v>#REF!</v>
      </c>
      <c r="BC49" t="e">
        <f>AND(#REF!,"LJSOTg05gDY=")</f>
        <v>#REF!</v>
      </c>
      <c r="BD49" t="e">
        <f>AND(#REF!,"LJSOTg05gDc=")</f>
        <v>#REF!</v>
      </c>
      <c r="BE49" t="e">
        <f>AND(#REF!,"LJSOTg05gDg=")</f>
        <v>#REF!</v>
      </c>
      <c r="BF49" t="e">
        <f>AND(#REF!,"LJSOTg05gDk=")</f>
        <v>#REF!</v>
      </c>
      <c r="BG49" t="e">
        <f>AND(#REF!,"LJSOTg05gDo=")</f>
        <v>#REF!</v>
      </c>
      <c r="BH49" t="e">
        <f>AND(#REF!,"LJSOTg05gDs=")</f>
        <v>#REF!</v>
      </c>
      <c r="BI49" t="e">
        <f>AND(#REF!,"LJSOTg05gDw=")</f>
        <v>#REF!</v>
      </c>
      <c r="BJ49" t="e">
        <f>AND(#REF!,"LJSOTg05gD0=")</f>
        <v>#REF!</v>
      </c>
      <c r="BK49" t="e">
        <f>AND(#REF!,"LJSOTg05gD4=")</f>
        <v>#REF!</v>
      </c>
      <c r="BL49" t="e">
        <f>AND(#REF!,"LJSOTg05gD8=")</f>
        <v>#REF!</v>
      </c>
      <c r="BM49" t="e">
        <f>AND(#REF!,"LJSOTg05gEA=")</f>
        <v>#REF!</v>
      </c>
      <c r="BN49" t="e">
        <f>AND(#REF!,"LJSOTg05gEE=")</f>
        <v>#REF!</v>
      </c>
      <c r="BO49" t="e">
        <f>AND(#REF!,"LJSOTg05gEI=")</f>
        <v>#REF!</v>
      </c>
      <c r="BP49" t="e">
        <f>AND(#REF!,"LJSOTg05gEM=")</f>
        <v>#REF!</v>
      </c>
      <c r="BQ49" t="e">
        <f>AND(#REF!,"LJSOTg05gEQ=")</f>
        <v>#REF!</v>
      </c>
      <c r="BR49" t="e">
        <f>AND(#REF!,"LJSOTg05gEU=")</f>
        <v>#REF!</v>
      </c>
      <c r="BS49" t="e">
        <f>AND(#REF!,"LJSOTg05gEY=")</f>
        <v>#REF!</v>
      </c>
      <c r="BT49" t="e">
        <f>AND(#REF!,"LJSOTg05gEc=")</f>
        <v>#REF!</v>
      </c>
      <c r="BU49" t="e">
        <f>AND(#REF!,"LJSOTg05gEg=")</f>
        <v>#REF!</v>
      </c>
      <c r="BV49" t="e">
        <f>AND(#REF!,"LJSOTg05gEk=")</f>
        <v>#REF!</v>
      </c>
      <c r="BW49" t="e">
        <f>AND(#REF!,"LJSOTg05gEo=")</f>
        <v>#REF!</v>
      </c>
      <c r="BX49" t="e">
        <f>AND(#REF!,"LJSOTg05gEs=")</f>
        <v>#REF!</v>
      </c>
      <c r="BY49" t="e">
        <f>AND(#REF!,"LJSOTg05gEw=")</f>
        <v>#REF!</v>
      </c>
      <c r="BZ49" t="e">
        <f>AND(#REF!,"LJSOTg05gE0=")</f>
        <v>#REF!</v>
      </c>
      <c r="CA49" t="e">
        <f>AND(#REF!,"LJSOTg05gE4=")</f>
        <v>#REF!</v>
      </c>
      <c r="CB49" t="e">
        <f>AND(#REF!,"LJSOTg05gE8=")</f>
        <v>#REF!</v>
      </c>
      <c r="CC49" t="e">
        <f>AND(#REF!,"LJSOTg05gFA=")</f>
        <v>#REF!</v>
      </c>
      <c r="CD49" t="e">
        <f>AND(#REF!,"LJSOTg05gFE=")</f>
        <v>#REF!</v>
      </c>
      <c r="CE49" t="e">
        <f>AND(#REF!,"LJSOTg05gFI=")</f>
        <v>#REF!</v>
      </c>
      <c r="CF49" t="e">
        <f>AND(#REF!,"LJSOTg05gFM=")</f>
        <v>#REF!</v>
      </c>
      <c r="CG49" t="e">
        <f>AND(#REF!,"LJSOTg05gFQ=")</f>
        <v>#REF!</v>
      </c>
      <c r="CH49" t="e">
        <f>AND(#REF!,"LJSOTg05gFU=")</f>
        <v>#REF!</v>
      </c>
      <c r="CI49" t="e">
        <f>AND(#REF!,"LJSOTg05gFY=")</f>
        <v>#REF!</v>
      </c>
      <c r="CJ49" t="e">
        <f>AND(#REF!,"LJSOTg05gFc=")</f>
        <v>#REF!</v>
      </c>
      <c r="CK49" t="e">
        <f>AND(#REF!,"LJSOTg05gFg=")</f>
        <v>#REF!</v>
      </c>
      <c r="CL49" t="e">
        <f>AND(#REF!,"LJSOTg05gFk=")</f>
        <v>#REF!</v>
      </c>
      <c r="CM49" t="e">
        <f>AND(#REF!,"LJSOTg05gFo=")</f>
        <v>#REF!</v>
      </c>
      <c r="CN49" t="e">
        <f>AND(#REF!,"LJSOTg05gFs=")</f>
        <v>#REF!</v>
      </c>
      <c r="CO49" t="e">
        <f>AND(#REF!,"LJSOTg05gFw=")</f>
        <v>#REF!</v>
      </c>
      <c r="CP49" t="e">
        <f>AND(#REF!,"LJSOTg05gF0=")</f>
        <v>#REF!</v>
      </c>
      <c r="CQ49" t="e">
        <f>AND(#REF!,"LJSOTg05gF4=")</f>
        <v>#REF!</v>
      </c>
      <c r="CR49" t="e">
        <f>AND(#REF!,"LJSOTg05gF8=")</f>
        <v>#REF!</v>
      </c>
      <c r="CS49" t="e">
        <f>AND(#REF!,"LJSOTg05gGA=")</f>
        <v>#REF!</v>
      </c>
      <c r="CT49" t="e">
        <f>AND(#REF!,"LJSOTg05gGE=")</f>
        <v>#REF!</v>
      </c>
      <c r="CU49" t="e">
        <f>AND(#REF!,"LJSOTg05gGI=")</f>
        <v>#REF!</v>
      </c>
      <c r="CV49" t="e">
        <f>AND(#REF!,"LJSOTg05gGM=")</f>
        <v>#REF!</v>
      </c>
      <c r="CW49" t="e">
        <f>AND(#REF!,"LJSOTg05gGQ=")</f>
        <v>#REF!</v>
      </c>
      <c r="CX49" t="e">
        <f>AND(#REF!,"LJSOTg05gGU=")</f>
        <v>#REF!</v>
      </c>
      <c r="CY49" t="e">
        <f>AND(#REF!,"LJSOTg05gGY=")</f>
        <v>#REF!</v>
      </c>
      <c r="CZ49" t="e">
        <f>AND(#REF!,"LJSOTg05gGc=")</f>
        <v>#REF!</v>
      </c>
      <c r="DA49" t="e">
        <f>AND(#REF!,"LJSOTg05gGg=")</f>
        <v>#REF!</v>
      </c>
      <c r="DB49" t="e">
        <f>AND(#REF!,"LJSOTg05gGk=")</f>
        <v>#REF!</v>
      </c>
      <c r="DC49" t="e">
        <f>AND(#REF!,"LJSOTg05gGo=")</f>
        <v>#REF!</v>
      </c>
      <c r="DD49" t="e">
        <f>AND(#REF!,"LJSOTg05gGs=")</f>
        <v>#REF!</v>
      </c>
      <c r="DE49" t="e">
        <f>AND(#REF!,"LJSOTg05gGw=")</f>
        <v>#REF!</v>
      </c>
      <c r="DF49" t="e">
        <f>AND(#REF!,"LJSOTg05gG0=")</f>
        <v>#REF!</v>
      </c>
      <c r="DG49" t="e">
        <f>AND(#REF!,"LJSOTg05gG4=")</f>
        <v>#REF!</v>
      </c>
      <c r="DH49" t="e">
        <f>AND(#REF!,"LJSOTg05gG8=")</f>
        <v>#REF!</v>
      </c>
      <c r="DI49" t="e">
        <f>AND(#REF!,"LJSOTg05gHA=")</f>
        <v>#REF!</v>
      </c>
      <c r="DJ49" t="e">
        <f>AND(#REF!,"LJSOTg05gHE=")</f>
        <v>#REF!</v>
      </c>
      <c r="DK49" t="e">
        <f>AND(#REF!,"LJSOTg05gHI=")</f>
        <v>#REF!</v>
      </c>
      <c r="DL49" t="e">
        <f>AND(#REF!,"LJSOTg05gHM=")</f>
        <v>#REF!</v>
      </c>
      <c r="DM49" t="e">
        <f>AND(#REF!,"LJSOTg05gHQ=")</f>
        <v>#REF!</v>
      </c>
      <c r="DN49" t="e">
        <f>AND(#REF!,"LJSOTg05gHU=")</f>
        <v>#REF!</v>
      </c>
      <c r="DO49" t="e">
        <f>AND(#REF!,"LJSOTg05gHY=")</f>
        <v>#REF!</v>
      </c>
      <c r="DP49" t="e">
        <f>AND(#REF!,"LJSOTg05gHc=")</f>
        <v>#REF!</v>
      </c>
      <c r="DQ49" t="e">
        <f>AND(#REF!,"LJSOTg05gHg=")</f>
        <v>#REF!</v>
      </c>
      <c r="DR49" t="e">
        <f>AND(#REF!,"LJSOTg05gHk=")</f>
        <v>#REF!</v>
      </c>
      <c r="DS49" t="e">
        <f>AND(#REF!,"LJSOTg05gHo=")</f>
        <v>#REF!</v>
      </c>
      <c r="DT49" t="e">
        <f>AND(#REF!,"LJSOTg05gHs=")</f>
        <v>#REF!</v>
      </c>
      <c r="DU49" t="e">
        <f>AND(#REF!,"LJSOTg05gHw=")</f>
        <v>#REF!</v>
      </c>
      <c r="DV49" t="e">
        <f>AND(#REF!,"LJSOTg05gH0=")</f>
        <v>#REF!</v>
      </c>
      <c r="DW49" t="e">
        <f>AND(#REF!,"LJSOTg05gH4=")</f>
        <v>#REF!</v>
      </c>
      <c r="DX49" t="e">
        <f>AND(#REF!,"LJSOTg05gH8=")</f>
        <v>#REF!</v>
      </c>
      <c r="DY49" t="e">
        <f>AND(#REF!,"LJSOTg05gIA=")</f>
        <v>#REF!</v>
      </c>
      <c r="DZ49" t="e">
        <f>AND(#REF!,"LJSOTg05gIE=")</f>
        <v>#REF!</v>
      </c>
      <c r="EA49" t="e">
        <f>AND(#REF!,"LJSOTg05gII=")</f>
        <v>#REF!</v>
      </c>
      <c r="EB49" t="e">
        <f>AND(#REF!,"LJSOTg05gIM=")</f>
        <v>#REF!</v>
      </c>
      <c r="EC49" t="e">
        <f>AND(#REF!,"LJSOTg05gIQ=")</f>
        <v>#REF!</v>
      </c>
      <c r="ED49" t="e">
        <f>AND(#REF!,"LJSOTg05gIU=")</f>
        <v>#REF!</v>
      </c>
      <c r="EE49" t="e">
        <f>AND(#REF!,"LJSOTg05gIY=")</f>
        <v>#REF!</v>
      </c>
      <c r="EF49" t="e">
        <f>AND(#REF!,"LJSOTg05gIc=")</f>
        <v>#REF!</v>
      </c>
      <c r="EG49" t="e">
        <f>AND(#REF!,"LJSOTg05gIg=")</f>
        <v>#REF!</v>
      </c>
      <c r="EH49" t="e">
        <f>AND(#REF!,"LJSOTg05gIk=")</f>
        <v>#REF!</v>
      </c>
      <c r="EI49" t="e">
        <f>AND(#REF!,"LJSOTg05gIo=")</f>
        <v>#REF!</v>
      </c>
      <c r="EJ49" t="e">
        <f>AND(#REF!,"LJSOTg05gIs=")</f>
        <v>#REF!</v>
      </c>
      <c r="EK49" t="e">
        <f>AND(#REF!,"LJSOTg05gIw=")</f>
        <v>#REF!</v>
      </c>
      <c r="EL49" t="e">
        <f>AND(#REF!,"LJSOTg05gI0=")</f>
        <v>#REF!</v>
      </c>
      <c r="EM49" t="e">
        <f>AND(#REF!,"LJSOTg05gI4=")</f>
        <v>#REF!</v>
      </c>
      <c r="EN49" t="e">
        <f>AND(#REF!,"LJSOTg05gI8=")</f>
        <v>#REF!</v>
      </c>
      <c r="EO49" t="e">
        <f>AND(#REF!,"LJSOTg05gJA=")</f>
        <v>#REF!</v>
      </c>
      <c r="EP49" t="e">
        <f>AND(#REF!,"LJSOTg05gJE=")</f>
        <v>#REF!</v>
      </c>
      <c r="EQ49" t="e">
        <f>AND(#REF!,"LJSOTg05gJI=")</f>
        <v>#REF!</v>
      </c>
      <c r="ER49" t="e">
        <f>AND(#REF!,"LJSOTg05gJM=")</f>
        <v>#REF!</v>
      </c>
      <c r="ES49" t="e">
        <f>AND(#REF!,"LJSOTg05gJQ=")</f>
        <v>#REF!</v>
      </c>
      <c r="ET49" t="e">
        <f>AND(#REF!,"LJSOTg05gJU=")</f>
        <v>#REF!</v>
      </c>
      <c r="EU49" t="e">
        <f>AND(#REF!,"LJSOTg05gJY=")</f>
        <v>#REF!</v>
      </c>
      <c r="EV49" t="e">
        <f>AND(#REF!,"LJSOTg05gJc=")</f>
        <v>#REF!</v>
      </c>
      <c r="EW49" t="e">
        <f>AND(#REF!,"LJSOTg05gJg=")</f>
        <v>#REF!</v>
      </c>
      <c r="EX49" t="e">
        <f>AND(#REF!,"LJSOTg05gJk=")</f>
        <v>#REF!</v>
      </c>
      <c r="EY49" t="e">
        <f>AND(#REF!,"LJSOTg05gJo=")</f>
        <v>#REF!</v>
      </c>
      <c r="EZ49" t="e">
        <f>AND(#REF!,"LJSOTg05gJs=")</f>
        <v>#REF!</v>
      </c>
      <c r="FA49" t="e">
        <f>AND(#REF!,"LJSOTg05gJw=")</f>
        <v>#REF!</v>
      </c>
      <c r="FB49" t="e">
        <f>AND(#REF!,"LJSOTg05gJ0=")</f>
        <v>#REF!</v>
      </c>
      <c r="FC49" t="e">
        <f>AND(#REF!,"LJSOTg05gJ4=")</f>
        <v>#REF!</v>
      </c>
      <c r="FD49" t="e">
        <f>AND(#REF!,"LJSOTg05gJ8=")</f>
        <v>#REF!</v>
      </c>
      <c r="FE49" t="e">
        <f>AND(#REF!,"LJSOTg05gKA=")</f>
        <v>#REF!</v>
      </c>
      <c r="FF49" t="e">
        <f>AND(#REF!,"LJSOTg05gKE=")</f>
        <v>#REF!</v>
      </c>
      <c r="FG49" t="e">
        <f>AND(#REF!,"LJSOTg05gKI=")</f>
        <v>#REF!</v>
      </c>
      <c r="FH49" t="e">
        <f>AND(#REF!,"LJSOTg05gKM=")</f>
        <v>#REF!</v>
      </c>
      <c r="FI49" t="e">
        <f>AND(#REF!,"LJSOTg05gKQ=")</f>
        <v>#REF!</v>
      </c>
      <c r="FJ49" t="e">
        <f>AND(#REF!,"LJSOTg05gKU=")</f>
        <v>#REF!</v>
      </c>
      <c r="FK49" t="e">
        <f>AND(#REF!,"LJSOTg05gKY=")</f>
        <v>#REF!</v>
      </c>
      <c r="FL49" t="e">
        <f>AND(#REF!,"LJSOTg05gKc=")</f>
        <v>#REF!</v>
      </c>
      <c r="FM49" t="e">
        <f>AND(#REF!,"LJSOTg05gKg=")</f>
        <v>#REF!</v>
      </c>
      <c r="FN49" t="e">
        <f>AND(#REF!,"LJSOTg05gKk=")</f>
        <v>#REF!</v>
      </c>
      <c r="FO49" t="e">
        <f>AND(#REF!,"LJSOTg05gKo=")</f>
        <v>#REF!</v>
      </c>
      <c r="FP49" t="e">
        <f>AND(#REF!,"LJSOTg05gKs=")</f>
        <v>#REF!</v>
      </c>
      <c r="FQ49" t="e">
        <f>AND(#REF!,"LJSOTg05gKw=")</f>
        <v>#REF!</v>
      </c>
      <c r="FR49" t="e">
        <f>AND(#REF!,"LJSOTg05gK0=")</f>
        <v>#REF!</v>
      </c>
      <c r="FS49" t="e">
        <f>AND(#REF!,"LJSOTg05gK4=")</f>
        <v>#REF!</v>
      </c>
      <c r="FT49" t="e">
        <f>AND(#REF!,"LJSOTg05gK8=")</f>
        <v>#REF!</v>
      </c>
      <c r="FU49" t="e">
        <f>AND(#REF!,"LJSOTg05gLA=")</f>
        <v>#REF!</v>
      </c>
      <c r="FV49" t="e">
        <f>AND(#REF!,"LJSOTg05gLE=")</f>
        <v>#REF!</v>
      </c>
      <c r="FW49" t="e">
        <f>AND(#REF!,"LJSOTg05gLI=")</f>
        <v>#REF!</v>
      </c>
      <c r="FX49" t="e">
        <f>AND(#REF!,"LJSOTg05gLM=")</f>
        <v>#REF!</v>
      </c>
      <c r="FY49" t="e">
        <f>AND(#REF!,"LJSOTg05gLQ=")</f>
        <v>#REF!</v>
      </c>
      <c r="FZ49" t="e">
        <f>AND(#REF!,"LJSOTg05gLU=")</f>
        <v>#REF!</v>
      </c>
      <c r="GA49" t="e">
        <f>AND(#REF!,"LJSOTg05gLY=")</f>
        <v>#REF!</v>
      </c>
      <c r="GB49" t="e">
        <f>AND(#REF!,"LJSOTg05gLc=")</f>
        <v>#REF!</v>
      </c>
      <c r="GC49" t="e">
        <f>AND(#REF!,"LJSOTg05gLg=")</f>
        <v>#REF!</v>
      </c>
      <c r="GD49" t="e">
        <f>AND(#REF!,"LJSOTg05gLk=")</f>
        <v>#REF!</v>
      </c>
      <c r="GE49" t="e">
        <f>AND(#REF!,"LJSOTg05gLo=")</f>
        <v>#REF!</v>
      </c>
      <c r="GF49" t="e">
        <f>AND(#REF!,"LJSOTg05gLs=")</f>
        <v>#REF!</v>
      </c>
      <c r="GG49" t="e">
        <f>AND(#REF!,"LJSOTg05gLw=")</f>
        <v>#REF!</v>
      </c>
      <c r="GH49" t="e">
        <f>AND(#REF!,"LJSOTg05gL0=")</f>
        <v>#REF!</v>
      </c>
      <c r="GI49" t="e">
        <f>AND(#REF!,"LJSOTg05gL4=")</f>
        <v>#REF!</v>
      </c>
      <c r="GJ49" t="e">
        <f>AND(#REF!,"LJSOTg05gL8=")</f>
        <v>#REF!</v>
      </c>
      <c r="GK49" t="e">
        <f>AND(#REF!,"LJSOTg05gMA=")</f>
        <v>#REF!</v>
      </c>
      <c r="GL49" t="e">
        <f>AND(#REF!,"LJSOTg05gME=")</f>
        <v>#REF!</v>
      </c>
      <c r="GM49" t="e">
        <f>AND(#REF!,"LJSOTg05gMI=")</f>
        <v>#REF!</v>
      </c>
      <c r="GN49" t="e">
        <f>IF(#REF!,"LJSOTg05gMM=",0)</f>
        <v>#REF!</v>
      </c>
      <c r="GO49" t="e">
        <f>AND(#REF!,"LJSOTg05gMQ=")</f>
        <v>#REF!</v>
      </c>
      <c r="GP49" t="e">
        <f>AND(#REF!,"LJSOTg05gMU=")</f>
        <v>#REF!</v>
      </c>
      <c r="GQ49" t="e">
        <f>AND(#REF!,"LJSOTg05gMY=")</f>
        <v>#REF!</v>
      </c>
      <c r="GR49" t="e">
        <f>AND(#REF!,"LJSOTg05gMc=")</f>
        <v>#REF!</v>
      </c>
      <c r="GS49" t="e">
        <f>AND(#REF!,"LJSOTg05gMg=")</f>
        <v>#REF!</v>
      </c>
      <c r="GT49" t="e">
        <f>AND(#REF!,"LJSOTg05gMk=")</f>
        <v>#REF!</v>
      </c>
      <c r="GU49" t="e">
        <f>AND(#REF!,"LJSOTg05gMo=")</f>
        <v>#REF!</v>
      </c>
      <c r="GV49" t="e">
        <f>AND(#REF!,"LJSOTg05gMs=")</f>
        <v>#REF!</v>
      </c>
      <c r="GW49" t="e">
        <f>AND(#REF!,"LJSOTg05gMw=")</f>
        <v>#REF!</v>
      </c>
      <c r="GX49" t="e">
        <f>AND(#REF!,"LJSOTg05gM0=")</f>
        <v>#REF!</v>
      </c>
      <c r="GY49" t="e">
        <f>AND(#REF!,"LJSOTg05gM4=")</f>
        <v>#REF!</v>
      </c>
      <c r="GZ49" t="e">
        <f>AND(#REF!,"LJSOTg05gM8=")</f>
        <v>#REF!</v>
      </c>
      <c r="HA49" t="e">
        <f>AND(#REF!,"LJSOTg05gNA=")</f>
        <v>#REF!</v>
      </c>
      <c r="HB49" t="e">
        <f>AND(#REF!,"LJSOTg05gNE=")</f>
        <v>#REF!</v>
      </c>
      <c r="HC49" t="e">
        <f>AND(#REF!,"LJSOTg05gNI=")</f>
        <v>#REF!</v>
      </c>
      <c r="HD49" t="e">
        <f>AND(#REF!,"LJSOTg05gNM=")</f>
        <v>#REF!</v>
      </c>
      <c r="HE49" t="e">
        <f>AND(#REF!,"LJSOTg05gNQ=")</f>
        <v>#REF!</v>
      </c>
      <c r="HF49" t="e">
        <f>AND(#REF!,"LJSOTg05gNU=")</f>
        <v>#REF!</v>
      </c>
      <c r="HG49" t="e">
        <f>AND(#REF!,"LJSOTg05gNY=")</f>
        <v>#REF!</v>
      </c>
      <c r="HH49" t="e">
        <f>AND(#REF!,"LJSOTg05gNc=")</f>
        <v>#REF!</v>
      </c>
      <c r="HI49" t="e">
        <f>AND(#REF!,"LJSOTg05gNg=")</f>
        <v>#REF!</v>
      </c>
      <c r="HJ49" t="e">
        <f>AND(#REF!,"LJSOTg05gNk=")</f>
        <v>#REF!</v>
      </c>
      <c r="HK49" t="e">
        <f>AND(#REF!,"LJSOTg05gNo=")</f>
        <v>#REF!</v>
      </c>
      <c r="HL49" t="e">
        <f>AND(#REF!,"LJSOTg05gNs=")</f>
        <v>#REF!</v>
      </c>
      <c r="HM49" t="e">
        <f>AND(#REF!,"LJSOTg05gNw=")</f>
        <v>#REF!</v>
      </c>
      <c r="HN49" t="e">
        <f>AND(#REF!,"LJSOTg05gN0=")</f>
        <v>#REF!</v>
      </c>
      <c r="HO49" t="e">
        <f>AND(#REF!,"LJSOTg05gN4=")</f>
        <v>#REF!</v>
      </c>
      <c r="HP49" t="e">
        <f>AND(#REF!,"LJSOTg05gN8=")</f>
        <v>#REF!</v>
      </c>
      <c r="HQ49" t="e">
        <f>AND(#REF!,"LJSOTg05gOA=")</f>
        <v>#REF!</v>
      </c>
      <c r="HR49" t="e">
        <f>AND(#REF!,"LJSOTg05gOE=")</f>
        <v>#REF!</v>
      </c>
      <c r="HS49" t="e">
        <f>AND(#REF!,"LJSOTg05gOI=")</f>
        <v>#REF!</v>
      </c>
      <c r="HT49" t="e">
        <f>AND(#REF!,"LJSOTg05gOM=")</f>
        <v>#REF!</v>
      </c>
      <c r="HU49" t="e">
        <f>AND(#REF!,"LJSOTg05gOQ=")</f>
        <v>#REF!</v>
      </c>
      <c r="HV49" t="e">
        <f>AND(#REF!,"LJSOTg05gOU=")</f>
        <v>#REF!</v>
      </c>
      <c r="HW49" t="e">
        <f>AND(#REF!,"LJSOTg05gOY=")</f>
        <v>#REF!</v>
      </c>
      <c r="HX49" t="e">
        <f>AND(#REF!,"LJSOTg05gOc=")</f>
        <v>#REF!</v>
      </c>
      <c r="HY49" t="e">
        <f>AND(#REF!,"LJSOTg05gOg=")</f>
        <v>#REF!</v>
      </c>
      <c r="HZ49" t="e">
        <f>AND(#REF!,"LJSOTg05gOk=")</f>
        <v>#REF!</v>
      </c>
      <c r="IA49" t="e">
        <f>AND(#REF!,"LJSOTg05gOo=")</f>
        <v>#REF!</v>
      </c>
      <c r="IB49" t="e">
        <f>AND(#REF!,"LJSOTg05gOs=")</f>
        <v>#REF!</v>
      </c>
      <c r="IC49" t="e">
        <f>AND(#REF!,"LJSOTg05gOw=")</f>
        <v>#REF!</v>
      </c>
      <c r="ID49" t="e">
        <f>AND(#REF!,"LJSOTg05gO0=")</f>
        <v>#REF!</v>
      </c>
      <c r="IE49" t="e">
        <f>AND(#REF!,"LJSOTg05gO4=")</f>
        <v>#REF!</v>
      </c>
      <c r="IF49" t="e">
        <f>AND(#REF!,"LJSOTg05gO8=")</f>
        <v>#REF!</v>
      </c>
      <c r="IG49" t="e">
        <f>AND(#REF!,"LJSOTg05gPA=")</f>
        <v>#REF!</v>
      </c>
      <c r="IH49" t="e">
        <f>AND(#REF!,"LJSOTg05gPE=")</f>
        <v>#REF!</v>
      </c>
      <c r="II49" t="e">
        <f>AND(#REF!,"LJSOTg05gPI=")</f>
        <v>#REF!</v>
      </c>
      <c r="IJ49" t="e">
        <f>AND(#REF!,"LJSOTg05gPM=")</f>
        <v>#REF!</v>
      </c>
      <c r="IK49" t="e">
        <f>AND(#REF!,"LJSOTg05gPQ=")</f>
        <v>#REF!</v>
      </c>
      <c r="IL49" t="e">
        <f>AND(#REF!,"LJSOTg05gPU=")</f>
        <v>#REF!</v>
      </c>
      <c r="IM49" t="e">
        <f>AND(#REF!,"LJSOTg05gPY=")</f>
        <v>#REF!</v>
      </c>
      <c r="IN49" t="e">
        <f>AND(#REF!,"LJSOTg05gPc=")</f>
        <v>#REF!</v>
      </c>
      <c r="IO49" t="e">
        <f>AND(#REF!,"LJSOTg05gPg=")</f>
        <v>#REF!</v>
      </c>
      <c r="IP49" t="e">
        <f>AND(#REF!,"LJSOTg05gPk=")</f>
        <v>#REF!</v>
      </c>
      <c r="IQ49" t="e">
        <f>AND(#REF!,"LJSOTg05gPo=")</f>
        <v>#REF!</v>
      </c>
      <c r="IR49" t="e">
        <f>AND(#REF!,"LJSOTg05gPs=")</f>
        <v>#REF!</v>
      </c>
      <c r="IS49" t="e">
        <f>AND(#REF!,"LJSOTg05gPw=")</f>
        <v>#REF!</v>
      </c>
      <c r="IT49" t="e">
        <f>AND(#REF!,"LJSOTg05gP0=")</f>
        <v>#REF!</v>
      </c>
      <c r="IU49" t="e">
        <f>AND(#REF!,"LJSOTg05gP4=")</f>
        <v>#REF!</v>
      </c>
      <c r="IV49" t="e">
        <f>AND(#REF!,"LJSOTg05gP8=")</f>
        <v>#REF!</v>
      </c>
    </row>
    <row r="50" spans="1:256" x14ac:dyDescent="0.2">
      <c r="A50" t="e">
        <f>AND(#REF!,"IMXoTyEjeAA=")</f>
        <v>#REF!</v>
      </c>
      <c r="B50" t="e">
        <f>AND(#REF!,"IMXoTyEjeAE=")</f>
        <v>#REF!</v>
      </c>
      <c r="C50" t="e">
        <f>AND(#REF!,"IMXoTyEjeAI=")</f>
        <v>#REF!</v>
      </c>
      <c r="D50" t="e">
        <f>AND(#REF!,"IMXoTyEjeAM=")</f>
        <v>#REF!</v>
      </c>
      <c r="E50" t="e">
        <f>AND(#REF!,"IMXoTyEjeAQ=")</f>
        <v>#REF!</v>
      </c>
      <c r="F50" t="e">
        <f>AND(#REF!,"IMXoTyEjeAU=")</f>
        <v>#REF!</v>
      </c>
      <c r="G50" t="e">
        <f>AND(#REF!,"IMXoTyEjeAY=")</f>
        <v>#REF!</v>
      </c>
      <c r="H50" t="e">
        <f>AND(#REF!,"IMXoTyEjeAc=")</f>
        <v>#REF!</v>
      </c>
      <c r="I50" t="e">
        <f>AND(#REF!,"IMXoTyEjeAg=")</f>
        <v>#REF!</v>
      </c>
      <c r="J50" t="e">
        <f>AND(#REF!,"IMXoTyEjeAk=")</f>
        <v>#REF!</v>
      </c>
      <c r="K50" t="e">
        <f>AND(#REF!,"IMXoTyEjeAo=")</f>
        <v>#REF!</v>
      </c>
      <c r="L50" t="e">
        <f>AND(#REF!,"IMXoTyEjeAs=")</f>
        <v>#REF!</v>
      </c>
      <c r="M50" t="e">
        <f>AND(#REF!,"IMXoTyEjeAw=")</f>
        <v>#REF!</v>
      </c>
      <c r="N50" t="e">
        <f>AND(#REF!,"IMXoTyEjeA0=")</f>
        <v>#REF!</v>
      </c>
      <c r="O50" t="e">
        <f>AND(#REF!,"IMXoTyEjeA4=")</f>
        <v>#REF!</v>
      </c>
      <c r="P50" t="e">
        <f>AND(#REF!,"IMXoTyEjeA8=")</f>
        <v>#REF!</v>
      </c>
      <c r="Q50" t="e">
        <f>AND(#REF!,"IMXoTyEjeBA=")</f>
        <v>#REF!</v>
      </c>
      <c r="R50" t="e">
        <f>AND(#REF!,"IMXoTyEjeBE=")</f>
        <v>#REF!</v>
      </c>
      <c r="S50" t="e">
        <f>AND(#REF!,"IMXoTyEjeBI=")</f>
        <v>#REF!</v>
      </c>
      <c r="T50" t="e">
        <f>AND(#REF!,"IMXoTyEjeBM=")</f>
        <v>#REF!</v>
      </c>
      <c r="U50" t="e">
        <f>AND(#REF!,"IMXoTyEjeBQ=")</f>
        <v>#REF!</v>
      </c>
      <c r="V50" t="e">
        <f>AND(#REF!,"IMXoTyEjeBU=")</f>
        <v>#REF!</v>
      </c>
      <c r="W50" t="e">
        <f>AND(#REF!,"IMXoTyEjeBY=")</f>
        <v>#REF!</v>
      </c>
      <c r="X50" t="e">
        <f>AND(#REF!,"IMXoTyEjeBc=")</f>
        <v>#REF!</v>
      </c>
      <c r="Y50" t="e">
        <f>AND(#REF!,"IMXoTyEjeBg=")</f>
        <v>#REF!</v>
      </c>
      <c r="Z50" t="e">
        <f>AND(#REF!,"IMXoTyEjeBk=")</f>
        <v>#REF!</v>
      </c>
      <c r="AA50" t="e">
        <f>AND(#REF!,"IMXoTyEjeBo=")</f>
        <v>#REF!</v>
      </c>
      <c r="AB50" t="e">
        <f>AND(#REF!,"IMXoTyEjeBs=")</f>
        <v>#REF!</v>
      </c>
      <c r="AC50" t="e">
        <f>AND(#REF!,"IMXoTyEjeBw=")</f>
        <v>#REF!</v>
      </c>
      <c r="AD50" t="e">
        <f>AND(#REF!,"IMXoTyEjeB0=")</f>
        <v>#REF!</v>
      </c>
      <c r="AE50" t="e">
        <f>AND(#REF!,"IMXoTyEjeB4=")</f>
        <v>#REF!</v>
      </c>
      <c r="AF50" t="e">
        <f>AND(#REF!,"IMXoTyEjeB8=")</f>
        <v>#REF!</v>
      </c>
      <c r="AG50" t="e">
        <f>AND(#REF!,"IMXoTyEjeCA=")</f>
        <v>#REF!</v>
      </c>
      <c r="AH50" t="e">
        <f>AND(#REF!,"IMXoTyEjeCE=")</f>
        <v>#REF!</v>
      </c>
      <c r="AI50" t="e">
        <f>AND(#REF!,"IMXoTyEjeCI=")</f>
        <v>#REF!</v>
      </c>
      <c r="AJ50" t="e">
        <f>AND(#REF!,"IMXoTyEjeCM=")</f>
        <v>#REF!</v>
      </c>
      <c r="AK50" t="e">
        <f>AND(#REF!,"IMXoTyEjeCQ=")</f>
        <v>#REF!</v>
      </c>
      <c r="AL50" t="e">
        <f>AND(#REF!,"IMXoTyEjeCU=")</f>
        <v>#REF!</v>
      </c>
      <c r="AM50" t="e">
        <f>AND(#REF!,"IMXoTyEjeCY=")</f>
        <v>#REF!</v>
      </c>
      <c r="AN50" t="e">
        <f>AND(#REF!,"IMXoTyEjeCc=")</f>
        <v>#REF!</v>
      </c>
      <c r="AO50" t="e">
        <f>AND(#REF!,"IMXoTyEjeCg=")</f>
        <v>#REF!</v>
      </c>
      <c r="AP50" t="e">
        <f>AND(#REF!,"IMXoTyEjeCk=")</f>
        <v>#REF!</v>
      </c>
      <c r="AQ50" t="e">
        <f>AND(#REF!,"IMXoTyEjeCo=")</f>
        <v>#REF!</v>
      </c>
      <c r="AR50" t="e">
        <f>AND(#REF!,"IMXoTyEjeCs=")</f>
        <v>#REF!</v>
      </c>
      <c r="AS50" t="e">
        <f>AND(#REF!,"IMXoTyEjeCw=")</f>
        <v>#REF!</v>
      </c>
      <c r="AT50" t="e">
        <f>AND(#REF!,"IMXoTyEjeC0=")</f>
        <v>#REF!</v>
      </c>
      <c r="AU50" t="e">
        <f>AND(#REF!,"IMXoTyEjeC4=")</f>
        <v>#REF!</v>
      </c>
      <c r="AV50" t="e">
        <f>AND(#REF!,"IMXoTyEjeC8=")</f>
        <v>#REF!</v>
      </c>
      <c r="AW50" t="e">
        <f>AND(#REF!,"IMXoTyEjeDA=")</f>
        <v>#REF!</v>
      </c>
      <c r="AX50" t="e">
        <f>AND(#REF!,"IMXoTyEjeDE=")</f>
        <v>#REF!</v>
      </c>
      <c r="AY50" t="e">
        <f>AND(#REF!,"IMXoTyEjeDI=")</f>
        <v>#REF!</v>
      </c>
      <c r="AZ50" t="e">
        <f>AND(#REF!,"IMXoTyEjeDM=")</f>
        <v>#REF!</v>
      </c>
      <c r="BA50" t="e">
        <f>AND(#REF!,"IMXoTyEjeDQ=")</f>
        <v>#REF!</v>
      </c>
      <c r="BB50" t="e">
        <f>AND(#REF!,"IMXoTyEjeDU=")</f>
        <v>#REF!</v>
      </c>
      <c r="BC50" t="e">
        <f>AND(#REF!,"IMXoTyEjeDY=")</f>
        <v>#REF!</v>
      </c>
      <c r="BD50" t="e">
        <f>AND(#REF!,"IMXoTyEjeDc=")</f>
        <v>#REF!</v>
      </c>
      <c r="BE50" t="e">
        <f>AND(#REF!,"IMXoTyEjeDg=")</f>
        <v>#REF!</v>
      </c>
      <c r="BF50" t="e">
        <f>AND(#REF!,"IMXoTyEjeDk=")</f>
        <v>#REF!</v>
      </c>
      <c r="BG50" t="e">
        <f>AND(#REF!,"IMXoTyEjeDo=")</f>
        <v>#REF!</v>
      </c>
      <c r="BH50" t="e">
        <f>AND(#REF!,"IMXoTyEjeDs=")</f>
        <v>#REF!</v>
      </c>
      <c r="BI50" t="e">
        <f>AND(#REF!,"IMXoTyEjeDw=")</f>
        <v>#REF!</v>
      </c>
      <c r="BJ50" t="e">
        <f>AND(#REF!,"IMXoTyEjeD0=")</f>
        <v>#REF!</v>
      </c>
      <c r="BK50" t="e">
        <f>AND(#REF!,"IMXoTyEjeD4=")</f>
        <v>#REF!</v>
      </c>
      <c r="BL50" t="e">
        <f>AND(#REF!,"IMXoTyEjeD8=")</f>
        <v>#REF!</v>
      </c>
      <c r="BM50" t="e">
        <f>AND(#REF!,"IMXoTyEjeEA=")</f>
        <v>#REF!</v>
      </c>
      <c r="BN50" t="e">
        <f>AND(#REF!,"IMXoTyEjeEE=")</f>
        <v>#REF!</v>
      </c>
      <c r="BO50" t="e">
        <f>AND(#REF!,"IMXoTyEjeEI=")</f>
        <v>#REF!</v>
      </c>
      <c r="BP50" t="e">
        <f>AND(#REF!,"IMXoTyEjeEM=")</f>
        <v>#REF!</v>
      </c>
      <c r="BQ50" t="e">
        <f>AND(#REF!,"IMXoTyEjeEQ=")</f>
        <v>#REF!</v>
      </c>
      <c r="BR50" t="e">
        <f>AND(#REF!,"IMXoTyEjeEU=")</f>
        <v>#REF!</v>
      </c>
      <c r="BS50" t="e">
        <f>AND(#REF!,"IMXoTyEjeEY=")</f>
        <v>#REF!</v>
      </c>
      <c r="BT50" t="e">
        <f>AND(#REF!,"IMXoTyEjeEc=")</f>
        <v>#REF!</v>
      </c>
      <c r="BU50" t="e">
        <f>AND(#REF!,"IMXoTyEjeEg=")</f>
        <v>#REF!</v>
      </c>
      <c r="BV50" t="e">
        <f>AND(#REF!,"IMXoTyEjeEk=")</f>
        <v>#REF!</v>
      </c>
      <c r="BW50" t="e">
        <f>AND(#REF!,"IMXoTyEjeEo=")</f>
        <v>#REF!</v>
      </c>
      <c r="BX50" t="e">
        <f>AND(#REF!,"IMXoTyEjeEs=")</f>
        <v>#REF!</v>
      </c>
      <c r="BY50" t="e">
        <f>AND(#REF!,"IMXoTyEjeEw=")</f>
        <v>#REF!</v>
      </c>
      <c r="BZ50" t="e">
        <f>AND(#REF!,"IMXoTyEjeE0=")</f>
        <v>#REF!</v>
      </c>
      <c r="CA50" t="e">
        <f>AND(#REF!,"IMXoTyEjeE4=")</f>
        <v>#REF!</v>
      </c>
      <c r="CB50" t="e">
        <f>AND(#REF!,"IMXoTyEjeE8=")</f>
        <v>#REF!</v>
      </c>
      <c r="CC50" t="e">
        <f>AND(#REF!,"IMXoTyEjeFA=")</f>
        <v>#REF!</v>
      </c>
      <c r="CD50" t="e">
        <f>AND(#REF!,"IMXoTyEjeFE=")</f>
        <v>#REF!</v>
      </c>
      <c r="CE50" t="e">
        <f>AND(#REF!,"IMXoTyEjeFI=")</f>
        <v>#REF!</v>
      </c>
      <c r="CF50" t="e">
        <f>AND(#REF!,"IMXoTyEjeFM=")</f>
        <v>#REF!</v>
      </c>
      <c r="CG50" t="e">
        <f>AND(#REF!,"IMXoTyEjeFQ=")</f>
        <v>#REF!</v>
      </c>
      <c r="CH50" t="e">
        <f>AND(#REF!,"IMXoTyEjeFU=")</f>
        <v>#REF!</v>
      </c>
      <c r="CI50" t="e">
        <f>AND(#REF!,"IMXoTyEjeFY=")</f>
        <v>#REF!</v>
      </c>
      <c r="CJ50" t="e">
        <f>AND(#REF!,"IMXoTyEjeFc=")</f>
        <v>#REF!</v>
      </c>
      <c r="CK50" t="e">
        <f>AND(#REF!,"IMXoTyEjeFg=")</f>
        <v>#REF!</v>
      </c>
      <c r="CL50" t="e">
        <f>AND(#REF!,"IMXoTyEjeFk=")</f>
        <v>#REF!</v>
      </c>
      <c r="CM50" t="e">
        <f>AND(#REF!,"IMXoTyEjeFo=")</f>
        <v>#REF!</v>
      </c>
      <c r="CN50" t="e">
        <f>AND(#REF!,"IMXoTyEjeFs=")</f>
        <v>#REF!</v>
      </c>
      <c r="CO50" t="e">
        <f>AND(#REF!,"IMXoTyEjeFw=")</f>
        <v>#REF!</v>
      </c>
      <c r="CP50" t="e">
        <f>AND(#REF!,"IMXoTyEjeF0=")</f>
        <v>#REF!</v>
      </c>
      <c r="CQ50" t="e">
        <f>AND(#REF!,"IMXoTyEjeF4=")</f>
        <v>#REF!</v>
      </c>
      <c r="CR50" t="e">
        <f>AND(#REF!,"IMXoTyEjeF8=")</f>
        <v>#REF!</v>
      </c>
      <c r="CS50" t="e">
        <f>AND(#REF!,"IMXoTyEjeGA=")</f>
        <v>#REF!</v>
      </c>
      <c r="CT50" t="e">
        <f>AND(#REF!,"IMXoTyEjeGE=")</f>
        <v>#REF!</v>
      </c>
      <c r="CU50" t="e">
        <f>AND(#REF!,"IMXoTyEjeGI=")</f>
        <v>#REF!</v>
      </c>
      <c r="CV50" t="e">
        <f>AND(#REF!,"IMXoTyEjeGM=")</f>
        <v>#REF!</v>
      </c>
      <c r="CW50" t="e">
        <f>AND(#REF!,"IMXoTyEjeGQ=")</f>
        <v>#REF!</v>
      </c>
      <c r="CX50" t="e">
        <f>AND(#REF!,"IMXoTyEjeGU=")</f>
        <v>#REF!</v>
      </c>
      <c r="CY50" t="e">
        <f>AND(#REF!,"IMXoTyEjeGY=")</f>
        <v>#REF!</v>
      </c>
      <c r="CZ50" t="e">
        <f>AND(#REF!,"IMXoTyEjeGc=")</f>
        <v>#REF!</v>
      </c>
      <c r="DA50" t="e">
        <f>AND(#REF!,"IMXoTyEjeGg=")</f>
        <v>#REF!</v>
      </c>
      <c r="DB50" t="e">
        <f>AND(#REF!,"IMXoTyEjeGk=")</f>
        <v>#REF!</v>
      </c>
      <c r="DC50" t="e">
        <f>AND(#REF!,"IMXoTyEjeGo=")</f>
        <v>#REF!</v>
      </c>
      <c r="DD50" t="e">
        <f>AND(#REF!,"IMXoTyEjeGs=")</f>
        <v>#REF!</v>
      </c>
      <c r="DE50" t="e">
        <f>AND(#REF!,"IMXoTyEjeGw=")</f>
        <v>#REF!</v>
      </c>
      <c r="DF50" t="e">
        <f>AND(#REF!,"IMXoTyEjeG0=")</f>
        <v>#REF!</v>
      </c>
      <c r="DG50" t="e">
        <f>AND(#REF!,"IMXoTyEjeG4=")</f>
        <v>#REF!</v>
      </c>
      <c r="DH50" t="e">
        <f>AND(#REF!,"IMXoTyEjeG8=")</f>
        <v>#REF!</v>
      </c>
      <c r="DI50" t="e">
        <f>AND(#REF!,"IMXoTyEjeHA=")</f>
        <v>#REF!</v>
      </c>
      <c r="DJ50" t="e">
        <f>AND(#REF!,"IMXoTyEjeHE=")</f>
        <v>#REF!</v>
      </c>
      <c r="DK50" t="e">
        <f>AND(#REF!,"IMXoTyEjeHI=")</f>
        <v>#REF!</v>
      </c>
      <c r="DL50" t="e">
        <f>AND(#REF!,"IMXoTyEjeHM=")</f>
        <v>#REF!</v>
      </c>
      <c r="DM50" t="e">
        <f>AND(#REF!,"IMXoTyEjeHQ=")</f>
        <v>#REF!</v>
      </c>
      <c r="DN50" t="e">
        <f>AND(#REF!,"IMXoTyEjeHU=")</f>
        <v>#REF!</v>
      </c>
      <c r="DO50" t="e">
        <f>AND(#REF!,"IMXoTyEjeHY=")</f>
        <v>#REF!</v>
      </c>
      <c r="DP50" t="e">
        <f>AND(#REF!,"IMXoTyEjeHc=")</f>
        <v>#REF!</v>
      </c>
      <c r="DQ50" t="e">
        <f>AND(#REF!,"IMXoTyEjeHg=")</f>
        <v>#REF!</v>
      </c>
      <c r="DR50" t="e">
        <f>AND(#REF!,"IMXoTyEjeHk=")</f>
        <v>#REF!</v>
      </c>
      <c r="DS50" t="e">
        <f>AND(#REF!,"IMXoTyEjeHo=")</f>
        <v>#REF!</v>
      </c>
      <c r="DT50" t="e">
        <f>AND(#REF!,"IMXoTyEjeHs=")</f>
        <v>#REF!</v>
      </c>
      <c r="DU50" t="e">
        <f>AND(#REF!,"IMXoTyEjeHw=")</f>
        <v>#REF!</v>
      </c>
      <c r="DV50" t="e">
        <f>AND(#REF!,"IMXoTyEjeH0=")</f>
        <v>#REF!</v>
      </c>
      <c r="DW50" t="e">
        <f>AND(#REF!,"IMXoTyEjeH4=")</f>
        <v>#REF!</v>
      </c>
      <c r="DX50" t="e">
        <f>AND(#REF!,"IMXoTyEjeH8=")</f>
        <v>#REF!</v>
      </c>
      <c r="DY50" t="e">
        <f>AND(#REF!,"IMXoTyEjeIA=")</f>
        <v>#REF!</v>
      </c>
      <c r="DZ50" t="e">
        <f>AND(#REF!,"IMXoTyEjeIE=")</f>
        <v>#REF!</v>
      </c>
      <c r="EA50" t="e">
        <f>AND(#REF!,"IMXoTyEjeII=")</f>
        <v>#REF!</v>
      </c>
      <c r="EB50" t="e">
        <f>AND(#REF!,"IMXoTyEjeIM=")</f>
        <v>#REF!</v>
      </c>
      <c r="EC50" t="e">
        <f>AND(#REF!,"IMXoTyEjeIQ=")</f>
        <v>#REF!</v>
      </c>
      <c r="ED50" t="e">
        <f>AND(#REF!,"IMXoTyEjeIU=")</f>
        <v>#REF!</v>
      </c>
      <c r="EE50" t="e">
        <f>AND(#REF!,"IMXoTyEjeIY=")</f>
        <v>#REF!</v>
      </c>
      <c r="EF50" t="e">
        <f>AND(#REF!,"IMXoTyEjeIc=")</f>
        <v>#REF!</v>
      </c>
      <c r="EG50" t="e">
        <f>AND(#REF!,"IMXoTyEjeIg=")</f>
        <v>#REF!</v>
      </c>
      <c r="EH50" t="e">
        <f>AND(#REF!,"IMXoTyEjeIk=")</f>
        <v>#REF!</v>
      </c>
      <c r="EI50" t="e">
        <f>IF(#REF!,"IMXoTyEjeIo=",0)</f>
        <v>#REF!</v>
      </c>
      <c r="EJ50" t="e">
        <f>AND(#REF!,"IMXoTyEjeIs=")</f>
        <v>#REF!</v>
      </c>
      <c r="EK50" t="e">
        <f>AND(#REF!,"IMXoTyEjeIw=")</f>
        <v>#REF!</v>
      </c>
      <c r="EL50" t="e">
        <f>AND(#REF!,"IMXoTyEjeI0=")</f>
        <v>#REF!</v>
      </c>
      <c r="EM50" t="e">
        <f>AND(#REF!,"IMXoTyEjeI4=")</f>
        <v>#REF!</v>
      </c>
      <c r="EN50" t="e">
        <f>AND(#REF!,"IMXoTyEjeI8=")</f>
        <v>#REF!</v>
      </c>
      <c r="EO50" t="e">
        <f>AND(#REF!,"IMXoTyEjeJA=")</f>
        <v>#REF!</v>
      </c>
      <c r="EP50" t="e">
        <f>AND(#REF!,"IMXoTyEjeJE=")</f>
        <v>#REF!</v>
      </c>
      <c r="EQ50" t="e">
        <f>AND(#REF!,"IMXoTyEjeJI=")</f>
        <v>#REF!</v>
      </c>
      <c r="ER50" t="e">
        <f>AND(#REF!,"IMXoTyEjeJM=")</f>
        <v>#REF!</v>
      </c>
      <c r="ES50" t="e">
        <f>AND(#REF!,"IMXoTyEjeJQ=")</f>
        <v>#REF!</v>
      </c>
      <c r="ET50" t="e">
        <f>AND(#REF!,"IMXoTyEjeJU=")</f>
        <v>#REF!</v>
      </c>
      <c r="EU50" t="e">
        <f>AND(#REF!,"IMXoTyEjeJY=")</f>
        <v>#REF!</v>
      </c>
      <c r="EV50" t="e">
        <f>AND(#REF!,"IMXoTyEjeJc=")</f>
        <v>#REF!</v>
      </c>
      <c r="EW50" t="e">
        <f>AND(#REF!,"IMXoTyEjeJg=")</f>
        <v>#REF!</v>
      </c>
      <c r="EX50" t="e">
        <f>AND(#REF!,"IMXoTyEjeJk=")</f>
        <v>#REF!</v>
      </c>
      <c r="EY50" t="e">
        <f>AND(#REF!,"IMXoTyEjeJo=")</f>
        <v>#REF!</v>
      </c>
      <c r="EZ50" t="e">
        <f>AND(#REF!,"IMXoTyEjeJs=")</f>
        <v>#REF!</v>
      </c>
      <c r="FA50" t="e">
        <f>AND(#REF!,"IMXoTyEjeJw=")</f>
        <v>#REF!</v>
      </c>
      <c r="FB50" t="e">
        <f>AND(#REF!,"IMXoTyEjeJ0=")</f>
        <v>#REF!</v>
      </c>
      <c r="FC50" t="e">
        <f>AND(#REF!,"IMXoTyEjeJ4=")</f>
        <v>#REF!</v>
      </c>
      <c r="FD50" t="e">
        <f>AND(#REF!,"IMXoTyEjeJ8=")</f>
        <v>#REF!</v>
      </c>
      <c r="FE50" t="e">
        <f>AND(#REF!,"IMXoTyEjeKA=")</f>
        <v>#REF!</v>
      </c>
      <c r="FF50" t="e">
        <f>AND(#REF!,"IMXoTyEjeKE=")</f>
        <v>#REF!</v>
      </c>
      <c r="FG50" t="e">
        <f>AND(#REF!,"IMXoTyEjeKI=")</f>
        <v>#REF!</v>
      </c>
      <c r="FH50" t="e">
        <f>AND(#REF!,"IMXoTyEjeKM=")</f>
        <v>#REF!</v>
      </c>
      <c r="FI50" t="e">
        <f>AND(#REF!,"IMXoTyEjeKQ=")</f>
        <v>#REF!</v>
      </c>
      <c r="FJ50" t="e">
        <f>AND(#REF!,"IMXoTyEjeKU=")</f>
        <v>#REF!</v>
      </c>
      <c r="FK50" t="e">
        <f>AND(#REF!,"IMXoTyEjeKY=")</f>
        <v>#REF!</v>
      </c>
      <c r="FL50" t="e">
        <f>AND(#REF!,"IMXoTyEjeKc=")</f>
        <v>#REF!</v>
      </c>
      <c r="FM50" t="e">
        <f>AND(#REF!,"IMXoTyEjeKg=")</f>
        <v>#REF!</v>
      </c>
      <c r="FN50" t="e">
        <f>AND(#REF!,"IMXoTyEjeKk=")</f>
        <v>#REF!</v>
      </c>
      <c r="FO50" t="e">
        <f>AND(#REF!,"IMXoTyEjeKo=")</f>
        <v>#REF!</v>
      </c>
      <c r="FP50" t="e">
        <f>AND(#REF!,"IMXoTyEjeKs=")</f>
        <v>#REF!</v>
      </c>
      <c r="FQ50" t="e">
        <f>AND(#REF!,"IMXoTyEjeKw=")</f>
        <v>#REF!</v>
      </c>
      <c r="FR50" t="e">
        <f>AND(#REF!,"IMXoTyEjeK0=")</f>
        <v>#REF!</v>
      </c>
      <c r="FS50" t="e">
        <f>AND(#REF!,"IMXoTyEjeK4=")</f>
        <v>#REF!</v>
      </c>
      <c r="FT50" t="e">
        <f>AND(#REF!,"IMXoTyEjeK8=")</f>
        <v>#REF!</v>
      </c>
      <c r="FU50" t="e">
        <f>AND(#REF!,"IMXoTyEjeLA=")</f>
        <v>#REF!</v>
      </c>
      <c r="FV50" t="e">
        <f>AND(#REF!,"IMXoTyEjeLE=")</f>
        <v>#REF!</v>
      </c>
      <c r="FW50" t="e">
        <f>AND(#REF!,"IMXoTyEjeLI=")</f>
        <v>#REF!</v>
      </c>
      <c r="FX50" t="e">
        <f>AND(#REF!,"IMXoTyEjeLM=")</f>
        <v>#REF!</v>
      </c>
      <c r="FY50" t="e">
        <f>AND(#REF!,"IMXoTyEjeLQ=")</f>
        <v>#REF!</v>
      </c>
      <c r="FZ50" t="e">
        <f>AND(#REF!,"IMXoTyEjeLU=")</f>
        <v>#REF!</v>
      </c>
      <c r="GA50" t="e">
        <f>AND(#REF!,"IMXoTyEjeLY=")</f>
        <v>#REF!</v>
      </c>
      <c r="GB50" t="e">
        <f>AND(#REF!,"IMXoTyEjeLc=")</f>
        <v>#REF!</v>
      </c>
      <c r="GC50" t="e">
        <f>AND(#REF!,"IMXoTyEjeLg=")</f>
        <v>#REF!</v>
      </c>
      <c r="GD50" t="e">
        <f>AND(#REF!,"IMXoTyEjeLk=")</f>
        <v>#REF!</v>
      </c>
      <c r="GE50" t="e">
        <f>AND(#REF!,"IMXoTyEjeLo=")</f>
        <v>#REF!</v>
      </c>
      <c r="GF50" t="e">
        <f>AND(#REF!,"IMXoTyEjeLs=")</f>
        <v>#REF!</v>
      </c>
      <c r="GG50" t="e">
        <f>AND(#REF!,"IMXoTyEjeLw=")</f>
        <v>#REF!</v>
      </c>
      <c r="GH50" t="e">
        <f>AND(#REF!,"IMXoTyEjeL0=")</f>
        <v>#REF!</v>
      </c>
      <c r="GI50" t="e">
        <f>AND(#REF!,"IMXoTyEjeL4=")</f>
        <v>#REF!</v>
      </c>
      <c r="GJ50" t="e">
        <f>AND(#REF!,"IMXoTyEjeL8=")</f>
        <v>#REF!</v>
      </c>
      <c r="GK50" t="e">
        <f>AND(#REF!,"IMXoTyEjeMA=")</f>
        <v>#REF!</v>
      </c>
      <c r="GL50" t="e">
        <f>AND(#REF!,"IMXoTyEjeME=")</f>
        <v>#REF!</v>
      </c>
      <c r="GM50" t="e">
        <f>AND(#REF!,"IMXoTyEjeMI=")</f>
        <v>#REF!</v>
      </c>
      <c r="GN50" t="e">
        <f>AND(#REF!,"IMXoTyEjeMM=")</f>
        <v>#REF!</v>
      </c>
      <c r="GO50" t="e">
        <f>AND(#REF!,"IMXoTyEjeMQ=")</f>
        <v>#REF!</v>
      </c>
      <c r="GP50" t="e">
        <f>AND(#REF!,"IMXoTyEjeMU=")</f>
        <v>#REF!</v>
      </c>
      <c r="GQ50" t="e">
        <f>AND(#REF!,"IMXoTyEjeMY=")</f>
        <v>#REF!</v>
      </c>
      <c r="GR50" t="e">
        <f>AND(#REF!,"IMXoTyEjeMc=")</f>
        <v>#REF!</v>
      </c>
      <c r="GS50" t="e">
        <f>AND(#REF!,"IMXoTyEjeMg=")</f>
        <v>#REF!</v>
      </c>
      <c r="GT50" t="e">
        <f>AND(#REF!,"IMXoTyEjeMk=")</f>
        <v>#REF!</v>
      </c>
      <c r="GU50" t="e">
        <f>AND(#REF!,"IMXoTyEjeMo=")</f>
        <v>#REF!</v>
      </c>
      <c r="GV50" t="e">
        <f>AND(#REF!,"IMXoTyEjeMs=")</f>
        <v>#REF!</v>
      </c>
      <c r="GW50" t="e">
        <f>AND(#REF!,"IMXoTyEjeMw=")</f>
        <v>#REF!</v>
      </c>
      <c r="GX50" t="e">
        <f>AND(#REF!,"IMXoTyEjeM0=")</f>
        <v>#REF!</v>
      </c>
      <c r="GY50" t="e">
        <f>AND(#REF!,"IMXoTyEjeM4=")</f>
        <v>#REF!</v>
      </c>
      <c r="GZ50" t="e">
        <f>AND(#REF!,"IMXoTyEjeM8=")</f>
        <v>#REF!</v>
      </c>
      <c r="HA50" t="e">
        <f>AND(#REF!,"IMXoTyEjeNA=")</f>
        <v>#REF!</v>
      </c>
      <c r="HB50" t="e">
        <f>AND(#REF!,"IMXoTyEjeNE=")</f>
        <v>#REF!</v>
      </c>
      <c r="HC50" t="e">
        <f>AND(#REF!,"IMXoTyEjeNI=")</f>
        <v>#REF!</v>
      </c>
      <c r="HD50" t="e">
        <f>AND(#REF!,"IMXoTyEjeNM=")</f>
        <v>#REF!</v>
      </c>
      <c r="HE50" t="e">
        <f>AND(#REF!,"IMXoTyEjeNQ=")</f>
        <v>#REF!</v>
      </c>
      <c r="HF50" t="e">
        <f>AND(#REF!,"IMXoTyEjeNU=")</f>
        <v>#REF!</v>
      </c>
      <c r="HG50" t="e">
        <f>AND(#REF!,"IMXoTyEjeNY=")</f>
        <v>#REF!</v>
      </c>
      <c r="HH50" t="e">
        <f>AND(#REF!,"IMXoTyEjeNc=")</f>
        <v>#REF!</v>
      </c>
      <c r="HI50" t="e">
        <f>AND(#REF!,"IMXoTyEjeNg=")</f>
        <v>#REF!</v>
      </c>
      <c r="HJ50" t="e">
        <f>AND(#REF!,"IMXoTyEjeNk=")</f>
        <v>#REF!</v>
      </c>
      <c r="HK50" t="e">
        <f>AND(#REF!,"IMXoTyEjeNo=")</f>
        <v>#REF!</v>
      </c>
      <c r="HL50" t="e">
        <f>AND(#REF!,"IMXoTyEjeNs=")</f>
        <v>#REF!</v>
      </c>
      <c r="HM50" t="e">
        <f>AND(#REF!,"IMXoTyEjeNw=")</f>
        <v>#REF!</v>
      </c>
      <c r="HN50" t="e">
        <f>AND(#REF!,"IMXoTyEjeN0=")</f>
        <v>#REF!</v>
      </c>
      <c r="HO50" t="e">
        <f>AND(#REF!,"IMXoTyEjeN4=")</f>
        <v>#REF!</v>
      </c>
      <c r="HP50" t="e">
        <f>AND(#REF!,"IMXoTyEjeN8=")</f>
        <v>#REF!</v>
      </c>
      <c r="HQ50" t="e">
        <f>AND(#REF!,"IMXoTyEjeOA=")</f>
        <v>#REF!</v>
      </c>
      <c r="HR50" t="e">
        <f>AND(#REF!,"IMXoTyEjeOE=")</f>
        <v>#REF!</v>
      </c>
      <c r="HS50" t="e">
        <f>AND(#REF!,"IMXoTyEjeOI=")</f>
        <v>#REF!</v>
      </c>
      <c r="HT50" t="e">
        <f>AND(#REF!,"IMXoTyEjeOM=")</f>
        <v>#REF!</v>
      </c>
      <c r="HU50" t="e">
        <f>AND(#REF!,"IMXoTyEjeOQ=")</f>
        <v>#REF!</v>
      </c>
      <c r="HV50" t="e">
        <f>AND(#REF!,"IMXoTyEjeOU=")</f>
        <v>#REF!</v>
      </c>
      <c r="HW50" t="e">
        <f>AND(#REF!,"IMXoTyEjeOY=")</f>
        <v>#REF!</v>
      </c>
      <c r="HX50" t="e">
        <f>AND(#REF!,"IMXoTyEjeOc=")</f>
        <v>#REF!</v>
      </c>
      <c r="HY50" t="e">
        <f>AND(#REF!,"IMXoTyEjeOg=")</f>
        <v>#REF!</v>
      </c>
      <c r="HZ50" t="e">
        <f>AND(#REF!,"IMXoTyEjeOk=")</f>
        <v>#REF!</v>
      </c>
      <c r="IA50" t="e">
        <f>AND(#REF!,"IMXoTyEjeOo=")</f>
        <v>#REF!</v>
      </c>
      <c r="IB50" t="e">
        <f>AND(#REF!,"IMXoTyEjeOs=")</f>
        <v>#REF!</v>
      </c>
      <c r="IC50" t="e">
        <f>AND(#REF!,"IMXoTyEjeOw=")</f>
        <v>#REF!</v>
      </c>
      <c r="ID50" t="e">
        <f>AND(#REF!,"IMXoTyEjeO0=")</f>
        <v>#REF!</v>
      </c>
      <c r="IE50" t="e">
        <f>AND(#REF!,"IMXoTyEjeO4=")</f>
        <v>#REF!</v>
      </c>
      <c r="IF50" t="e">
        <f>AND(#REF!,"IMXoTyEjeO8=")</f>
        <v>#REF!</v>
      </c>
      <c r="IG50" t="e">
        <f>AND(#REF!,"IMXoTyEjePA=")</f>
        <v>#REF!</v>
      </c>
      <c r="IH50" t="e">
        <f>AND(#REF!,"IMXoTyEjePE=")</f>
        <v>#REF!</v>
      </c>
      <c r="II50" t="e">
        <f>AND(#REF!,"IMXoTyEjePI=")</f>
        <v>#REF!</v>
      </c>
      <c r="IJ50" t="e">
        <f>AND(#REF!,"IMXoTyEjePM=")</f>
        <v>#REF!</v>
      </c>
      <c r="IK50" t="e">
        <f>AND(#REF!,"IMXoTyEjePQ=")</f>
        <v>#REF!</v>
      </c>
      <c r="IL50" t="e">
        <f>AND(#REF!,"IMXoTyEjePU=")</f>
        <v>#REF!</v>
      </c>
      <c r="IM50" t="e">
        <f>AND(#REF!,"IMXoTyEjePY=")</f>
        <v>#REF!</v>
      </c>
      <c r="IN50" t="e">
        <f>AND(#REF!,"IMXoTyEjePc=")</f>
        <v>#REF!</v>
      </c>
      <c r="IO50" t="e">
        <f>AND(#REF!,"IMXoTyEjePg=")</f>
        <v>#REF!</v>
      </c>
      <c r="IP50" t="e">
        <f>AND(#REF!,"IMXoTyEjePk=")</f>
        <v>#REF!</v>
      </c>
      <c r="IQ50" t="e">
        <f>AND(#REF!,"IMXoTyEjePo=")</f>
        <v>#REF!</v>
      </c>
      <c r="IR50" t="e">
        <f>AND(#REF!,"IMXoTyEjePs=")</f>
        <v>#REF!</v>
      </c>
      <c r="IS50" t="e">
        <f>AND(#REF!,"IMXoTyEjePw=")</f>
        <v>#REF!</v>
      </c>
      <c r="IT50" t="e">
        <f>AND(#REF!,"IMXoTyEjeP0=")</f>
        <v>#REF!</v>
      </c>
      <c r="IU50" t="e">
        <f>AND(#REF!,"IMXoTyEjeP4=")</f>
        <v>#REF!</v>
      </c>
      <c r="IV50" t="e">
        <f>AND(#REF!,"IMXoTyEjeP8=")</f>
        <v>#REF!</v>
      </c>
    </row>
    <row r="51" spans="1:256" x14ac:dyDescent="0.2">
      <c r="A51" t="e">
        <f>AND(#REF!,"Svq8XUu3NgA=")</f>
        <v>#REF!</v>
      </c>
      <c r="B51" t="e">
        <f>AND(#REF!,"Svq8XUu3NgE=")</f>
        <v>#REF!</v>
      </c>
      <c r="C51" t="e">
        <f>AND(#REF!,"Svq8XUu3NgI=")</f>
        <v>#REF!</v>
      </c>
      <c r="D51" t="e">
        <f>AND(#REF!,"Svq8XUu3NgM=")</f>
        <v>#REF!</v>
      </c>
      <c r="E51" t="e">
        <f>AND(#REF!,"Svq8XUu3NgQ=")</f>
        <v>#REF!</v>
      </c>
      <c r="F51" t="e">
        <f>AND(#REF!,"Svq8XUu3NgU=")</f>
        <v>#REF!</v>
      </c>
      <c r="G51" t="e">
        <f>AND(#REF!,"Svq8XUu3NgY=")</f>
        <v>#REF!</v>
      </c>
      <c r="H51" t="e">
        <f>AND(#REF!,"Svq8XUu3Ngc=")</f>
        <v>#REF!</v>
      </c>
      <c r="I51" t="e">
        <f>AND(#REF!,"Svq8XUu3Ngg=")</f>
        <v>#REF!</v>
      </c>
      <c r="J51" t="e">
        <f>AND(#REF!,"Svq8XUu3Ngk=")</f>
        <v>#REF!</v>
      </c>
      <c r="K51" t="e">
        <f>AND(#REF!,"Svq8XUu3Ngo=")</f>
        <v>#REF!</v>
      </c>
      <c r="L51" t="e">
        <f>AND(#REF!,"Svq8XUu3Ngs=")</f>
        <v>#REF!</v>
      </c>
      <c r="M51" t="e">
        <f>AND(#REF!,"Svq8XUu3Ngw=")</f>
        <v>#REF!</v>
      </c>
      <c r="N51" t="e">
        <f>AND(#REF!,"Svq8XUu3Ng0=")</f>
        <v>#REF!</v>
      </c>
      <c r="O51" t="e">
        <f>AND(#REF!,"Svq8XUu3Ng4=")</f>
        <v>#REF!</v>
      </c>
      <c r="P51" t="e">
        <f>AND(#REF!,"Svq8XUu3Ng8=")</f>
        <v>#REF!</v>
      </c>
      <c r="Q51" t="e">
        <f>AND(#REF!,"Svq8XUu3NhA=")</f>
        <v>#REF!</v>
      </c>
      <c r="R51" t="e">
        <f>AND(#REF!,"Svq8XUu3NhE=")</f>
        <v>#REF!</v>
      </c>
      <c r="S51" t="e">
        <f>AND(#REF!,"Svq8XUu3NhI=")</f>
        <v>#REF!</v>
      </c>
      <c r="T51" t="e">
        <f>AND(#REF!,"Svq8XUu3NhM=")</f>
        <v>#REF!</v>
      </c>
      <c r="U51" t="e">
        <f>AND(#REF!,"Svq8XUu3NhQ=")</f>
        <v>#REF!</v>
      </c>
      <c r="V51" t="e">
        <f>AND(#REF!,"Svq8XUu3NhU=")</f>
        <v>#REF!</v>
      </c>
      <c r="W51" t="e">
        <f>AND(#REF!,"Svq8XUu3NhY=")</f>
        <v>#REF!</v>
      </c>
      <c r="X51" t="e">
        <f>AND(#REF!,"Svq8XUu3Nhc=")</f>
        <v>#REF!</v>
      </c>
      <c r="Y51" t="e">
        <f>AND(#REF!,"Svq8XUu3Nhg=")</f>
        <v>#REF!</v>
      </c>
      <c r="Z51" t="e">
        <f>AND(#REF!,"Svq8XUu3Nhk=")</f>
        <v>#REF!</v>
      </c>
      <c r="AA51" t="e">
        <f>AND(#REF!,"Svq8XUu3Nho=")</f>
        <v>#REF!</v>
      </c>
      <c r="AB51" t="e">
        <f>AND(#REF!,"Svq8XUu3Nhs=")</f>
        <v>#REF!</v>
      </c>
      <c r="AC51" t="e">
        <f>AND(#REF!,"Svq8XUu3Nhw=")</f>
        <v>#REF!</v>
      </c>
      <c r="AD51" t="e">
        <f>AND(#REF!,"Svq8XUu3Nh0=")</f>
        <v>#REF!</v>
      </c>
      <c r="AE51" t="e">
        <f>AND(#REF!,"Svq8XUu3Nh4=")</f>
        <v>#REF!</v>
      </c>
      <c r="AF51" t="e">
        <f>AND(#REF!,"Svq8XUu3Nh8=")</f>
        <v>#REF!</v>
      </c>
      <c r="AG51" t="e">
        <f>AND(#REF!,"Svq8XUu3NiA=")</f>
        <v>#REF!</v>
      </c>
      <c r="AH51" t="e">
        <f>AND(#REF!,"Svq8XUu3NiE=")</f>
        <v>#REF!</v>
      </c>
      <c r="AI51" t="e">
        <f>AND(#REF!,"Svq8XUu3NiI=")</f>
        <v>#REF!</v>
      </c>
      <c r="AJ51" t="e">
        <f>AND(#REF!,"Svq8XUu3NiM=")</f>
        <v>#REF!</v>
      </c>
      <c r="AK51" t="e">
        <f>AND(#REF!,"Svq8XUu3NiQ=")</f>
        <v>#REF!</v>
      </c>
      <c r="AL51" t="e">
        <f>AND(#REF!,"Svq8XUu3NiU=")</f>
        <v>#REF!</v>
      </c>
      <c r="AM51" t="e">
        <f>AND(#REF!,"Svq8XUu3NiY=")</f>
        <v>#REF!</v>
      </c>
      <c r="AN51" t="e">
        <f>AND(#REF!,"Svq8XUu3Nic=")</f>
        <v>#REF!</v>
      </c>
      <c r="AO51" t="e">
        <f>AND(#REF!,"Svq8XUu3Nig=")</f>
        <v>#REF!</v>
      </c>
      <c r="AP51" t="e">
        <f>AND(#REF!,"Svq8XUu3Nik=")</f>
        <v>#REF!</v>
      </c>
      <c r="AQ51" t="e">
        <f>AND(#REF!,"Svq8XUu3Nio=")</f>
        <v>#REF!</v>
      </c>
      <c r="AR51" t="e">
        <f>AND(#REF!,"Svq8XUu3Nis=")</f>
        <v>#REF!</v>
      </c>
      <c r="AS51" t="e">
        <f>AND(#REF!,"Svq8XUu3Niw=")</f>
        <v>#REF!</v>
      </c>
      <c r="AT51" t="e">
        <f>AND(#REF!,"Svq8XUu3Ni0=")</f>
        <v>#REF!</v>
      </c>
      <c r="AU51" t="e">
        <f>AND(#REF!,"Svq8XUu3Ni4=")</f>
        <v>#REF!</v>
      </c>
      <c r="AV51" t="e">
        <f>AND(#REF!,"Svq8XUu3Ni8=")</f>
        <v>#REF!</v>
      </c>
      <c r="AW51" t="e">
        <f>AND(#REF!,"Svq8XUu3NjA=")</f>
        <v>#REF!</v>
      </c>
      <c r="AX51" t="e">
        <f>AND(#REF!,"Svq8XUu3NjE=")</f>
        <v>#REF!</v>
      </c>
      <c r="AY51" t="e">
        <f>AND(#REF!,"Svq8XUu3NjI=")</f>
        <v>#REF!</v>
      </c>
      <c r="AZ51" t="e">
        <f>AND(#REF!,"Svq8XUu3NjM=")</f>
        <v>#REF!</v>
      </c>
      <c r="BA51" t="e">
        <f>AND(#REF!,"Svq8XUu3NjQ=")</f>
        <v>#REF!</v>
      </c>
      <c r="BB51" t="e">
        <f>AND(#REF!,"Svq8XUu3NjU=")</f>
        <v>#REF!</v>
      </c>
      <c r="BC51" t="e">
        <f>AND(#REF!,"Svq8XUu3NjY=")</f>
        <v>#REF!</v>
      </c>
      <c r="BD51" t="e">
        <f>AND(#REF!,"Svq8XUu3Njc=")</f>
        <v>#REF!</v>
      </c>
      <c r="BE51" t="e">
        <f>AND(#REF!,"Svq8XUu3Njg=")</f>
        <v>#REF!</v>
      </c>
      <c r="BF51" t="e">
        <f>AND(#REF!,"Svq8XUu3Njk=")</f>
        <v>#REF!</v>
      </c>
      <c r="BG51" t="e">
        <f>AND(#REF!,"Svq8XUu3Njo=")</f>
        <v>#REF!</v>
      </c>
      <c r="BH51" t="e">
        <f>AND(#REF!,"Svq8XUu3Njs=")</f>
        <v>#REF!</v>
      </c>
      <c r="BI51" t="e">
        <f>AND(#REF!,"Svq8XUu3Njw=")</f>
        <v>#REF!</v>
      </c>
      <c r="BJ51" t="e">
        <f>AND(#REF!,"Svq8XUu3Nj0=")</f>
        <v>#REF!</v>
      </c>
      <c r="BK51" t="e">
        <f>AND(#REF!,"Svq8XUu3Nj4=")</f>
        <v>#REF!</v>
      </c>
      <c r="BL51" t="e">
        <f>AND(#REF!,"Svq8XUu3Nj8=")</f>
        <v>#REF!</v>
      </c>
      <c r="BM51" t="e">
        <f>AND(#REF!,"Svq8XUu3NkA=")</f>
        <v>#REF!</v>
      </c>
      <c r="BN51" t="e">
        <f>AND(#REF!,"Svq8XUu3NkE=")</f>
        <v>#REF!</v>
      </c>
      <c r="BO51" t="e">
        <f>AND(#REF!,"Svq8XUu3NkI=")</f>
        <v>#REF!</v>
      </c>
      <c r="BP51" t="e">
        <f>AND(#REF!,"Svq8XUu3NkM=")</f>
        <v>#REF!</v>
      </c>
      <c r="BQ51" t="e">
        <f>AND(#REF!,"Svq8XUu3NkQ=")</f>
        <v>#REF!</v>
      </c>
      <c r="BR51" t="e">
        <f>AND(#REF!,"Svq8XUu3NkU=")</f>
        <v>#REF!</v>
      </c>
      <c r="BS51" t="e">
        <f>AND(#REF!,"Svq8XUu3NkY=")</f>
        <v>#REF!</v>
      </c>
      <c r="BT51" t="e">
        <f>AND(#REF!,"Svq8XUu3Nkc=")</f>
        <v>#REF!</v>
      </c>
      <c r="BU51" t="e">
        <f>AND(#REF!,"Svq8XUu3Nkg=")</f>
        <v>#REF!</v>
      </c>
      <c r="BV51" t="e">
        <f>AND(#REF!,"Svq8XUu3Nkk=")</f>
        <v>#REF!</v>
      </c>
      <c r="BW51" t="e">
        <f>AND(#REF!,"Svq8XUu3Nko=")</f>
        <v>#REF!</v>
      </c>
      <c r="BX51" t="e">
        <f>AND(#REF!,"Svq8XUu3Nks=")</f>
        <v>#REF!</v>
      </c>
      <c r="BY51" t="e">
        <f>AND(#REF!,"Svq8XUu3Nkw=")</f>
        <v>#REF!</v>
      </c>
      <c r="BZ51" t="e">
        <f>AND(#REF!,"Svq8XUu3Nk0=")</f>
        <v>#REF!</v>
      </c>
      <c r="CA51" t="e">
        <f>AND(#REF!,"Svq8XUu3Nk4=")</f>
        <v>#REF!</v>
      </c>
      <c r="CB51" t="e">
        <f>AND(#REF!,"Svq8XUu3Nk8=")</f>
        <v>#REF!</v>
      </c>
      <c r="CC51" t="e">
        <f>AND(#REF!,"Svq8XUu3NlA=")</f>
        <v>#REF!</v>
      </c>
      <c r="CD51" t="e">
        <f>IF(#REF!,"Svq8XUu3NlE=",0)</f>
        <v>#REF!</v>
      </c>
      <c r="CE51" t="e">
        <f>AND(#REF!,"Svq8XUu3NlI=")</f>
        <v>#REF!</v>
      </c>
      <c r="CF51" t="e">
        <f>AND(#REF!,"Svq8XUu3NlM=")</f>
        <v>#REF!</v>
      </c>
      <c r="CG51" t="e">
        <f>AND(#REF!,"Svq8XUu3NlQ=")</f>
        <v>#REF!</v>
      </c>
      <c r="CH51" t="e">
        <f>AND(#REF!,"Svq8XUu3NlU=")</f>
        <v>#REF!</v>
      </c>
      <c r="CI51" t="e">
        <f>AND(#REF!,"Svq8XUu3NlY=")</f>
        <v>#REF!</v>
      </c>
      <c r="CJ51" t="e">
        <f>AND(#REF!,"Svq8XUu3Nlc=")</f>
        <v>#REF!</v>
      </c>
      <c r="CK51" t="e">
        <f>AND(#REF!,"Svq8XUu3Nlg=")</f>
        <v>#REF!</v>
      </c>
      <c r="CL51" t="e">
        <f>AND(#REF!,"Svq8XUu3Nlk=")</f>
        <v>#REF!</v>
      </c>
      <c r="CM51" t="e">
        <f>AND(#REF!,"Svq8XUu3Nlo=")</f>
        <v>#REF!</v>
      </c>
      <c r="CN51" t="e">
        <f>AND(#REF!,"Svq8XUu3Nls=")</f>
        <v>#REF!</v>
      </c>
      <c r="CO51" t="e">
        <f>AND(#REF!,"Svq8XUu3Nlw=")</f>
        <v>#REF!</v>
      </c>
      <c r="CP51" t="e">
        <f>AND(#REF!,"Svq8XUu3Nl0=")</f>
        <v>#REF!</v>
      </c>
      <c r="CQ51" t="e">
        <f>AND(#REF!,"Svq8XUu3Nl4=")</f>
        <v>#REF!</v>
      </c>
      <c r="CR51" t="e">
        <f>AND(#REF!,"Svq8XUu3Nl8=")</f>
        <v>#REF!</v>
      </c>
      <c r="CS51" t="e">
        <f>AND(#REF!,"Svq8XUu3NmA=")</f>
        <v>#REF!</v>
      </c>
      <c r="CT51" t="e">
        <f>AND(#REF!,"Svq8XUu3NmE=")</f>
        <v>#REF!</v>
      </c>
      <c r="CU51" t="e">
        <f>AND(#REF!,"Svq8XUu3NmI=")</f>
        <v>#REF!</v>
      </c>
      <c r="CV51" t="e">
        <f>AND(#REF!,"Svq8XUu3NmM=")</f>
        <v>#REF!</v>
      </c>
      <c r="CW51" t="e">
        <f>AND(#REF!,"Svq8XUu3NmQ=")</f>
        <v>#REF!</v>
      </c>
      <c r="CX51" t="e">
        <f>AND(#REF!,"Svq8XUu3NmU=")</f>
        <v>#REF!</v>
      </c>
      <c r="CY51" t="e">
        <f>AND(#REF!,"Svq8XUu3NmY=")</f>
        <v>#REF!</v>
      </c>
      <c r="CZ51" t="e">
        <f>AND(#REF!,"Svq8XUu3Nmc=")</f>
        <v>#REF!</v>
      </c>
      <c r="DA51" t="e">
        <f>AND(#REF!,"Svq8XUu3Nmg=")</f>
        <v>#REF!</v>
      </c>
      <c r="DB51" t="e">
        <f>AND(#REF!,"Svq8XUu3Nmk=")</f>
        <v>#REF!</v>
      </c>
      <c r="DC51" t="e">
        <f>AND(#REF!,"Svq8XUu3Nmo=")</f>
        <v>#REF!</v>
      </c>
      <c r="DD51" t="e">
        <f>AND(#REF!,"Svq8XUu3Nms=")</f>
        <v>#REF!</v>
      </c>
      <c r="DE51" t="e">
        <f>AND(#REF!,"Svq8XUu3Nmw=")</f>
        <v>#REF!</v>
      </c>
      <c r="DF51" t="e">
        <f>AND(#REF!,"Svq8XUu3Nm0=")</f>
        <v>#REF!</v>
      </c>
      <c r="DG51" t="e">
        <f>AND(#REF!,"Svq8XUu3Nm4=")</f>
        <v>#REF!</v>
      </c>
      <c r="DH51" t="e">
        <f>AND(#REF!,"Svq8XUu3Nm8=")</f>
        <v>#REF!</v>
      </c>
      <c r="DI51" t="e">
        <f>AND(#REF!,"Svq8XUu3NnA=")</f>
        <v>#REF!</v>
      </c>
      <c r="DJ51" t="e">
        <f>AND(#REF!,"Svq8XUu3NnE=")</f>
        <v>#REF!</v>
      </c>
      <c r="DK51" t="e">
        <f>AND(#REF!,"Svq8XUu3NnI=")</f>
        <v>#REF!</v>
      </c>
      <c r="DL51" t="e">
        <f>AND(#REF!,"Svq8XUu3NnM=")</f>
        <v>#REF!</v>
      </c>
      <c r="DM51" t="e">
        <f>AND(#REF!,"Svq8XUu3NnQ=")</f>
        <v>#REF!</v>
      </c>
      <c r="DN51" t="e">
        <f>AND(#REF!,"Svq8XUu3NnU=")</f>
        <v>#REF!</v>
      </c>
      <c r="DO51" t="e">
        <f>AND(#REF!,"Svq8XUu3NnY=")</f>
        <v>#REF!</v>
      </c>
      <c r="DP51" t="e">
        <f>AND(#REF!,"Svq8XUu3Nnc=")</f>
        <v>#REF!</v>
      </c>
      <c r="DQ51" t="e">
        <f>AND(#REF!,"Svq8XUu3Nng=")</f>
        <v>#REF!</v>
      </c>
      <c r="DR51" t="e">
        <f>AND(#REF!,"Svq8XUu3Nnk=")</f>
        <v>#REF!</v>
      </c>
      <c r="DS51" t="e">
        <f>AND(#REF!,"Svq8XUu3Nno=")</f>
        <v>#REF!</v>
      </c>
      <c r="DT51" t="e">
        <f>AND(#REF!,"Svq8XUu3Nns=")</f>
        <v>#REF!</v>
      </c>
      <c r="DU51" t="e">
        <f>AND(#REF!,"Svq8XUu3Nnw=")</f>
        <v>#REF!</v>
      </c>
      <c r="DV51" t="e">
        <f>AND(#REF!,"Svq8XUu3Nn0=")</f>
        <v>#REF!</v>
      </c>
      <c r="DW51" t="e">
        <f>AND(#REF!,"Svq8XUu3Nn4=")</f>
        <v>#REF!</v>
      </c>
      <c r="DX51" t="e">
        <f>AND(#REF!,"Svq8XUu3Nn8=")</f>
        <v>#REF!</v>
      </c>
      <c r="DY51" t="e">
        <f>AND(#REF!,"Svq8XUu3NoA=")</f>
        <v>#REF!</v>
      </c>
      <c r="DZ51" t="e">
        <f>AND(#REF!,"Svq8XUu3NoE=")</f>
        <v>#REF!</v>
      </c>
      <c r="EA51" t="e">
        <f>AND(#REF!,"Svq8XUu3NoI=")</f>
        <v>#REF!</v>
      </c>
      <c r="EB51" t="e">
        <f>AND(#REF!,"Svq8XUu3NoM=")</f>
        <v>#REF!</v>
      </c>
      <c r="EC51" t="e">
        <f>AND(#REF!,"Svq8XUu3NoQ=")</f>
        <v>#REF!</v>
      </c>
      <c r="ED51" t="e">
        <f>AND(#REF!,"Svq8XUu3NoU=")</f>
        <v>#REF!</v>
      </c>
      <c r="EE51" t="e">
        <f>AND(#REF!,"Svq8XUu3NoY=")</f>
        <v>#REF!</v>
      </c>
      <c r="EF51" t="e">
        <f>AND(#REF!,"Svq8XUu3Noc=")</f>
        <v>#REF!</v>
      </c>
      <c r="EG51" t="e">
        <f>AND(#REF!,"Svq8XUu3Nog=")</f>
        <v>#REF!</v>
      </c>
      <c r="EH51" t="e">
        <f>AND(#REF!,"Svq8XUu3Nok=")</f>
        <v>#REF!</v>
      </c>
      <c r="EI51" t="e">
        <f>AND(#REF!,"Svq8XUu3Noo=")</f>
        <v>#REF!</v>
      </c>
      <c r="EJ51" t="e">
        <f>AND(#REF!,"Svq8XUu3Nos=")</f>
        <v>#REF!</v>
      </c>
      <c r="EK51" t="e">
        <f>AND(#REF!,"Svq8XUu3Now=")</f>
        <v>#REF!</v>
      </c>
      <c r="EL51" t="e">
        <f>AND(#REF!,"Svq8XUu3No0=")</f>
        <v>#REF!</v>
      </c>
      <c r="EM51" t="e">
        <f>AND(#REF!,"Svq8XUu3No4=")</f>
        <v>#REF!</v>
      </c>
      <c r="EN51" t="e">
        <f>AND(#REF!,"Svq8XUu3No8=")</f>
        <v>#REF!</v>
      </c>
      <c r="EO51" t="e">
        <f>AND(#REF!,"Svq8XUu3NpA=")</f>
        <v>#REF!</v>
      </c>
      <c r="EP51" t="e">
        <f>AND(#REF!,"Svq8XUu3NpE=")</f>
        <v>#REF!</v>
      </c>
      <c r="EQ51" t="e">
        <f>AND(#REF!,"Svq8XUu3NpI=")</f>
        <v>#REF!</v>
      </c>
      <c r="ER51" t="e">
        <f>AND(#REF!,"Svq8XUu3NpM=")</f>
        <v>#REF!</v>
      </c>
      <c r="ES51" t="e">
        <f>AND(#REF!,"Svq8XUu3NpQ=")</f>
        <v>#REF!</v>
      </c>
      <c r="ET51" t="e">
        <f>AND(#REF!,"Svq8XUu3NpU=")</f>
        <v>#REF!</v>
      </c>
      <c r="EU51" t="e">
        <f>AND(#REF!,"Svq8XUu3NpY=")</f>
        <v>#REF!</v>
      </c>
      <c r="EV51" t="e">
        <f>AND(#REF!,"Svq8XUu3Npc=")</f>
        <v>#REF!</v>
      </c>
      <c r="EW51" t="e">
        <f>AND(#REF!,"Svq8XUu3Npg=")</f>
        <v>#REF!</v>
      </c>
      <c r="EX51" t="e">
        <f>AND(#REF!,"Svq8XUu3Npk=")</f>
        <v>#REF!</v>
      </c>
      <c r="EY51" t="e">
        <f>AND(#REF!,"Svq8XUu3Npo=")</f>
        <v>#REF!</v>
      </c>
      <c r="EZ51" t="e">
        <f>AND(#REF!,"Svq8XUu3Nps=")</f>
        <v>#REF!</v>
      </c>
      <c r="FA51" t="e">
        <f>AND(#REF!,"Svq8XUu3Npw=")</f>
        <v>#REF!</v>
      </c>
      <c r="FB51" t="e">
        <f>AND(#REF!,"Svq8XUu3Np0=")</f>
        <v>#REF!</v>
      </c>
      <c r="FC51" t="e">
        <f>AND(#REF!,"Svq8XUu3Np4=")</f>
        <v>#REF!</v>
      </c>
      <c r="FD51" t="e">
        <f>AND(#REF!,"Svq8XUu3Np8=")</f>
        <v>#REF!</v>
      </c>
      <c r="FE51" t="e">
        <f>AND(#REF!,"Svq8XUu3NqA=")</f>
        <v>#REF!</v>
      </c>
      <c r="FF51" t="e">
        <f>AND(#REF!,"Svq8XUu3NqE=")</f>
        <v>#REF!</v>
      </c>
      <c r="FG51" t="e">
        <f>AND(#REF!,"Svq8XUu3NqI=")</f>
        <v>#REF!</v>
      </c>
      <c r="FH51" t="e">
        <f>AND(#REF!,"Svq8XUu3NqM=")</f>
        <v>#REF!</v>
      </c>
      <c r="FI51" t="e">
        <f>AND(#REF!,"Svq8XUu3NqQ=")</f>
        <v>#REF!</v>
      </c>
      <c r="FJ51" t="e">
        <f>AND(#REF!,"Svq8XUu3NqU=")</f>
        <v>#REF!</v>
      </c>
      <c r="FK51" t="e">
        <f>AND(#REF!,"Svq8XUu3NqY=")</f>
        <v>#REF!</v>
      </c>
      <c r="FL51" t="e">
        <f>AND(#REF!,"Svq8XUu3Nqc=")</f>
        <v>#REF!</v>
      </c>
      <c r="FM51" t="e">
        <f>AND(#REF!,"Svq8XUu3Nqg=")</f>
        <v>#REF!</v>
      </c>
      <c r="FN51" t="e">
        <f>AND(#REF!,"Svq8XUu3Nqk=")</f>
        <v>#REF!</v>
      </c>
      <c r="FO51" t="e">
        <f>AND(#REF!,"Svq8XUu3Nqo=")</f>
        <v>#REF!</v>
      </c>
      <c r="FP51" t="e">
        <f>AND(#REF!,"Svq8XUu3Nqs=")</f>
        <v>#REF!</v>
      </c>
      <c r="FQ51" t="e">
        <f>AND(#REF!,"Svq8XUu3Nqw=")</f>
        <v>#REF!</v>
      </c>
      <c r="FR51" t="e">
        <f>AND(#REF!,"Svq8XUu3Nq0=")</f>
        <v>#REF!</v>
      </c>
      <c r="FS51" t="e">
        <f>AND(#REF!,"Svq8XUu3Nq4=")</f>
        <v>#REF!</v>
      </c>
      <c r="FT51" t="e">
        <f>AND(#REF!,"Svq8XUu3Nq8=")</f>
        <v>#REF!</v>
      </c>
      <c r="FU51" t="e">
        <f>AND(#REF!,"Svq8XUu3NrA=")</f>
        <v>#REF!</v>
      </c>
      <c r="FV51" t="e">
        <f>AND(#REF!,"Svq8XUu3NrE=")</f>
        <v>#REF!</v>
      </c>
      <c r="FW51" t="e">
        <f>AND(#REF!,"Svq8XUu3NrI=")</f>
        <v>#REF!</v>
      </c>
      <c r="FX51" t="e">
        <f>AND(#REF!,"Svq8XUu3NrM=")</f>
        <v>#REF!</v>
      </c>
      <c r="FY51" t="e">
        <f>AND(#REF!,"Svq8XUu3NrQ=")</f>
        <v>#REF!</v>
      </c>
      <c r="FZ51" t="e">
        <f>AND(#REF!,"Svq8XUu3NrU=")</f>
        <v>#REF!</v>
      </c>
      <c r="GA51" t="e">
        <f>AND(#REF!,"Svq8XUu3NrY=")</f>
        <v>#REF!</v>
      </c>
      <c r="GB51" t="e">
        <f>AND(#REF!,"Svq8XUu3Nrc=")</f>
        <v>#REF!</v>
      </c>
      <c r="GC51" t="e">
        <f>AND(#REF!,"Svq8XUu3Nrg=")</f>
        <v>#REF!</v>
      </c>
      <c r="GD51" t="e">
        <f>AND(#REF!,"Svq8XUu3Nrk=")</f>
        <v>#REF!</v>
      </c>
      <c r="GE51" t="e">
        <f>AND(#REF!,"Svq8XUu3Nro=")</f>
        <v>#REF!</v>
      </c>
      <c r="GF51" t="e">
        <f>AND(#REF!,"Svq8XUu3Nrs=")</f>
        <v>#REF!</v>
      </c>
      <c r="GG51" t="e">
        <f>AND(#REF!,"Svq8XUu3Nrw=")</f>
        <v>#REF!</v>
      </c>
      <c r="GH51" t="e">
        <f>AND(#REF!,"Svq8XUu3Nr0=")</f>
        <v>#REF!</v>
      </c>
      <c r="GI51" t="e">
        <f>AND(#REF!,"Svq8XUu3Nr4=")</f>
        <v>#REF!</v>
      </c>
      <c r="GJ51" t="e">
        <f>AND(#REF!,"Svq8XUu3Nr8=")</f>
        <v>#REF!</v>
      </c>
      <c r="GK51" t="e">
        <f>AND(#REF!,"Svq8XUu3NsA=")</f>
        <v>#REF!</v>
      </c>
      <c r="GL51" t="e">
        <f>AND(#REF!,"Svq8XUu3NsE=")</f>
        <v>#REF!</v>
      </c>
      <c r="GM51" t="e">
        <f>AND(#REF!,"Svq8XUu3NsI=")</f>
        <v>#REF!</v>
      </c>
      <c r="GN51" t="e">
        <f>AND(#REF!,"Svq8XUu3NsM=")</f>
        <v>#REF!</v>
      </c>
      <c r="GO51" t="e">
        <f>AND(#REF!,"Svq8XUu3NsQ=")</f>
        <v>#REF!</v>
      </c>
      <c r="GP51" t="e">
        <f>AND(#REF!,"Svq8XUu3NsU=")</f>
        <v>#REF!</v>
      </c>
      <c r="GQ51" t="e">
        <f>AND(#REF!,"Svq8XUu3NsY=")</f>
        <v>#REF!</v>
      </c>
      <c r="GR51" t="e">
        <f>AND(#REF!,"Svq8XUu3Nsc=")</f>
        <v>#REF!</v>
      </c>
      <c r="GS51" t="e">
        <f>AND(#REF!,"Svq8XUu3Nsg=")</f>
        <v>#REF!</v>
      </c>
      <c r="GT51" t="e">
        <f>AND(#REF!,"Svq8XUu3Nsk=")</f>
        <v>#REF!</v>
      </c>
      <c r="GU51" t="e">
        <f>AND(#REF!,"Svq8XUu3Nso=")</f>
        <v>#REF!</v>
      </c>
      <c r="GV51" t="e">
        <f>AND(#REF!,"Svq8XUu3Nss=")</f>
        <v>#REF!</v>
      </c>
      <c r="GW51" t="e">
        <f>AND(#REF!,"Svq8XUu3Nsw=")</f>
        <v>#REF!</v>
      </c>
      <c r="GX51" t="e">
        <f>AND(#REF!,"Svq8XUu3Ns0=")</f>
        <v>#REF!</v>
      </c>
      <c r="GY51" t="e">
        <f>AND(#REF!,"Svq8XUu3Ns4=")</f>
        <v>#REF!</v>
      </c>
      <c r="GZ51" t="e">
        <f>AND(#REF!,"Svq8XUu3Ns8=")</f>
        <v>#REF!</v>
      </c>
      <c r="HA51" t="e">
        <f>AND(#REF!,"Svq8XUu3NtA=")</f>
        <v>#REF!</v>
      </c>
      <c r="HB51" t="e">
        <f>AND(#REF!,"Svq8XUu3NtE=")</f>
        <v>#REF!</v>
      </c>
      <c r="HC51" t="e">
        <f>AND(#REF!,"Svq8XUu3NtI=")</f>
        <v>#REF!</v>
      </c>
      <c r="HD51" t="e">
        <f>AND(#REF!,"Svq8XUu3NtM=")</f>
        <v>#REF!</v>
      </c>
      <c r="HE51" t="e">
        <f>AND(#REF!,"Svq8XUu3NtQ=")</f>
        <v>#REF!</v>
      </c>
      <c r="HF51" t="e">
        <f>AND(#REF!,"Svq8XUu3NtU=")</f>
        <v>#REF!</v>
      </c>
      <c r="HG51" t="e">
        <f>AND(#REF!,"Svq8XUu3NtY=")</f>
        <v>#REF!</v>
      </c>
      <c r="HH51" t="e">
        <f>AND(#REF!,"Svq8XUu3Ntc=")</f>
        <v>#REF!</v>
      </c>
      <c r="HI51" t="e">
        <f>AND(#REF!,"Svq8XUu3Ntg=")</f>
        <v>#REF!</v>
      </c>
      <c r="HJ51" t="e">
        <f>AND(#REF!,"Svq8XUu3Ntk=")</f>
        <v>#REF!</v>
      </c>
      <c r="HK51" t="e">
        <f>AND(#REF!,"Svq8XUu3Nto=")</f>
        <v>#REF!</v>
      </c>
      <c r="HL51" t="e">
        <f>AND(#REF!,"Svq8XUu3Nts=")</f>
        <v>#REF!</v>
      </c>
      <c r="HM51" t="e">
        <f>AND(#REF!,"Svq8XUu3Ntw=")</f>
        <v>#REF!</v>
      </c>
      <c r="HN51" t="e">
        <f>AND(#REF!,"Svq8XUu3Nt0=")</f>
        <v>#REF!</v>
      </c>
      <c r="HO51" t="e">
        <f>AND(#REF!,"Svq8XUu3Nt4=")</f>
        <v>#REF!</v>
      </c>
      <c r="HP51" t="e">
        <f>AND(#REF!,"Svq8XUu3Nt8=")</f>
        <v>#REF!</v>
      </c>
      <c r="HQ51" t="e">
        <f>AND(#REF!,"Svq8XUu3NuA=")</f>
        <v>#REF!</v>
      </c>
      <c r="HR51" t="e">
        <f>AND(#REF!,"Svq8XUu3NuE=")</f>
        <v>#REF!</v>
      </c>
      <c r="HS51" t="e">
        <f>AND(#REF!,"Svq8XUu3NuI=")</f>
        <v>#REF!</v>
      </c>
      <c r="HT51" t="e">
        <f>AND(#REF!,"Svq8XUu3NuM=")</f>
        <v>#REF!</v>
      </c>
      <c r="HU51" t="e">
        <f>AND(#REF!,"Svq8XUu3NuQ=")</f>
        <v>#REF!</v>
      </c>
      <c r="HV51" t="e">
        <f>AND(#REF!,"Svq8XUu3NuU=")</f>
        <v>#REF!</v>
      </c>
      <c r="HW51" t="e">
        <f>AND(#REF!,"Svq8XUu3NuY=")</f>
        <v>#REF!</v>
      </c>
      <c r="HX51" t="e">
        <f>AND(#REF!,"Svq8XUu3Nuc=")</f>
        <v>#REF!</v>
      </c>
      <c r="HY51" t="e">
        <f>AND(#REF!,"Svq8XUu3Nug=")</f>
        <v>#REF!</v>
      </c>
      <c r="HZ51" t="e">
        <f>AND(#REF!,"Svq8XUu3Nuk=")</f>
        <v>#REF!</v>
      </c>
      <c r="IA51" t="e">
        <f>AND(#REF!,"Svq8XUu3Nuo=")</f>
        <v>#REF!</v>
      </c>
      <c r="IB51" t="e">
        <f>AND(#REF!,"Svq8XUu3Nus=")</f>
        <v>#REF!</v>
      </c>
      <c r="IC51" t="e">
        <f>AND(#REF!,"Svq8XUu3Nuw=")</f>
        <v>#REF!</v>
      </c>
      <c r="ID51" t="e">
        <f>AND(#REF!,"Svq8XUu3Nu0=")</f>
        <v>#REF!</v>
      </c>
      <c r="IE51" t="e">
        <f>AND(#REF!,"Svq8XUu3Nu4=")</f>
        <v>#REF!</v>
      </c>
      <c r="IF51" t="e">
        <f>AND(#REF!,"Svq8XUu3Nu8=")</f>
        <v>#REF!</v>
      </c>
      <c r="IG51" t="e">
        <f>AND(#REF!,"Svq8XUu3NvA=")</f>
        <v>#REF!</v>
      </c>
      <c r="IH51" t="e">
        <f>AND(#REF!,"Svq8XUu3NvE=")</f>
        <v>#REF!</v>
      </c>
      <c r="II51" t="e">
        <f>AND(#REF!,"Svq8XUu3NvI=")</f>
        <v>#REF!</v>
      </c>
      <c r="IJ51" t="e">
        <f>AND(#REF!,"Svq8XUu3NvM=")</f>
        <v>#REF!</v>
      </c>
      <c r="IK51" t="e">
        <f>AND(#REF!,"Svq8XUu3NvQ=")</f>
        <v>#REF!</v>
      </c>
      <c r="IL51" t="e">
        <f>AND(#REF!,"Svq8XUu3NvU=")</f>
        <v>#REF!</v>
      </c>
      <c r="IM51" t="e">
        <f>AND(#REF!,"Svq8XUu3NvY=")</f>
        <v>#REF!</v>
      </c>
      <c r="IN51" t="e">
        <f>AND(#REF!,"Svq8XUu3Nvc=")</f>
        <v>#REF!</v>
      </c>
      <c r="IO51" t="e">
        <f>AND(#REF!,"Svq8XUu3Nvg=")</f>
        <v>#REF!</v>
      </c>
      <c r="IP51" t="e">
        <f>AND(#REF!,"Svq8XUu3Nvk=")</f>
        <v>#REF!</v>
      </c>
      <c r="IQ51" t="e">
        <f>AND(#REF!,"Svq8XUu3Nvo=")</f>
        <v>#REF!</v>
      </c>
      <c r="IR51" t="e">
        <f>AND(#REF!,"Svq8XUu3Nvs=")</f>
        <v>#REF!</v>
      </c>
      <c r="IS51" t="e">
        <f>AND(#REF!,"Svq8XUu3Nvw=")</f>
        <v>#REF!</v>
      </c>
      <c r="IT51" t="e">
        <f>AND(#REF!,"Svq8XUu3Nv0=")</f>
        <v>#REF!</v>
      </c>
      <c r="IU51" t="e">
        <f>AND(#REF!,"Svq8XUu3Nv4=")</f>
        <v>#REF!</v>
      </c>
      <c r="IV51" t="e">
        <f>AND(#REF!,"Svq8XUu3Nv8=")</f>
        <v>#REF!</v>
      </c>
    </row>
    <row r="52" spans="1:256" x14ac:dyDescent="0.2">
      <c r="A52" t="e">
        <f>AND(#REF!,"J2SfQ0jYewA=")</f>
        <v>#REF!</v>
      </c>
      <c r="B52" t="e">
        <f>AND(#REF!,"J2SfQ0jYewE=")</f>
        <v>#REF!</v>
      </c>
      <c r="C52" t="e">
        <f>AND(#REF!,"J2SfQ0jYewI=")</f>
        <v>#REF!</v>
      </c>
      <c r="D52" t="e">
        <f>AND(#REF!,"J2SfQ0jYewM=")</f>
        <v>#REF!</v>
      </c>
      <c r="E52" t="e">
        <f>AND(#REF!,"J2SfQ0jYewQ=")</f>
        <v>#REF!</v>
      </c>
      <c r="F52" t="e">
        <f>AND(#REF!,"J2SfQ0jYewU=")</f>
        <v>#REF!</v>
      </c>
      <c r="G52" t="e">
        <f>AND(#REF!,"J2SfQ0jYewY=")</f>
        <v>#REF!</v>
      </c>
      <c r="H52" t="e">
        <f>AND(#REF!,"J2SfQ0jYewc=")</f>
        <v>#REF!</v>
      </c>
      <c r="I52" t="e">
        <f>AND(#REF!,"J2SfQ0jYewg=")</f>
        <v>#REF!</v>
      </c>
      <c r="J52" t="e">
        <f>AND(#REF!,"J2SfQ0jYewk=")</f>
        <v>#REF!</v>
      </c>
      <c r="K52" t="e">
        <f>AND(#REF!,"J2SfQ0jYewo=")</f>
        <v>#REF!</v>
      </c>
      <c r="L52" t="e">
        <f>AND(#REF!,"J2SfQ0jYews=")</f>
        <v>#REF!</v>
      </c>
      <c r="M52" t="e">
        <f>AND(#REF!,"J2SfQ0jYeww=")</f>
        <v>#REF!</v>
      </c>
      <c r="N52" t="e">
        <f>AND(#REF!,"J2SfQ0jYew0=")</f>
        <v>#REF!</v>
      </c>
      <c r="O52" t="e">
        <f>AND(#REF!,"J2SfQ0jYew4=")</f>
        <v>#REF!</v>
      </c>
      <c r="P52" t="e">
        <f>AND(#REF!,"J2SfQ0jYew8=")</f>
        <v>#REF!</v>
      </c>
      <c r="Q52" t="e">
        <f>AND(#REF!,"J2SfQ0jYexA=")</f>
        <v>#REF!</v>
      </c>
      <c r="R52" t="e">
        <f>AND(#REF!,"J2SfQ0jYexE=")</f>
        <v>#REF!</v>
      </c>
      <c r="S52" t="e">
        <f>AND(#REF!,"J2SfQ0jYexI=")</f>
        <v>#REF!</v>
      </c>
      <c r="T52" t="e">
        <f>AND(#REF!,"J2SfQ0jYexM=")</f>
        <v>#REF!</v>
      </c>
      <c r="U52" t="e">
        <f>AND(#REF!,"J2SfQ0jYexQ=")</f>
        <v>#REF!</v>
      </c>
      <c r="V52" t="e">
        <f>AND(#REF!,"J2SfQ0jYexU=")</f>
        <v>#REF!</v>
      </c>
      <c r="W52" t="e">
        <f>AND(#REF!,"J2SfQ0jYexY=")</f>
        <v>#REF!</v>
      </c>
      <c r="X52" t="e">
        <f>AND(#REF!,"J2SfQ0jYexc=")</f>
        <v>#REF!</v>
      </c>
      <c r="Y52" t="e">
        <f>IF(#REF!,"J2SfQ0jYexg=",0)</f>
        <v>#REF!</v>
      </c>
      <c r="Z52" t="e">
        <f>AND(#REF!,"J2SfQ0jYexk=")</f>
        <v>#REF!</v>
      </c>
      <c r="AA52" t="e">
        <f>AND(#REF!,"J2SfQ0jYexo=")</f>
        <v>#REF!</v>
      </c>
      <c r="AB52" t="e">
        <f>AND(#REF!,"J2SfQ0jYexs=")</f>
        <v>#REF!</v>
      </c>
      <c r="AC52" t="e">
        <f>AND(#REF!,"J2SfQ0jYexw=")</f>
        <v>#REF!</v>
      </c>
      <c r="AD52" t="e">
        <f>AND(#REF!,"J2SfQ0jYex0=")</f>
        <v>#REF!</v>
      </c>
      <c r="AE52" t="e">
        <f>AND(#REF!,"J2SfQ0jYex4=")</f>
        <v>#REF!</v>
      </c>
      <c r="AF52" t="e">
        <f>AND(#REF!,"J2SfQ0jYex8=")</f>
        <v>#REF!</v>
      </c>
      <c r="AG52" t="e">
        <f>AND(#REF!,"J2SfQ0jYeyA=")</f>
        <v>#REF!</v>
      </c>
      <c r="AH52" t="e">
        <f>AND(#REF!,"J2SfQ0jYeyE=")</f>
        <v>#REF!</v>
      </c>
      <c r="AI52" t="e">
        <f>AND(#REF!,"J2SfQ0jYeyI=")</f>
        <v>#REF!</v>
      </c>
      <c r="AJ52" t="e">
        <f>AND(#REF!,"J2SfQ0jYeyM=")</f>
        <v>#REF!</v>
      </c>
      <c r="AK52" t="e">
        <f>AND(#REF!,"J2SfQ0jYeyQ=")</f>
        <v>#REF!</v>
      </c>
      <c r="AL52" t="e">
        <f>AND(#REF!,"J2SfQ0jYeyU=")</f>
        <v>#REF!</v>
      </c>
      <c r="AM52" t="e">
        <f>AND(#REF!,"J2SfQ0jYeyY=")</f>
        <v>#REF!</v>
      </c>
      <c r="AN52" t="e">
        <f>AND(#REF!,"J2SfQ0jYeyc=")</f>
        <v>#REF!</v>
      </c>
      <c r="AO52" t="e">
        <f>AND(#REF!,"J2SfQ0jYeyg=")</f>
        <v>#REF!</v>
      </c>
      <c r="AP52" t="e">
        <f>AND(#REF!,"J2SfQ0jYeyk=")</f>
        <v>#REF!</v>
      </c>
      <c r="AQ52" t="e">
        <f>AND(#REF!,"J2SfQ0jYeyo=")</f>
        <v>#REF!</v>
      </c>
      <c r="AR52" t="e">
        <f>AND(#REF!,"J2SfQ0jYeys=")</f>
        <v>#REF!</v>
      </c>
      <c r="AS52" t="e">
        <f>AND(#REF!,"J2SfQ0jYeyw=")</f>
        <v>#REF!</v>
      </c>
      <c r="AT52" t="e">
        <f>AND(#REF!,"J2SfQ0jYey0=")</f>
        <v>#REF!</v>
      </c>
      <c r="AU52" t="e">
        <f>AND(#REF!,"J2SfQ0jYey4=")</f>
        <v>#REF!</v>
      </c>
      <c r="AV52" t="e">
        <f>AND(#REF!,"J2SfQ0jYey8=")</f>
        <v>#REF!</v>
      </c>
      <c r="AW52" t="e">
        <f>AND(#REF!,"J2SfQ0jYezA=")</f>
        <v>#REF!</v>
      </c>
      <c r="AX52" t="e">
        <f>AND(#REF!,"J2SfQ0jYezE=")</f>
        <v>#REF!</v>
      </c>
      <c r="AY52" t="e">
        <f>AND(#REF!,"J2SfQ0jYezI=")</f>
        <v>#REF!</v>
      </c>
      <c r="AZ52" t="e">
        <f>AND(#REF!,"J2SfQ0jYezM=")</f>
        <v>#REF!</v>
      </c>
      <c r="BA52" t="e">
        <f>AND(#REF!,"J2SfQ0jYezQ=")</f>
        <v>#REF!</v>
      </c>
      <c r="BB52" t="e">
        <f>AND(#REF!,"J2SfQ0jYezU=")</f>
        <v>#REF!</v>
      </c>
      <c r="BC52" t="e">
        <f>AND(#REF!,"J2SfQ0jYezY=")</f>
        <v>#REF!</v>
      </c>
      <c r="BD52" t="e">
        <f>AND(#REF!,"J2SfQ0jYezc=")</f>
        <v>#REF!</v>
      </c>
      <c r="BE52" t="e">
        <f>AND(#REF!,"J2SfQ0jYezg=")</f>
        <v>#REF!</v>
      </c>
      <c r="BF52" t="e">
        <f>AND(#REF!,"J2SfQ0jYezk=")</f>
        <v>#REF!</v>
      </c>
      <c r="BG52" t="e">
        <f>AND(#REF!,"J2SfQ0jYezo=")</f>
        <v>#REF!</v>
      </c>
      <c r="BH52" t="e">
        <f>AND(#REF!,"J2SfQ0jYezs=")</f>
        <v>#REF!</v>
      </c>
      <c r="BI52" t="e">
        <f>AND(#REF!,"J2SfQ0jYezw=")</f>
        <v>#REF!</v>
      </c>
      <c r="BJ52" t="e">
        <f>AND(#REF!,"J2SfQ0jYez0=")</f>
        <v>#REF!</v>
      </c>
      <c r="BK52" t="e">
        <f>AND(#REF!,"J2SfQ0jYez4=")</f>
        <v>#REF!</v>
      </c>
      <c r="BL52" t="e">
        <f>AND(#REF!,"J2SfQ0jYez8=")</f>
        <v>#REF!</v>
      </c>
      <c r="BM52" t="e">
        <f>AND(#REF!,"J2SfQ0jYe0A=")</f>
        <v>#REF!</v>
      </c>
      <c r="BN52" t="e">
        <f>AND(#REF!,"J2SfQ0jYe0E=")</f>
        <v>#REF!</v>
      </c>
      <c r="BO52" t="e">
        <f>AND(#REF!,"J2SfQ0jYe0I=")</f>
        <v>#REF!</v>
      </c>
      <c r="BP52" t="e">
        <f>AND(#REF!,"J2SfQ0jYe0M=")</f>
        <v>#REF!</v>
      </c>
      <c r="BQ52" t="e">
        <f>AND(#REF!,"J2SfQ0jYe0Q=")</f>
        <v>#REF!</v>
      </c>
      <c r="BR52" t="e">
        <f>AND(#REF!,"J2SfQ0jYe0U=")</f>
        <v>#REF!</v>
      </c>
      <c r="BS52" t="e">
        <f>AND(#REF!,"J2SfQ0jYe0Y=")</f>
        <v>#REF!</v>
      </c>
      <c r="BT52" t="e">
        <f>AND(#REF!,"J2SfQ0jYe0c=")</f>
        <v>#REF!</v>
      </c>
      <c r="BU52" t="e">
        <f>AND(#REF!,"J2SfQ0jYe0g=")</f>
        <v>#REF!</v>
      </c>
      <c r="BV52" t="e">
        <f>AND(#REF!,"J2SfQ0jYe0k=")</f>
        <v>#REF!</v>
      </c>
      <c r="BW52" t="e">
        <f>AND(#REF!,"J2SfQ0jYe0o=")</f>
        <v>#REF!</v>
      </c>
      <c r="BX52" t="e">
        <f>AND(#REF!,"J2SfQ0jYe0s=")</f>
        <v>#REF!</v>
      </c>
      <c r="BY52" t="e">
        <f>AND(#REF!,"J2SfQ0jYe0w=")</f>
        <v>#REF!</v>
      </c>
      <c r="BZ52" t="e">
        <f>AND(#REF!,"J2SfQ0jYe00=")</f>
        <v>#REF!</v>
      </c>
      <c r="CA52" t="e">
        <f>AND(#REF!,"J2SfQ0jYe04=")</f>
        <v>#REF!</v>
      </c>
      <c r="CB52" t="e">
        <f>AND(#REF!,"J2SfQ0jYe08=")</f>
        <v>#REF!</v>
      </c>
      <c r="CC52" t="e">
        <f>AND(#REF!,"J2SfQ0jYe1A=")</f>
        <v>#REF!</v>
      </c>
      <c r="CD52" t="e">
        <f>AND(#REF!,"J2SfQ0jYe1E=")</f>
        <v>#REF!</v>
      </c>
      <c r="CE52" t="e">
        <f>AND(#REF!,"J2SfQ0jYe1I=")</f>
        <v>#REF!</v>
      </c>
      <c r="CF52" t="e">
        <f>AND(#REF!,"J2SfQ0jYe1M=")</f>
        <v>#REF!</v>
      </c>
      <c r="CG52" t="e">
        <f>AND(#REF!,"J2SfQ0jYe1Q=")</f>
        <v>#REF!</v>
      </c>
      <c r="CH52" t="e">
        <f>AND(#REF!,"J2SfQ0jYe1U=")</f>
        <v>#REF!</v>
      </c>
      <c r="CI52" t="e">
        <f>AND(#REF!,"J2SfQ0jYe1Y=")</f>
        <v>#REF!</v>
      </c>
      <c r="CJ52" t="e">
        <f>AND(#REF!,"J2SfQ0jYe1c=")</f>
        <v>#REF!</v>
      </c>
      <c r="CK52" t="e">
        <f>AND(#REF!,"J2SfQ0jYe1g=")</f>
        <v>#REF!</v>
      </c>
      <c r="CL52" t="e">
        <f>AND(#REF!,"J2SfQ0jYe1k=")</f>
        <v>#REF!</v>
      </c>
      <c r="CM52" t="e">
        <f>AND(#REF!,"J2SfQ0jYe1o=")</f>
        <v>#REF!</v>
      </c>
      <c r="CN52" t="e">
        <f>AND(#REF!,"J2SfQ0jYe1s=")</f>
        <v>#REF!</v>
      </c>
      <c r="CO52" t="e">
        <f>AND(#REF!,"J2SfQ0jYe1w=")</f>
        <v>#REF!</v>
      </c>
      <c r="CP52" t="e">
        <f>AND(#REF!,"J2SfQ0jYe10=")</f>
        <v>#REF!</v>
      </c>
      <c r="CQ52" t="e">
        <f>AND(#REF!,"J2SfQ0jYe14=")</f>
        <v>#REF!</v>
      </c>
      <c r="CR52" t="e">
        <f>AND(#REF!,"J2SfQ0jYe18=")</f>
        <v>#REF!</v>
      </c>
      <c r="CS52" t="e">
        <f>AND(#REF!,"J2SfQ0jYe2A=")</f>
        <v>#REF!</v>
      </c>
      <c r="CT52" t="e">
        <f>AND(#REF!,"J2SfQ0jYe2E=")</f>
        <v>#REF!</v>
      </c>
      <c r="CU52" t="e">
        <f>AND(#REF!,"J2SfQ0jYe2I=")</f>
        <v>#REF!</v>
      </c>
      <c r="CV52" t="e">
        <f>AND(#REF!,"J2SfQ0jYe2M=")</f>
        <v>#REF!</v>
      </c>
      <c r="CW52" t="e">
        <f>AND(#REF!,"J2SfQ0jYe2Q=")</f>
        <v>#REF!</v>
      </c>
      <c r="CX52" t="e">
        <f>AND(#REF!,"J2SfQ0jYe2U=")</f>
        <v>#REF!</v>
      </c>
      <c r="CY52" t="e">
        <f>AND(#REF!,"J2SfQ0jYe2Y=")</f>
        <v>#REF!</v>
      </c>
      <c r="CZ52" t="e">
        <f>AND(#REF!,"J2SfQ0jYe2c=")</f>
        <v>#REF!</v>
      </c>
      <c r="DA52" t="e">
        <f>AND(#REF!,"J2SfQ0jYe2g=")</f>
        <v>#REF!</v>
      </c>
      <c r="DB52" t="e">
        <f>AND(#REF!,"J2SfQ0jYe2k=")</f>
        <v>#REF!</v>
      </c>
      <c r="DC52" t="e">
        <f>AND(#REF!,"J2SfQ0jYe2o=")</f>
        <v>#REF!</v>
      </c>
      <c r="DD52" t="e">
        <f>AND(#REF!,"J2SfQ0jYe2s=")</f>
        <v>#REF!</v>
      </c>
      <c r="DE52" t="e">
        <f>AND(#REF!,"J2SfQ0jYe2w=")</f>
        <v>#REF!</v>
      </c>
      <c r="DF52" t="e">
        <f>AND(#REF!,"J2SfQ0jYe20=")</f>
        <v>#REF!</v>
      </c>
      <c r="DG52" t="e">
        <f>AND(#REF!,"J2SfQ0jYe24=")</f>
        <v>#REF!</v>
      </c>
      <c r="DH52" t="e">
        <f>AND(#REF!,"J2SfQ0jYe28=")</f>
        <v>#REF!</v>
      </c>
      <c r="DI52" t="e">
        <f>AND(#REF!,"J2SfQ0jYe3A=")</f>
        <v>#REF!</v>
      </c>
      <c r="DJ52" t="e">
        <f>AND(#REF!,"J2SfQ0jYe3E=")</f>
        <v>#REF!</v>
      </c>
      <c r="DK52" t="e">
        <f>AND(#REF!,"J2SfQ0jYe3I=")</f>
        <v>#REF!</v>
      </c>
      <c r="DL52" t="e">
        <f>AND(#REF!,"J2SfQ0jYe3M=")</f>
        <v>#REF!</v>
      </c>
      <c r="DM52" t="e">
        <f>AND(#REF!,"J2SfQ0jYe3Q=")</f>
        <v>#REF!</v>
      </c>
      <c r="DN52" t="e">
        <f>AND(#REF!,"J2SfQ0jYe3U=")</f>
        <v>#REF!</v>
      </c>
      <c r="DO52" t="e">
        <f>AND(#REF!,"J2SfQ0jYe3Y=")</f>
        <v>#REF!</v>
      </c>
      <c r="DP52" t="e">
        <f>AND(#REF!,"J2SfQ0jYe3c=")</f>
        <v>#REF!</v>
      </c>
      <c r="DQ52" t="e">
        <f>AND(#REF!,"J2SfQ0jYe3g=")</f>
        <v>#REF!</v>
      </c>
      <c r="DR52" t="e">
        <f>AND(#REF!,"J2SfQ0jYe3k=")</f>
        <v>#REF!</v>
      </c>
      <c r="DS52" t="e">
        <f>AND(#REF!,"J2SfQ0jYe3o=")</f>
        <v>#REF!</v>
      </c>
      <c r="DT52" t="e">
        <f>AND(#REF!,"J2SfQ0jYe3s=")</f>
        <v>#REF!</v>
      </c>
      <c r="DU52" t="e">
        <f>AND(#REF!,"J2SfQ0jYe3w=")</f>
        <v>#REF!</v>
      </c>
      <c r="DV52" t="e">
        <f>AND(#REF!,"J2SfQ0jYe30=")</f>
        <v>#REF!</v>
      </c>
      <c r="DW52" t="e">
        <f>AND(#REF!,"J2SfQ0jYe34=")</f>
        <v>#REF!</v>
      </c>
      <c r="DX52" t="e">
        <f>AND(#REF!,"J2SfQ0jYe38=")</f>
        <v>#REF!</v>
      </c>
      <c r="DY52" t="e">
        <f>AND(#REF!,"J2SfQ0jYe4A=")</f>
        <v>#REF!</v>
      </c>
      <c r="DZ52" t="e">
        <f>AND(#REF!,"J2SfQ0jYe4E=")</f>
        <v>#REF!</v>
      </c>
      <c r="EA52" t="e">
        <f>AND(#REF!,"J2SfQ0jYe4I=")</f>
        <v>#REF!</v>
      </c>
      <c r="EB52" t="e">
        <f>AND(#REF!,"J2SfQ0jYe4M=")</f>
        <v>#REF!</v>
      </c>
      <c r="EC52" t="e">
        <f>AND(#REF!,"J2SfQ0jYe4Q=")</f>
        <v>#REF!</v>
      </c>
      <c r="ED52" t="e">
        <f>AND(#REF!,"J2SfQ0jYe4U=")</f>
        <v>#REF!</v>
      </c>
      <c r="EE52" t="e">
        <f>AND(#REF!,"J2SfQ0jYe4Y=")</f>
        <v>#REF!</v>
      </c>
      <c r="EF52" t="e">
        <f>AND(#REF!,"J2SfQ0jYe4c=")</f>
        <v>#REF!</v>
      </c>
      <c r="EG52" t="e">
        <f>AND(#REF!,"J2SfQ0jYe4g=")</f>
        <v>#REF!</v>
      </c>
      <c r="EH52" t="e">
        <f>AND(#REF!,"J2SfQ0jYe4k=")</f>
        <v>#REF!</v>
      </c>
      <c r="EI52" t="e">
        <f>AND(#REF!,"J2SfQ0jYe4o=")</f>
        <v>#REF!</v>
      </c>
      <c r="EJ52" t="e">
        <f>AND(#REF!,"J2SfQ0jYe4s=")</f>
        <v>#REF!</v>
      </c>
      <c r="EK52" t="e">
        <f>AND(#REF!,"J2SfQ0jYe4w=")</f>
        <v>#REF!</v>
      </c>
      <c r="EL52" t="e">
        <f>AND(#REF!,"J2SfQ0jYe40=")</f>
        <v>#REF!</v>
      </c>
      <c r="EM52" t="e">
        <f>AND(#REF!,"J2SfQ0jYe44=")</f>
        <v>#REF!</v>
      </c>
      <c r="EN52" t="e">
        <f>AND(#REF!,"J2SfQ0jYe48=")</f>
        <v>#REF!</v>
      </c>
      <c r="EO52" t="e">
        <f>AND(#REF!,"J2SfQ0jYe5A=")</f>
        <v>#REF!</v>
      </c>
      <c r="EP52" t="e">
        <f>AND(#REF!,"J2SfQ0jYe5E=")</f>
        <v>#REF!</v>
      </c>
      <c r="EQ52" t="e">
        <f>AND(#REF!,"J2SfQ0jYe5I=")</f>
        <v>#REF!</v>
      </c>
      <c r="ER52" t="e">
        <f>AND(#REF!,"J2SfQ0jYe5M=")</f>
        <v>#REF!</v>
      </c>
      <c r="ES52" t="e">
        <f>AND(#REF!,"J2SfQ0jYe5Q=")</f>
        <v>#REF!</v>
      </c>
      <c r="ET52" t="e">
        <f>AND(#REF!,"J2SfQ0jYe5U=")</f>
        <v>#REF!</v>
      </c>
      <c r="EU52" t="e">
        <f>AND(#REF!,"J2SfQ0jYe5Y=")</f>
        <v>#REF!</v>
      </c>
      <c r="EV52" t="e">
        <f>AND(#REF!,"J2SfQ0jYe5c=")</f>
        <v>#REF!</v>
      </c>
      <c r="EW52" t="e">
        <f>AND(#REF!,"J2SfQ0jYe5g=")</f>
        <v>#REF!</v>
      </c>
      <c r="EX52" t="e">
        <f>AND(#REF!,"J2SfQ0jYe5k=")</f>
        <v>#REF!</v>
      </c>
      <c r="EY52" t="e">
        <f>AND(#REF!,"J2SfQ0jYe5o=")</f>
        <v>#REF!</v>
      </c>
      <c r="EZ52" t="e">
        <f>AND(#REF!,"J2SfQ0jYe5s=")</f>
        <v>#REF!</v>
      </c>
      <c r="FA52" t="e">
        <f>AND(#REF!,"J2SfQ0jYe5w=")</f>
        <v>#REF!</v>
      </c>
      <c r="FB52" t="e">
        <f>AND(#REF!,"J2SfQ0jYe50=")</f>
        <v>#REF!</v>
      </c>
      <c r="FC52" t="e">
        <f>AND(#REF!,"J2SfQ0jYe54=")</f>
        <v>#REF!</v>
      </c>
      <c r="FD52" t="e">
        <f>AND(#REF!,"J2SfQ0jYe58=")</f>
        <v>#REF!</v>
      </c>
      <c r="FE52" t="e">
        <f>AND(#REF!,"J2SfQ0jYe6A=")</f>
        <v>#REF!</v>
      </c>
      <c r="FF52" t="e">
        <f>AND(#REF!,"J2SfQ0jYe6E=")</f>
        <v>#REF!</v>
      </c>
      <c r="FG52" t="e">
        <f>AND(#REF!,"J2SfQ0jYe6I=")</f>
        <v>#REF!</v>
      </c>
      <c r="FH52" t="e">
        <f>AND(#REF!,"J2SfQ0jYe6M=")</f>
        <v>#REF!</v>
      </c>
      <c r="FI52" t="e">
        <f>AND(#REF!,"J2SfQ0jYe6Q=")</f>
        <v>#REF!</v>
      </c>
      <c r="FJ52" t="e">
        <f>AND(#REF!,"J2SfQ0jYe6U=")</f>
        <v>#REF!</v>
      </c>
      <c r="FK52" t="e">
        <f>AND(#REF!,"J2SfQ0jYe6Y=")</f>
        <v>#REF!</v>
      </c>
      <c r="FL52" t="e">
        <f>AND(#REF!,"J2SfQ0jYe6c=")</f>
        <v>#REF!</v>
      </c>
      <c r="FM52" t="e">
        <f>AND(#REF!,"J2SfQ0jYe6g=")</f>
        <v>#REF!</v>
      </c>
      <c r="FN52" t="e">
        <f>AND(#REF!,"J2SfQ0jYe6k=")</f>
        <v>#REF!</v>
      </c>
      <c r="FO52" t="e">
        <f>AND(#REF!,"J2SfQ0jYe6o=")</f>
        <v>#REF!</v>
      </c>
      <c r="FP52" t="e">
        <f>AND(#REF!,"J2SfQ0jYe6s=")</f>
        <v>#REF!</v>
      </c>
      <c r="FQ52" t="e">
        <f>AND(#REF!,"J2SfQ0jYe6w=")</f>
        <v>#REF!</v>
      </c>
      <c r="FR52" t="e">
        <f>AND(#REF!,"J2SfQ0jYe60=")</f>
        <v>#REF!</v>
      </c>
      <c r="FS52" t="e">
        <f>AND(#REF!,"J2SfQ0jYe64=")</f>
        <v>#REF!</v>
      </c>
      <c r="FT52" t="e">
        <f>AND(#REF!,"J2SfQ0jYe68=")</f>
        <v>#REF!</v>
      </c>
      <c r="FU52" t="e">
        <f>AND(#REF!,"J2SfQ0jYe7A=")</f>
        <v>#REF!</v>
      </c>
      <c r="FV52" t="e">
        <f>AND(#REF!,"J2SfQ0jYe7E=")</f>
        <v>#REF!</v>
      </c>
      <c r="FW52" t="e">
        <f>AND(#REF!,"J2SfQ0jYe7I=")</f>
        <v>#REF!</v>
      </c>
      <c r="FX52" t="e">
        <f>AND(#REF!,"J2SfQ0jYe7M=")</f>
        <v>#REF!</v>
      </c>
      <c r="FY52" t="e">
        <f>AND(#REF!,"J2SfQ0jYe7Q=")</f>
        <v>#REF!</v>
      </c>
      <c r="FZ52" t="e">
        <f>AND(#REF!,"J2SfQ0jYe7U=")</f>
        <v>#REF!</v>
      </c>
      <c r="GA52" t="e">
        <f>AND(#REF!,"J2SfQ0jYe7Y=")</f>
        <v>#REF!</v>
      </c>
      <c r="GB52" t="e">
        <f>AND(#REF!,"J2SfQ0jYe7c=")</f>
        <v>#REF!</v>
      </c>
      <c r="GC52" t="e">
        <f>AND(#REF!,"J2SfQ0jYe7g=")</f>
        <v>#REF!</v>
      </c>
      <c r="GD52" t="e">
        <f>AND(#REF!,"J2SfQ0jYe7k=")</f>
        <v>#REF!</v>
      </c>
      <c r="GE52" t="e">
        <f>AND(#REF!,"J2SfQ0jYe7o=")</f>
        <v>#REF!</v>
      </c>
      <c r="GF52" t="e">
        <f>AND(#REF!,"J2SfQ0jYe7s=")</f>
        <v>#REF!</v>
      </c>
      <c r="GG52" t="e">
        <f>AND(#REF!,"J2SfQ0jYe7w=")</f>
        <v>#REF!</v>
      </c>
      <c r="GH52" t="e">
        <f>AND(#REF!,"J2SfQ0jYe70=")</f>
        <v>#REF!</v>
      </c>
      <c r="GI52" t="e">
        <f>AND(#REF!,"J2SfQ0jYe74=")</f>
        <v>#REF!</v>
      </c>
      <c r="GJ52" t="e">
        <f>AND(#REF!,"J2SfQ0jYe78=")</f>
        <v>#REF!</v>
      </c>
      <c r="GK52" t="e">
        <f>AND(#REF!,"J2SfQ0jYe8A=")</f>
        <v>#REF!</v>
      </c>
      <c r="GL52" t="e">
        <f>AND(#REF!,"J2SfQ0jYe8E=")</f>
        <v>#REF!</v>
      </c>
      <c r="GM52" t="e">
        <f>AND(#REF!,"J2SfQ0jYe8I=")</f>
        <v>#REF!</v>
      </c>
      <c r="GN52" t="e">
        <f>AND(#REF!,"J2SfQ0jYe8M=")</f>
        <v>#REF!</v>
      </c>
      <c r="GO52" t="e">
        <f>AND(#REF!,"J2SfQ0jYe8Q=")</f>
        <v>#REF!</v>
      </c>
      <c r="GP52" t="e">
        <f>AND(#REF!,"J2SfQ0jYe8U=")</f>
        <v>#REF!</v>
      </c>
      <c r="GQ52" t="e">
        <f>AND(#REF!,"J2SfQ0jYe8Y=")</f>
        <v>#REF!</v>
      </c>
      <c r="GR52" t="e">
        <f>AND(#REF!,"J2SfQ0jYe8c=")</f>
        <v>#REF!</v>
      </c>
      <c r="GS52" t="e">
        <f>AND(#REF!,"J2SfQ0jYe8g=")</f>
        <v>#REF!</v>
      </c>
      <c r="GT52" t="e">
        <f>AND(#REF!,"J2SfQ0jYe8k=")</f>
        <v>#REF!</v>
      </c>
      <c r="GU52" t="e">
        <f>AND(#REF!,"J2SfQ0jYe8o=")</f>
        <v>#REF!</v>
      </c>
      <c r="GV52" t="e">
        <f>AND(#REF!,"J2SfQ0jYe8s=")</f>
        <v>#REF!</v>
      </c>
      <c r="GW52" t="e">
        <f>AND(#REF!,"J2SfQ0jYe8w=")</f>
        <v>#REF!</v>
      </c>
      <c r="GX52" t="e">
        <f>AND(#REF!,"J2SfQ0jYe80=")</f>
        <v>#REF!</v>
      </c>
      <c r="GY52" t="e">
        <f>AND(#REF!,"J2SfQ0jYe84=")</f>
        <v>#REF!</v>
      </c>
      <c r="GZ52" t="e">
        <f>AND(#REF!,"J2SfQ0jYe88=")</f>
        <v>#REF!</v>
      </c>
      <c r="HA52" t="e">
        <f>AND(#REF!,"J2SfQ0jYe9A=")</f>
        <v>#REF!</v>
      </c>
      <c r="HB52" t="e">
        <f>AND(#REF!,"J2SfQ0jYe9E=")</f>
        <v>#REF!</v>
      </c>
      <c r="HC52" t="e">
        <f>AND(#REF!,"J2SfQ0jYe9I=")</f>
        <v>#REF!</v>
      </c>
      <c r="HD52" t="e">
        <f>AND(#REF!,"J2SfQ0jYe9M=")</f>
        <v>#REF!</v>
      </c>
      <c r="HE52" t="e">
        <f>AND(#REF!,"J2SfQ0jYe9Q=")</f>
        <v>#REF!</v>
      </c>
      <c r="HF52" t="e">
        <f>AND(#REF!,"J2SfQ0jYe9U=")</f>
        <v>#REF!</v>
      </c>
      <c r="HG52" t="e">
        <f>AND(#REF!,"J2SfQ0jYe9Y=")</f>
        <v>#REF!</v>
      </c>
      <c r="HH52" t="e">
        <f>AND(#REF!,"J2SfQ0jYe9c=")</f>
        <v>#REF!</v>
      </c>
      <c r="HI52" t="e">
        <f>AND(#REF!,"J2SfQ0jYe9g=")</f>
        <v>#REF!</v>
      </c>
      <c r="HJ52" t="e">
        <f>AND(#REF!,"J2SfQ0jYe9k=")</f>
        <v>#REF!</v>
      </c>
      <c r="HK52" t="e">
        <f>AND(#REF!,"J2SfQ0jYe9o=")</f>
        <v>#REF!</v>
      </c>
      <c r="HL52" t="e">
        <f>AND(#REF!,"J2SfQ0jYe9s=")</f>
        <v>#REF!</v>
      </c>
      <c r="HM52" t="e">
        <f>AND(#REF!,"J2SfQ0jYe9w=")</f>
        <v>#REF!</v>
      </c>
      <c r="HN52" t="e">
        <f>AND(#REF!,"J2SfQ0jYe90=")</f>
        <v>#REF!</v>
      </c>
      <c r="HO52" t="e">
        <f>AND(#REF!,"J2SfQ0jYe94=")</f>
        <v>#REF!</v>
      </c>
      <c r="HP52" t="e">
        <f>IF(#REF!,"J2SfQ0jYe98=",0)</f>
        <v>#REF!</v>
      </c>
      <c r="HQ52" t="e">
        <f>AND(#REF!,"J2SfQ0jYe+A=")</f>
        <v>#REF!</v>
      </c>
      <c r="HR52" t="e">
        <f>AND(#REF!,"J2SfQ0jYe+E=")</f>
        <v>#REF!</v>
      </c>
      <c r="HS52" t="e">
        <f>AND(#REF!,"J2SfQ0jYe+I=")</f>
        <v>#REF!</v>
      </c>
      <c r="HT52" t="e">
        <f>AND(#REF!,"J2SfQ0jYe+M=")</f>
        <v>#REF!</v>
      </c>
      <c r="HU52" t="e">
        <f>AND(#REF!,"J2SfQ0jYe+Q=")</f>
        <v>#REF!</v>
      </c>
      <c r="HV52" t="e">
        <f>AND(#REF!,"J2SfQ0jYe+U=")</f>
        <v>#REF!</v>
      </c>
      <c r="HW52" t="e">
        <f>AND(#REF!,"J2SfQ0jYe+Y=")</f>
        <v>#REF!</v>
      </c>
      <c r="HX52" t="e">
        <f>AND(#REF!,"J2SfQ0jYe+c=")</f>
        <v>#REF!</v>
      </c>
      <c r="HY52" t="e">
        <f>AND(#REF!,"J2SfQ0jYe+g=")</f>
        <v>#REF!</v>
      </c>
      <c r="HZ52" t="e">
        <f>AND(#REF!,"J2SfQ0jYe+k=")</f>
        <v>#REF!</v>
      </c>
      <c r="IA52" t="e">
        <f>AND(#REF!,"J2SfQ0jYe+o=")</f>
        <v>#REF!</v>
      </c>
      <c r="IB52" t="e">
        <f>AND(#REF!,"J2SfQ0jYe+s=")</f>
        <v>#REF!</v>
      </c>
      <c r="IC52" t="e">
        <f>AND(#REF!,"J2SfQ0jYe+w=")</f>
        <v>#REF!</v>
      </c>
      <c r="ID52" t="e">
        <f>AND(#REF!,"J2SfQ0jYe+0=")</f>
        <v>#REF!</v>
      </c>
      <c r="IE52" t="e">
        <f>AND(#REF!,"J2SfQ0jYe+4=")</f>
        <v>#REF!</v>
      </c>
      <c r="IF52" t="e">
        <f>AND(#REF!,"J2SfQ0jYe+8=")</f>
        <v>#REF!</v>
      </c>
      <c r="IG52" t="e">
        <f>AND(#REF!,"J2SfQ0jYe/A=")</f>
        <v>#REF!</v>
      </c>
      <c r="IH52" t="e">
        <f>AND(#REF!,"J2SfQ0jYe/E=")</f>
        <v>#REF!</v>
      </c>
      <c r="II52" t="e">
        <f>AND(#REF!,"J2SfQ0jYe/I=")</f>
        <v>#REF!</v>
      </c>
      <c r="IJ52" t="e">
        <f>AND(#REF!,"J2SfQ0jYe/M=")</f>
        <v>#REF!</v>
      </c>
      <c r="IK52" t="e">
        <f>AND(#REF!,"J2SfQ0jYe/Q=")</f>
        <v>#REF!</v>
      </c>
      <c r="IL52" t="e">
        <f>AND(#REF!,"J2SfQ0jYe/U=")</f>
        <v>#REF!</v>
      </c>
      <c r="IM52" t="e">
        <f>AND(#REF!,"J2SfQ0jYe/Y=")</f>
        <v>#REF!</v>
      </c>
      <c r="IN52" t="e">
        <f>AND(#REF!,"J2SfQ0jYe/c=")</f>
        <v>#REF!</v>
      </c>
      <c r="IO52" t="e">
        <f>AND(#REF!,"J2SfQ0jYe/g=")</f>
        <v>#REF!</v>
      </c>
      <c r="IP52" t="e">
        <f>AND(#REF!,"J2SfQ0jYe/k=")</f>
        <v>#REF!</v>
      </c>
      <c r="IQ52" t="e">
        <f>AND(#REF!,"J2SfQ0jYe/o=")</f>
        <v>#REF!</v>
      </c>
      <c r="IR52" t="e">
        <f>AND(#REF!,"J2SfQ0jYe/s=")</f>
        <v>#REF!</v>
      </c>
      <c r="IS52" t="e">
        <f>AND(#REF!,"J2SfQ0jYe/w=")</f>
        <v>#REF!</v>
      </c>
      <c r="IT52" t="e">
        <f>AND(#REF!,"J2SfQ0jYe/0=")</f>
        <v>#REF!</v>
      </c>
      <c r="IU52" t="e">
        <f>AND(#REF!,"J2SfQ0jYe/4=")</f>
        <v>#REF!</v>
      </c>
      <c r="IV52" t="e">
        <f>AND(#REF!,"J2SfQ0jYe/8=")</f>
        <v>#REF!</v>
      </c>
    </row>
    <row r="53" spans="1:256" x14ac:dyDescent="0.2">
      <c r="A53" t="e">
        <f>AND(#REF!,"OmnkVl/HvAA=")</f>
        <v>#REF!</v>
      </c>
      <c r="B53" t="e">
        <f>AND(#REF!,"OmnkVl/HvAE=")</f>
        <v>#REF!</v>
      </c>
      <c r="C53" t="e">
        <f>AND(#REF!,"OmnkVl/HvAI=")</f>
        <v>#REF!</v>
      </c>
      <c r="D53" t="e">
        <f>AND(#REF!,"OmnkVl/HvAM=")</f>
        <v>#REF!</v>
      </c>
      <c r="E53" t="e">
        <f>AND(#REF!,"OmnkVl/HvAQ=")</f>
        <v>#REF!</v>
      </c>
      <c r="F53" t="e">
        <f>AND(#REF!,"OmnkVl/HvAU=")</f>
        <v>#REF!</v>
      </c>
      <c r="G53" t="e">
        <f>AND(#REF!,"OmnkVl/HvAY=")</f>
        <v>#REF!</v>
      </c>
      <c r="H53" t="e">
        <f>AND(#REF!,"OmnkVl/HvAc=")</f>
        <v>#REF!</v>
      </c>
      <c r="I53" t="e">
        <f>AND(#REF!,"OmnkVl/HvAg=")</f>
        <v>#REF!</v>
      </c>
      <c r="J53" t="e">
        <f>AND(#REF!,"OmnkVl/HvAk=")</f>
        <v>#REF!</v>
      </c>
      <c r="K53" t="e">
        <f>AND(#REF!,"OmnkVl/HvAo=")</f>
        <v>#REF!</v>
      </c>
      <c r="L53" t="e">
        <f>AND(#REF!,"OmnkVl/HvAs=")</f>
        <v>#REF!</v>
      </c>
      <c r="M53" t="e">
        <f>AND(#REF!,"OmnkVl/HvAw=")</f>
        <v>#REF!</v>
      </c>
      <c r="N53" t="e">
        <f>AND(#REF!,"OmnkVl/HvA0=")</f>
        <v>#REF!</v>
      </c>
      <c r="O53" t="e">
        <f>AND(#REF!,"OmnkVl/HvA4=")</f>
        <v>#REF!</v>
      </c>
      <c r="P53" t="e">
        <f>AND(#REF!,"OmnkVl/HvA8=")</f>
        <v>#REF!</v>
      </c>
      <c r="Q53" t="e">
        <f>AND(#REF!,"OmnkVl/HvBA=")</f>
        <v>#REF!</v>
      </c>
      <c r="R53" t="e">
        <f>AND(#REF!,"OmnkVl/HvBE=")</f>
        <v>#REF!</v>
      </c>
      <c r="S53" t="e">
        <f>AND(#REF!,"OmnkVl/HvBI=")</f>
        <v>#REF!</v>
      </c>
      <c r="T53" t="e">
        <f>AND(#REF!,"OmnkVl/HvBM=")</f>
        <v>#REF!</v>
      </c>
      <c r="U53" t="e">
        <f>AND(#REF!,"OmnkVl/HvBQ=")</f>
        <v>#REF!</v>
      </c>
      <c r="V53" t="e">
        <f>AND(#REF!,"OmnkVl/HvBU=")</f>
        <v>#REF!</v>
      </c>
      <c r="W53" t="e">
        <f>AND(#REF!,"OmnkVl/HvBY=")</f>
        <v>#REF!</v>
      </c>
      <c r="X53" t="e">
        <f>AND(#REF!,"OmnkVl/HvBc=")</f>
        <v>#REF!</v>
      </c>
      <c r="Y53" t="e">
        <f>AND(#REF!,"OmnkVl/HvBg=")</f>
        <v>#REF!</v>
      </c>
      <c r="Z53" t="e">
        <f>AND(#REF!,"OmnkVl/HvBk=")</f>
        <v>#REF!</v>
      </c>
      <c r="AA53" t="e">
        <f>AND(#REF!,"OmnkVl/HvBo=")</f>
        <v>#REF!</v>
      </c>
      <c r="AB53" t="e">
        <f>AND(#REF!,"OmnkVl/HvBs=")</f>
        <v>#REF!</v>
      </c>
      <c r="AC53" t="e">
        <f>AND(#REF!,"OmnkVl/HvBw=")</f>
        <v>#REF!</v>
      </c>
      <c r="AD53" t="e">
        <f>AND(#REF!,"OmnkVl/HvB0=")</f>
        <v>#REF!</v>
      </c>
      <c r="AE53" t="e">
        <f>AND(#REF!,"OmnkVl/HvB4=")</f>
        <v>#REF!</v>
      </c>
      <c r="AF53" t="e">
        <f>AND(#REF!,"OmnkVl/HvB8=")</f>
        <v>#REF!</v>
      </c>
      <c r="AG53" t="e">
        <f>AND(#REF!,"OmnkVl/HvCA=")</f>
        <v>#REF!</v>
      </c>
      <c r="AH53" t="e">
        <f>AND(#REF!,"OmnkVl/HvCE=")</f>
        <v>#REF!</v>
      </c>
      <c r="AI53" t="e">
        <f>AND(#REF!,"OmnkVl/HvCI=")</f>
        <v>#REF!</v>
      </c>
      <c r="AJ53" t="e">
        <f>AND(#REF!,"OmnkVl/HvCM=")</f>
        <v>#REF!</v>
      </c>
      <c r="AK53" t="e">
        <f>AND(#REF!,"OmnkVl/HvCQ=")</f>
        <v>#REF!</v>
      </c>
      <c r="AL53" t="e">
        <f>AND(#REF!,"OmnkVl/HvCU=")</f>
        <v>#REF!</v>
      </c>
      <c r="AM53" t="e">
        <f>AND(#REF!,"OmnkVl/HvCY=")</f>
        <v>#REF!</v>
      </c>
      <c r="AN53" t="e">
        <f>AND(#REF!,"OmnkVl/HvCc=")</f>
        <v>#REF!</v>
      </c>
      <c r="AO53" t="e">
        <f>AND(#REF!,"OmnkVl/HvCg=")</f>
        <v>#REF!</v>
      </c>
      <c r="AP53" t="e">
        <f>AND(#REF!,"OmnkVl/HvCk=")</f>
        <v>#REF!</v>
      </c>
      <c r="AQ53" t="e">
        <f>AND(#REF!,"OmnkVl/HvCo=")</f>
        <v>#REF!</v>
      </c>
      <c r="AR53" t="e">
        <f>AND(#REF!,"OmnkVl/HvCs=")</f>
        <v>#REF!</v>
      </c>
      <c r="AS53" t="e">
        <f>AND(#REF!,"OmnkVl/HvCw=")</f>
        <v>#REF!</v>
      </c>
      <c r="AT53" t="e">
        <f>AND(#REF!,"OmnkVl/HvC0=")</f>
        <v>#REF!</v>
      </c>
      <c r="AU53" t="e">
        <f>AND(#REF!,"OmnkVl/HvC4=")</f>
        <v>#REF!</v>
      </c>
      <c r="AV53" t="e">
        <f>AND(#REF!,"OmnkVl/HvC8=")</f>
        <v>#REF!</v>
      </c>
      <c r="AW53" t="e">
        <f>AND(#REF!,"OmnkVl/HvDA=")</f>
        <v>#REF!</v>
      </c>
      <c r="AX53" t="e">
        <f>AND(#REF!,"OmnkVl/HvDE=")</f>
        <v>#REF!</v>
      </c>
      <c r="AY53" t="e">
        <f>AND(#REF!,"OmnkVl/HvDI=")</f>
        <v>#REF!</v>
      </c>
      <c r="AZ53" t="e">
        <f>AND(#REF!,"OmnkVl/HvDM=")</f>
        <v>#REF!</v>
      </c>
      <c r="BA53" t="e">
        <f>AND(#REF!,"OmnkVl/HvDQ=")</f>
        <v>#REF!</v>
      </c>
      <c r="BB53" t="e">
        <f>AND(#REF!,"OmnkVl/HvDU=")</f>
        <v>#REF!</v>
      </c>
      <c r="BC53" t="e">
        <f>AND(#REF!,"OmnkVl/HvDY=")</f>
        <v>#REF!</v>
      </c>
      <c r="BD53" t="e">
        <f>AND(#REF!,"OmnkVl/HvDc=")</f>
        <v>#REF!</v>
      </c>
      <c r="BE53" t="e">
        <f>AND(#REF!,"OmnkVl/HvDg=")</f>
        <v>#REF!</v>
      </c>
      <c r="BF53" t="e">
        <f>AND(#REF!,"OmnkVl/HvDk=")</f>
        <v>#REF!</v>
      </c>
      <c r="BG53" t="e">
        <f>AND(#REF!,"OmnkVl/HvDo=")</f>
        <v>#REF!</v>
      </c>
      <c r="BH53" t="e">
        <f>AND(#REF!,"OmnkVl/HvDs=")</f>
        <v>#REF!</v>
      </c>
      <c r="BI53" t="e">
        <f>AND(#REF!,"OmnkVl/HvDw=")</f>
        <v>#REF!</v>
      </c>
      <c r="BJ53" t="e">
        <f>AND(#REF!,"OmnkVl/HvD0=")</f>
        <v>#REF!</v>
      </c>
      <c r="BK53" t="e">
        <f>AND(#REF!,"OmnkVl/HvD4=")</f>
        <v>#REF!</v>
      </c>
      <c r="BL53" t="e">
        <f>AND(#REF!,"OmnkVl/HvD8=")</f>
        <v>#REF!</v>
      </c>
      <c r="BM53" t="e">
        <f>AND(#REF!,"OmnkVl/HvEA=")</f>
        <v>#REF!</v>
      </c>
      <c r="BN53" t="e">
        <f>AND(#REF!,"OmnkVl/HvEE=")</f>
        <v>#REF!</v>
      </c>
      <c r="BO53" t="e">
        <f>AND(#REF!,"OmnkVl/HvEI=")</f>
        <v>#REF!</v>
      </c>
      <c r="BP53" t="e">
        <f>AND(#REF!,"OmnkVl/HvEM=")</f>
        <v>#REF!</v>
      </c>
      <c r="BQ53" t="e">
        <f>AND(#REF!,"OmnkVl/HvEQ=")</f>
        <v>#REF!</v>
      </c>
      <c r="BR53" t="e">
        <f>AND(#REF!,"OmnkVl/HvEU=")</f>
        <v>#REF!</v>
      </c>
      <c r="BS53" t="e">
        <f>AND(#REF!,"OmnkVl/HvEY=")</f>
        <v>#REF!</v>
      </c>
      <c r="BT53" t="e">
        <f>AND(#REF!,"OmnkVl/HvEc=")</f>
        <v>#REF!</v>
      </c>
      <c r="BU53" t="e">
        <f>AND(#REF!,"OmnkVl/HvEg=")</f>
        <v>#REF!</v>
      </c>
      <c r="BV53" t="e">
        <f>AND(#REF!,"OmnkVl/HvEk=")</f>
        <v>#REF!</v>
      </c>
      <c r="BW53" t="e">
        <f>AND(#REF!,"OmnkVl/HvEo=")</f>
        <v>#REF!</v>
      </c>
      <c r="BX53" t="e">
        <f>AND(#REF!,"OmnkVl/HvEs=")</f>
        <v>#REF!</v>
      </c>
      <c r="BY53" t="e">
        <f>AND(#REF!,"OmnkVl/HvEw=")</f>
        <v>#REF!</v>
      </c>
      <c r="BZ53" t="e">
        <f>AND(#REF!,"OmnkVl/HvE0=")</f>
        <v>#REF!</v>
      </c>
      <c r="CA53" t="e">
        <f>AND(#REF!,"OmnkVl/HvE4=")</f>
        <v>#REF!</v>
      </c>
      <c r="CB53" t="e">
        <f>AND(#REF!,"OmnkVl/HvE8=")</f>
        <v>#REF!</v>
      </c>
      <c r="CC53" t="e">
        <f>AND(#REF!,"OmnkVl/HvFA=")</f>
        <v>#REF!</v>
      </c>
      <c r="CD53" t="e">
        <f>AND(#REF!,"OmnkVl/HvFE=")</f>
        <v>#REF!</v>
      </c>
      <c r="CE53" t="e">
        <f>AND(#REF!,"OmnkVl/HvFI=")</f>
        <v>#REF!</v>
      </c>
      <c r="CF53" t="e">
        <f>AND(#REF!,"OmnkVl/HvFM=")</f>
        <v>#REF!</v>
      </c>
      <c r="CG53" t="e">
        <f>AND(#REF!,"OmnkVl/HvFQ=")</f>
        <v>#REF!</v>
      </c>
      <c r="CH53" t="e">
        <f>AND(#REF!,"OmnkVl/HvFU=")</f>
        <v>#REF!</v>
      </c>
      <c r="CI53" t="e">
        <f>AND(#REF!,"OmnkVl/HvFY=")</f>
        <v>#REF!</v>
      </c>
      <c r="CJ53" t="e">
        <f>AND(#REF!,"OmnkVl/HvFc=")</f>
        <v>#REF!</v>
      </c>
      <c r="CK53" t="e">
        <f>AND(#REF!,"OmnkVl/HvFg=")</f>
        <v>#REF!</v>
      </c>
      <c r="CL53" t="e">
        <f>AND(#REF!,"OmnkVl/HvFk=")</f>
        <v>#REF!</v>
      </c>
      <c r="CM53" t="e">
        <f>AND(#REF!,"OmnkVl/HvFo=")</f>
        <v>#REF!</v>
      </c>
      <c r="CN53" t="e">
        <f>AND(#REF!,"OmnkVl/HvFs=")</f>
        <v>#REF!</v>
      </c>
      <c r="CO53" t="e">
        <f>AND(#REF!,"OmnkVl/HvFw=")</f>
        <v>#REF!</v>
      </c>
      <c r="CP53" t="e">
        <f>AND(#REF!,"OmnkVl/HvF0=")</f>
        <v>#REF!</v>
      </c>
      <c r="CQ53" t="e">
        <f>AND(#REF!,"OmnkVl/HvF4=")</f>
        <v>#REF!</v>
      </c>
      <c r="CR53" t="e">
        <f>AND(#REF!,"OmnkVl/HvF8=")</f>
        <v>#REF!</v>
      </c>
      <c r="CS53" t="e">
        <f>AND(#REF!,"OmnkVl/HvGA=")</f>
        <v>#REF!</v>
      </c>
      <c r="CT53" t="e">
        <f>AND(#REF!,"OmnkVl/HvGE=")</f>
        <v>#REF!</v>
      </c>
      <c r="CU53" t="e">
        <f>AND(#REF!,"OmnkVl/HvGI=")</f>
        <v>#REF!</v>
      </c>
      <c r="CV53" t="e">
        <f>AND(#REF!,"OmnkVl/HvGM=")</f>
        <v>#REF!</v>
      </c>
      <c r="CW53" t="e">
        <f>AND(#REF!,"OmnkVl/HvGQ=")</f>
        <v>#REF!</v>
      </c>
      <c r="CX53" t="e">
        <f>AND(#REF!,"OmnkVl/HvGU=")</f>
        <v>#REF!</v>
      </c>
      <c r="CY53" t="e">
        <f>AND(#REF!,"OmnkVl/HvGY=")</f>
        <v>#REF!</v>
      </c>
      <c r="CZ53" t="e">
        <f>AND(#REF!,"OmnkVl/HvGc=")</f>
        <v>#REF!</v>
      </c>
      <c r="DA53" t="e">
        <f>AND(#REF!,"OmnkVl/HvGg=")</f>
        <v>#REF!</v>
      </c>
      <c r="DB53" t="e">
        <f>AND(#REF!,"OmnkVl/HvGk=")</f>
        <v>#REF!</v>
      </c>
      <c r="DC53" t="e">
        <f>AND(#REF!,"OmnkVl/HvGo=")</f>
        <v>#REF!</v>
      </c>
      <c r="DD53" t="e">
        <f>AND(#REF!,"OmnkVl/HvGs=")</f>
        <v>#REF!</v>
      </c>
      <c r="DE53" t="e">
        <f>AND(#REF!,"OmnkVl/HvGw=")</f>
        <v>#REF!</v>
      </c>
      <c r="DF53" t="e">
        <f>AND(#REF!,"OmnkVl/HvG0=")</f>
        <v>#REF!</v>
      </c>
      <c r="DG53" t="e">
        <f>AND(#REF!,"OmnkVl/HvG4=")</f>
        <v>#REF!</v>
      </c>
      <c r="DH53" t="e">
        <f>AND(#REF!,"OmnkVl/HvG8=")</f>
        <v>#REF!</v>
      </c>
      <c r="DI53" t="e">
        <f>AND(#REF!,"OmnkVl/HvHA=")</f>
        <v>#REF!</v>
      </c>
      <c r="DJ53" t="e">
        <f>AND(#REF!,"OmnkVl/HvHE=")</f>
        <v>#REF!</v>
      </c>
      <c r="DK53" t="e">
        <f>AND(#REF!,"OmnkVl/HvHI=")</f>
        <v>#REF!</v>
      </c>
      <c r="DL53" t="e">
        <f>AND(#REF!,"OmnkVl/HvHM=")</f>
        <v>#REF!</v>
      </c>
      <c r="DM53" t="e">
        <f>AND(#REF!,"OmnkVl/HvHQ=")</f>
        <v>#REF!</v>
      </c>
      <c r="DN53" t="e">
        <f>AND(#REF!,"OmnkVl/HvHU=")</f>
        <v>#REF!</v>
      </c>
      <c r="DO53" t="e">
        <f>AND(#REF!,"OmnkVl/HvHY=")</f>
        <v>#REF!</v>
      </c>
      <c r="DP53" t="e">
        <f>AND(#REF!,"OmnkVl/HvHc=")</f>
        <v>#REF!</v>
      </c>
      <c r="DQ53" t="e">
        <f>AND(#REF!,"OmnkVl/HvHg=")</f>
        <v>#REF!</v>
      </c>
      <c r="DR53" t="e">
        <f>AND(#REF!,"OmnkVl/HvHk=")</f>
        <v>#REF!</v>
      </c>
      <c r="DS53" t="e">
        <f>AND(#REF!,"OmnkVl/HvHo=")</f>
        <v>#REF!</v>
      </c>
      <c r="DT53" t="e">
        <f>AND(#REF!,"OmnkVl/HvHs=")</f>
        <v>#REF!</v>
      </c>
      <c r="DU53" t="e">
        <f>AND(#REF!,"OmnkVl/HvHw=")</f>
        <v>#REF!</v>
      </c>
      <c r="DV53" t="e">
        <f>AND(#REF!,"OmnkVl/HvH0=")</f>
        <v>#REF!</v>
      </c>
      <c r="DW53" t="e">
        <f>AND(#REF!,"OmnkVl/HvH4=")</f>
        <v>#REF!</v>
      </c>
      <c r="DX53" t="e">
        <f>AND(#REF!,"OmnkVl/HvH8=")</f>
        <v>#REF!</v>
      </c>
      <c r="DY53" t="e">
        <f>AND(#REF!,"OmnkVl/HvIA=")</f>
        <v>#REF!</v>
      </c>
      <c r="DZ53" t="e">
        <f>AND(#REF!,"OmnkVl/HvIE=")</f>
        <v>#REF!</v>
      </c>
      <c r="EA53" t="e">
        <f>AND(#REF!,"OmnkVl/HvII=")</f>
        <v>#REF!</v>
      </c>
      <c r="EB53" t="e">
        <f>AND(#REF!,"OmnkVl/HvIM=")</f>
        <v>#REF!</v>
      </c>
      <c r="EC53" t="e">
        <f>AND(#REF!,"OmnkVl/HvIQ=")</f>
        <v>#REF!</v>
      </c>
      <c r="ED53" t="e">
        <f>AND(#REF!,"OmnkVl/HvIU=")</f>
        <v>#REF!</v>
      </c>
      <c r="EE53" t="e">
        <f>AND(#REF!,"OmnkVl/HvIY=")</f>
        <v>#REF!</v>
      </c>
      <c r="EF53" t="e">
        <f>AND(#REF!,"OmnkVl/HvIc=")</f>
        <v>#REF!</v>
      </c>
      <c r="EG53" t="e">
        <f>AND(#REF!,"OmnkVl/HvIg=")</f>
        <v>#REF!</v>
      </c>
      <c r="EH53" t="e">
        <f>AND(#REF!,"OmnkVl/HvIk=")</f>
        <v>#REF!</v>
      </c>
      <c r="EI53" t="e">
        <f>AND(#REF!,"OmnkVl/HvIo=")</f>
        <v>#REF!</v>
      </c>
      <c r="EJ53" t="e">
        <f>AND(#REF!,"OmnkVl/HvIs=")</f>
        <v>#REF!</v>
      </c>
      <c r="EK53" t="e">
        <f>AND(#REF!,"OmnkVl/HvIw=")</f>
        <v>#REF!</v>
      </c>
      <c r="EL53" t="e">
        <f>AND(#REF!,"OmnkVl/HvI0=")</f>
        <v>#REF!</v>
      </c>
      <c r="EM53" t="e">
        <f>AND(#REF!,"OmnkVl/HvI4=")</f>
        <v>#REF!</v>
      </c>
      <c r="EN53" t="e">
        <f>AND(#REF!,"OmnkVl/HvI8=")</f>
        <v>#REF!</v>
      </c>
      <c r="EO53" t="e">
        <f>AND(#REF!,"OmnkVl/HvJA=")</f>
        <v>#REF!</v>
      </c>
      <c r="EP53" t="e">
        <f>AND(#REF!,"OmnkVl/HvJE=")</f>
        <v>#REF!</v>
      </c>
      <c r="EQ53" t="e">
        <f>AND(#REF!,"OmnkVl/HvJI=")</f>
        <v>#REF!</v>
      </c>
      <c r="ER53" t="e">
        <f>AND(#REF!,"OmnkVl/HvJM=")</f>
        <v>#REF!</v>
      </c>
      <c r="ES53" t="e">
        <f>AND(#REF!,"OmnkVl/HvJQ=")</f>
        <v>#REF!</v>
      </c>
      <c r="ET53" t="e">
        <f>AND(#REF!,"OmnkVl/HvJU=")</f>
        <v>#REF!</v>
      </c>
      <c r="EU53" t="e">
        <f>AND(#REF!,"OmnkVl/HvJY=")</f>
        <v>#REF!</v>
      </c>
      <c r="EV53" t="e">
        <f>AND(#REF!,"OmnkVl/HvJc=")</f>
        <v>#REF!</v>
      </c>
      <c r="EW53" t="e">
        <f>AND(#REF!,"OmnkVl/HvJg=")</f>
        <v>#REF!</v>
      </c>
      <c r="EX53" t="e">
        <f>AND(#REF!,"OmnkVl/HvJk=")</f>
        <v>#REF!</v>
      </c>
      <c r="EY53" t="e">
        <f>AND(#REF!,"OmnkVl/HvJo=")</f>
        <v>#REF!</v>
      </c>
      <c r="EZ53" t="e">
        <f>AND(#REF!,"OmnkVl/HvJs=")</f>
        <v>#REF!</v>
      </c>
      <c r="FA53" t="e">
        <f>AND(#REF!,"OmnkVl/HvJw=")</f>
        <v>#REF!</v>
      </c>
      <c r="FB53" t="e">
        <f>AND(#REF!,"OmnkVl/HvJ0=")</f>
        <v>#REF!</v>
      </c>
      <c r="FC53" t="e">
        <f>AND(#REF!,"OmnkVl/HvJ4=")</f>
        <v>#REF!</v>
      </c>
      <c r="FD53" t="e">
        <f>AND(#REF!,"OmnkVl/HvJ8=")</f>
        <v>#REF!</v>
      </c>
      <c r="FE53" t="e">
        <f>AND(#REF!,"OmnkVl/HvKA=")</f>
        <v>#REF!</v>
      </c>
      <c r="FF53" t="e">
        <f>AND(#REF!,"OmnkVl/HvKE=")</f>
        <v>#REF!</v>
      </c>
      <c r="FG53" t="e">
        <f>AND(#REF!,"OmnkVl/HvKI=")</f>
        <v>#REF!</v>
      </c>
      <c r="FH53" t="e">
        <f>AND(#REF!,"OmnkVl/HvKM=")</f>
        <v>#REF!</v>
      </c>
      <c r="FI53" t="e">
        <f>AND(#REF!,"OmnkVl/HvKQ=")</f>
        <v>#REF!</v>
      </c>
      <c r="FJ53" t="e">
        <f>AND(#REF!,"OmnkVl/HvKU=")</f>
        <v>#REF!</v>
      </c>
      <c r="FK53" t="e">
        <f>IF(#REF!,"OmnkVl/HvKY=",0)</f>
        <v>#REF!</v>
      </c>
      <c r="FL53" t="e">
        <f>AND(#REF!,"OmnkVl/HvKc=")</f>
        <v>#REF!</v>
      </c>
      <c r="FM53" t="e">
        <f>AND(#REF!,"OmnkVl/HvKg=")</f>
        <v>#REF!</v>
      </c>
      <c r="FN53" t="e">
        <f>AND(#REF!,"OmnkVl/HvKk=")</f>
        <v>#REF!</v>
      </c>
      <c r="FO53" t="e">
        <f>AND(#REF!,"OmnkVl/HvKo=")</f>
        <v>#REF!</v>
      </c>
      <c r="FP53" t="e">
        <f>AND(#REF!,"OmnkVl/HvKs=")</f>
        <v>#REF!</v>
      </c>
      <c r="FQ53" t="e">
        <f>AND(#REF!,"OmnkVl/HvKw=")</f>
        <v>#REF!</v>
      </c>
      <c r="FR53" t="e">
        <f>AND(#REF!,"OmnkVl/HvK0=")</f>
        <v>#REF!</v>
      </c>
      <c r="FS53" t="e">
        <f>AND(#REF!,"OmnkVl/HvK4=")</f>
        <v>#REF!</v>
      </c>
      <c r="FT53" t="e">
        <f>AND(#REF!,"OmnkVl/HvK8=")</f>
        <v>#REF!</v>
      </c>
      <c r="FU53" t="e">
        <f>AND(#REF!,"OmnkVl/HvLA=")</f>
        <v>#REF!</v>
      </c>
      <c r="FV53" t="e">
        <f>AND(#REF!,"OmnkVl/HvLE=")</f>
        <v>#REF!</v>
      </c>
      <c r="FW53" t="e">
        <f>AND(#REF!,"OmnkVl/HvLI=")</f>
        <v>#REF!</v>
      </c>
      <c r="FX53" t="e">
        <f>AND(#REF!,"OmnkVl/HvLM=")</f>
        <v>#REF!</v>
      </c>
      <c r="FY53" t="e">
        <f>AND(#REF!,"OmnkVl/HvLQ=")</f>
        <v>#REF!</v>
      </c>
      <c r="FZ53" t="e">
        <f>AND(#REF!,"OmnkVl/HvLU=")</f>
        <v>#REF!</v>
      </c>
      <c r="GA53" t="e">
        <f>AND(#REF!,"OmnkVl/HvLY=")</f>
        <v>#REF!</v>
      </c>
      <c r="GB53" t="e">
        <f>AND(#REF!,"OmnkVl/HvLc=")</f>
        <v>#REF!</v>
      </c>
      <c r="GC53" t="e">
        <f>AND(#REF!,"OmnkVl/HvLg=")</f>
        <v>#REF!</v>
      </c>
      <c r="GD53" t="e">
        <f>AND(#REF!,"OmnkVl/HvLk=")</f>
        <v>#REF!</v>
      </c>
      <c r="GE53" t="e">
        <f>AND(#REF!,"OmnkVl/HvLo=")</f>
        <v>#REF!</v>
      </c>
      <c r="GF53" t="e">
        <f>AND(#REF!,"OmnkVl/HvLs=")</f>
        <v>#REF!</v>
      </c>
      <c r="GG53" t="e">
        <f>AND(#REF!,"OmnkVl/HvLw=")</f>
        <v>#REF!</v>
      </c>
      <c r="GH53" t="e">
        <f>AND(#REF!,"OmnkVl/HvL0=")</f>
        <v>#REF!</v>
      </c>
      <c r="GI53" t="e">
        <f>AND(#REF!,"OmnkVl/HvL4=")</f>
        <v>#REF!</v>
      </c>
      <c r="GJ53" t="e">
        <f>AND(#REF!,"OmnkVl/HvL8=")</f>
        <v>#REF!</v>
      </c>
      <c r="GK53" t="e">
        <f>AND(#REF!,"OmnkVl/HvMA=")</f>
        <v>#REF!</v>
      </c>
      <c r="GL53" t="e">
        <f>AND(#REF!,"OmnkVl/HvME=")</f>
        <v>#REF!</v>
      </c>
      <c r="GM53" t="e">
        <f>AND(#REF!,"OmnkVl/HvMI=")</f>
        <v>#REF!</v>
      </c>
      <c r="GN53" t="e">
        <f>AND(#REF!,"OmnkVl/HvMM=")</f>
        <v>#REF!</v>
      </c>
      <c r="GO53" t="e">
        <f>AND(#REF!,"OmnkVl/HvMQ=")</f>
        <v>#REF!</v>
      </c>
      <c r="GP53" t="e">
        <f>AND(#REF!,"OmnkVl/HvMU=")</f>
        <v>#REF!</v>
      </c>
      <c r="GQ53" t="e">
        <f>AND(#REF!,"OmnkVl/HvMY=")</f>
        <v>#REF!</v>
      </c>
      <c r="GR53" t="e">
        <f>AND(#REF!,"OmnkVl/HvMc=")</f>
        <v>#REF!</v>
      </c>
      <c r="GS53" t="e">
        <f>AND(#REF!,"OmnkVl/HvMg=")</f>
        <v>#REF!</v>
      </c>
      <c r="GT53" t="e">
        <f>AND(#REF!,"OmnkVl/HvMk=")</f>
        <v>#REF!</v>
      </c>
      <c r="GU53" t="e">
        <f>AND(#REF!,"OmnkVl/HvMo=")</f>
        <v>#REF!</v>
      </c>
      <c r="GV53" t="e">
        <f>AND(#REF!,"OmnkVl/HvMs=")</f>
        <v>#REF!</v>
      </c>
      <c r="GW53" t="e">
        <f>AND(#REF!,"OmnkVl/HvMw=")</f>
        <v>#REF!</v>
      </c>
      <c r="GX53" t="e">
        <f>AND(#REF!,"OmnkVl/HvM0=")</f>
        <v>#REF!</v>
      </c>
      <c r="GY53" t="e">
        <f>AND(#REF!,"OmnkVl/HvM4=")</f>
        <v>#REF!</v>
      </c>
      <c r="GZ53" t="e">
        <f>AND(#REF!,"OmnkVl/HvM8=")</f>
        <v>#REF!</v>
      </c>
      <c r="HA53" t="e">
        <f>AND(#REF!,"OmnkVl/HvNA=")</f>
        <v>#REF!</v>
      </c>
      <c r="HB53" t="e">
        <f>AND(#REF!,"OmnkVl/HvNE=")</f>
        <v>#REF!</v>
      </c>
      <c r="HC53" t="e">
        <f>AND(#REF!,"OmnkVl/HvNI=")</f>
        <v>#REF!</v>
      </c>
      <c r="HD53" t="e">
        <f>AND(#REF!,"OmnkVl/HvNM=")</f>
        <v>#REF!</v>
      </c>
      <c r="HE53" t="e">
        <f>AND(#REF!,"OmnkVl/HvNQ=")</f>
        <v>#REF!</v>
      </c>
      <c r="HF53" t="e">
        <f>AND(#REF!,"OmnkVl/HvNU=")</f>
        <v>#REF!</v>
      </c>
      <c r="HG53" t="e">
        <f>AND(#REF!,"OmnkVl/HvNY=")</f>
        <v>#REF!</v>
      </c>
      <c r="HH53" t="e">
        <f>AND(#REF!,"OmnkVl/HvNc=")</f>
        <v>#REF!</v>
      </c>
      <c r="HI53" t="e">
        <f>AND(#REF!,"OmnkVl/HvNg=")</f>
        <v>#REF!</v>
      </c>
      <c r="HJ53" t="e">
        <f>AND(#REF!,"OmnkVl/HvNk=")</f>
        <v>#REF!</v>
      </c>
      <c r="HK53" t="e">
        <f>AND(#REF!,"OmnkVl/HvNo=")</f>
        <v>#REF!</v>
      </c>
      <c r="HL53" t="e">
        <f>AND(#REF!,"OmnkVl/HvNs=")</f>
        <v>#REF!</v>
      </c>
      <c r="HM53" t="e">
        <f>AND(#REF!,"OmnkVl/HvNw=")</f>
        <v>#REF!</v>
      </c>
      <c r="HN53" t="e">
        <f>AND(#REF!,"OmnkVl/HvN0=")</f>
        <v>#REF!</v>
      </c>
      <c r="HO53" t="e">
        <f>AND(#REF!,"OmnkVl/HvN4=")</f>
        <v>#REF!</v>
      </c>
      <c r="HP53" t="e">
        <f>AND(#REF!,"OmnkVl/HvN8=")</f>
        <v>#REF!</v>
      </c>
      <c r="HQ53" t="e">
        <f>AND(#REF!,"OmnkVl/HvOA=")</f>
        <v>#REF!</v>
      </c>
      <c r="HR53" t="e">
        <f>AND(#REF!,"OmnkVl/HvOE=")</f>
        <v>#REF!</v>
      </c>
      <c r="HS53" t="e">
        <f>AND(#REF!,"OmnkVl/HvOI=")</f>
        <v>#REF!</v>
      </c>
      <c r="HT53" t="e">
        <f>AND(#REF!,"OmnkVl/HvOM=")</f>
        <v>#REF!</v>
      </c>
      <c r="HU53" t="e">
        <f>AND(#REF!,"OmnkVl/HvOQ=")</f>
        <v>#REF!</v>
      </c>
      <c r="HV53" t="e">
        <f>AND(#REF!,"OmnkVl/HvOU=")</f>
        <v>#REF!</v>
      </c>
      <c r="HW53" t="e">
        <f>AND(#REF!,"OmnkVl/HvOY=")</f>
        <v>#REF!</v>
      </c>
      <c r="HX53" t="e">
        <f>AND(#REF!,"OmnkVl/HvOc=")</f>
        <v>#REF!</v>
      </c>
      <c r="HY53" t="e">
        <f>AND(#REF!,"OmnkVl/HvOg=")</f>
        <v>#REF!</v>
      </c>
      <c r="HZ53" t="e">
        <f>AND(#REF!,"OmnkVl/HvOk=")</f>
        <v>#REF!</v>
      </c>
      <c r="IA53" t="e">
        <f>AND(#REF!,"OmnkVl/HvOo=")</f>
        <v>#REF!</v>
      </c>
      <c r="IB53" t="e">
        <f>AND(#REF!,"OmnkVl/HvOs=")</f>
        <v>#REF!</v>
      </c>
      <c r="IC53" t="e">
        <f>AND(#REF!,"OmnkVl/HvOw=")</f>
        <v>#REF!</v>
      </c>
      <c r="ID53" t="e">
        <f>AND(#REF!,"OmnkVl/HvO0=")</f>
        <v>#REF!</v>
      </c>
      <c r="IE53" t="e">
        <f>AND(#REF!,"OmnkVl/HvO4=")</f>
        <v>#REF!</v>
      </c>
      <c r="IF53" t="e">
        <f>AND(#REF!,"OmnkVl/HvO8=")</f>
        <v>#REF!</v>
      </c>
      <c r="IG53" t="e">
        <f>AND(#REF!,"OmnkVl/HvPA=")</f>
        <v>#REF!</v>
      </c>
      <c r="IH53" t="e">
        <f>AND(#REF!,"OmnkVl/HvPE=")</f>
        <v>#REF!</v>
      </c>
      <c r="II53" t="e">
        <f>AND(#REF!,"OmnkVl/HvPI=")</f>
        <v>#REF!</v>
      </c>
      <c r="IJ53" t="e">
        <f>AND(#REF!,"OmnkVl/HvPM=")</f>
        <v>#REF!</v>
      </c>
      <c r="IK53" t="e">
        <f>AND(#REF!,"OmnkVl/HvPQ=")</f>
        <v>#REF!</v>
      </c>
      <c r="IL53" t="e">
        <f>AND(#REF!,"OmnkVl/HvPU=")</f>
        <v>#REF!</v>
      </c>
      <c r="IM53" t="e">
        <f>AND(#REF!,"OmnkVl/HvPY=")</f>
        <v>#REF!</v>
      </c>
      <c r="IN53" t="e">
        <f>AND(#REF!,"OmnkVl/HvPc=")</f>
        <v>#REF!</v>
      </c>
      <c r="IO53" t="e">
        <f>AND(#REF!,"OmnkVl/HvPg=")</f>
        <v>#REF!</v>
      </c>
      <c r="IP53" t="e">
        <f>AND(#REF!,"OmnkVl/HvPk=")</f>
        <v>#REF!</v>
      </c>
      <c r="IQ53" t="e">
        <f>AND(#REF!,"OmnkVl/HvPo=")</f>
        <v>#REF!</v>
      </c>
      <c r="IR53" t="e">
        <f>AND(#REF!,"OmnkVl/HvPs=")</f>
        <v>#REF!</v>
      </c>
      <c r="IS53" t="e">
        <f>AND(#REF!,"OmnkVl/HvPw=")</f>
        <v>#REF!</v>
      </c>
      <c r="IT53" t="e">
        <f>AND(#REF!,"OmnkVl/HvP0=")</f>
        <v>#REF!</v>
      </c>
      <c r="IU53" t="e">
        <f>AND(#REF!,"OmnkVl/HvP4=")</f>
        <v>#REF!</v>
      </c>
      <c r="IV53" t="e">
        <f>AND(#REF!,"OmnkVl/HvP8=")</f>
        <v>#REF!</v>
      </c>
    </row>
    <row r="54" spans="1:256" x14ac:dyDescent="0.2">
      <c r="A54" t="e">
        <f>AND(#REF!,"WgovQHJVSgA=")</f>
        <v>#REF!</v>
      </c>
      <c r="B54" t="e">
        <f>AND(#REF!,"WgovQHJVSgE=")</f>
        <v>#REF!</v>
      </c>
      <c r="C54" t="e">
        <f>AND(#REF!,"WgovQHJVSgI=")</f>
        <v>#REF!</v>
      </c>
      <c r="D54" t="e">
        <f>AND(#REF!,"WgovQHJVSgM=")</f>
        <v>#REF!</v>
      </c>
      <c r="E54" t="e">
        <f>AND(#REF!,"WgovQHJVSgQ=")</f>
        <v>#REF!</v>
      </c>
      <c r="F54" t="e">
        <f>AND(#REF!,"WgovQHJVSgU=")</f>
        <v>#REF!</v>
      </c>
      <c r="G54" t="e">
        <f>AND(#REF!,"WgovQHJVSgY=")</f>
        <v>#REF!</v>
      </c>
      <c r="H54" t="e">
        <f>AND(#REF!,"WgovQHJVSgc=")</f>
        <v>#REF!</v>
      </c>
      <c r="I54" t="e">
        <f>AND(#REF!,"WgovQHJVSgg=")</f>
        <v>#REF!</v>
      </c>
      <c r="J54" t="e">
        <f>AND(#REF!,"WgovQHJVSgk=")</f>
        <v>#REF!</v>
      </c>
      <c r="K54" t="e">
        <f>AND(#REF!,"WgovQHJVSgo=")</f>
        <v>#REF!</v>
      </c>
      <c r="L54" t="e">
        <f>AND(#REF!,"WgovQHJVSgs=")</f>
        <v>#REF!</v>
      </c>
      <c r="M54" t="e">
        <f>AND(#REF!,"WgovQHJVSgw=")</f>
        <v>#REF!</v>
      </c>
      <c r="N54" t="e">
        <f>AND(#REF!,"WgovQHJVSg0=")</f>
        <v>#REF!</v>
      </c>
      <c r="O54" t="e">
        <f>AND(#REF!,"WgovQHJVSg4=")</f>
        <v>#REF!</v>
      </c>
      <c r="P54" t="e">
        <f>AND(#REF!,"WgovQHJVSg8=")</f>
        <v>#REF!</v>
      </c>
      <c r="Q54" t="e">
        <f>AND(#REF!,"WgovQHJVShA=")</f>
        <v>#REF!</v>
      </c>
      <c r="R54" t="e">
        <f>AND(#REF!,"WgovQHJVShE=")</f>
        <v>#REF!</v>
      </c>
      <c r="S54" t="e">
        <f>AND(#REF!,"WgovQHJVShI=")</f>
        <v>#REF!</v>
      </c>
      <c r="T54" t="e">
        <f>AND(#REF!,"WgovQHJVShM=")</f>
        <v>#REF!</v>
      </c>
      <c r="U54" t="e">
        <f>AND(#REF!,"WgovQHJVShQ=")</f>
        <v>#REF!</v>
      </c>
      <c r="V54" t="e">
        <f>AND(#REF!,"WgovQHJVShU=")</f>
        <v>#REF!</v>
      </c>
      <c r="W54" t="e">
        <f>AND(#REF!,"WgovQHJVShY=")</f>
        <v>#REF!</v>
      </c>
      <c r="X54" t="e">
        <f>AND(#REF!,"WgovQHJVShc=")</f>
        <v>#REF!</v>
      </c>
      <c r="Y54" t="e">
        <f>AND(#REF!,"WgovQHJVShg=")</f>
        <v>#REF!</v>
      </c>
      <c r="Z54" t="e">
        <f>AND(#REF!,"WgovQHJVShk=")</f>
        <v>#REF!</v>
      </c>
      <c r="AA54" t="e">
        <f>AND(#REF!,"WgovQHJVSho=")</f>
        <v>#REF!</v>
      </c>
      <c r="AB54" t="e">
        <f>AND(#REF!,"WgovQHJVShs=")</f>
        <v>#REF!</v>
      </c>
      <c r="AC54" t="e">
        <f>AND(#REF!,"WgovQHJVShw=")</f>
        <v>#REF!</v>
      </c>
      <c r="AD54" t="e">
        <f>AND(#REF!,"WgovQHJVSh0=")</f>
        <v>#REF!</v>
      </c>
      <c r="AE54" t="e">
        <f>AND(#REF!,"WgovQHJVSh4=")</f>
        <v>#REF!</v>
      </c>
      <c r="AF54" t="e">
        <f>AND(#REF!,"WgovQHJVSh8=")</f>
        <v>#REF!</v>
      </c>
      <c r="AG54" t="e">
        <f>AND(#REF!,"WgovQHJVSiA=")</f>
        <v>#REF!</v>
      </c>
      <c r="AH54" t="e">
        <f>AND(#REF!,"WgovQHJVSiE=")</f>
        <v>#REF!</v>
      </c>
      <c r="AI54" t="e">
        <f>AND(#REF!,"WgovQHJVSiI=")</f>
        <v>#REF!</v>
      </c>
      <c r="AJ54" t="e">
        <f>AND(#REF!,"WgovQHJVSiM=")</f>
        <v>#REF!</v>
      </c>
      <c r="AK54" t="e">
        <f>AND(#REF!,"WgovQHJVSiQ=")</f>
        <v>#REF!</v>
      </c>
      <c r="AL54" t="e">
        <f>AND(#REF!,"WgovQHJVSiU=")</f>
        <v>#REF!</v>
      </c>
      <c r="AM54" t="e">
        <f>AND(#REF!,"WgovQHJVSiY=")</f>
        <v>#REF!</v>
      </c>
      <c r="AN54" t="e">
        <f>AND(#REF!,"WgovQHJVSic=")</f>
        <v>#REF!</v>
      </c>
      <c r="AO54" t="e">
        <f>AND(#REF!,"WgovQHJVSig=")</f>
        <v>#REF!</v>
      </c>
      <c r="AP54" t="e">
        <f>AND(#REF!,"WgovQHJVSik=")</f>
        <v>#REF!</v>
      </c>
      <c r="AQ54" t="e">
        <f>AND(#REF!,"WgovQHJVSio=")</f>
        <v>#REF!</v>
      </c>
      <c r="AR54" t="e">
        <f>AND(#REF!,"WgovQHJVSis=")</f>
        <v>#REF!</v>
      </c>
      <c r="AS54" t="e">
        <f>AND(#REF!,"WgovQHJVSiw=")</f>
        <v>#REF!</v>
      </c>
      <c r="AT54" t="e">
        <f>AND(#REF!,"WgovQHJVSi0=")</f>
        <v>#REF!</v>
      </c>
      <c r="AU54" t="e">
        <f>AND(#REF!,"WgovQHJVSi4=")</f>
        <v>#REF!</v>
      </c>
      <c r="AV54" t="e">
        <f>AND(#REF!,"WgovQHJVSi8=")</f>
        <v>#REF!</v>
      </c>
      <c r="AW54" t="e">
        <f>AND(#REF!,"WgovQHJVSjA=")</f>
        <v>#REF!</v>
      </c>
      <c r="AX54" t="e">
        <f>AND(#REF!,"WgovQHJVSjE=")</f>
        <v>#REF!</v>
      </c>
      <c r="AY54" t="e">
        <f>AND(#REF!,"WgovQHJVSjI=")</f>
        <v>#REF!</v>
      </c>
      <c r="AZ54" t="e">
        <f>AND(#REF!,"WgovQHJVSjM=")</f>
        <v>#REF!</v>
      </c>
      <c r="BA54" t="e">
        <f>AND(#REF!,"WgovQHJVSjQ=")</f>
        <v>#REF!</v>
      </c>
      <c r="BB54" t="e">
        <f>AND(#REF!,"WgovQHJVSjU=")</f>
        <v>#REF!</v>
      </c>
      <c r="BC54" t="e">
        <f>AND(#REF!,"WgovQHJVSjY=")</f>
        <v>#REF!</v>
      </c>
      <c r="BD54" t="e">
        <f>AND(#REF!,"WgovQHJVSjc=")</f>
        <v>#REF!</v>
      </c>
      <c r="BE54" t="e">
        <f>AND(#REF!,"WgovQHJVSjg=")</f>
        <v>#REF!</v>
      </c>
      <c r="BF54" t="e">
        <f>AND(#REF!,"WgovQHJVSjk=")</f>
        <v>#REF!</v>
      </c>
      <c r="BG54" t="e">
        <f>AND(#REF!,"WgovQHJVSjo=")</f>
        <v>#REF!</v>
      </c>
      <c r="BH54" t="e">
        <f>AND(#REF!,"WgovQHJVSjs=")</f>
        <v>#REF!</v>
      </c>
      <c r="BI54" t="e">
        <f>AND(#REF!,"WgovQHJVSjw=")</f>
        <v>#REF!</v>
      </c>
      <c r="BJ54" t="e">
        <f>AND(#REF!,"WgovQHJVSj0=")</f>
        <v>#REF!</v>
      </c>
      <c r="BK54" t="e">
        <f>AND(#REF!,"WgovQHJVSj4=")</f>
        <v>#REF!</v>
      </c>
      <c r="BL54" t="e">
        <f>AND(#REF!,"WgovQHJVSj8=")</f>
        <v>#REF!</v>
      </c>
      <c r="BM54" t="e">
        <f>AND(#REF!,"WgovQHJVSkA=")</f>
        <v>#REF!</v>
      </c>
      <c r="BN54" t="e">
        <f>AND(#REF!,"WgovQHJVSkE=")</f>
        <v>#REF!</v>
      </c>
      <c r="BO54" t="e">
        <f>AND(#REF!,"WgovQHJVSkI=")</f>
        <v>#REF!</v>
      </c>
      <c r="BP54" t="e">
        <f>AND(#REF!,"WgovQHJVSkM=")</f>
        <v>#REF!</v>
      </c>
      <c r="BQ54" t="e">
        <f>AND(#REF!,"WgovQHJVSkQ=")</f>
        <v>#REF!</v>
      </c>
      <c r="BR54" t="e">
        <f>AND(#REF!,"WgovQHJVSkU=")</f>
        <v>#REF!</v>
      </c>
      <c r="BS54" t="e">
        <f>AND(#REF!,"WgovQHJVSkY=")</f>
        <v>#REF!</v>
      </c>
      <c r="BT54" t="e">
        <f>AND(#REF!,"WgovQHJVSkc=")</f>
        <v>#REF!</v>
      </c>
      <c r="BU54" t="e">
        <f>AND(#REF!,"WgovQHJVSkg=")</f>
        <v>#REF!</v>
      </c>
      <c r="BV54" t="e">
        <f>AND(#REF!,"WgovQHJVSkk=")</f>
        <v>#REF!</v>
      </c>
      <c r="BW54" t="e">
        <f>AND(#REF!,"WgovQHJVSko=")</f>
        <v>#REF!</v>
      </c>
      <c r="BX54" t="e">
        <f>AND(#REF!,"WgovQHJVSks=")</f>
        <v>#REF!</v>
      </c>
      <c r="BY54" t="e">
        <f>AND(#REF!,"WgovQHJVSkw=")</f>
        <v>#REF!</v>
      </c>
      <c r="BZ54" t="e">
        <f>AND(#REF!,"WgovQHJVSk0=")</f>
        <v>#REF!</v>
      </c>
      <c r="CA54" t="e">
        <f>AND(#REF!,"WgovQHJVSk4=")</f>
        <v>#REF!</v>
      </c>
      <c r="CB54" t="e">
        <f>AND(#REF!,"WgovQHJVSk8=")</f>
        <v>#REF!</v>
      </c>
      <c r="CC54" t="e">
        <f>AND(#REF!,"WgovQHJVSlA=")</f>
        <v>#REF!</v>
      </c>
      <c r="CD54" t="e">
        <f>AND(#REF!,"WgovQHJVSlE=")</f>
        <v>#REF!</v>
      </c>
      <c r="CE54" t="e">
        <f>AND(#REF!,"WgovQHJVSlI=")</f>
        <v>#REF!</v>
      </c>
      <c r="CF54" t="e">
        <f>AND(#REF!,"WgovQHJVSlM=")</f>
        <v>#REF!</v>
      </c>
      <c r="CG54" t="e">
        <f>AND(#REF!,"WgovQHJVSlQ=")</f>
        <v>#REF!</v>
      </c>
      <c r="CH54" t="e">
        <f>AND(#REF!,"WgovQHJVSlU=")</f>
        <v>#REF!</v>
      </c>
      <c r="CI54" t="e">
        <f>AND(#REF!,"WgovQHJVSlY=")</f>
        <v>#REF!</v>
      </c>
      <c r="CJ54" t="e">
        <f>AND(#REF!,"WgovQHJVSlc=")</f>
        <v>#REF!</v>
      </c>
      <c r="CK54" t="e">
        <f>AND(#REF!,"WgovQHJVSlg=")</f>
        <v>#REF!</v>
      </c>
      <c r="CL54" t="e">
        <f>AND(#REF!,"WgovQHJVSlk=")</f>
        <v>#REF!</v>
      </c>
      <c r="CM54" t="e">
        <f>AND(#REF!,"WgovQHJVSlo=")</f>
        <v>#REF!</v>
      </c>
      <c r="CN54" t="e">
        <f>AND(#REF!,"WgovQHJVSls=")</f>
        <v>#REF!</v>
      </c>
      <c r="CO54" t="e">
        <f>AND(#REF!,"WgovQHJVSlw=")</f>
        <v>#REF!</v>
      </c>
      <c r="CP54" t="e">
        <f>AND(#REF!,"WgovQHJVSl0=")</f>
        <v>#REF!</v>
      </c>
      <c r="CQ54" t="e">
        <f>AND(#REF!,"WgovQHJVSl4=")</f>
        <v>#REF!</v>
      </c>
      <c r="CR54" t="e">
        <f>AND(#REF!,"WgovQHJVSl8=")</f>
        <v>#REF!</v>
      </c>
      <c r="CS54" t="e">
        <f>AND(#REF!,"WgovQHJVSmA=")</f>
        <v>#REF!</v>
      </c>
      <c r="CT54" t="e">
        <f>AND(#REF!,"WgovQHJVSmE=")</f>
        <v>#REF!</v>
      </c>
      <c r="CU54" t="e">
        <f>AND(#REF!,"WgovQHJVSmI=")</f>
        <v>#REF!</v>
      </c>
      <c r="CV54" t="e">
        <f>AND(#REF!,"WgovQHJVSmM=")</f>
        <v>#REF!</v>
      </c>
      <c r="CW54" t="e">
        <f>AND(#REF!,"WgovQHJVSmQ=")</f>
        <v>#REF!</v>
      </c>
      <c r="CX54" t="e">
        <f>AND(#REF!,"WgovQHJVSmU=")</f>
        <v>#REF!</v>
      </c>
      <c r="CY54" t="e">
        <f>AND(#REF!,"WgovQHJVSmY=")</f>
        <v>#REF!</v>
      </c>
      <c r="CZ54" t="e">
        <f>AND(#REF!,"WgovQHJVSmc=")</f>
        <v>#REF!</v>
      </c>
      <c r="DA54" t="e">
        <f>AND(#REF!,"WgovQHJVSmg=")</f>
        <v>#REF!</v>
      </c>
      <c r="DB54" t="e">
        <f>AND(#REF!,"WgovQHJVSmk=")</f>
        <v>#REF!</v>
      </c>
      <c r="DC54" t="e">
        <f>AND(#REF!,"WgovQHJVSmo=")</f>
        <v>#REF!</v>
      </c>
      <c r="DD54" t="e">
        <f>AND(#REF!,"WgovQHJVSms=")</f>
        <v>#REF!</v>
      </c>
      <c r="DE54" t="e">
        <f>AND(#REF!,"WgovQHJVSmw=")</f>
        <v>#REF!</v>
      </c>
      <c r="DF54" t="e">
        <f>IF(#REF!,"WgovQHJVSm0=",0)</f>
        <v>#REF!</v>
      </c>
      <c r="DG54" t="e">
        <f>AND(#REF!,"WgovQHJVSm4=")</f>
        <v>#REF!</v>
      </c>
      <c r="DH54" t="e">
        <f>AND(#REF!,"WgovQHJVSm8=")</f>
        <v>#REF!</v>
      </c>
      <c r="DI54" t="e">
        <f>AND(#REF!,"WgovQHJVSnA=")</f>
        <v>#REF!</v>
      </c>
      <c r="DJ54" t="e">
        <f>AND(#REF!,"WgovQHJVSnE=")</f>
        <v>#REF!</v>
      </c>
      <c r="DK54" t="e">
        <f>AND(#REF!,"WgovQHJVSnI=")</f>
        <v>#REF!</v>
      </c>
      <c r="DL54" t="e">
        <f>AND(#REF!,"WgovQHJVSnM=")</f>
        <v>#REF!</v>
      </c>
      <c r="DM54" t="e">
        <f>AND(#REF!,"WgovQHJVSnQ=")</f>
        <v>#REF!</v>
      </c>
      <c r="DN54" t="e">
        <f>AND(#REF!,"WgovQHJVSnU=")</f>
        <v>#REF!</v>
      </c>
      <c r="DO54" t="e">
        <f>AND(#REF!,"WgovQHJVSnY=")</f>
        <v>#REF!</v>
      </c>
      <c r="DP54" t="e">
        <f>AND(#REF!,"WgovQHJVSnc=")</f>
        <v>#REF!</v>
      </c>
      <c r="DQ54" t="e">
        <f>AND(#REF!,"WgovQHJVSng=")</f>
        <v>#REF!</v>
      </c>
      <c r="DR54" t="e">
        <f>AND(#REF!,"WgovQHJVSnk=")</f>
        <v>#REF!</v>
      </c>
      <c r="DS54" t="e">
        <f>AND(#REF!,"WgovQHJVSno=")</f>
        <v>#REF!</v>
      </c>
      <c r="DT54" t="e">
        <f>AND(#REF!,"WgovQHJVSns=")</f>
        <v>#REF!</v>
      </c>
      <c r="DU54" t="e">
        <f>AND(#REF!,"WgovQHJVSnw=")</f>
        <v>#REF!</v>
      </c>
      <c r="DV54" t="e">
        <f>AND(#REF!,"WgovQHJVSn0=")</f>
        <v>#REF!</v>
      </c>
      <c r="DW54" t="e">
        <f>AND(#REF!,"WgovQHJVSn4=")</f>
        <v>#REF!</v>
      </c>
      <c r="DX54" t="e">
        <f>AND(#REF!,"WgovQHJVSn8=")</f>
        <v>#REF!</v>
      </c>
      <c r="DY54" t="e">
        <f>AND(#REF!,"WgovQHJVSoA=")</f>
        <v>#REF!</v>
      </c>
      <c r="DZ54" t="e">
        <f>AND(#REF!,"WgovQHJVSoE=")</f>
        <v>#REF!</v>
      </c>
      <c r="EA54" t="e">
        <f>AND(#REF!,"WgovQHJVSoI=")</f>
        <v>#REF!</v>
      </c>
      <c r="EB54" t="e">
        <f>AND(#REF!,"WgovQHJVSoM=")</f>
        <v>#REF!</v>
      </c>
      <c r="EC54" t="e">
        <f>AND(#REF!,"WgovQHJVSoQ=")</f>
        <v>#REF!</v>
      </c>
      <c r="ED54" t="e">
        <f>AND(#REF!,"WgovQHJVSoU=")</f>
        <v>#REF!</v>
      </c>
      <c r="EE54" t="e">
        <f>AND(#REF!,"WgovQHJVSoY=")</f>
        <v>#REF!</v>
      </c>
      <c r="EF54" t="e">
        <f>AND(#REF!,"WgovQHJVSoc=")</f>
        <v>#REF!</v>
      </c>
      <c r="EG54" t="e">
        <f>AND(#REF!,"WgovQHJVSog=")</f>
        <v>#REF!</v>
      </c>
      <c r="EH54" t="e">
        <f>AND(#REF!,"WgovQHJVSok=")</f>
        <v>#REF!</v>
      </c>
      <c r="EI54" t="e">
        <f>AND(#REF!,"WgovQHJVSoo=")</f>
        <v>#REF!</v>
      </c>
      <c r="EJ54" t="e">
        <f>AND(#REF!,"WgovQHJVSos=")</f>
        <v>#REF!</v>
      </c>
      <c r="EK54" t="e">
        <f>AND(#REF!,"WgovQHJVSow=")</f>
        <v>#REF!</v>
      </c>
      <c r="EL54" t="e">
        <f>AND(#REF!,"WgovQHJVSo0=")</f>
        <v>#REF!</v>
      </c>
      <c r="EM54" t="e">
        <f>AND(#REF!,"WgovQHJVSo4=")</f>
        <v>#REF!</v>
      </c>
      <c r="EN54" t="e">
        <f>AND(#REF!,"WgovQHJVSo8=")</f>
        <v>#REF!</v>
      </c>
      <c r="EO54" t="e">
        <f>AND(#REF!,"WgovQHJVSpA=")</f>
        <v>#REF!</v>
      </c>
      <c r="EP54" t="e">
        <f>AND(#REF!,"WgovQHJVSpE=")</f>
        <v>#REF!</v>
      </c>
      <c r="EQ54" t="e">
        <f>AND(#REF!,"WgovQHJVSpI=")</f>
        <v>#REF!</v>
      </c>
      <c r="ER54" t="e">
        <f>AND(#REF!,"WgovQHJVSpM=")</f>
        <v>#REF!</v>
      </c>
      <c r="ES54" t="e">
        <f>AND(#REF!,"WgovQHJVSpQ=")</f>
        <v>#REF!</v>
      </c>
      <c r="ET54" t="e">
        <f>AND(#REF!,"WgovQHJVSpU=")</f>
        <v>#REF!</v>
      </c>
      <c r="EU54" t="e">
        <f>AND(#REF!,"WgovQHJVSpY=")</f>
        <v>#REF!</v>
      </c>
      <c r="EV54" t="e">
        <f>AND(#REF!,"WgovQHJVSpc=")</f>
        <v>#REF!</v>
      </c>
      <c r="EW54" t="e">
        <f>AND(#REF!,"WgovQHJVSpg=")</f>
        <v>#REF!</v>
      </c>
      <c r="EX54" t="e">
        <f>AND(#REF!,"WgovQHJVSpk=")</f>
        <v>#REF!</v>
      </c>
      <c r="EY54" t="e">
        <f>AND(#REF!,"WgovQHJVSpo=")</f>
        <v>#REF!</v>
      </c>
      <c r="EZ54" t="e">
        <f>AND(#REF!,"WgovQHJVSps=")</f>
        <v>#REF!</v>
      </c>
      <c r="FA54" t="e">
        <f>AND(#REF!,"WgovQHJVSpw=")</f>
        <v>#REF!</v>
      </c>
      <c r="FB54" t="e">
        <f>AND(#REF!,"WgovQHJVSp0=")</f>
        <v>#REF!</v>
      </c>
      <c r="FC54" t="e">
        <f>AND(#REF!,"WgovQHJVSp4=")</f>
        <v>#REF!</v>
      </c>
      <c r="FD54" t="e">
        <f>AND(#REF!,"WgovQHJVSp8=")</f>
        <v>#REF!</v>
      </c>
      <c r="FE54" t="e">
        <f>AND(#REF!,"WgovQHJVSqA=")</f>
        <v>#REF!</v>
      </c>
      <c r="FF54" t="e">
        <f>AND(#REF!,"WgovQHJVSqE=")</f>
        <v>#REF!</v>
      </c>
      <c r="FG54" t="e">
        <f>AND(#REF!,"WgovQHJVSqI=")</f>
        <v>#REF!</v>
      </c>
      <c r="FH54" t="e">
        <f>AND(#REF!,"WgovQHJVSqM=")</f>
        <v>#REF!</v>
      </c>
      <c r="FI54" t="e">
        <f>AND(#REF!,"WgovQHJVSqQ=")</f>
        <v>#REF!</v>
      </c>
      <c r="FJ54" t="e">
        <f>AND(#REF!,"WgovQHJVSqU=")</f>
        <v>#REF!</v>
      </c>
      <c r="FK54" t="e">
        <f>AND(#REF!,"WgovQHJVSqY=")</f>
        <v>#REF!</v>
      </c>
      <c r="FL54" t="e">
        <f>AND(#REF!,"WgovQHJVSqc=")</f>
        <v>#REF!</v>
      </c>
      <c r="FM54" t="e">
        <f>AND(#REF!,"WgovQHJVSqg=")</f>
        <v>#REF!</v>
      </c>
      <c r="FN54" t="e">
        <f>AND(#REF!,"WgovQHJVSqk=")</f>
        <v>#REF!</v>
      </c>
      <c r="FO54" t="e">
        <f>AND(#REF!,"WgovQHJVSqo=")</f>
        <v>#REF!</v>
      </c>
      <c r="FP54" t="e">
        <f>AND(#REF!,"WgovQHJVSqs=")</f>
        <v>#REF!</v>
      </c>
      <c r="FQ54" t="e">
        <f>AND(#REF!,"WgovQHJVSqw=")</f>
        <v>#REF!</v>
      </c>
      <c r="FR54" t="e">
        <f>AND(#REF!,"WgovQHJVSq0=")</f>
        <v>#REF!</v>
      </c>
      <c r="FS54" t="e">
        <f>AND(#REF!,"WgovQHJVSq4=")</f>
        <v>#REF!</v>
      </c>
      <c r="FT54" t="e">
        <f>AND(#REF!,"WgovQHJVSq8=")</f>
        <v>#REF!</v>
      </c>
      <c r="FU54" t="e">
        <f>AND(#REF!,"WgovQHJVSrA=")</f>
        <v>#REF!</v>
      </c>
      <c r="FV54" t="e">
        <f>AND(#REF!,"WgovQHJVSrE=")</f>
        <v>#REF!</v>
      </c>
      <c r="FW54" t="e">
        <f>AND(#REF!,"WgovQHJVSrI=")</f>
        <v>#REF!</v>
      </c>
      <c r="FX54" t="e">
        <f>AND(#REF!,"WgovQHJVSrM=")</f>
        <v>#REF!</v>
      </c>
      <c r="FY54" t="e">
        <f>AND(#REF!,"WgovQHJVSrQ=")</f>
        <v>#REF!</v>
      </c>
      <c r="FZ54" t="e">
        <f>AND(#REF!,"WgovQHJVSrU=")</f>
        <v>#REF!</v>
      </c>
      <c r="GA54" t="e">
        <f>AND(#REF!,"WgovQHJVSrY=")</f>
        <v>#REF!</v>
      </c>
      <c r="GB54" t="e">
        <f>AND(#REF!,"WgovQHJVSrc=")</f>
        <v>#REF!</v>
      </c>
      <c r="GC54" t="e">
        <f>AND(#REF!,"WgovQHJVSrg=")</f>
        <v>#REF!</v>
      </c>
      <c r="GD54" t="e">
        <f>AND(#REF!,"WgovQHJVSrk=")</f>
        <v>#REF!</v>
      </c>
      <c r="GE54" t="e">
        <f>AND(#REF!,"WgovQHJVSro=")</f>
        <v>#REF!</v>
      </c>
      <c r="GF54" t="e">
        <f>AND(#REF!,"WgovQHJVSrs=")</f>
        <v>#REF!</v>
      </c>
      <c r="GG54" t="e">
        <f>AND(#REF!,"WgovQHJVSrw=")</f>
        <v>#REF!</v>
      </c>
      <c r="GH54" t="e">
        <f>AND(#REF!,"WgovQHJVSr0=")</f>
        <v>#REF!</v>
      </c>
      <c r="GI54" t="e">
        <f>AND(#REF!,"WgovQHJVSr4=")</f>
        <v>#REF!</v>
      </c>
      <c r="GJ54" t="e">
        <f>AND(#REF!,"WgovQHJVSr8=")</f>
        <v>#REF!</v>
      </c>
      <c r="GK54" t="e">
        <f>AND(#REF!,"WgovQHJVSsA=")</f>
        <v>#REF!</v>
      </c>
      <c r="GL54" t="e">
        <f>AND(#REF!,"WgovQHJVSsE=")</f>
        <v>#REF!</v>
      </c>
      <c r="GM54" t="e">
        <f>AND(#REF!,"WgovQHJVSsI=")</f>
        <v>#REF!</v>
      </c>
      <c r="GN54" t="e">
        <f>AND(#REF!,"WgovQHJVSsM=")</f>
        <v>#REF!</v>
      </c>
      <c r="GO54" t="e">
        <f>AND(#REF!,"WgovQHJVSsQ=")</f>
        <v>#REF!</v>
      </c>
      <c r="GP54" t="e">
        <f>AND(#REF!,"WgovQHJVSsU=")</f>
        <v>#REF!</v>
      </c>
      <c r="GQ54" t="e">
        <f>AND(#REF!,"WgovQHJVSsY=")</f>
        <v>#REF!</v>
      </c>
      <c r="GR54" t="e">
        <f>AND(#REF!,"WgovQHJVSsc=")</f>
        <v>#REF!</v>
      </c>
      <c r="GS54" t="e">
        <f>AND(#REF!,"WgovQHJVSsg=")</f>
        <v>#REF!</v>
      </c>
      <c r="GT54" t="e">
        <f>AND(#REF!,"WgovQHJVSsk=")</f>
        <v>#REF!</v>
      </c>
      <c r="GU54" t="e">
        <f>AND(#REF!,"WgovQHJVSso=")</f>
        <v>#REF!</v>
      </c>
      <c r="GV54" t="e">
        <f>AND(#REF!,"WgovQHJVSss=")</f>
        <v>#REF!</v>
      </c>
      <c r="GW54" t="e">
        <f>AND(#REF!,"WgovQHJVSsw=")</f>
        <v>#REF!</v>
      </c>
      <c r="GX54" t="e">
        <f>AND(#REF!,"WgovQHJVSs0=")</f>
        <v>#REF!</v>
      </c>
      <c r="GY54" t="e">
        <f>AND(#REF!,"WgovQHJVSs4=")</f>
        <v>#REF!</v>
      </c>
      <c r="GZ54" t="e">
        <f>AND(#REF!,"WgovQHJVSs8=")</f>
        <v>#REF!</v>
      </c>
      <c r="HA54" t="e">
        <f>AND(#REF!,"WgovQHJVStA=")</f>
        <v>#REF!</v>
      </c>
      <c r="HB54" t="e">
        <f>AND(#REF!,"WgovQHJVStE=")</f>
        <v>#REF!</v>
      </c>
      <c r="HC54" t="e">
        <f>AND(#REF!,"WgovQHJVStI=")</f>
        <v>#REF!</v>
      </c>
      <c r="HD54" t="e">
        <f>AND(#REF!,"WgovQHJVStM=")</f>
        <v>#REF!</v>
      </c>
      <c r="HE54" t="e">
        <f>AND(#REF!,"WgovQHJVStQ=")</f>
        <v>#REF!</v>
      </c>
      <c r="HF54" t="e">
        <f>AND(#REF!,"WgovQHJVStU=")</f>
        <v>#REF!</v>
      </c>
      <c r="HG54" t="e">
        <f>AND(#REF!,"WgovQHJVStY=")</f>
        <v>#REF!</v>
      </c>
      <c r="HH54" t="e">
        <f>AND(#REF!,"WgovQHJVStc=")</f>
        <v>#REF!</v>
      </c>
      <c r="HI54" t="e">
        <f>AND(#REF!,"WgovQHJVStg=")</f>
        <v>#REF!</v>
      </c>
      <c r="HJ54" t="e">
        <f>AND(#REF!,"WgovQHJVStk=")</f>
        <v>#REF!</v>
      </c>
      <c r="HK54" t="e">
        <f>AND(#REF!,"WgovQHJVSto=")</f>
        <v>#REF!</v>
      </c>
      <c r="HL54" t="e">
        <f>AND(#REF!,"WgovQHJVSts=")</f>
        <v>#REF!</v>
      </c>
      <c r="HM54" t="e">
        <f>AND(#REF!,"WgovQHJVStw=")</f>
        <v>#REF!</v>
      </c>
      <c r="HN54" t="e">
        <f>AND(#REF!,"WgovQHJVSt0=")</f>
        <v>#REF!</v>
      </c>
      <c r="HO54" t="e">
        <f>AND(#REF!,"WgovQHJVSt4=")</f>
        <v>#REF!</v>
      </c>
      <c r="HP54" t="e">
        <f>AND(#REF!,"WgovQHJVSt8=")</f>
        <v>#REF!</v>
      </c>
      <c r="HQ54" t="e">
        <f>AND(#REF!,"WgovQHJVSuA=")</f>
        <v>#REF!</v>
      </c>
      <c r="HR54" t="e">
        <f>AND(#REF!,"WgovQHJVSuE=")</f>
        <v>#REF!</v>
      </c>
      <c r="HS54" t="e">
        <f>AND(#REF!,"WgovQHJVSuI=")</f>
        <v>#REF!</v>
      </c>
      <c r="HT54" t="e">
        <f>AND(#REF!,"WgovQHJVSuM=")</f>
        <v>#REF!</v>
      </c>
      <c r="HU54" t="e">
        <f>AND(#REF!,"WgovQHJVSuQ=")</f>
        <v>#REF!</v>
      </c>
      <c r="HV54" t="e">
        <f>AND(#REF!,"WgovQHJVSuU=")</f>
        <v>#REF!</v>
      </c>
      <c r="HW54" t="e">
        <f>AND(#REF!,"WgovQHJVSuY=")</f>
        <v>#REF!</v>
      </c>
      <c r="HX54" t="e">
        <f>AND(#REF!,"WgovQHJVSuc=")</f>
        <v>#REF!</v>
      </c>
      <c r="HY54" t="e">
        <f>AND(#REF!,"WgovQHJVSug=")</f>
        <v>#REF!</v>
      </c>
      <c r="HZ54" t="e">
        <f>AND(#REF!,"WgovQHJVSuk=")</f>
        <v>#REF!</v>
      </c>
      <c r="IA54" t="e">
        <f>AND(#REF!,"WgovQHJVSuo=")</f>
        <v>#REF!</v>
      </c>
      <c r="IB54" t="e">
        <f>AND(#REF!,"WgovQHJVSus=")</f>
        <v>#REF!</v>
      </c>
      <c r="IC54" t="e">
        <f>AND(#REF!,"WgovQHJVSuw=")</f>
        <v>#REF!</v>
      </c>
      <c r="ID54" t="e">
        <f>AND(#REF!,"WgovQHJVSu0=")</f>
        <v>#REF!</v>
      </c>
      <c r="IE54" t="e">
        <f>AND(#REF!,"WgovQHJVSu4=")</f>
        <v>#REF!</v>
      </c>
      <c r="IF54" t="e">
        <f>AND(#REF!,"WgovQHJVSu8=")</f>
        <v>#REF!</v>
      </c>
      <c r="IG54" t="e">
        <f>AND(#REF!,"WgovQHJVSvA=")</f>
        <v>#REF!</v>
      </c>
      <c r="IH54" t="e">
        <f>AND(#REF!,"WgovQHJVSvE=")</f>
        <v>#REF!</v>
      </c>
      <c r="II54" t="e">
        <f>AND(#REF!,"WgovQHJVSvI=")</f>
        <v>#REF!</v>
      </c>
      <c r="IJ54" t="e">
        <f>AND(#REF!,"WgovQHJVSvM=")</f>
        <v>#REF!</v>
      </c>
      <c r="IK54" t="e">
        <f>AND(#REF!,"WgovQHJVSvQ=")</f>
        <v>#REF!</v>
      </c>
      <c r="IL54" t="e">
        <f>AND(#REF!,"WgovQHJVSvU=")</f>
        <v>#REF!</v>
      </c>
      <c r="IM54" t="e">
        <f>AND(#REF!,"WgovQHJVSvY=")</f>
        <v>#REF!</v>
      </c>
      <c r="IN54" t="e">
        <f>AND(#REF!,"WgovQHJVSvc=")</f>
        <v>#REF!</v>
      </c>
      <c r="IO54" t="e">
        <f>AND(#REF!,"WgovQHJVSvg=")</f>
        <v>#REF!</v>
      </c>
      <c r="IP54" t="e">
        <f>AND(#REF!,"WgovQHJVSvk=")</f>
        <v>#REF!</v>
      </c>
      <c r="IQ54" t="e">
        <f>AND(#REF!,"WgovQHJVSvo=")</f>
        <v>#REF!</v>
      </c>
      <c r="IR54" t="e">
        <f>AND(#REF!,"WgovQHJVSvs=")</f>
        <v>#REF!</v>
      </c>
      <c r="IS54" t="e">
        <f>AND(#REF!,"WgovQHJVSvw=")</f>
        <v>#REF!</v>
      </c>
      <c r="IT54" t="e">
        <f>AND(#REF!,"WgovQHJVSv0=")</f>
        <v>#REF!</v>
      </c>
      <c r="IU54" t="e">
        <f>AND(#REF!,"WgovQHJVSv4=")</f>
        <v>#REF!</v>
      </c>
      <c r="IV54" t="e">
        <f>AND(#REF!,"WgovQHJVSv8=")</f>
        <v>#REF!</v>
      </c>
    </row>
    <row r="55" spans="1:256" x14ac:dyDescent="0.2">
      <c r="A55" t="e">
        <f>AND(#REF!,"S5+LeE62SAA=")</f>
        <v>#REF!</v>
      </c>
      <c r="B55" t="e">
        <f>AND(#REF!,"S5+LeE62SAE=")</f>
        <v>#REF!</v>
      </c>
      <c r="C55" t="e">
        <f>AND(#REF!,"S5+LeE62SAI=")</f>
        <v>#REF!</v>
      </c>
      <c r="D55" t="e">
        <f>AND(#REF!,"S5+LeE62SAM=")</f>
        <v>#REF!</v>
      </c>
      <c r="E55" t="e">
        <f>AND(#REF!,"S5+LeE62SAQ=")</f>
        <v>#REF!</v>
      </c>
      <c r="F55" t="e">
        <f>AND(#REF!,"S5+LeE62SAU=")</f>
        <v>#REF!</v>
      </c>
      <c r="G55" t="e">
        <f>AND(#REF!,"S5+LeE62SAY=")</f>
        <v>#REF!</v>
      </c>
      <c r="H55" t="e">
        <f>AND(#REF!,"S5+LeE62SAc=")</f>
        <v>#REF!</v>
      </c>
      <c r="I55" t="e">
        <f>AND(#REF!,"S5+LeE62SAg=")</f>
        <v>#REF!</v>
      </c>
      <c r="J55" t="e">
        <f>AND(#REF!,"S5+LeE62SAk=")</f>
        <v>#REF!</v>
      </c>
      <c r="K55" t="e">
        <f>AND(#REF!,"S5+LeE62SAo=")</f>
        <v>#REF!</v>
      </c>
      <c r="L55" t="e">
        <f>AND(#REF!,"S5+LeE62SAs=")</f>
        <v>#REF!</v>
      </c>
      <c r="M55" t="e">
        <f>AND(#REF!,"S5+LeE62SAw=")</f>
        <v>#REF!</v>
      </c>
      <c r="N55" t="e">
        <f>AND(#REF!,"S5+LeE62SA0=")</f>
        <v>#REF!</v>
      </c>
      <c r="O55" t="e">
        <f>AND(#REF!,"S5+LeE62SA4=")</f>
        <v>#REF!</v>
      </c>
      <c r="P55" t="e">
        <f>AND(#REF!,"S5+LeE62SA8=")</f>
        <v>#REF!</v>
      </c>
      <c r="Q55" t="e">
        <f>AND(#REF!,"S5+LeE62SBA=")</f>
        <v>#REF!</v>
      </c>
      <c r="R55" t="e">
        <f>AND(#REF!,"S5+LeE62SBE=")</f>
        <v>#REF!</v>
      </c>
      <c r="S55" t="e">
        <f>AND(#REF!,"S5+LeE62SBI=")</f>
        <v>#REF!</v>
      </c>
      <c r="T55" t="e">
        <f>AND(#REF!,"S5+LeE62SBM=")</f>
        <v>#REF!</v>
      </c>
      <c r="U55" t="e">
        <f>AND(#REF!,"S5+LeE62SBQ=")</f>
        <v>#REF!</v>
      </c>
      <c r="V55" t="e">
        <f>AND(#REF!,"S5+LeE62SBU=")</f>
        <v>#REF!</v>
      </c>
      <c r="W55" t="e">
        <f>AND(#REF!,"S5+LeE62SBY=")</f>
        <v>#REF!</v>
      </c>
      <c r="X55" t="e">
        <f>AND(#REF!,"S5+LeE62SBc=")</f>
        <v>#REF!</v>
      </c>
      <c r="Y55" t="e">
        <f>AND(#REF!,"S5+LeE62SBg=")</f>
        <v>#REF!</v>
      </c>
      <c r="Z55" t="e">
        <f>AND(#REF!,"S5+LeE62SBk=")</f>
        <v>#REF!</v>
      </c>
      <c r="AA55" t="e">
        <f>AND(#REF!,"S5+LeE62SBo=")</f>
        <v>#REF!</v>
      </c>
      <c r="AB55" t="e">
        <f>AND(#REF!,"S5+LeE62SBs=")</f>
        <v>#REF!</v>
      </c>
      <c r="AC55" t="e">
        <f>AND(#REF!,"S5+LeE62SBw=")</f>
        <v>#REF!</v>
      </c>
      <c r="AD55" t="e">
        <f>AND(#REF!,"S5+LeE62SB0=")</f>
        <v>#REF!</v>
      </c>
      <c r="AE55" t="e">
        <f>AND(#REF!,"S5+LeE62SB4=")</f>
        <v>#REF!</v>
      </c>
      <c r="AF55" t="e">
        <f>AND(#REF!,"S5+LeE62SB8=")</f>
        <v>#REF!</v>
      </c>
      <c r="AG55" t="e">
        <f>AND(#REF!,"S5+LeE62SCA=")</f>
        <v>#REF!</v>
      </c>
      <c r="AH55" t="e">
        <f>AND(#REF!,"S5+LeE62SCE=")</f>
        <v>#REF!</v>
      </c>
      <c r="AI55" t="e">
        <f>AND(#REF!,"S5+LeE62SCI=")</f>
        <v>#REF!</v>
      </c>
      <c r="AJ55" t="e">
        <f>AND(#REF!,"S5+LeE62SCM=")</f>
        <v>#REF!</v>
      </c>
      <c r="AK55" t="e">
        <f>AND(#REF!,"S5+LeE62SCQ=")</f>
        <v>#REF!</v>
      </c>
      <c r="AL55" t="e">
        <f>AND(#REF!,"S5+LeE62SCU=")</f>
        <v>#REF!</v>
      </c>
      <c r="AM55" t="e">
        <f>AND(#REF!,"S5+LeE62SCY=")</f>
        <v>#REF!</v>
      </c>
      <c r="AN55" t="e">
        <f>AND(#REF!,"S5+LeE62SCc=")</f>
        <v>#REF!</v>
      </c>
      <c r="AO55" t="e">
        <f>AND(#REF!,"S5+LeE62SCg=")</f>
        <v>#REF!</v>
      </c>
      <c r="AP55" t="e">
        <f>AND(#REF!,"S5+LeE62SCk=")</f>
        <v>#REF!</v>
      </c>
      <c r="AQ55" t="e">
        <f>AND(#REF!,"S5+LeE62SCo=")</f>
        <v>#REF!</v>
      </c>
      <c r="AR55" t="e">
        <f>AND(#REF!,"S5+LeE62SCs=")</f>
        <v>#REF!</v>
      </c>
      <c r="AS55" t="e">
        <f>AND(#REF!,"S5+LeE62SCw=")</f>
        <v>#REF!</v>
      </c>
      <c r="AT55" t="e">
        <f>AND(#REF!,"S5+LeE62SC0=")</f>
        <v>#REF!</v>
      </c>
      <c r="AU55" t="e">
        <f>AND(#REF!,"S5+LeE62SC4=")</f>
        <v>#REF!</v>
      </c>
      <c r="AV55" t="e">
        <f>AND(#REF!,"S5+LeE62SC8=")</f>
        <v>#REF!</v>
      </c>
      <c r="AW55" t="e">
        <f>AND(#REF!,"S5+LeE62SDA=")</f>
        <v>#REF!</v>
      </c>
      <c r="AX55" t="e">
        <f>AND(#REF!,"S5+LeE62SDE=")</f>
        <v>#REF!</v>
      </c>
      <c r="AY55" t="e">
        <f>AND(#REF!,"S5+LeE62SDI=")</f>
        <v>#REF!</v>
      </c>
      <c r="AZ55" t="e">
        <f>AND(#REF!,"S5+LeE62SDM=")</f>
        <v>#REF!</v>
      </c>
      <c r="BA55" t="e">
        <f>IF(#REF!,"S5+LeE62SDQ=",0)</f>
        <v>#REF!</v>
      </c>
      <c r="BB55" t="e">
        <f>AND(#REF!,"S5+LeE62SDU=")</f>
        <v>#REF!</v>
      </c>
      <c r="BC55" t="e">
        <f>AND(#REF!,"S5+LeE62SDY=")</f>
        <v>#REF!</v>
      </c>
      <c r="BD55" t="e">
        <f>AND(#REF!,"S5+LeE62SDc=")</f>
        <v>#REF!</v>
      </c>
      <c r="BE55" t="e">
        <f>AND(#REF!,"S5+LeE62SDg=")</f>
        <v>#REF!</v>
      </c>
      <c r="BF55" t="e">
        <f>AND(#REF!,"S5+LeE62SDk=")</f>
        <v>#REF!</v>
      </c>
      <c r="BG55" t="e">
        <f>AND(#REF!,"S5+LeE62SDo=")</f>
        <v>#REF!</v>
      </c>
      <c r="BH55" t="e">
        <f>AND(#REF!,"S5+LeE62SDs=")</f>
        <v>#REF!</v>
      </c>
      <c r="BI55" t="e">
        <f>AND(#REF!,"S5+LeE62SDw=")</f>
        <v>#REF!</v>
      </c>
      <c r="BJ55" t="e">
        <f>AND(#REF!,"S5+LeE62SD0=")</f>
        <v>#REF!</v>
      </c>
      <c r="BK55" t="e">
        <f>AND(#REF!,"S5+LeE62SD4=")</f>
        <v>#REF!</v>
      </c>
      <c r="BL55" t="e">
        <f>AND(#REF!,"S5+LeE62SD8=")</f>
        <v>#REF!</v>
      </c>
      <c r="BM55" t="e">
        <f>AND(#REF!,"S5+LeE62SEA=")</f>
        <v>#REF!</v>
      </c>
      <c r="BN55" t="e">
        <f>AND(#REF!,"S5+LeE62SEE=")</f>
        <v>#REF!</v>
      </c>
      <c r="BO55" t="e">
        <f>AND(#REF!,"S5+LeE62SEI=")</f>
        <v>#REF!</v>
      </c>
      <c r="BP55" t="e">
        <f>AND(#REF!,"S5+LeE62SEM=")</f>
        <v>#REF!</v>
      </c>
      <c r="BQ55" t="e">
        <f>AND(#REF!,"S5+LeE62SEQ=")</f>
        <v>#REF!</v>
      </c>
      <c r="BR55" t="e">
        <f>AND(#REF!,"S5+LeE62SEU=")</f>
        <v>#REF!</v>
      </c>
      <c r="BS55" t="e">
        <f>AND(#REF!,"S5+LeE62SEY=")</f>
        <v>#REF!</v>
      </c>
      <c r="BT55" t="e">
        <f>AND(#REF!,"S5+LeE62SEc=")</f>
        <v>#REF!</v>
      </c>
      <c r="BU55" t="e">
        <f>AND(#REF!,"S5+LeE62SEg=")</f>
        <v>#REF!</v>
      </c>
      <c r="BV55" t="e">
        <f>AND(#REF!,"S5+LeE62SEk=")</f>
        <v>#REF!</v>
      </c>
      <c r="BW55" t="e">
        <f>AND(#REF!,"S5+LeE62SEo=")</f>
        <v>#REF!</v>
      </c>
      <c r="BX55" t="e">
        <f>AND(#REF!,"S5+LeE62SEs=")</f>
        <v>#REF!</v>
      </c>
      <c r="BY55" t="e">
        <f>AND(#REF!,"S5+LeE62SEw=")</f>
        <v>#REF!</v>
      </c>
      <c r="BZ55" t="e">
        <f>AND(#REF!,"S5+LeE62SE0=")</f>
        <v>#REF!</v>
      </c>
      <c r="CA55" t="e">
        <f>AND(#REF!,"S5+LeE62SE4=")</f>
        <v>#REF!</v>
      </c>
      <c r="CB55" t="e">
        <f>AND(#REF!,"S5+LeE62SE8=")</f>
        <v>#REF!</v>
      </c>
      <c r="CC55" t="e">
        <f>AND(#REF!,"S5+LeE62SFA=")</f>
        <v>#REF!</v>
      </c>
      <c r="CD55" t="e">
        <f>AND(#REF!,"S5+LeE62SFE=")</f>
        <v>#REF!</v>
      </c>
      <c r="CE55" t="e">
        <f>AND(#REF!,"S5+LeE62SFI=")</f>
        <v>#REF!</v>
      </c>
      <c r="CF55" t="e">
        <f>AND(#REF!,"S5+LeE62SFM=")</f>
        <v>#REF!</v>
      </c>
      <c r="CG55" t="e">
        <f>AND(#REF!,"S5+LeE62SFQ=")</f>
        <v>#REF!</v>
      </c>
      <c r="CH55" t="e">
        <f>AND(#REF!,"S5+LeE62SFU=")</f>
        <v>#REF!</v>
      </c>
      <c r="CI55" t="e">
        <f>AND(#REF!,"S5+LeE62SFY=")</f>
        <v>#REF!</v>
      </c>
      <c r="CJ55" t="e">
        <f>AND(#REF!,"S5+LeE62SFc=")</f>
        <v>#REF!</v>
      </c>
      <c r="CK55" t="e">
        <f>AND(#REF!,"S5+LeE62SFg=")</f>
        <v>#REF!</v>
      </c>
      <c r="CL55" t="e">
        <f>AND(#REF!,"S5+LeE62SFk=")</f>
        <v>#REF!</v>
      </c>
      <c r="CM55" t="e">
        <f>AND(#REF!,"S5+LeE62SFo=")</f>
        <v>#REF!</v>
      </c>
      <c r="CN55" t="e">
        <f>AND(#REF!,"S5+LeE62SFs=")</f>
        <v>#REF!</v>
      </c>
      <c r="CO55" t="e">
        <f>AND(#REF!,"S5+LeE62SFw=")</f>
        <v>#REF!</v>
      </c>
      <c r="CP55" t="e">
        <f>AND(#REF!,"S5+LeE62SF0=")</f>
        <v>#REF!</v>
      </c>
      <c r="CQ55" t="e">
        <f>AND(#REF!,"S5+LeE62SF4=")</f>
        <v>#REF!</v>
      </c>
      <c r="CR55" t="e">
        <f>AND(#REF!,"S5+LeE62SF8=")</f>
        <v>#REF!</v>
      </c>
      <c r="CS55" t="e">
        <f>AND(#REF!,"S5+LeE62SGA=")</f>
        <v>#REF!</v>
      </c>
      <c r="CT55" t="e">
        <f>AND(#REF!,"S5+LeE62SGE=")</f>
        <v>#REF!</v>
      </c>
      <c r="CU55" t="e">
        <f>AND(#REF!,"S5+LeE62SGI=")</f>
        <v>#REF!</v>
      </c>
      <c r="CV55" t="e">
        <f>AND(#REF!,"S5+LeE62SGM=")</f>
        <v>#REF!</v>
      </c>
      <c r="CW55" t="e">
        <f>AND(#REF!,"S5+LeE62SGQ=")</f>
        <v>#REF!</v>
      </c>
      <c r="CX55" t="e">
        <f>AND(#REF!,"S5+LeE62SGU=")</f>
        <v>#REF!</v>
      </c>
      <c r="CY55" t="e">
        <f>AND(#REF!,"S5+LeE62SGY=")</f>
        <v>#REF!</v>
      </c>
      <c r="CZ55" t="e">
        <f>AND(#REF!,"S5+LeE62SGc=")</f>
        <v>#REF!</v>
      </c>
      <c r="DA55" t="e">
        <f>AND(#REF!,"S5+LeE62SGg=")</f>
        <v>#REF!</v>
      </c>
      <c r="DB55" t="e">
        <f>AND(#REF!,"S5+LeE62SGk=")</f>
        <v>#REF!</v>
      </c>
      <c r="DC55" t="e">
        <f>AND(#REF!,"S5+LeE62SGo=")</f>
        <v>#REF!</v>
      </c>
      <c r="DD55" t="e">
        <f>AND(#REF!,"S5+LeE62SGs=")</f>
        <v>#REF!</v>
      </c>
      <c r="DE55" t="e">
        <f>AND(#REF!,"S5+LeE62SGw=")</f>
        <v>#REF!</v>
      </c>
      <c r="DF55" t="e">
        <f>AND(#REF!,"S5+LeE62SG0=")</f>
        <v>#REF!</v>
      </c>
      <c r="DG55" t="e">
        <f>AND(#REF!,"S5+LeE62SG4=")</f>
        <v>#REF!</v>
      </c>
      <c r="DH55" t="e">
        <f>AND(#REF!,"S5+LeE62SG8=")</f>
        <v>#REF!</v>
      </c>
      <c r="DI55" t="e">
        <f>AND(#REF!,"S5+LeE62SHA=")</f>
        <v>#REF!</v>
      </c>
      <c r="DJ55" t="e">
        <f>AND(#REF!,"S5+LeE62SHE=")</f>
        <v>#REF!</v>
      </c>
      <c r="DK55" t="e">
        <f>AND(#REF!,"S5+LeE62SHI=")</f>
        <v>#REF!</v>
      </c>
      <c r="DL55" t="e">
        <f>AND(#REF!,"S5+LeE62SHM=")</f>
        <v>#REF!</v>
      </c>
      <c r="DM55" t="e">
        <f>AND(#REF!,"S5+LeE62SHQ=")</f>
        <v>#REF!</v>
      </c>
      <c r="DN55" t="e">
        <f>AND(#REF!,"S5+LeE62SHU=")</f>
        <v>#REF!</v>
      </c>
      <c r="DO55" t="e">
        <f>AND(#REF!,"S5+LeE62SHY=")</f>
        <v>#REF!</v>
      </c>
      <c r="DP55" t="e">
        <f>AND(#REF!,"S5+LeE62SHc=")</f>
        <v>#REF!</v>
      </c>
      <c r="DQ55" t="e">
        <f>AND(#REF!,"S5+LeE62SHg=")</f>
        <v>#REF!</v>
      </c>
      <c r="DR55" t="e">
        <f>AND(#REF!,"S5+LeE62SHk=")</f>
        <v>#REF!</v>
      </c>
      <c r="DS55" t="e">
        <f>AND(#REF!,"S5+LeE62SHo=")</f>
        <v>#REF!</v>
      </c>
      <c r="DT55" t="e">
        <f>AND(#REF!,"S5+LeE62SHs=")</f>
        <v>#REF!</v>
      </c>
      <c r="DU55" t="e">
        <f>AND(#REF!,"S5+LeE62SHw=")</f>
        <v>#REF!</v>
      </c>
      <c r="DV55" t="e">
        <f>AND(#REF!,"S5+LeE62SH0=")</f>
        <v>#REF!</v>
      </c>
      <c r="DW55" t="e">
        <f>AND(#REF!,"S5+LeE62SH4=")</f>
        <v>#REF!</v>
      </c>
      <c r="DX55" t="e">
        <f>AND(#REF!,"S5+LeE62SH8=")</f>
        <v>#REF!</v>
      </c>
      <c r="DY55" t="e">
        <f>AND(#REF!,"S5+LeE62SIA=")</f>
        <v>#REF!</v>
      </c>
      <c r="DZ55" t="e">
        <f>AND(#REF!,"S5+LeE62SIE=")</f>
        <v>#REF!</v>
      </c>
      <c r="EA55" t="e">
        <f>AND(#REF!,"S5+LeE62SII=")</f>
        <v>#REF!</v>
      </c>
      <c r="EB55" t="e">
        <f>AND(#REF!,"S5+LeE62SIM=")</f>
        <v>#REF!</v>
      </c>
      <c r="EC55" t="e">
        <f>AND(#REF!,"S5+LeE62SIQ=")</f>
        <v>#REF!</v>
      </c>
      <c r="ED55" t="e">
        <f>AND(#REF!,"S5+LeE62SIU=")</f>
        <v>#REF!</v>
      </c>
      <c r="EE55" t="e">
        <f>AND(#REF!,"S5+LeE62SIY=")</f>
        <v>#REF!</v>
      </c>
      <c r="EF55" t="e">
        <f>AND(#REF!,"S5+LeE62SIc=")</f>
        <v>#REF!</v>
      </c>
      <c r="EG55" t="e">
        <f>AND(#REF!,"S5+LeE62SIg=")</f>
        <v>#REF!</v>
      </c>
      <c r="EH55" t="e">
        <f>AND(#REF!,"S5+LeE62SIk=")</f>
        <v>#REF!</v>
      </c>
      <c r="EI55" t="e">
        <f>AND(#REF!,"S5+LeE62SIo=")</f>
        <v>#REF!</v>
      </c>
      <c r="EJ55" t="e">
        <f>AND(#REF!,"S5+LeE62SIs=")</f>
        <v>#REF!</v>
      </c>
      <c r="EK55" t="e">
        <f>AND(#REF!,"S5+LeE62SIw=")</f>
        <v>#REF!</v>
      </c>
      <c r="EL55" t="e">
        <f>AND(#REF!,"S5+LeE62SI0=")</f>
        <v>#REF!</v>
      </c>
      <c r="EM55" t="e">
        <f>AND(#REF!,"S5+LeE62SI4=")</f>
        <v>#REF!</v>
      </c>
      <c r="EN55" t="e">
        <f>AND(#REF!,"S5+LeE62SI8=")</f>
        <v>#REF!</v>
      </c>
      <c r="EO55" t="e">
        <f>AND(#REF!,"S5+LeE62SJA=")</f>
        <v>#REF!</v>
      </c>
      <c r="EP55" t="e">
        <f>AND(#REF!,"S5+LeE62SJE=")</f>
        <v>#REF!</v>
      </c>
      <c r="EQ55" t="e">
        <f>AND(#REF!,"S5+LeE62SJI=")</f>
        <v>#REF!</v>
      </c>
      <c r="ER55" t="e">
        <f>AND(#REF!,"S5+LeE62SJM=")</f>
        <v>#REF!</v>
      </c>
      <c r="ES55" t="e">
        <f>AND(#REF!,"S5+LeE62SJQ=")</f>
        <v>#REF!</v>
      </c>
      <c r="ET55" t="e">
        <f>AND(#REF!,"S5+LeE62SJU=")</f>
        <v>#REF!</v>
      </c>
      <c r="EU55" t="e">
        <f>AND(#REF!,"S5+LeE62SJY=")</f>
        <v>#REF!</v>
      </c>
      <c r="EV55" t="e">
        <f>AND(#REF!,"S5+LeE62SJc=")</f>
        <v>#REF!</v>
      </c>
      <c r="EW55" t="e">
        <f>AND(#REF!,"S5+LeE62SJg=")</f>
        <v>#REF!</v>
      </c>
      <c r="EX55" t="e">
        <f>AND(#REF!,"S5+LeE62SJk=")</f>
        <v>#REF!</v>
      </c>
      <c r="EY55" t="e">
        <f>AND(#REF!,"S5+LeE62SJo=")</f>
        <v>#REF!</v>
      </c>
      <c r="EZ55" t="e">
        <f>AND(#REF!,"S5+LeE62SJs=")</f>
        <v>#REF!</v>
      </c>
      <c r="FA55" t="e">
        <f>AND(#REF!,"S5+LeE62SJw=")</f>
        <v>#REF!</v>
      </c>
      <c r="FB55" t="e">
        <f>AND(#REF!,"S5+LeE62SJ0=")</f>
        <v>#REF!</v>
      </c>
      <c r="FC55" t="e">
        <f>AND(#REF!,"S5+LeE62SJ4=")</f>
        <v>#REF!</v>
      </c>
      <c r="FD55" t="e">
        <f>AND(#REF!,"S5+LeE62SJ8=")</f>
        <v>#REF!</v>
      </c>
      <c r="FE55" t="e">
        <f>AND(#REF!,"S5+LeE62SKA=")</f>
        <v>#REF!</v>
      </c>
      <c r="FF55" t="e">
        <f>AND(#REF!,"S5+LeE62SKE=")</f>
        <v>#REF!</v>
      </c>
      <c r="FG55" t="e">
        <f>AND(#REF!,"S5+LeE62SKI=")</f>
        <v>#REF!</v>
      </c>
      <c r="FH55" t="e">
        <f>AND(#REF!,"S5+LeE62SKM=")</f>
        <v>#REF!</v>
      </c>
      <c r="FI55" t="e">
        <f>AND(#REF!,"S5+LeE62SKQ=")</f>
        <v>#REF!</v>
      </c>
      <c r="FJ55" t="e">
        <f>AND(#REF!,"S5+LeE62SKU=")</f>
        <v>#REF!</v>
      </c>
      <c r="FK55" t="e">
        <f>AND(#REF!,"S5+LeE62SKY=")</f>
        <v>#REF!</v>
      </c>
      <c r="FL55" t="e">
        <f>AND(#REF!,"S5+LeE62SKc=")</f>
        <v>#REF!</v>
      </c>
      <c r="FM55" t="e">
        <f>AND(#REF!,"S5+LeE62SKg=")</f>
        <v>#REF!</v>
      </c>
      <c r="FN55" t="e">
        <f>AND(#REF!,"S5+LeE62SKk=")</f>
        <v>#REF!</v>
      </c>
      <c r="FO55" t="e">
        <f>AND(#REF!,"S5+LeE62SKo=")</f>
        <v>#REF!</v>
      </c>
      <c r="FP55" t="e">
        <f>AND(#REF!,"S5+LeE62SKs=")</f>
        <v>#REF!</v>
      </c>
      <c r="FQ55" t="e">
        <f>AND(#REF!,"S5+LeE62SKw=")</f>
        <v>#REF!</v>
      </c>
      <c r="FR55" t="e">
        <f>AND(#REF!,"S5+LeE62SK0=")</f>
        <v>#REF!</v>
      </c>
      <c r="FS55" t="e">
        <f>AND(#REF!,"S5+LeE62SK4=")</f>
        <v>#REF!</v>
      </c>
      <c r="FT55" t="e">
        <f>AND(#REF!,"S5+LeE62SK8=")</f>
        <v>#REF!</v>
      </c>
      <c r="FU55" t="e">
        <f>AND(#REF!,"S5+LeE62SLA=")</f>
        <v>#REF!</v>
      </c>
      <c r="FV55" t="e">
        <f>AND(#REF!,"S5+LeE62SLE=")</f>
        <v>#REF!</v>
      </c>
      <c r="FW55" t="e">
        <f>AND(#REF!,"S5+LeE62SLI=")</f>
        <v>#REF!</v>
      </c>
      <c r="FX55" t="e">
        <f>AND(#REF!,"S5+LeE62SLM=")</f>
        <v>#REF!</v>
      </c>
      <c r="FY55" t="e">
        <f>AND(#REF!,"S5+LeE62SLQ=")</f>
        <v>#REF!</v>
      </c>
      <c r="FZ55" t="e">
        <f>AND(#REF!,"S5+LeE62SLU=")</f>
        <v>#REF!</v>
      </c>
      <c r="GA55" t="e">
        <f>AND(#REF!,"S5+LeE62SLY=")</f>
        <v>#REF!</v>
      </c>
      <c r="GB55" t="e">
        <f>AND(#REF!,"S5+LeE62SLc=")</f>
        <v>#REF!</v>
      </c>
      <c r="GC55" t="e">
        <f>AND(#REF!,"S5+LeE62SLg=")</f>
        <v>#REF!</v>
      </c>
      <c r="GD55" t="e">
        <f>AND(#REF!,"S5+LeE62SLk=")</f>
        <v>#REF!</v>
      </c>
      <c r="GE55" t="e">
        <f>AND(#REF!,"S5+LeE62SLo=")</f>
        <v>#REF!</v>
      </c>
      <c r="GF55" t="e">
        <f>AND(#REF!,"S5+LeE62SLs=")</f>
        <v>#REF!</v>
      </c>
      <c r="GG55" t="e">
        <f>AND(#REF!,"S5+LeE62SLw=")</f>
        <v>#REF!</v>
      </c>
      <c r="GH55" t="e">
        <f>AND(#REF!,"S5+LeE62SL0=")</f>
        <v>#REF!</v>
      </c>
      <c r="GI55" t="e">
        <f>AND(#REF!,"S5+LeE62SL4=")</f>
        <v>#REF!</v>
      </c>
      <c r="GJ55" t="e">
        <f>AND(#REF!,"S5+LeE62SL8=")</f>
        <v>#REF!</v>
      </c>
      <c r="GK55" t="e">
        <f>AND(#REF!,"S5+LeE62SMA=")</f>
        <v>#REF!</v>
      </c>
      <c r="GL55" t="e">
        <f>AND(#REF!,"S5+LeE62SME=")</f>
        <v>#REF!</v>
      </c>
      <c r="GM55" t="e">
        <f>AND(#REF!,"S5+LeE62SMI=")</f>
        <v>#REF!</v>
      </c>
      <c r="GN55" t="e">
        <f>AND(#REF!,"S5+LeE62SMM=")</f>
        <v>#REF!</v>
      </c>
      <c r="GO55" t="e">
        <f>AND(#REF!,"S5+LeE62SMQ=")</f>
        <v>#REF!</v>
      </c>
      <c r="GP55" t="e">
        <f>AND(#REF!,"S5+LeE62SMU=")</f>
        <v>#REF!</v>
      </c>
      <c r="GQ55" t="e">
        <f>AND(#REF!,"S5+LeE62SMY=")</f>
        <v>#REF!</v>
      </c>
      <c r="GR55" t="e">
        <f>AND(#REF!,"S5+LeE62SMc=")</f>
        <v>#REF!</v>
      </c>
      <c r="GS55" t="e">
        <f>AND(#REF!,"S5+LeE62SMg=")</f>
        <v>#REF!</v>
      </c>
      <c r="GT55" t="e">
        <f>AND(#REF!,"S5+LeE62SMk=")</f>
        <v>#REF!</v>
      </c>
      <c r="GU55" t="e">
        <f>AND(#REF!,"S5+LeE62SMo=")</f>
        <v>#REF!</v>
      </c>
      <c r="GV55" t="e">
        <f>AND(#REF!,"S5+LeE62SMs=")</f>
        <v>#REF!</v>
      </c>
      <c r="GW55" t="e">
        <f>AND(#REF!,"S5+LeE62SMw=")</f>
        <v>#REF!</v>
      </c>
      <c r="GX55" t="e">
        <f>AND(#REF!,"S5+LeE62SM0=")</f>
        <v>#REF!</v>
      </c>
      <c r="GY55" t="e">
        <f>AND(#REF!,"S5+LeE62SM4=")</f>
        <v>#REF!</v>
      </c>
      <c r="GZ55" t="e">
        <f>AND(#REF!,"S5+LeE62SM8=")</f>
        <v>#REF!</v>
      </c>
      <c r="HA55" t="e">
        <f>AND(#REF!,"S5+LeE62SNA=")</f>
        <v>#REF!</v>
      </c>
      <c r="HB55" t="e">
        <f>AND(#REF!,"S5+LeE62SNE=")</f>
        <v>#REF!</v>
      </c>
      <c r="HC55" t="e">
        <f>AND(#REF!,"S5+LeE62SNI=")</f>
        <v>#REF!</v>
      </c>
      <c r="HD55" t="e">
        <f>AND(#REF!,"S5+LeE62SNM=")</f>
        <v>#REF!</v>
      </c>
      <c r="HE55" t="e">
        <f>AND(#REF!,"S5+LeE62SNQ=")</f>
        <v>#REF!</v>
      </c>
      <c r="HF55" t="e">
        <f>AND(#REF!,"S5+LeE62SNU=")</f>
        <v>#REF!</v>
      </c>
      <c r="HG55" t="e">
        <f>AND(#REF!,"S5+LeE62SNY=")</f>
        <v>#REF!</v>
      </c>
      <c r="HH55" t="e">
        <f>AND(#REF!,"S5+LeE62SNc=")</f>
        <v>#REF!</v>
      </c>
      <c r="HI55" t="e">
        <f>AND(#REF!,"S5+LeE62SNg=")</f>
        <v>#REF!</v>
      </c>
      <c r="HJ55" t="e">
        <f>AND(#REF!,"S5+LeE62SNk=")</f>
        <v>#REF!</v>
      </c>
      <c r="HK55" t="e">
        <f>AND(#REF!,"S5+LeE62SNo=")</f>
        <v>#REF!</v>
      </c>
      <c r="HL55" t="e">
        <f>AND(#REF!,"S5+LeE62SNs=")</f>
        <v>#REF!</v>
      </c>
      <c r="HM55" t="e">
        <f>AND(#REF!,"S5+LeE62SNw=")</f>
        <v>#REF!</v>
      </c>
      <c r="HN55" t="e">
        <f>AND(#REF!,"S5+LeE62SN0=")</f>
        <v>#REF!</v>
      </c>
      <c r="HO55" t="e">
        <f>AND(#REF!,"S5+LeE62SN4=")</f>
        <v>#REF!</v>
      </c>
      <c r="HP55" t="e">
        <f>AND(#REF!,"S5+LeE62SN8=")</f>
        <v>#REF!</v>
      </c>
      <c r="HQ55" t="e">
        <f>AND(#REF!,"S5+LeE62SOA=")</f>
        <v>#REF!</v>
      </c>
      <c r="HR55" t="e">
        <f>AND(#REF!,"S5+LeE62SOE=")</f>
        <v>#REF!</v>
      </c>
      <c r="HS55" t="e">
        <f>AND(#REF!,"S5+LeE62SOI=")</f>
        <v>#REF!</v>
      </c>
      <c r="HT55" t="e">
        <f>AND(#REF!,"S5+LeE62SOM=")</f>
        <v>#REF!</v>
      </c>
      <c r="HU55" t="e">
        <f>AND(#REF!,"S5+LeE62SOQ=")</f>
        <v>#REF!</v>
      </c>
      <c r="HV55" t="e">
        <f>AND(#REF!,"S5+LeE62SOU=")</f>
        <v>#REF!</v>
      </c>
      <c r="HW55" t="e">
        <f>AND(#REF!,"S5+LeE62SOY=")</f>
        <v>#REF!</v>
      </c>
      <c r="HX55" t="e">
        <f>AND(#REF!,"S5+LeE62SOc=")</f>
        <v>#REF!</v>
      </c>
      <c r="HY55" t="e">
        <f>AND(#REF!,"S5+LeE62SOg=")</f>
        <v>#REF!</v>
      </c>
      <c r="HZ55" t="e">
        <f>AND(#REF!,"S5+LeE62SOk=")</f>
        <v>#REF!</v>
      </c>
      <c r="IA55" t="e">
        <f>AND(#REF!,"S5+LeE62SOo=")</f>
        <v>#REF!</v>
      </c>
      <c r="IB55" t="e">
        <f>AND(#REF!,"S5+LeE62SOs=")</f>
        <v>#REF!</v>
      </c>
      <c r="IC55" t="e">
        <f>AND(#REF!,"S5+LeE62SOw=")</f>
        <v>#REF!</v>
      </c>
      <c r="ID55" t="e">
        <f>AND(#REF!,"S5+LeE62SO0=")</f>
        <v>#REF!</v>
      </c>
      <c r="IE55" t="e">
        <f>AND(#REF!,"S5+LeE62SO4=")</f>
        <v>#REF!</v>
      </c>
      <c r="IF55" t="e">
        <f>AND(#REF!,"S5+LeE62SO8=")</f>
        <v>#REF!</v>
      </c>
      <c r="IG55" t="e">
        <f>AND(#REF!,"S5+LeE62SPA=")</f>
        <v>#REF!</v>
      </c>
      <c r="IH55" t="e">
        <f>AND(#REF!,"S5+LeE62SPE=")</f>
        <v>#REF!</v>
      </c>
      <c r="II55" t="e">
        <f>AND(#REF!,"S5+LeE62SPI=")</f>
        <v>#REF!</v>
      </c>
      <c r="IJ55" t="e">
        <f>AND(#REF!,"S5+LeE62SPM=")</f>
        <v>#REF!</v>
      </c>
      <c r="IK55" t="e">
        <f>AND(#REF!,"S5+LeE62SPQ=")</f>
        <v>#REF!</v>
      </c>
      <c r="IL55" t="e">
        <f>AND(#REF!,"S5+LeE62SPU=")</f>
        <v>#REF!</v>
      </c>
      <c r="IM55" t="e">
        <f>AND(#REF!,"S5+LeE62SPY=")</f>
        <v>#REF!</v>
      </c>
      <c r="IN55" t="e">
        <f>AND(#REF!,"S5+LeE62SPc=")</f>
        <v>#REF!</v>
      </c>
      <c r="IO55" t="e">
        <f>AND(#REF!,"S5+LeE62SPg=")</f>
        <v>#REF!</v>
      </c>
      <c r="IP55" t="e">
        <f>AND(#REF!,"S5+LeE62SPk=")</f>
        <v>#REF!</v>
      </c>
      <c r="IQ55" t="e">
        <f>AND(#REF!,"S5+LeE62SPo=")</f>
        <v>#REF!</v>
      </c>
      <c r="IR55" t="e">
        <f>IF(#REF!,"S5+LeE62SPs=",0)</f>
        <v>#REF!</v>
      </c>
      <c r="IS55" t="e">
        <f>AND(#REF!,"S5+LeE62SPw=")</f>
        <v>#REF!</v>
      </c>
      <c r="IT55" t="e">
        <f>AND(#REF!,"S5+LeE62SP0=")</f>
        <v>#REF!</v>
      </c>
      <c r="IU55" t="e">
        <f>AND(#REF!,"S5+LeE62SP4=")</f>
        <v>#REF!</v>
      </c>
      <c r="IV55" t="e">
        <f>AND(#REF!,"S5+LeE62SP8=")</f>
        <v>#REF!</v>
      </c>
    </row>
    <row r="56" spans="1:256" x14ac:dyDescent="0.2">
      <c r="A56" t="e">
        <f>AND(#REF!,"YC30NmJx8QA=")</f>
        <v>#REF!</v>
      </c>
      <c r="B56" t="e">
        <f>AND(#REF!,"YC30NmJx8QE=")</f>
        <v>#REF!</v>
      </c>
      <c r="C56" t="e">
        <f>AND(#REF!,"YC30NmJx8QI=")</f>
        <v>#REF!</v>
      </c>
      <c r="D56" t="e">
        <f>AND(#REF!,"YC30NmJx8QM=")</f>
        <v>#REF!</v>
      </c>
      <c r="E56" t="e">
        <f>AND(#REF!,"YC30NmJx8QQ=")</f>
        <v>#REF!</v>
      </c>
      <c r="F56" t="e">
        <f>AND(#REF!,"YC30NmJx8QU=")</f>
        <v>#REF!</v>
      </c>
      <c r="G56" t="e">
        <f>AND(#REF!,"YC30NmJx8QY=")</f>
        <v>#REF!</v>
      </c>
      <c r="H56" t="e">
        <f>AND(#REF!,"YC30NmJx8Qc=")</f>
        <v>#REF!</v>
      </c>
      <c r="I56" t="e">
        <f>AND(#REF!,"YC30NmJx8Qg=")</f>
        <v>#REF!</v>
      </c>
      <c r="J56" t="e">
        <f>AND(#REF!,"YC30NmJx8Qk=")</f>
        <v>#REF!</v>
      </c>
      <c r="K56" t="e">
        <f>AND(#REF!,"YC30NmJx8Qo=")</f>
        <v>#REF!</v>
      </c>
      <c r="L56" t="e">
        <f>AND(#REF!,"YC30NmJx8Qs=")</f>
        <v>#REF!</v>
      </c>
      <c r="M56" t="e">
        <f>AND(#REF!,"YC30NmJx8Qw=")</f>
        <v>#REF!</v>
      </c>
      <c r="N56" t="e">
        <f>AND(#REF!,"YC30NmJx8Q0=")</f>
        <v>#REF!</v>
      </c>
      <c r="O56" t="e">
        <f>AND(#REF!,"YC30NmJx8Q4=")</f>
        <v>#REF!</v>
      </c>
      <c r="P56" t="e">
        <f>AND(#REF!,"YC30NmJx8Q8=")</f>
        <v>#REF!</v>
      </c>
      <c r="Q56" t="e">
        <f>AND(#REF!,"YC30NmJx8RA=")</f>
        <v>#REF!</v>
      </c>
      <c r="R56" t="e">
        <f>AND(#REF!,"YC30NmJx8RE=")</f>
        <v>#REF!</v>
      </c>
      <c r="S56" t="e">
        <f>AND(#REF!,"YC30NmJx8RI=")</f>
        <v>#REF!</v>
      </c>
      <c r="T56" t="e">
        <f>AND(#REF!,"YC30NmJx8RM=")</f>
        <v>#REF!</v>
      </c>
      <c r="U56" t="e">
        <f>AND(#REF!,"YC30NmJx8RQ=")</f>
        <v>#REF!</v>
      </c>
      <c r="V56" t="e">
        <f>AND(#REF!,"YC30NmJx8RU=")</f>
        <v>#REF!</v>
      </c>
      <c r="W56" t="e">
        <f>AND(#REF!,"YC30NmJx8RY=")</f>
        <v>#REF!</v>
      </c>
      <c r="X56" t="e">
        <f>AND(#REF!,"YC30NmJx8Rc=")</f>
        <v>#REF!</v>
      </c>
      <c r="Y56" t="e">
        <f>AND(#REF!,"YC30NmJx8Rg=")</f>
        <v>#REF!</v>
      </c>
      <c r="Z56" t="e">
        <f>AND(#REF!,"YC30NmJx8Rk=")</f>
        <v>#REF!</v>
      </c>
      <c r="AA56" t="e">
        <f>AND(#REF!,"YC30NmJx8Ro=")</f>
        <v>#REF!</v>
      </c>
      <c r="AB56" t="e">
        <f>AND(#REF!,"YC30NmJx8Rs=")</f>
        <v>#REF!</v>
      </c>
      <c r="AC56" t="e">
        <f>AND(#REF!,"YC30NmJx8Rw=")</f>
        <v>#REF!</v>
      </c>
      <c r="AD56" t="e">
        <f>AND(#REF!,"YC30NmJx8R0=")</f>
        <v>#REF!</v>
      </c>
      <c r="AE56" t="e">
        <f>AND(#REF!,"YC30NmJx8R4=")</f>
        <v>#REF!</v>
      </c>
      <c r="AF56" t="e">
        <f>AND(#REF!,"YC30NmJx8R8=")</f>
        <v>#REF!</v>
      </c>
      <c r="AG56" t="e">
        <f>AND(#REF!,"YC30NmJx8SA=")</f>
        <v>#REF!</v>
      </c>
      <c r="AH56" t="e">
        <f>AND(#REF!,"YC30NmJx8SE=")</f>
        <v>#REF!</v>
      </c>
      <c r="AI56" t="e">
        <f>AND(#REF!,"YC30NmJx8SI=")</f>
        <v>#REF!</v>
      </c>
      <c r="AJ56" t="e">
        <f>AND(#REF!,"YC30NmJx8SM=")</f>
        <v>#REF!</v>
      </c>
      <c r="AK56" t="e">
        <f>AND(#REF!,"YC30NmJx8SQ=")</f>
        <v>#REF!</v>
      </c>
      <c r="AL56" t="e">
        <f>AND(#REF!,"YC30NmJx8SU=")</f>
        <v>#REF!</v>
      </c>
      <c r="AM56" t="e">
        <f>AND(#REF!,"YC30NmJx8SY=")</f>
        <v>#REF!</v>
      </c>
      <c r="AN56" t="e">
        <f>AND(#REF!,"YC30NmJx8Sc=")</f>
        <v>#REF!</v>
      </c>
      <c r="AO56" t="e">
        <f>AND(#REF!,"YC30NmJx8Sg=")</f>
        <v>#REF!</v>
      </c>
      <c r="AP56" t="e">
        <f>AND(#REF!,"YC30NmJx8Sk=")</f>
        <v>#REF!</v>
      </c>
      <c r="AQ56" t="e">
        <f>AND(#REF!,"YC30NmJx8So=")</f>
        <v>#REF!</v>
      </c>
      <c r="AR56" t="e">
        <f>AND(#REF!,"YC30NmJx8Ss=")</f>
        <v>#REF!</v>
      </c>
      <c r="AS56" t="e">
        <f>AND(#REF!,"YC30NmJx8Sw=")</f>
        <v>#REF!</v>
      </c>
      <c r="AT56" t="e">
        <f>AND(#REF!,"YC30NmJx8S0=")</f>
        <v>#REF!</v>
      </c>
      <c r="AU56" t="e">
        <f>AND(#REF!,"YC30NmJx8S4=")</f>
        <v>#REF!</v>
      </c>
      <c r="AV56" t="e">
        <f>AND(#REF!,"YC30NmJx8S8=")</f>
        <v>#REF!</v>
      </c>
      <c r="AW56" t="e">
        <f>AND(#REF!,"YC30NmJx8TA=")</f>
        <v>#REF!</v>
      </c>
      <c r="AX56" t="e">
        <f>AND(#REF!,"YC30NmJx8TE=")</f>
        <v>#REF!</v>
      </c>
      <c r="AY56" t="e">
        <f>AND(#REF!,"YC30NmJx8TI=")</f>
        <v>#REF!</v>
      </c>
      <c r="AZ56" t="e">
        <f>AND(#REF!,"YC30NmJx8TM=")</f>
        <v>#REF!</v>
      </c>
      <c r="BA56" t="e">
        <f>AND(#REF!,"YC30NmJx8TQ=")</f>
        <v>#REF!</v>
      </c>
      <c r="BB56" t="e">
        <f>AND(#REF!,"YC30NmJx8TU=")</f>
        <v>#REF!</v>
      </c>
      <c r="BC56" t="e">
        <f>AND(#REF!,"YC30NmJx8TY=")</f>
        <v>#REF!</v>
      </c>
      <c r="BD56" t="e">
        <f>AND(#REF!,"YC30NmJx8Tc=")</f>
        <v>#REF!</v>
      </c>
      <c r="BE56" t="e">
        <f>AND(#REF!,"YC30NmJx8Tg=")</f>
        <v>#REF!</v>
      </c>
      <c r="BF56" t="e">
        <f>AND(#REF!,"YC30NmJx8Tk=")</f>
        <v>#REF!</v>
      </c>
      <c r="BG56" t="e">
        <f>AND(#REF!,"YC30NmJx8To=")</f>
        <v>#REF!</v>
      </c>
      <c r="BH56" t="e">
        <f>AND(#REF!,"YC30NmJx8Ts=")</f>
        <v>#REF!</v>
      </c>
      <c r="BI56" t="e">
        <f>AND(#REF!,"YC30NmJx8Tw=")</f>
        <v>#REF!</v>
      </c>
      <c r="BJ56" t="e">
        <f>AND(#REF!,"YC30NmJx8T0=")</f>
        <v>#REF!</v>
      </c>
      <c r="BK56" t="e">
        <f>AND(#REF!,"YC30NmJx8T4=")</f>
        <v>#REF!</v>
      </c>
      <c r="BL56" t="e">
        <f>AND(#REF!,"YC30NmJx8T8=")</f>
        <v>#REF!</v>
      </c>
      <c r="BM56" t="e">
        <f>AND(#REF!,"YC30NmJx8UA=")</f>
        <v>#REF!</v>
      </c>
      <c r="BN56" t="e">
        <f>AND(#REF!,"YC30NmJx8UE=")</f>
        <v>#REF!</v>
      </c>
      <c r="BO56" t="e">
        <f>AND(#REF!,"YC30NmJx8UI=")</f>
        <v>#REF!</v>
      </c>
      <c r="BP56" t="e">
        <f>AND(#REF!,"YC30NmJx8UM=")</f>
        <v>#REF!</v>
      </c>
      <c r="BQ56" t="e">
        <f>AND(#REF!,"YC30NmJx8UQ=")</f>
        <v>#REF!</v>
      </c>
      <c r="BR56" t="e">
        <f>AND(#REF!,"YC30NmJx8UU=")</f>
        <v>#REF!</v>
      </c>
      <c r="BS56" t="e">
        <f>AND(#REF!,"YC30NmJx8UY=")</f>
        <v>#REF!</v>
      </c>
      <c r="BT56" t="e">
        <f>AND(#REF!,"YC30NmJx8Uc=")</f>
        <v>#REF!</v>
      </c>
      <c r="BU56" t="e">
        <f>AND(#REF!,"YC30NmJx8Ug=")</f>
        <v>#REF!</v>
      </c>
      <c r="BV56" t="e">
        <f>AND(#REF!,"YC30NmJx8Uk=")</f>
        <v>#REF!</v>
      </c>
      <c r="BW56" t="e">
        <f>AND(#REF!,"YC30NmJx8Uo=")</f>
        <v>#REF!</v>
      </c>
      <c r="BX56" t="e">
        <f>AND(#REF!,"YC30NmJx8Us=")</f>
        <v>#REF!</v>
      </c>
      <c r="BY56" t="e">
        <f>AND(#REF!,"YC30NmJx8Uw=")</f>
        <v>#REF!</v>
      </c>
      <c r="BZ56" t="e">
        <f>AND(#REF!,"YC30NmJx8U0=")</f>
        <v>#REF!</v>
      </c>
      <c r="CA56" t="e">
        <f>AND(#REF!,"YC30NmJx8U4=")</f>
        <v>#REF!</v>
      </c>
      <c r="CB56" t="e">
        <f>AND(#REF!,"YC30NmJx8U8=")</f>
        <v>#REF!</v>
      </c>
      <c r="CC56" t="e">
        <f>AND(#REF!,"YC30NmJx8VA=")</f>
        <v>#REF!</v>
      </c>
      <c r="CD56" t="e">
        <f>AND(#REF!,"YC30NmJx8VE=")</f>
        <v>#REF!</v>
      </c>
      <c r="CE56" t="e">
        <f>AND(#REF!,"YC30NmJx8VI=")</f>
        <v>#REF!</v>
      </c>
      <c r="CF56" t="e">
        <f>AND(#REF!,"YC30NmJx8VM=")</f>
        <v>#REF!</v>
      </c>
      <c r="CG56" t="e">
        <f>AND(#REF!,"YC30NmJx8VQ=")</f>
        <v>#REF!</v>
      </c>
      <c r="CH56" t="e">
        <f>AND(#REF!,"YC30NmJx8VU=")</f>
        <v>#REF!</v>
      </c>
      <c r="CI56" t="e">
        <f>AND(#REF!,"YC30NmJx8VY=")</f>
        <v>#REF!</v>
      </c>
      <c r="CJ56" t="e">
        <f>AND(#REF!,"YC30NmJx8Vc=")</f>
        <v>#REF!</v>
      </c>
      <c r="CK56" t="e">
        <f>AND(#REF!,"YC30NmJx8Vg=")</f>
        <v>#REF!</v>
      </c>
      <c r="CL56" t="e">
        <f>AND(#REF!,"YC30NmJx8Vk=")</f>
        <v>#REF!</v>
      </c>
      <c r="CM56" t="e">
        <f>AND(#REF!,"YC30NmJx8Vo=")</f>
        <v>#REF!</v>
      </c>
      <c r="CN56" t="e">
        <f>AND(#REF!,"YC30NmJx8Vs=")</f>
        <v>#REF!</v>
      </c>
      <c r="CO56" t="e">
        <f>AND(#REF!,"YC30NmJx8Vw=")</f>
        <v>#REF!</v>
      </c>
      <c r="CP56" t="e">
        <f>AND(#REF!,"YC30NmJx8V0=")</f>
        <v>#REF!</v>
      </c>
      <c r="CQ56" t="e">
        <f>AND(#REF!,"YC30NmJx8V4=")</f>
        <v>#REF!</v>
      </c>
      <c r="CR56" t="e">
        <f>AND(#REF!,"YC30NmJx8V8=")</f>
        <v>#REF!</v>
      </c>
      <c r="CS56" t="e">
        <f>AND(#REF!,"YC30NmJx8WA=")</f>
        <v>#REF!</v>
      </c>
      <c r="CT56" t="e">
        <f>AND(#REF!,"YC30NmJx8WE=")</f>
        <v>#REF!</v>
      </c>
      <c r="CU56" t="e">
        <f>AND(#REF!,"YC30NmJx8WI=")</f>
        <v>#REF!</v>
      </c>
      <c r="CV56" t="e">
        <f>AND(#REF!,"YC30NmJx8WM=")</f>
        <v>#REF!</v>
      </c>
      <c r="CW56" t="e">
        <f>AND(#REF!,"YC30NmJx8WQ=")</f>
        <v>#REF!</v>
      </c>
      <c r="CX56" t="e">
        <f>AND(#REF!,"YC30NmJx8WU=")</f>
        <v>#REF!</v>
      </c>
      <c r="CY56" t="e">
        <f>AND(#REF!,"YC30NmJx8WY=")</f>
        <v>#REF!</v>
      </c>
      <c r="CZ56" t="e">
        <f>AND(#REF!,"YC30NmJx8Wc=")</f>
        <v>#REF!</v>
      </c>
      <c r="DA56" t="e">
        <f>AND(#REF!,"YC30NmJx8Wg=")</f>
        <v>#REF!</v>
      </c>
      <c r="DB56" t="e">
        <f>AND(#REF!,"YC30NmJx8Wk=")</f>
        <v>#REF!</v>
      </c>
      <c r="DC56" t="e">
        <f>AND(#REF!,"YC30NmJx8Wo=")</f>
        <v>#REF!</v>
      </c>
      <c r="DD56" t="e">
        <f>AND(#REF!,"YC30NmJx8Ws=")</f>
        <v>#REF!</v>
      </c>
      <c r="DE56" t="e">
        <f>AND(#REF!,"YC30NmJx8Ww=")</f>
        <v>#REF!</v>
      </c>
      <c r="DF56" t="e">
        <f>AND(#REF!,"YC30NmJx8W0=")</f>
        <v>#REF!</v>
      </c>
      <c r="DG56" t="e">
        <f>AND(#REF!,"YC30NmJx8W4=")</f>
        <v>#REF!</v>
      </c>
      <c r="DH56" t="e">
        <f>AND(#REF!,"YC30NmJx8W8=")</f>
        <v>#REF!</v>
      </c>
      <c r="DI56" t="e">
        <f>AND(#REF!,"YC30NmJx8XA=")</f>
        <v>#REF!</v>
      </c>
      <c r="DJ56" t="e">
        <f>AND(#REF!,"YC30NmJx8XE=")</f>
        <v>#REF!</v>
      </c>
      <c r="DK56" t="e">
        <f>AND(#REF!,"YC30NmJx8XI=")</f>
        <v>#REF!</v>
      </c>
      <c r="DL56" t="e">
        <f>AND(#REF!,"YC30NmJx8XM=")</f>
        <v>#REF!</v>
      </c>
      <c r="DM56" t="e">
        <f>AND(#REF!,"YC30NmJx8XQ=")</f>
        <v>#REF!</v>
      </c>
      <c r="DN56" t="e">
        <f>AND(#REF!,"YC30NmJx8XU=")</f>
        <v>#REF!</v>
      </c>
      <c r="DO56" t="e">
        <f>AND(#REF!,"YC30NmJx8XY=")</f>
        <v>#REF!</v>
      </c>
      <c r="DP56" t="e">
        <f>AND(#REF!,"YC30NmJx8Xc=")</f>
        <v>#REF!</v>
      </c>
      <c r="DQ56" t="e">
        <f>AND(#REF!,"YC30NmJx8Xg=")</f>
        <v>#REF!</v>
      </c>
      <c r="DR56" t="e">
        <f>AND(#REF!,"YC30NmJx8Xk=")</f>
        <v>#REF!</v>
      </c>
      <c r="DS56" t="e">
        <f>AND(#REF!,"YC30NmJx8Xo=")</f>
        <v>#REF!</v>
      </c>
      <c r="DT56" t="e">
        <f>AND(#REF!,"YC30NmJx8Xs=")</f>
        <v>#REF!</v>
      </c>
      <c r="DU56" t="e">
        <f>AND(#REF!,"YC30NmJx8Xw=")</f>
        <v>#REF!</v>
      </c>
      <c r="DV56" t="e">
        <f>AND(#REF!,"YC30NmJx8X0=")</f>
        <v>#REF!</v>
      </c>
      <c r="DW56" t="e">
        <f>AND(#REF!,"YC30NmJx8X4=")</f>
        <v>#REF!</v>
      </c>
      <c r="DX56" t="e">
        <f>AND(#REF!,"YC30NmJx8X8=")</f>
        <v>#REF!</v>
      </c>
      <c r="DY56" t="e">
        <f>AND(#REF!,"YC30NmJx8YA=")</f>
        <v>#REF!</v>
      </c>
      <c r="DZ56" t="e">
        <f>AND(#REF!,"YC30NmJx8YE=")</f>
        <v>#REF!</v>
      </c>
      <c r="EA56" t="e">
        <f>AND(#REF!,"YC30NmJx8YI=")</f>
        <v>#REF!</v>
      </c>
      <c r="EB56" t="e">
        <f>AND(#REF!,"YC30NmJx8YM=")</f>
        <v>#REF!</v>
      </c>
      <c r="EC56" t="e">
        <f>AND(#REF!,"YC30NmJx8YQ=")</f>
        <v>#REF!</v>
      </c>
      <c r="ED56" t="e">
        <f>AND(#REF!,"YC30NmJx8YU=")</f>
        <v>#REF!</v>
      </c>
      <c r="EE56" t="e">
        <f>AND(#REF!,"YC30NmJx8YY=")</f>
        <v>#REF!</v>
      </c>
      <c r="EF56" t="e">
        <f>AND(#REF!,"YC30NmJx8Yc=")</f>
        <v>#REF!</v>
      </c>
      <c r="EG56" t="e">
        <f>AND(#REF!,"YC30NmJx8Yg=")</f>
        <v>#REF!</v>
      </c>
      <c r="EH56" t="e">
        <f>AND(#REF!,"YC30NmJx8Yk=")</f>
        <v>#REF!</v>
      </c>
      <c r="EI56" t="e">
        <f>AND(#REF!,"YC30NmJx8Yo=")</f>
        <v>#REF!</v>
      </c>
      <c r="EJ56" t="e">
        <f>AND(#REF!,"YC30NmJx8Ys=")</f>
        <v>#REF!</v>
      </c>
      <c r="EK56" t="e">
        <f>AND(#REF!,"YC30NmJx8Yw=")</f>
        <v>#REF!</v>
      </c>
      <c r="EL56" t="e">
        <f>AND(#REF!,"YC30NmJx8Y0=")</f>
        <v>#REF!</v>
      </c>
      <c r="EM56" t="e">
        <f>AND(#REF!,"YC30NmJx8Y4=")</f>
        <v>#REF!</v>
      </c>
      <c r="EN56" t="e">
        <f>AND(#REF!,"YC30NmJx8Y8=")</f>
        <v>#REF!</v>
      </c>
      <c r="EO56" t="e">
        <f>AND(#REF!,"YC30NmJx8ZA=")</f>
        <v>#REF!</v>
      </c>
      <c r="EP56" t="e">
        <f>AND(#REF!,"YC30NmJx8ZE=")</f>
        <v>#REF!</v>
      </c>
      <c r="EQ56" t="e">
        <f>AND(#REF!,"YC30NmJx8ZI=")</f>
        <v>#REF!</v>
      </c>
      <c r="ER56" t="e">
        <f>AND(#REF!,"YC30NmJx8ZM=")</f>
        <v>#REF!</v>
      </c>
      <c r="ES56" t="e">
        <f>AND(#REF!,"YC30NmJx8ZQ=")</f>
        <v>#REF!</v>
      </c>
      <c r="ET56" t="e">
        <f>AND(#REF!,"YC30NmJx8ZU=")</f>
        <v>#REF!</v>
      </c>
      <c r="EU56" t="e">
        <f>AND(#REF!,"YC30NmJx8ZY=")</f>
        <v>#REF!</v>
      </c>
      <c r="EV56" t="e">
        <f>AND(#REF!,"YC30NmJx8Zc=")</f>
        <v>#REF!</v>
      </c>
      <c r="EW56" t="e">
        <f>AND(#REF!,"YC30NmJx8Zg=")</f>
        <v>#REF!</v>
      </c>
      <c r="EX56" t="e">
        <f>AND(#REF!,"YC30NmJx8Zk=")</f>
        <v>#REF!</v>
      </c>
      <c r="EY56" t="e">
        <f>AND(#REF!,"YC30NmJx8Zo=")</f>
        <v>#REF!</v>
      </c>
      <c r="EZ56" t="e">
        <f>AND(#REF!,"YC30NmJx8Zs=")</f>
        <v>#REF!</v>
      </c>
      <c r="FA56" t="e">
        <f>AND(#REF!,"YC30NmJx8Zw=")</f>
        <v>#REF!</v>
      </c>
      <c r="FB56" t="e">
        <f>AND(#REF!,"YC30NmJx8Z0=")</f>
        <v>#REF!</v>
      </c>
      <c r="FC56" t="e">
        <f>AND(#REF!,"YC30NmJx8Z4=")</f>
        <v>#REF!</v>
      </c>
      <c r="FD56" t="e">
        <f>AND(#REF!,"YC30NmJx8Z8=")</f>
        <v>#REF!</v>
      </c>
      <c r="FE56" t="e">
        <f>AND(#REF!,"YC30NmJx8aA=")</f>
        <v>#REF!</v>
      </c>
      <c r="FF56" t="e">
        <f>AND(#REF!,"YC30NmJx8aE=")</f>
        <v>#REF!</v>
      </c>
      <c r="FG56" t="e">
        <f>AND(#REF!,"YC30NmJx8aI=")</f>
        <v>#REF!</v>
      </c>
      <c r="FH56" t="e">
        <f>AND(#REF!,"YC30NmJx8aM=")</f>
        <v>#REF!</v>
      </c>
      <c r="FI56" t="e">
        <f>AND(#REF!,"YC30NmJx8aQ=")</f>
        <v>#REF!</v>
      </c>
      <c r="FJ56" t="e">
        <f>AND(#REF!,"YC30NmJx8aU=")</f>
        <v>#REF!</v>
      </c>
      <c r="FK56" t="e">
        <f>AND(#REF!,"YC30NmJx8aY=")</f>
        <v>#REF!</v>
      </c>
      <c r="FL56" t="e">
        <f>AND(#REF!,"YC30NmJx8ac=")</f>
        <v>#REF!</v>
      </c>
      <c r="FM56" t="e">
        <f>AND(#REF!,"YC30NmJx8ag=")</f>
        <v>#REF!</v>
      </c>
      <c r="FN56" t="e">
        <f>AND(#REF!,"YC30NmJx8ak=")</f>
        <v>#REF!</v>
      </c>
      <c r="FO56" t="e">
        <f>AND(#REF!,"YC30NmJx8ao=")</f>
        <v>#REF!</v>
      </c>
      <c r="FP56" t="e">
        <f>AND(#REF!,"YC30NmJx8as=")</f>
        <v>#REF!</v>
      </c>
      <c r="FQ56" t="e">
        <f>AND(#REF!,"YC30NmJx8aw=")</f>
        <v>#REF!</v>
      </c>
      <c r="FR56" t="e">
        <f>AND(#REF!,"YC30NmJx8a0=")</f>
        <v>#REF!</v>
      </c>
      <c r="FS56" t="e">
        <f>AND(#REF!,"YC30NmJx8a4=")</f>
        <v>#REF!</v>
      </c>
      <c r="FT56" t="e">
        <f>AND(#REF!,"YC30NmJx8a8=")</f>
        <v>#REF!</v>
      </c>
      <c r="FU56" t="e">
        <f>AND(#REF!,"YC30NmJx8bA=")</f>
        <v>#REF!</v>
      </c>
      <c r="FV56" t="e">
        <f>AND(#REF!,"YC30NmJx8bE=")</f>
        <v>#REF!</v>
      </c>
      <c r="FW56" t="e">
        <f>AND(#REF!,"YC30NmJx8bI=")</f>
        <v>#REF!</v>
      </c>
      <c r="FX56" t="e">
        <f>AND(#REF!,"YC30NmJx8bM=")</f>
        <v>#REF!</v>
      </c>
      <c r="FY56" t="e">
        <f>AND(#REF!,"YC30NmJx8bQ=")</f>
        <v>#REF!</v>
      </c>
      <c r="FZ56" t="e">
        <f>AND(#REF!,"YC30NmJx8bU=")</f>
        <v>#REF!</v>
      </c>
      <c r="GA56" t="e">
        <f>AND(#REF!,"YC30NmJx8bY=")</f>
        <v>#REF!</v>
      </c>
      <c r="GB56" t="e">
        <f>AND(#REF!,"YC30NmJx8bc=")</f>
        <v>#REF!</v>
      </c>
      <c r="GC56" t="e">
        <f>AND(#REF!,"YC30NmJx8bg=")</f>
        <v>#REF!</v>
      </c>
      <c r="GD56" t="e">
        <f>AND(#REF!,"YC30NmJx8bk=")</f>
        <v>#REF!</v>
      </c>
      <c r="GE56" t="e">
        <f>AND(#REF!,"YC30NmJx8bo=")</f>
        <v>#REF!</v>
      </c>
      <c r="GF56" t="e">
        <f>AND(#REF!,"YC30NmJx8bs=")</f>
        <v>#REF!</v>
      </c>
      <c r="GG56" t="e">
        <f>AND(#REF!,"YC30NmJx8bw=")</f>
        <v>#REF!</v>
      </c>
      <c r="GH56" t="e">
        <f>AND(#REF!,"YC30NmJx8b0=")</f>
        <v>#REF!</v>
      </c>
      <c r="GI56" t="e">
        <f>AND(#REF!,"YC30NmJx8b4=")</f>
        <v>#REF!</v>
      </c>
      <c r="GJ56" t="e">
        <f>AND(#REF!,"YC30NmJx8b8=")</f>
        <v>#REF!</v>
      </c>
      <c r="GK56" t="e">
        <f>AND(#REF!,"YC30NmJx8cA=")</f>
        <v>#REF!</v>
      </c>
      <c r="GL56" t="e">
        <f>AND(#REF!,"YC30NmJx8cE=")</f>
        <v>#REF!</v>
      </c>
      <c r="GM56" t="e">
        <f>IF(#REF!,"YC30NmJx8cI=",0)</f>
        <v>#REF!</v>
      </c>
      <c r="GN56" t="e">
        <f>AND(#REF!,"YC30NmJx8cM=")</f>
        <v>#REF!</v>
      </c>
      <c r="GO56" t="e">
        <f>AND(#REF!,"YC30NmJx8cQ=")</f>
        <v>#REF!</v>
      </c>
      <c r="GP56" t="e">
        <f>AND(#REF!,"YC30NmJx8cU=")</f>
        <v>#REF!</v>
      </c>
      <c r="GQ56" t="e">
        <f>AND(#REF!,"YC30NmJx8cY=")</f>
        <v>#REF!</v>
      </c>
      <c r="GR56" t="e">
        <f>AND(#REF!,"YC30NmJx8cc=")</f>
        <v>#REF!</v>
      </c>
      <c r="GS56" t="e">
        <f>AND(#REF!,"YC30NmJx8cg=")</f>
        <v>#REF!</v>
      </c>
      <c r="GT56" t="e">
        <f>AND(#REF!,"YC30NmJx8ck=")</f>
        <v>#REF!</v>
      </c>
      <c r="GU56" t="e">
        <f>AND(#REF!,"YC30NmJx8co=")</f>
        <v>#REF!</v>
      </c>
      <c r="GV56" t="e">
        <f>AND(#REF!,"YC30NmJx8cs=")</f>
        <v>#REF!</v>
      </c>
      <c r="GW56" t="e">
        <f>AND(#REF!,"YC30NmJx8cw=")</f>
        <v>#REF!</v>
      </c>
      <c r="GX56" t="e">
        <f>AND(#REF!,"YC30NmJx8c0=")</f>
        <v>#REF!</v>
      </c>
      <c r="GY56" t="e">
        <f>AND(#REF!,"YC30NmJx8c4=")</f>
        <v>#REF!</v>
      </c>
      <c r="GZ56" t="e">
        <f>AND(#REF!,"YC30NmJx8c8=")</f>
        <v>#REF!</v>
      </c>
      <c r="HA56" t="e">
        <f>AND(#REF!,"YC30NmJx8dA=")</f>
        <v>#REF!</v>
      </c>
      <c r="HB56" t="e">
        <f>AND(#REF!,"YC30NmJx8dE=")</f>
        <v>#REF!</v>
      </c>
      <c r="HC56" t="e">
        <f>AND(#REF!,"YC30NmJx8dI=")</f>
        <v>#REF!</v>
      </c>
      <c r="HD56" t="e">
        <f>AND(#REF!,"YC30NmJx8dM=")</f>
        <v>#REF!</v>
      </c>
      <c r="HE56" t="e">
        <f>AND(#REF!,"YC30NmJx8dQ=")</f>
        <v>#REF!</v>
      </c>
      <c r="HF56" t="e">
        <f>AND(#REF!,"YC30NmJx8dU=")</f>
        <v>#REF!</v>
      </c>
      <c r="HG56" t="e">
        <f>AND(#REF!,"YC30NmJx8dY=")</f>
        <v>#REF!</v>
      </c>
      <c r="HH56" t="e">
        <f>AND(#REF!,"YC30NmJx8dc=")</f>
        <v>#REF!</v>
      </c>
      <c r="HI56" t="e">
        <f>AND(#REF!,"YC30NmJx8dg=")</f>
        <v>#REF!</v>
      </c>
      <c r="HJ56" t="e">
        <f>AND(#REF!,"YC30NmJx8dk=")</f>
        <v>#REF!</v>
      </c>
      <c r="HK56" t="e">
        <f>AND(#REF!,"YC30NmJx8do=")</f>
        <v>#REF!</v>
      </c>
      <c r="HL56" t="e">
        <f>AND(#REF!,"YC30NmJx8ds=")</f>
        <v>#REF!</v>
      </c>
      <c r="HM56" t="e">
        <f>AND(#REF!,"YC30NmJx8dw=")</f>
        <v>#REF!</v>
      </c>
      <c r="HN56" t="e">
        <f>AND(#REF!,"YC30NmJx8d0=")</f>
        <v>#REF!</v>
      </c>
      <c r="HO56" t="e">
        <f>AND(#REF!,"YC30NmJx8d4=")</f>
        <v>#REF!</v>
      </c>
      <c r="HP56" t="e">
        <f>AND(#REF!,"YC30NmJx8d8=")</f>
        <v>#REF!</v>
      </c>
      <c r="HQ56" t="e">
        <f>AND(#REF!,"YC30NmJx8eA=")</f>
        <v>#REF!</v>
      </c>
      <c r="HR56" t="e">
        <f>AND(#REF!,"YC30NmJx8eE=")</f>
        <v>#REF!</v>
      </c>
      <c r="HS56" t="e">
        <f>AND(#REF!,"YC30NmJx8eI=")</f>
        <v>#REF!</v>
      </c>
      <c r="HT56" t="e">
        <f>AND(#REF!,"YC30NmJx8eM=")</f>
        <v>#REF!</v>
      </c>
      <c r="HU56" t="e">
        <f>AND(#REF!,"YC30NmJx8eQ=")</f>
        <v>#REF!</v>
      </c>
      <c r="HV56" t="e">
        <f>AND(#REF!,"YC30NmJx8eU=")</f>
        <v>#REF!</v>
      </c>
      <c r="HW56" t="e">
        <f>AND(#REF!,"YC30NmJx8eY=")</f>
        <v>#REF!</v>
      </c>
      <c r="HX56" t="e">
        <f>AND(#REF!,"YC30NmJx8ec=")</f>
        <v>#REF!</v>
      </c>
      <c r="HY56" t="e">
        <f>AND(#REF!,"YC30NmJx8eg=")</f>
        <v>#REF!</v>
      </c>
      <c r="HZ56" t="e">
        <f>AND(#REF!,"YC30NmJx8ek=")</f>
        <v>#REF!</v>
      </c>
      <c r="IA56" t="e">
        <f>AND(#REF!,"YC30NmJx8eo=")</f>
        <v>#REF!</v>
      </c>
      <c r="IB56" t="e">
        <f>AND(#REF!,"YC30NmJx8es=")</f>
        <v>#REF!</v>
      </c>
      <c r="IC56" t="e">
        <f>AND(#REF!,"YC30NmJx8ew=")</f>
        <v>#REF!</v>
      </c>
      <c r="ID56" t="e">
        <f>AND(#REF!,"YC30NmJx8e0=")</f>
        <v>#REF!</v>
      </c>
      <c r="IE56" t="e">
        <f>AND(#REF!,"YC30NmJx8e4=")</f>
        <v>#REF!</v>
      </c>
      <c r="IF56" t="e">
        <f>AND(#REF!,"YC30NmJx8e8=")</f>
        <v>#REF!</v>
      </c>
      <c r="IG56" t="e">
        <f>AND(#REF!,"YC30NmJx8fA=")</f>
        <v>#REF!</v>
      </c>
      <c r="IH56" t="e">
        <f>AND(#REF!,"YC30NmJx8fE=")</f>
        <v>#REF!</v>
      </c>
      <c r="II56" t="e">
        <f>AND(#REF!,"YC30NmJx8fI=")</f>
        <v>#REF!</v>
      </c>
      <c r="IJ56" t="e">
        <f>AND(#REF!,"YC30NmJx8fM=")</f>
        <v>#REF!</v>
      </c>
      <c r="IK56" t="e">
        <f>AND(#REF!,"YC30NmJx8fQ=")</f>
        <v>#REF!</v>
      </c>
      <c r="IL56" t="e">
        <f>AND(#REF!,"YC30NmJx8fU=")</f>
        <v>#REF!</v>
      </c>
      <c r="IM56" t="e">
        <f>AND(#REF!,"YC30NmJx8fY=")</f>
        <v>#REF!</v>
      </c>
      <c r="IN56" t="e">
        <f>AND(#REF!,"YC30NmJx8fc=")</f>
        <v>#REF!</v>
      </c>
      <c r="IO56" t="e">
        <f>AND(#REF!,"YC30NmJx8fg=")</f>
        <v>#REF!</v>
      </c>
      <c r="IP56" t="e">
        <f>AND(#REF!,"YC30NmJx8fk=")</f>
        <v>#REF!</v>
      </c>
      <c r="IQ56" t="e">
        <f>AND(#REF!,"YC30NmJx8fo=")</f>
        <v>#REF!</v>
      </c>
      <c r="IR56" t="e">
        <f>AND(#REF!,"YC30NmJx8fs=")</f>
        <v>#REF!</v>
      </c>
      <c r="IS56" t="e">
        <f>AND(#REF!,"YC30NmJx8fw=")</f>
        <v>#REF!</v>
      </c>
      <c r="IT56" t="e">
        <f>AND(#REF!,"YC30NmJx8f0=")</f>
        <v>#REF!</v>
      </c>
      <c r="IU56" t="e">
        <f>AND(#REF!,"YC30NmJx8f4=")</f>
        <v>#REF!</v>
      </c>
      <c r="IV56" t="e">
        <f>AND(#REF!,"YC30NmJx8f8=")</f>
        <v>#REF!</v>
      </c>
    </row>
    <row r="57" spans="1:256" x14ac:dyDescent="0.2">
      <c r="A57" t="e">
        <f>AND(#REF!,"EWlqLEiHAAA=")</f>
        <v>#REF!</v>
      </c>
      <c r="B57" t="e">
        <f>AND(#REF!,"EWlqLEiHAAE=")</f>
        <v>#REF!</v>
      </c>
      <c r="C57" t="e">
        <f>AND(#REF!,"EWlqLEiHAAI=")</f>
        <v>#REF!</v>
      </c>
      <c r="D57" t="e">
        <f>AND(#REF!,"EWlqLEiHAAM=")</f>
        <v>#REF!</v>
      </c>
      <c r="E57" t="e">
        <f>AND(#REF!,"EWlqLEiHAAQ=")</f>
        <v>#REF!</v>
      </c>
      <c r="F57" t="e">
        <f>AND(#REF!,"EWlqLEiHAAU=")</f>
        <v>#REF!</v>
      </c>
      <c r="G57" t="e">
        <f>AND(#REF!,"EWlqLEiHAAY=")</f>
        <v>#REF!</v>
      </c>
      <c r="H57" t="e">
        <f>AND(#REF!,"EWlqLEiHAAc=")</f>
        <v>#REF!</v>
      </c>
      <c r="I57" t="e">
        <f>AND(#REF!,"EWlqLEiHAAg=")</f>
        <v>#REF!</v>
      </c>
      <c r="J57" t="e">
        <f>AND(#REF!,"EWlqLEiHAAk=")</f>
        <v>#REF!</v>
      </c>
      <c r="K57" t="e">
        <f>AND(#REF!,"EWlqLEiHAAo=")</f>
        <v>#REF!</v>
      </c>
      <c r="L57" t="e">
        <f>AND(#REF!,"EWlqLEiHAAs=")</f>
        <v>#REF!</v>
      </c>
      <c r="M57" t="e">
        <f>AND(#REF!,"EWlqLEiHAAw=")</f>
        <v>#REF!</v>
      </c>
      <c r="N57" t="e">
        <f>AND(#REF!,"EWlqLEiHAA0=")</f>
        <v>#REF!</v>
      </c>
      <c r="O57" t="e">
        <f>AND(#REF!,"EWlqLEiHAA4=")</f>
        <v>#REF!</v>
      </c>
      <c r="P57" t="e">
        <f>AND(#REF!,"EWlqLEiHAA8=")</f>
        <v>#REF!</v>
      </c>
      <c r="Q57" t="e">
        <f>AND(#REF!,"EWlqLEiHABA=")</f>
        <v>#REF!</v>
      </c>
      <c r="R57" t="e">
        <f>AND(#REF!,"EWlqLEiHABE=")</f>
        <v>#REF!</v>
      </c>
      <c r="S57" t="e">
        <f>AND(#REF!,"EWlqLEiHABI=")</f>
        <v>#REF!</v>
      </c>
      <c r="T57" t="e">
        <f>AND(#REF!,"EWlqLEiHABM=")</f>
        <v>#REF!</v>
      </c>
      <c r="U57" t="e">
        <f>AND(#REF!,"EWlqLEiHABQ=")</f>
        <v>#REF!</v>
      </c>
      <c r="V57" t="e">
        <f>AND(#REF!,"EWlqLEiHABU=")</f>
        <v>#REF!</v>
      </c>
      <c r="W57" t="e">
        <f>AND(#REF!,"EWlqLEiHABY=")</f>
        <v>#REF!</v>
      </c>
      <c r="X57" t="e">
        <f>AND(#REF!,"EWlqLEiHABc=")</f>
        <v>#REF!</v>
      </c>
      <c r="Y57" t="e">
        <f>AND(#REF!,"EWlqLEiHABg=")</f>
        <v>#REF!</v>
      </c>
      <c r="Z57" t="e">
        <f>AND(#REF!,"EWlqLEiHABk=")</f>
        <v>#REF!</v>
      </c>
      <c r="AA57" t="e">
        <f>AND(#REF!,"EWlqLEiHABo=")</f>
        <v>#REF!</v>
      </c>
      <c r="AB57" t="e">
        <f>AND(#REF!,"EWlqLEiHABs=")</f>
        <v>#REF!</v>
      </c>
      <c r="AC57" t="e">
        <f>AND(#REF!,"EWlqLEiHABw=")</f>
        <v>#REF!</v>
      </c>
      <c r="AD57" t="e">
        <f>AND(#REF!,"EWlqLEiHAB0=")</f>
        <v>#REF!</v>
      </c>
      <c r="AE57" t="e">
        <f>AND(#REF!,"EWlqLEiHAB4=")</f>
        <v>#REF!</v>
      </c>
      <c r="AF57" t="e">
        <f>AND(#REF!,"EWlqLEiHAB8=")</f>
        <v>#REF!</v>
      </c>
      <c r="AG57" t="e">
        <f>AND(#REF!,"EWlqLEiHACA=")</f>
        <v>#REF!</v>
      </c>
      <c r="AH57" t="e">
        <f>AND(#REF!,"EWlqLEiHACE=")</f>
        <v>#REF!</v>
      </c>
      <c r="AI57" t="e">
        <f>AND(#REF!,"EWlqLEiHACI=")</f>
        <v>#REF!</v>
      </c>
      <c r="AJ57" t="e">
        <f>AND(#REF!,"EWlqLEiHACM=")</f>
        <v>#REF!</v>
      </c>
      <c r="AK57" t="e">
        <f>AND(#REF!,"EWlqLEiHACQ=")</f>
        <v>#REF!</v>
      </c>
      <c r="AL57" t="e">
        <f>AND(#REF!,"EWlqLEiHACU=")</f>
        <v>#REF!</v>
      </c>
      <c r="AM57" t="e">
        <f>AND(#REF!,"EWlqLEiHACY=")</f>
        <v>#REF!</v>
      </c>
      <c r="AN57" t="e">
        <f>AND(#REF!,"EWlqLEiHACc=")</f>
        <v>#REF!</v>
      </c>
      <c r="AO57" t="e">
        <f>AND(#REF!,"EWlqLEiHACg=")</f>
        <v>#REF!</v>
      </c>
      <c r="AP57" t="e">
        <f>AND(#REF!,"EWlqLEiHACk=")</f>
        <v>#REF!</v>
      </c>
      <c r="AQ57" t="e">
        <f>AND(#REF!,"EWlqLEiHACo=")</f>
        <v>#REF!</v>
      </c>
      <c r="AR57" t="e">
        <f>AND(#REF!,"EWlqLEiHACs=")</f>
        <v>#REF!</v>
      </c>
      <c r="AS57" t="e">
        <f>AND(#REF!,"EWlqLEiHACw=")</f>
        <v>#REF!</v>
      </c>
      <c r="AT57" t="e">
        <f>AND(#REF!,"EWlqLEiHAC0=")</f>
        <v>#REF!</v>
      </c>
      <c r="AU57" t="e">
        <f>AND(#REF!,"EWlqLEiHAC4=")</f>
        <v>#REF!</v>
      </c>
      <c r="AV57" t="e">
        <f>AND(#REF!,"EWlqLEiHAC8=")</f>
        <v>#REF!</v>
      </c>
      <c r="AW57" t="e">
        <f>AND(#REF!,"EWlqLEiHADA=")</f>
        <v>#REF!</v>
      </c>
      <c r="AX57" t="e">
        <f>AND(#REF!,"EWlqLEiHADE=")</f>
        <v>#REF!</v>
      </c>
      <c r="AY57" t="e">
        <f>AND(#REF!,"EWlqLEiHADI=")</f>
        <v>#REF!</v>
      </c>
      <c r="AZ57" t="e">
        <f>AND(#REF!,"EWlqLEiHADM=")</f>
        <v>#REF!</v>
      </c>
      <c r="BA57" t="e">
        <f>AND(#REF!,"EWlqLEiHADQ=")</f>
        <v>#REF!</v>
      </c>
      <c r="BB57" t="e">
        <f>AND(#REF!,"EWlqLEiHADU=")</f>
        <v>#REF!</v>
      </c>
      <c r="BC57" t="e">
        <f>AND(#REF!,"EWlqLEiHADY=")</f>
        <v>#REF!</v>
      </c>
      <c r="BD57" t="e">
        <f>AND(#REF!,"EWlqLEiHADc=")</f>
        <v>#REF!</v>
      </c>
      <c r="BE57" t="e">
        <f>AND(#REF!,"EWlqLEiHADg=")</f>
        <v>#REF!</v>
      </c>
      <c r="BF57" t="e">
        <f>AND(#REF!,"EWlqLEiHADk=")</f>
        <v>#REF!</v>
      </c>
      <c r="BG57" t="e">
        <f>AND(#REF!,"EWlqLEiHADo=")</f>
        <v>#REF!</v>
      </c>
      <c r="BH57" t="e">
        <f>AND(#REF!,"EWlqLEiHADs=")</f>
        <v>#REF!</v>
      </c>
      <c r="BI57" t="e">
        <f>AND(#REF!,"EWlqLEiHADw=")</f>
        <v>#REF!</v>
      </c>
      <c r="BJ57" t="e">
        <f>AND(#REF!,"EWlqLEiHAD0=")</f>
        <v>#REF!</v>
      </c>
      <c r="BK57" t="e">
        <f>AND(#REF!,"EWlqLEiHAD4=")</f>
        <v>#REF!</v>
      </c>
      <c r="BL57" t="e">
        <f>AND(#REF!,"EWlqLEiHAD8=")</f>
        <v>#REF!</v>
      </c>
      <c r="BM57" t="e">
        <f>AND(#REF!,"EWlqLEiHAEA=")</f>
        <v>#REF!</v>
      </c>
      <c r="BN57" t="e">
        <f>AND(#REF!,"EWlqLEiHAEE=")</f>
        <v>#REF!</v>
      </c>
      <c r="BO57" t="e">
        <f>AND(#REF!,"EWlqLEiHAEI=")</f>
        <v>#REF!</v>
      </c>
      <c r="BP57" t="e">
        <f>AND(#REF!,"EWlqLEiHAEM=")</f>
        <v>#REF!</v>
      </c>
      <c r="BQ57" t="e">
        <f>AND(#REF!,"EWlqLEiHAEQ=")</f>
        <v>#REF!</v>
      </c>
      <c r="BR57" t="e">
        <f>AND(#REF!,"EWlqLEiHAEU=")</f>
        <v>#REF!</v>
      </c>
      <c r="BS57" t="e">
        <f>AND(#REF!,"EWlqLEiHAEY=")</f>
        <v>#REF!</v>
      </c>
      <c r="BT57" t="e">
        <f>AND(#REF!,"EWlqLEiHAEc=")</f>
        <v>#REF!</v>
      </c>
      <c r="BU57" t="e">
        <f>AND(#REF!,"EWlqLEiHAEg=")</f>
        <v>#REF!</v>
      </c>
      <c r="BV57" t="e">
        <f>AND(#REF!,"EWlqLEiHAEk=")</f>
        <v>#REF!</v>
      </c>
      <c r="BW57" t="e">
        <f>AND(#REF!,"EWlqLEiHAEo=")</f>
        <v>#REF!</v>
      </c>
      <c r="BX57" t="e">
        <f>AND(#REF!,"EWlqLEiHAEs=")</f>
        <v>#REF!</v>
      </c>
      <c r="BY57" t="e">
        <f>AND(#REF!,"EWlqLEiHAEw=")</f>
        <v>#REF!</v>
      </c>
      <c r="BZ57" t="e">
        <f>AND(#REF!,"EWlqLEiHAE0=")</f>
        <v>#REF!</v>
      </c>
      <c r="CA57" t="e">
        <f>AND(#REF!,"EWlqLEiHAE4=")</f>
        <v>#REF!</v>
      </c>
      <c r="CB57" t="e">
        <f>AND(#REF!,"EWlqLEiHAE8=")</f>
        <v>#REF!</v>
      </c>
      <c r="CC57" t="e">
        <f>AND(#REF!,"EWlqLEiHAFA=")</f>
        <v>#REF!</v>
      </c>
      <c r="CD57" t="e">
        <f>AND(#REF!,"EWlqLEiHAFE=")</f>
        <v>#REF!</v>
      </c>
      <c r="CE57" t="e">
        <f>AND(#REF!,"EWlqLEiHAFI=")</f>
        <v>#REF!</v>
      </c>
      <c r="CF57" t="e">
        <f>AND(#REF!,"EWlqLEiHAFM=")</f>
        <v>#REF!</v>
      </c>
      <c r="CG57" t="e">
        <f>AND(#REF!,"EWlqLEiHAFQ=")</f>
        <v>#REF!</v>
      </c>
      <c r="CH57" t="e">
        <f>AND(#REF!,"EWlqLEiHAFU=")</f>
        <v>#REF!</v>
      </c>
      <c r="CI57" t="e">
        <f>AND(#REF!,"EWlqLEiHAFY=")</f>
        <v>#REF!</v>
      </c>
      <c r="CJ57" t="e">
        <f>AND(#REF!,"EWlqLEiHAFc=")</f>
        <v>#REF!</v>
      </c>
      <c r="CK57" t="e">
        <f>AND(#REF!,"EWlqLEiHAFg=")</f>
        <v>#REF!</v>
      </c>
      <c r="CL57" t="e">
        <f>AND(#REF!,"EWlqLEiHAFk=")</f>
        <v>#REF!</v>
      </c>
      <c r="CM57" t="e">
        <f>AND(#REF!,"EWlqLEiHAFo=")</f>
        <v>#REF!</v>
      </c>
      <c r="CN57" t="e">
        <f>AND(#REF!,"EWlqLEiHAFs=")</f>
        <v>#REF!</v>
      </c>
      <c r="CO57" t="e">
        <f>AND(#REF!,"EWlqLEiHAFw=")</f>
        <v>#REF!</v>
      </c>
      <c r="CP57" t="e">
        <f>AND(#REF!,"EWlqLEiHAF0=")</f>
        <v>#REF!</v>
      </c>
      <c r="CQ57" t="e">
        <f>AND(#REF!,"EWlqLEiHAF4=")</f>
        <v>#REF!</v>
      </c>
      <c r="CR57" t="e">
        <f>AND(#REF!,"EWlqLEiHAF8=")</f>
        <v>#REF!</v>
      </c>
      <c r="CS57" t="e">
        <f>AND(#REF!,"EWlqLEiHAGA=")</f>
        <v>#REF!</v>
      </c>
      <c r="CT57" t="e">
        <f>AND(#REF!,"EWlqLEiHAGE=")</f>
        <v>#REF!</v>
      </c>
      <c r="CU57" t="e">
        <f>AND(#REF!,"EWlqLEiHAGI=")</f>
        <v>#REF!</v>
      </c>
      <c r="CV57" t="e">
        <f>AND(#REF!,"EWlqLEiHAGM=")</f>
        <v>#REF!</v>
      </c>
      <c r="CW57" t="e">
        <f>AND(#REF!,"EWlqLEiHAGQ=")</f>
        <v>#REF!</v>
      </c>
      <c r="CX57" t="e">
        <f>AND(#REF!,"EWlqLEiHAGU=")</f>
        <v>#REF!</v>
      </c>
      <c r="CY57" t="e">
        <f>AND(#REF!,"EWlqLEiHAGY=")</f>
        <v>#REF!</v>
      </c>
      <c r="CZ57" t="e">
        <f>AND(#REF!,"EWlqLEiHAGc=")</f>
        <v>#REF!</v>
      </c>
      <c r="DA57" t="e">
        <f>AND(#REF!,"EWlqLEiHAGg=")</f>
        <v>#REF!</v>
      </c>
      <c r="DB57" t="e">
        <f>AND(#REF!,"EWlqLEiHAGk=")</f>
        <v>#REF!</v>
      </c>
      <c r="DC57" t="e">
        <f>AND(#REF!,"EWlqLEiHAGo=")</f>
        <v>#REF!</v>
      </c>
      <c r="DD57" t="e">
        <f>AND(#REF!,"EWlqLEiHAGs=")</f>
        <v>#REF!</v>
      </c>
      <c r="DE57" t="e">
        <f>AND(#REF!,"EWlqLEiHAGw=")</f>
        <v>#REF!</v>
      </c>
      <c r="DF57" t="e">
        <f>AND(#REF!,"EWlqLEiHAG0=")</f>
        <v>#REF!</v>
      </c>
      <c r="DG57" t="e">
        <f>AND(#REF!,"EWlqLEiHAG4=")</f>
        <v>#REF!</v>
      </c>
      <c r="DH57" t="e">
        <f>AND(#REF!,"EWlqLEiHAG8=")</f>
        <v>#REF!</v>
      </c>
      <c r="DI57" t="e">
        <f>AND(#REF!,"EWlqLEiHAHA=")</f>
        <v>#REF!</v>
      </c>
      <c r="DJ57" t="e">
        <f>AND(#REF!,"EWlqLEiHAHE=")</f>
        <v>#REF!</v>
      </c>
      <c r="DK57" t="e">
        <f>AND(#REF!,"EWlqLEiHAHI=")</f>
        <v>#REF!</v>
      </c>
      <c r="DL57" t="e">
        <f>AND(#REF!,"EWlqLEiHAHM=")</f>
        <v>#REF!</v>
      </c>
      <c r="DM57" t="e">
        <f>AND(#REF!,"EWlqLEiHAHQ=")</f>
        <v>#REF!</v>
      </c>
      <c r="DN57" t="e">
        <f>AND(#REF!,"EWlqLEiHAHU=")</f>
        <v>#REF!</v>
      </c>
      <c r="DO57" t="e">
        <f>AND(#REF!,"EWlqLEiHAHY=")</f>
        <v>#REF!</v>
      </c>
      <c r="DP57" t="e">
        <f>AND(#REF!,"EWlqLEiHAHc=")</f>
        <v>#REF!</v>
      </c>
      <c r="DQ57" t="e">
        <f>AND(#REF!,"EWlqLEiHAHg=")</f>
        <v>#REF!</v>
      </c>
      <c r="DR57" t="e">
        <f>AND(#REF!,"EWlqLEiHAHk=")</f>
        <v>#REF!</v>
      </c>
      <c r="DS57" t="e">
        <f>AND(#REF!,"EWlqLEiHAHo=")</f>
        <v>#REF!</v>
      </c>
      <c r="DT57" t="e">
        <f>AND(#REF!,"EWlqLEiHAHs=")</f>
        <v>#REF!</v>
      </c>
      <c r="DU57" t="e">
        <f>AND(#REF!,"EWlqLEiHAHw=")</f>
        <v>#REF!</v>
      </c>
      <c r="DV57" t="e">
        <f>AND(#REF!,"EWlqLEiHAH0=")</f>
        <v>#REF!</v>
      </c>
      <c r="DW57" t="e">
        <f>AND(#REF!,"EWlqLEiHAH4=")</f>
        <v>#REF!</v>
      </c>
      <c r="DX57" t="e">
        <f>AND(#REF!,"EWlqLEiHAH8=")</f>
        <v>#REF!</v>
      </c>
      <c r="DY57" t="e">
        <f>AND(#REF!,"EWlqLEiHAIA=")</f>
        <v>#REF!</v>
      </c>
      <c r="DZ57" t="e">
        <f>AND(#REF!,"EWlqLEiHAIE=")</f>
        <v>#REF!</v>
      </c>
      <c r="EA57" t="e">
        <f>AND(#REF!,"EWlqLEiHAII=")</f>
        <v>#REF!</v>
      </c>
      <c r="EB57" t="e">
        <f>AND(#REF!,"EWlqLEiHAIM=")</f>
        <v>#REF!</v>
      </c>
      <c r="EC57" t="e">
        <f>AND(#REF!,"EWlqLEiHAIQ=")</f>
        <v>#REF!</v>
      </c>
      <c r="ED57" t="e">
        <f>AND(#REF!,"EWlqLEiHAIU=")</f>
        <v>#REF!</v>
      </c>
      <c r="EE57" t="e">
        <f>AND(#REF!,"EWlqLEiHAIY=")</f>
        <v>#REF!</v>
      </c>
      <c r="EF57" t="e">
        <f>AND(#REF!,"EWlqLEiHAIc=")</f>
        <v>#REF!</v>
      </c>
      <c r="EG57" t="e">
        <f>AND(#REF!,"EWlqLEiHAIg=")</f>
        <v>#REF!</v>
      </c>
      <c r="EH57" t="e">
        <f>IF(#REF!,"EWlqLEiHAIk=",0)</f>
        <v>#REF!</v>
      </c>
      <c r="EI57" t="e">
        <f>AND(#REF!,"EWlqLEiHAIo=")</f>
        <v>#REF!</v>
      </c>
      <c r="EJ57" t="e">
        <f>AND(#REF!,"EWlqLEiHAIs=")</f>
        <v>#REF!</v>
      </c>
      <c r="EK57" t="e">
        <f>AND(#REF!,"EWlqLEiHAIw=")</f>
        <v>#REF!</v>
      </c>
      <c r="EL57" t="e">
        <f>AND(#REF!,"EWlqLEiHAI0=")</f>
        <v>#REF!</v>
      </c>
      <c r="EM57" t="e">
        <f>AND(#REF!,"EWlqLEiHAI4=")</f>
        <v>#REF!</v>
      </c>
      <c r="EN57" t="e">
        <f>AND(#REF!,"EWlqLEiHAI8=")</f>
        <v>#REF!</v>
      </c>
      <c r="EO57" t="e">
        <f>AND(#REF!,"EWlqLEiHAJA=")</f>
        <v>#REF!</v>
      </c>
      <c r="EP57" t="e">
        <f>AND(#REF!,"EWlqLEiHAJE=")</f>
        <v>#REF!</v>
      </c>
      <c r="EQ57" t="e">
        <f>AND(#REF!,"EWlqLEiHAJI=")</f>
        <v>#REF!</v>
      </c>
      <c r="ER57" t="e">
        <f>AND(#REF!,"EWlqLEiHAJM=")</f>
        <v>#REF!</v>
      </c>
      <c r="ES57" t="e">
        <f>AND(#REF!,"EWlqLEiHAJQ=")</f>
        <v>#REF!</v>
      </c>
      <c r="ET57" t="e">
        <f>AND(#REF!,"EWlqLEiHAJU=")</f>
        <v>#REF!</v>
      </c>
      <c r="EU57" t="e">
        <f>AND(#REF!,"EWlqLEiHAJY=")</f>
        <v>#REF!</v>
      </c>
      <c r="EV57" t="e">
        <f>AND(#REF!,"EWlqLEiHAJc=")</f>
        <v>#REF!</v>
      </c>
      <c r="EW57" t="e">
        <f>AND(#REF!,"EWlqLEiHAJg=")</f>
        <v>#REF!</v>
      </c>
      <c r="EX57" t="e">
        <f>AND(#REF!,"EWlqLEiHAJk=")</f>
        <v>#REF!</v>
      </c>
      <c r="EY57" t="e">
        <f>AND(#REF!,"EWlqLEiHAJo=")</f>
        <v>#REF!</v>
      </c>
      <c r="EZ57" t="e">
        <f>AND(#REF!,"EWlqLEiHAJs=")</f>
        <v>#REF!</v>
      </c>
      <c r="FA57" t="e">
        <f>AND(#REF!,"EWlqLEiHAJw=")</f>
        <v>#REF!</v>
      </c>
      <c r="FB57" t="e">
        <f>AND(#REF!,"EWlqLEiHAJ0=")</f>
        <v>#REF!</v>
      </c>
      <c r="FC57" t="e">
        <f>AND(#REF!,"EWlqLEiHAJ4=")</f>
        <v>#REF!</v>
      </c>
      <c r="FD57" t="e">
        <f>AND(#REF!,"EWlqLEiHAJ8=")</f>
        <v>#REF!</v>
      </c>
      <c r="FE57" t="e">
        <f>AND(#REF!,"EWlqLEiHAKA=")</f>
        <v>#REF!</v>
      </c>
      <c r="FF57" t="e">
        <f>AND(#REF!,"EWlqLEiHAKE=")</f>
        <v>#REF!</v>
      </c>
      <c r="FG57" t="e">
        <f>AND(#REF!,"EWlqLEiHAKI=")</f>
        <v>#REF!</v>
      </c>
      <c r="FH57" t="e">
        <f>AND(#REF!,"EWlqLEiHAKM=")</f>
        <v>#REF!</v>
      </c>
      <c r="FI57" t="e">
        <f>AND(#REF!,"EWlqLEiHAKQ=")</f>
        <v>#REF!</v>
      </c>
      <c r="FJ57" t="e">
        <f>AND(#REF!,"EWlqLEiHAKU=")</f>
        <v>#REF!</v>
      </c>
      <c r="FK57" t="e">
        <f>AND(#REF!,"EWlqLEiHAKY=")</f>
        <v>#REF!</v>
      </c>
      <c r="FL57" t="e">
        <f>AND(#REF!,"EWlqLEiHAKc=")</f>
        <v>#REF!</v>
      </c>
      <c r="FM57" t="e">
        <f>AND(#REF!,"EWlqLEiHAKg=")</f>
        <v>#REF!</v>
      </c>
      <c r="FN57" t="e">
        <f>AND(#REF!,"EWlqLEiHAKk=")</f>
        <v>#REF!</v>
      </c>
      <c r="FO57" t="e">
        <f>AND(#REF!,"EWlqLEiHAKo=")</f>
        <v>#REF!</v>
      </c>
      <c r="FP57" t="e">
        <f>AND(#REF!,"EWlqLEiHAKs=")</f>
        <v>#REF!</v>
      </c>
      <c r="FQ57" t="e">
        <f>AND(#REF!,"EWlqLEiHAKw=")</f>
        <v>#REF!</v>
      </c>
      <c r="FR57" t="e">
        <f>AND(#REF!,"EWlqLEiHAK0=")</f>
        <v>#REF!</v>
      </c>
      <c r="FS57" t="e">
        <f>AND(#REF!,"EWlqLEiHAK4=")</f>
        <v>#REF!</v>
      </c>
      <c r="FT57" t="e">
        <f>AND(#REF!,"EWlqLEiHAK8=")</f>
        <v>#REF!</v>
      </c>
      <c r="FU57" t="e">
        <f>AND(#REF!,"EWlqLEiHALA=")</f>
        <v>#REF!</v>
      </c>
      <c r="FV57" t="e">
        <f>AND(#REF!,"EWlqLEiHALE=")</f>
        <v>#REF!</v>
      </c>
      <c r="FW57" t="e">
        <f>AND(#REF!,"EWlqLEiHALI=")</f>
        <v>#REF!</v>
      </c>
      <c r="FX57" t="e">
        <f>AND(#REF!,"EWlqLEiHALM=")</f>
        <v>#REF!</v>
      </c>
      <c r="FY57" t="e">
        <f>AND(#REF!,"EWlqLEiHALQ=")</f>
        <v>#REF!</v>
      </c>
      <c r="FZ57" t="e">
        <f>AND(#REF!,"EWlqLEiHALU=")</f>
        <v>#REF!</v>
      </c>
      <c r="GA57" t="e">
        <f>AND(#REF!,"EWlqLEiHALY=")</f>
        <v>#REF!</v>
      </c>
      <c r="GB57" t="e">
        <f>AND(#REF!,"EWlqLEiHALc=")</f>
        <v>#REF!</v>
      </c>
      <c r="GC57" t="e">
        <f>AND(#REF!,"EWlqLEiHALg=")</f>
        <v>#REF!</v>
      </c>
      <c r="GD57" t="e">
        <f>AND(#REF!,"EWlqLEiHALk=")</f>
        <v>#REF!</v>
      </c>
      <c r="GE57" t="e">
        <f>AND(#REF!,"EWlqLEiHALo=")</f>
        <v>#REF!</v>
      </c>
      <c r="GF57" t="e">
        <f>AND(#REF!,"EWlqLEiHALs=")</f>
        <v>#REF!</v>
      </c>
      <c r="GG57" t="e">
        <f>AND(#REF!,"EWlqLEiHALw=")</f>
        <v>#REF!</v>
      </c>
      <c r="GH57" t="e">
        <f>AND(#REF!,"EWlqLEiHAL0=")</f>
        <v>#REF!</v>
      </c>
      <c r="GI57" t="e">
        <f>AND(#REF!,"EWlqLEiHAL4=")</f>
        <v>#REF!</v>
      </c>
      <c r="GJ57" t="e">
        <f>AND(#REF!,"EWlqLEiHAL8=")</f>
        <v>#REF!</v>
      </c>
      <c r="GK57" t="e">
        <f>AND(#REF!,"EWlqLEiHAMA=")</f>
        <v>#REF!</v>
      </c>
      <c r="GL57" t="e">
        <f>AND(#REF!,"EWlqLEiHAME=")</f>
        <v>#REF!</v>
      </c>
      <c r="GM57" t="e">
        <f>AND(#REF!,"EWlqLEiHAMI=")</f>
        <v>#REF!</v>
      </c>
      <c r="GN57" t="e">
        <f>AND(#REF!,"EWlqLEiHAMM=")</f>
        <v>#REF!</v>
      </c>
      <c r="GO57" t="e">
        <f>AND(#REF!,"EWlqLEiHAMQ=")</f>
        <v>#REF!</v>
      </c>
      <c r="GP57" t="e">
        <f>AND(#REF!,"EWlqLEiHAMU=")</f>
        <v>#REF!</v>
      </c>
      <c r="GQ57" t="e">
        <f>AND(#REF!,"EWlqLEiHAMY=")</f>
        <v>#REF!</v>
      </c>
      <c r="GR57" t="e">
        <f>AND(#REF!,"EWlqLEiHAMc=")</f>
        <v>#REF!</v>
      </c>
      <c r="GS57" t="e">
        <f>AND(#REF!,"EWlqLEiHAMg=")</f>
        <v>#REF!</v>
      </c>
      <c r="GT57" t="e">
        <f>AND(#REF!,"EWlqLEiHAMk=")</f>
        <v>#REF!</v>
      </c>
      <c r="GU57" t="e">
        <f>AND(#REF!,"EWlqLEiHAMo=")</f>
        <v>#REF!</v>
      </c>
      <c r="GV57" t="e">
        <f>AND(#REF!,"EWlqLEiHAMs=")</f>
        <v>#REF!</v>
      </c>
      <c r="GW57" t="e">
        <f>AND(#REF!,"EWlqLEiHAMw=")</f>
        <v>#REF!</v>
      </c>
      <c r="GX57" t="e">
        <f>AND(#REF!,"EWlqLEiHAM0=")</f>
        <v>#REF!</v>
      </c>
      <c r="GY57" t="e">
        <f>AND(#REF!,"EWlqLEiHAM4=")</f>
        <v>#REF!</v>
      </c>
      <c r="GZ57" t="e">
        <f>AND(#REF!,"EWlqLEiHAM8=")</f>
        <v>#REF!</v>
      </c>
      <c r="HA57" t="e">
        <f>AND(#REF!,"EWlqLEiHANA=")</f>
        <v>#REF!</v>
      </c>
      <c r="HB57" t="e">
        <f>AND(#REF!,"EWlqLEiHANE=")</f>
        <v>#REF!</v>
      </c>
      <c r="HC57" t="e">
        <f>AND(#REF!,"EWlqLEiHANI=")</f>
        <v>#REF!</v>
      </c>
      <c r="HD57" t="e">
        <f>AND(#REF!,"EWlqLEiHANM=")</f>
        <v>#REF!</v>
      </c>
      <c r="HE57" t="e">
        <f>AND(#REF!,"EWlqLEiHANQ=")</f>
        <v>#REF!</v>
      </c>
      <c r="HF57" t="e">
        <f>AND(#REF!,"EWlqLEiHANU=")</f>
        <v>#REF!</v>
      </c>
      <c r="HG57" t="e">
        <f>AND(#REF!,"EWlqLEiHANY=")</f>
        <v>#REF!</v>
      </c>
      <c r="HH57" t="e">
        <f>AND(#REF!,"EWlqLEiHANc=")</f>
        <v>#REF!</v>
      </c>
      <c r="HI57" t="e">
        <f>AND(#REF!,"EWlqLEiHANg=")</f>
        <v>#REF!</v>
      </c>
      <c r="HJ57" t="e">
        <f>AND(#REF!,"EWlqLEiHANk=")</f>
        <v>#REF!</v>
      </c>
      <c r="HK57" t="e">
        <f>AND(#REF!,"EWlqLEiHANo=")</f>
        <v>#REF!</v>
      </c>
      <c r="HL57" t="e">
        <f>AND(#REF!,"EWlqLEiHANs=")</f>
        <v>#REF!</v>
      </c>
      <c r="HM57" t="e">
        <f>AND(#REF!,"EWlqLEiHANw=")</f>
        <v>#REF!</v>
      </c>
      <c r="HN57" t="e">
        <f>AND(#REF!,"EWlqLEiHAN0=")</f>
        <v>#REF!</v>
      </c>
      <c r="HO57" t="e">
        <f>AND(#REF!,"EWlqLEiHAN4=")</f>
        <v>#REF!</v>
      </c>
      <c r="HP57" t="e">
        <f>AND(#REF!,"EWlqLEiHAN8=")</f>
        <v>#REF!</v>
      </c>
      <c r="HQ57" t="e">
        <f>AND(#REF!,"EWlqLEiHAOA=")</f>
        <v>#REF!</v>
      </c>
      <c r="HR57" t="e">
        <f>AND(#REF!,"EWlqLEiHAOE=")</f>
        <v>#REF!</v>
      </c>
      <c r="HS57" t="e">
        <f>AND(#REF!,"EWlqLEiHAOI=")</f>
        <v>#REF!</v>
      </c>
      <c r="HT57" t="e">
        <f>AND(#REF!,"EWlqLEiHAOM=")</f>
        <v>#REF!</v>
      </c>
      <c r="HU57" t="e">
        <f>AND(#REF!,"EWlqLEiHAOQ=")</f>
        <v>#REF!</v>
      </c>
      <c r="HV57" t="e">
        <f>AND(#REF!,"EWlqLEiHAOU=")</f>
        <v>#REF!</v>
      </c>
      <c r="HW57" t="e">
        <f>AND(#REF!,"EWlqLEiHAOY=")</f>
        <v>#REF!</v>
      </c>
      <c r="HX57" t="e">
        <f>AND(#REF!,"EWlqLEiHAOc=")</f>
        <v>#REF!</v>
      </c>
      <c r="HY57" t="e">
        <f>AND(#REF!,"EWlqLEiHAOg=")</f>
        <v>#REF!</v>
      </c>
      <c r="HZ57" t="e">
        <f>AND(#REF!,"EWlqLEiHAOk=")</f>
        <v>#REF!</v>
      </c>
      <c r="IA57" t="e">
        <f>AND(#REF!,"EWlqLEiHAOo=")</f>
        <v>#REF!</v>
      </c>
      <c r="IB57" t="e">
        <f>AND(#REF!,"EWlqLEiHAOs=")</f>
        <v>#REF!</v>
      </c>
      <c r="IC57" t="e">
        <f>AND(#REF!,"EWlqLEiHAOw=")</f>
        <v>#REF!</v>
      </c>
      <c r="ID57" t="e">
        <f>AND(#REF!,"EWlqLEiHAO0=")</f>
        <v>#REF!</v>
      </c>
      <c r="IE57" t="e">
        <f>AND(#REF!,"EWlqLEiHAO4=")</f>
        <v>#REF!</v>
      </c>
      <c r="IF57" t="e">
        <f>AND(#REF!,"EWlqLEiHAO8=")</f>
        <v>#REF!</v>
      </c>
      <c r="IG57" t="e">
        <f>AND(#REF!,"EWlqLEiHAPA=")</f>
        <v>#REF!</v>
      </c>
      <c r="IH57" t="e">
        <f>AND(#REF!,"EWlqLEiHAPE=")</f>
        <v>#REF!</v>
      </c>
      <c r="II57" t="e">
        <f>AND(#REF!,"EWlqLEiHAPI=")</f>
        <v>#REF!</v>
      </c>
      <c r="IJ57" t="e">
        <f>AND(#REF!,"EWlqLEiHAPM=")</f>
        <v>#REF!</v>
      </c>
      <c r="IK57" t="e">
        <f>AND(#REF!,"EWlqLEiHAPQ=")</f>
        <v>#REF!</v>
      </c>
      <c r="IL57" t="e">
        <f>AND(#REF!,"EWlqLEiHAPU=")</f>
        <v>#REF!</v>
      </c>
      <c r="IM57" t="e">
        <f>AND(#REF!,"EWlqLEiHAPY=")</f>
        <v>#REF!</v>
      </c>
      <c r="IN57" t="e">
        <f>AND(#REF!,"EWlqLEiHAPc=")</f>
        <v>#REF!</v>
      </c>
      <c r="IO57" t="e">
        <f>AND(#REF!,"EWlqLEiHAPg=")</f>
        <v>#REF!</v>
      </c>
      <c r="IP57" t="e">
        <f>AND(#REF!,"EWlqLEiHAPk=")</f>
        <v>#REF!</v>
      </c>
      <c r="IQ57" t="e">
        <f>AND(#REF!,"EWlqLEiHAPo=")</f>
        <v>#REF!</v>
      </c>
      <c r="IR57" t="e">
        <f>AND(#REF!,"EWlqLEiHAPs=")</f>
        <v>#REF!</v>
      </c>
      <c r="IS57" t="e">
        <f>AND(#REF!,"EWlqLEiHAPw=")</f>
        <v>#REF!</v>
      </c>
      <c r="IT57" t="e">
        <f>AND(#REF!,"EWlqLEiHAP0=")</f>
        <v>#REF!</v>
      </c>
      <c r="IU57" t="e">
        <f>AND(#REF!,"EWlqLEiHAP4=")</f>
        <v>#REF!</v>
      </c>
      <c r="IV57" t="e">
        <f>AND(#REF!,"EWlqLEiHAP8=")</f>
        <v>#REF!</v>
      </c>
    </row>
    <row r="58" spans="1:256" x14ac:dyDescent="0.2">
      <c r="A58" t="e">
        <f>AND(#REF!,"WgtSVAK7hAA=")</f>
        <v>#REF!</v>
      </c>
      <c r="B58" t="e">
        <f>AND(#REF!,"WgtSVAK7hAE=")</f>
        <v>#REF!</v>
      </c>
      <c r="C58" t="e">
        <f>AND(#REF!,"WgtSVAK7hAI=")</f>
        <v>#REF!</v>
      </c>
      <c r="D58" t="e">
        <f>AND(#REF!,"WgtSVAK7hAM=")</f>
        <v>#REF!</v>
      </c>
      <c r="E58" t="e">
        <f>AND(#REF!,"WgtSVAK7hAQ=")</f>
        <v>#REF!</v>
      </c>
      <c r="F58" t="e">
        <f>AND(#REF!,"WgtSVAK7hAU=")</f>
        <v>#REF!</v>
      </c>
      <c r="G58" t="e">
        <f>AND(#REF!,"WgtSVAK7hAY=")</f>
        <v>#REF!</v>
      </c>
      <c r="H58" t="e">
        <f>AND(#REF!,"WgtSVAK7hAc=")</f>
        <v>#REF!</v>
      </c>
      <c r="I58" t="e">
        <f>AND(#REF!,"WgtSVAK7hAg=")</f>
        <v>#REF!</v>
      </c>
      <c r="J58" t="e">
        <f>AND(#REF!,"WgtSVAK7hAk=")</f>
        <v>#REF!</v>
      </c>
      <c r="K58" t="e">
        <f>AND(#REF!,"WgtSVAK7hAo=")</f>
        <v>#REF!</v>
      </c>
      <c r="L58" t="e">
        <f>AND(#REF!,"WgtSVAK7hAs=")</f>
        <v>#REF!</v>
      </c>
      <c r="M58" t="e">
        <f>AND(#REF!,"WgtSVAK7hAw=")</f>
        <v>#REF!</v>
      </c>
      <c r="N58" t="e">
        <f>AND(#REF!,"WgtSVAK7hA0=")</f>
        <v>#REF!</v>
      </c>
      <c r="O58" t="e">
        <f>AND(#REF!,"WgtSVAK7hA4=")</f>
        <v>#REF!</v>
      </c>
      <c r="P58" t="e">
        <f>AND(#REF!,"WgtSVAK7hA8=")</f>
        <v>#REF!</v>
      </c>
      <c r="Q58" t="e">
        <f>AND(#REF!,"WgtSVAK7hBA=")</f>
        <v>#REF!</v>
      </c>
      <c r="R58" t="e">
        <f>AND(#REF!,"WgtSVAK7hBE=")</f>
        <v>#REF!</v>
      </c>
      <c r="S58" t="e">
        <f>AND(#REF!,"WgtSVAK7hBI=")</f>
        <v>#REF!</v>
      </c>
      <c r="T58" t="e">
        <f>AND(#REF!,"WgtSVAK7hBM=")</f>
        <v>#REF!</v>
      </c>
      <c r="U58" t="e">
        <f>AND(#REF!,"WgtSVAK7hBQ=")</f>
        <v>#REF!</v>
      </c>
      <c r="V58" t="e">
        <f>AND(#REF!,"WgtSVAK7hBU=")</f>
        <v>#REF!</v>
      </c>
      <c r="W58" t="e">
        <f>AND(#REF!,"WgtSVAK7hBY=")</f>
        <v>#REF!</v>
      </c>
      <c r="X58" t="e">
        <f>AND(#REF!,"WgtSVAK7hBc=")</f>
        <v>#REF!</v>
      </c>
      <c r="Y58" t="e">
        <f>AND(#REF!,"WgtSVAK7hBg=")</f>
        <v>#REF!</v>
      </c>
      <c r="Z58" t="e">
        <f>AND(#REF!,"WgtSVAK7hBk=")</f>
        <v>#REF!</v>
      </c>
      <c r="AA58" t="e">
        <f>AND(#REF!,"WgtSVAK7hBo=")</f>
        <v>#REF!</v>
      </c>
      <c r="AB58" t="e">
        <f>AND(#REF!,"WgtSVAK7hBs=")</f>
        <v>#REF!</v>
      </c>
      <c r="AC58" t="e">
        <f>AND(#REF!,"WgtSVAK7hBw=")</f>
        <v>#REF!</v>
      </c>
      <c r="AD58" t="e">
        <f>AND(#REF!,"WgtSVAK7hB0=")</f>
        <v>#REF!</v>
      </c>
      <c r="AE58" t="e">
        <f>AND(#REF!,"WgtSVAK7hB4=")</f>
        <v>#REF!</v>
      </c>
      <c r="AF58" t="e">
        <f>AND(#REF!,"WgtSVAK7hB8=")</f>
        <v>#REF!</v>
      </c>
      <c r="AG58" t="e">
        <f>AND(#REF!,"WgtSVAK7hCA=")</f>
        <v>#REF!</v>
      </c>
      <c r="AH58" t="e">
        <f>AND(#REF!,"WgtSVAK7hCE=")</f>
        <v>#REF!</v>
      </c>
      <c r="AI58" t="e">
        <f>AND(#REF!,"WgtSVAK7hCI=")</f>
        <v>#REF!</v>
      </c>
      <c r="AJ58" t="e">
        <f>AND(#REF!,"WgtSVAK7hCM=")</f>
        <v>#REF!</v>
      </c>
      <c r="AK58" t="e">
        <f>AND(#REF!,"WgtSVAK7hCQ=")</f>
        <v>#REF!</v>
      </c>
      <c r="AL58" t="e">
        <f>AND(#REF!,"WgtSVAK7hCU=")</f>
        <v>#REF!</v>
      </c>
      <c r="AM58" t="e">
        <f>AND(#REF!,"WgtSVAK7hCY=")</f>
        <v>#REF!</v>
      </c>
      <c r="AN58" t="e">
        <f>AND(#REF!,"WgtSVAK7hCc=")</f>
        <v>#REF!</v>
      </c>
      <c r="AO58" t="e">
        <f>AND(#REF!,"WgtSVAK7hCg=")</f>
        <v>#REF!</v>
      </c>
      <c r="AP58" t="e">
        <f>AND(#REF!,"WgtSVAK7hCk=")</f>
        <v>#REF!</v>
      </c>
      <c r="AQ58" t="e">
        <f>AND(#REF!,"WgtSVAK7hCo=")</f>
        <v>#REF!</v>
      </c>
      <c r="AR58" t="e">
        <f>AND(#REF!,"WgtSVAK7hCs=")</f>
        <v>#REF!</v>
      </c>
      <c r="AS58" t="e">
        <f>AND(#REF!,"WgtSVAK7hCw=")</f>
        <v>#REF!</v>
      </c>
      <c r="AT58" t="e">
        <f>AND(#REF!,"WgtSVAK7hC0=")</f>
        <v>#REF!</v>
      </c>
      <c r="AU58" t="e">
        <f>AND(#REF!,"WgtSVAK7hC4=")</f>
        <v>#REF!</v>
      </c>
      <c r="AV58" t="e">
        <f>AND(#REF!,"WgtSVAK7hC8=")</f>
        <v>#REF!</v>
      </c>
      <c r="AW58" t="e">
        <f>AND(#REF!,"WgtSVAK7hDA=")</f>
        <v>#REF!</v>
      </c>
      <c r="AX58" t="e">
        <f>AND(#REF!,"WgtSVAK7hDE=")</f>
        <v>#REF!</v>
      </c>
      <c r="AY58" t="e">
        <f>AND(#REF!,"WgtSVAK7hDI=")</f>
        <v>#REF!</v>
      </c>
      <c r="AZ58" t="e">
        <f>AND(#REF!,"WgtSVAK7hDM=")</f>
        <v>#REF!</v>
      </c>
      <c r="BA58" t="e">
        <f>AND(#REF!,"WgtSVAK7hDQ=")</f>
        <v>#REF!</v>
      </c>
      <c r="BB58" t="e">
        <f>AND(#REF!,"WgtSVAK7hDU=")</f>
        <v>#REF!</v>
      </c>
      <c r="BC58" t="e">
        <f>AND(#REF!,"WgtSVAK7hDY=")</f>
        <v>#REF!</v>
      </c>
      <c r="BD58" t="e">
        <f>AND(#REF!,"WgtSVAK7hDc=")</f>
        <v>#REF!</v>
      </c>
      <c r="BE58" t="e">
        <f>AND(#REF!,"WgtSVAK7hDg=")</f>
        <v>#REF!</v>
      </c>
      <c r="BF58" t="e">
        <f>AND(#REF!,"WgtSVAK7hDk=")</f>
        <v>#REF!</v>
      </c>
      <c r="BG58" t="e">
        <f>AND(#REF!,"WgtSVAK7hDo=")</f>
        <v>#REF!</v>
      </c>
      <c r="BH58" t="e">
        <f>AND(#REF!,"WgtSVAK7hDs=")</f>
        <v>#REF!</v>
      </c>
      <c r="BI58" t="e">
        <f>AND(#REF!,"WgtSVAK7hDw=")</f>
        <v>#REF!</v>
      </c>
      <c r="BJ58" t="e">
        <f>AND(#REF!,"WgtSVAK7hD0=")</f>
        <v>#REF!</v>
      </c>
      <c r="BK58" t="e">
        <f>AND(#REF!,"WgtSVAK7hD4=")</f>
        <v>#REF!</v>
      </c>
      <c r="BL58" t="e">
        <f>AND(#REF!,"WgtSVAK7hD8=")</f>
        <v>#REF!</v>
      </c>
      <c r="BM58" t="e">
        <f>AND(#REF!,"WgtSVAK7hEA=")</f>
        <v>#REF!</v>
      </c>
      <c r="BN58" t="e">
        <f>AND(#REF!,"WgtSVAK7hEE=")</f>
        <v>#REF!</v>
      </c>
      <c r="BO58" t="e">
        <f>AND(#REF!,"WgtSVAK7hEI=")</f>
        <v>#REF!</v>
      </c>
      <c r="BP58" t="e">
        <f>AND(#REF!,"WgtSVAK7hEM=")</f>
        <v>#REF!</v>
      </c>
      <c r="BQ58" t="e">
        <f>AND(#REF!,"WgtSVAK7hEQ=")</f>
        <v>#REF!</v>
      </c>
      <c r="BR58" t="e">
        <f>AND(#REF!,"WgtSVAK7hEU=")</f>
        <v>#REF!</v>
      </c>
      <c r="BS58" t="e">
        <f>AND(#REF!,"WgtSVAK7hEY=")</f>
        <v>#REF!</v>
      </c>
      <c r="BT58" t="e">
        <f>AND(#REF!,"WgtSVAK7hEc=")</f>
        <v>#REF!</v>
      </c>
      <c r="BU58" t="e">
        <f>AND(#REF!,"WgtSVAK7hEg=")</f>
        <v>#REF!</v>
      </c>
      <c r="BV58" t="e">
        <f>AND(#REF!,"WgtSVAK7hEk=")</f>
        <v>#REF!</v>
      </c>
      <c r="BW58" t="e">
        <f>AND(#REF!,"WgtSVAK7hEo=")</f>
        <v>#REF!</v>
      </c>
      <c r="BX58" t="e">
        <f>AND(#REF!,"WgtSVAK7hEs=")</f>
        <v>#REF!</v>
      </c>
      <c r="BY58" t="e">
        <f>AND(#REF!,"WgtSVAK7hEw=")</f>
        <v>#REF!</v>
      </c>
      <c r="BZ58" t="e">
        <f>AND(#REF!,"WgtSVAK7hE0=")</f>
        <v>#REF!</v>
      </c>
      <c r="CA58" t="e">
        <f>AND(#REF!,"WgtSVAK7hE4=")</f>
        <v>#REF!</v>
      </c>
      <c r="CB58" t="e">
        <f>AND(#REF!,"WgtSVAK7hE8=")</f>
        <v>#REF!</v>
      </c>
      <c r="CC58" t="e">
        <f>IF(#REF!,"WgtSVAK7hFA=",0)</f>
        <v>#REF!</v>
      </c>
      <c r="CD58" t="e">
        <f>AND(#REF!,"WgtSVAK7hFE=")</f>
        <v>#REF!</v>
      </c>
      <c r="CE58" t="e">
        <f>AND(#REF!,"WgtSVAK7hFI=")</f>
        <v>#REF!</v>
      </c>
      <c r="CF58" t="e">
        <f>AND(#REF!,"WgtSVAK7hFM=")</f>
        <v>#REF!</v>
      </c>
      <c r="CG58" t="e">
        <f>AND(#REF!,"WgtSVAK7hFQ=")</f>
        <v>#REF!</v>
      </c>
      <c r="CH58" t="e">
        <f>AND(#REF!,"WgtSVAK7hFU=")</f>
        <v>#REF!</v>
      </c>
      <c r="CI58" t="e">
        <f>AND(#REF!,"WgtSVAK7hFY=")</f>
        <v>#REF!</v>
      </c>
      <c r="CJ58" t="e">
        <f>AND(#REF!,"WgtSVAK7hFc=")</f>
        <v>#REF!</v>
      </c>
      <c r="CK58" t="e">
        <f>AND(#REF!,"WgtSVAK7hFg=")</f>
        <v>#REF!</v>
      </c>
      <c r="CL58" t="e">
        <f>AND(#REF!,"WgtSVAK7hFk=")</f>
        <v>#REF!</v>
      </c>
      <c r="CM58" t="e">
        <f>AND(#REF!,"WgtSVAK7hFo=")</f>
        <v>#REF!</v>
      </c>
      <c r="CN58" t="e">
        <f>AND(#REF!,"WgtSVAK7hFs=")</f>
        <v>#REF!</v>
      </c>
      <c r="CO58" t="e">
        <f>AND(#REF!,"WgtSVAK7hFw=")</f>
        <v>#REF!</v>
      </c>
      <c r="CP58" t="e">
        <f>AND(#REF!,"WgtSVAK7hF0=")</f>
        <v>#REF!</v>
      </c>
      <c r="CQ58" t="e">
        <f>AND(#REF!,"WgtSVAK7hF4=")</f>
        <v>#REF!</v>
      </c>
      <c r="CR58" t="e">
        <f>AND(#REF!,"WgtSVAK7hF8=")</f>
        <v>#REF!</v>
      </c>
      <c r="CS58" t="e">
        <f>AND(#REF!,"WgtSVAK7hGA=")</f>
        <v>#REF!</v>
      </c>
      <c r="CT58" t="e">
        <f>AND(#REF!,"WgtSVAK7hGE=")</f>
        <v>#REF!</v>
      </c>
      <c r="CU58" t="e">
        <f>AND(#REF!,"WgtSVAK7hGI=")</f>
        <v>#REF!</v>
      </c>
      <c r="CV58" t="e">
        <f>AND(#REF!,"WgtSVAK7hGM=")</f>
        <v>#REF!</v>
      </c>
      <c r="CW58" t="e">
        <f>AND(#REF!,"WgtSVAK7hGQ=")</f>
        <v>#REF!</v>
      </c>
      <c r="CX58" t="e">
        <f>AND(#REF!,"WgtSVAK7hGU=")</f>
        <v>#REF!</v>
      </c>
      <c r="CY58" t="e">
        <f>AND(#REF!,"WgtSVAK7hGY=")</f>
        <v>#REF!</v>
      </c>
      <c r="CZ58" t="e">
        <f>AND(#REF!,"WgtSVAK7hGc=")</f>
        <v>#REF!</v>
      </c>
      <c r="DA58" t="e">
        <f>AND(#REF!,"WgtSVAK7hGg=")</f>
        <v>#REF!</v>
      </c>
      <c r="DB58" t="e">
        <f>AND(#REF!,"WgtSVAK7hGk=")</f>
        <v>#REF!</v>
      </c>
      <c r="DC58" t="e">
        <f>AND(#REF!,"WgtSVAK7hGo=")</f>
        <v>#REF!</v>
      </c>
      <c r="DD58" t="e">
        <f>AND(#REF!,"WgtSVAK7hGs=")</f>
        <v>#REF!</v>
      </c>
      <c r="DE58" t="e">
        <f>AND(#REF!,"WgtSVAK7hGw=")</f>
        <v>#REF!</v>
      </c>
      <c r="DF58" t="e">
        <f>AND(#REF!,"WgtSVAK7hG0=")</f>
        <v>#REF!</v>
      </c>
      <c r="DG58" t="e">
        <f>AND(#REF!,"WgtSVAK7hG4=")</f>
        <v>#REF!</v>
      </c>
      <c r="DH58" t="e">
        <f>AND(#REF!,"WgtSVAK7hG8=")</f>
        <v>#REF!</v>
      </c>
      <c r="DI58" t="e">
        <f>AND(#REF!,"WgtSVAK7hHA=")</f>
        <v>#REF!</v>
      </c>
      <c r="DJ58" t="e">
        <f>AND(#REF!,"WgtSVAK7hHE=")</f>
        <v>#REF!</v>
      </c>
      <c r="DK58" t="e">
        <f>AND(#REF!,"WgtSVAK7hHI=")</f>
        <v>#REF!</v>
      </c>
      <c r="DL58" t="e">
        <f>AND(#REF!,"WgtSVAK7hHM=")</f>
        <v>#REF!</v>
      </c>
      <c r="DM58" t="e">
        <f>AND(#REF!,"WgtSVAK7hHQ=")</f>
        <v>#REF!</v>
      </c>
      <c r="DN58" t="e">
        <f>AND(#REF!,"WgtSVAK7hHU=")</f>
        <v>#REF!</v>
      </c>
      <c r="DO58" t="e">
        <f>AND(#REF!,"WgtSVAK7hHY=")</f>
        <v>#REF!</v>
      </c>
      <c r="DP58" t="e">
        <f>AND(#REF!,"WgtSVAK7hHc=")</f>
        <v>#REF!</v>
      </c>
      <c r="DQ58" t="e">
        <f>AND(#REF!,"WgtSVAK7hHg=")</f>
        <v>#REF!</v>
      </c>
      <c r="DR58" t="e">
        <f>AND(#REF!,"WgtSVAK7hHk=")</f>
        <v>#REF!</v>
      </c>
      <c r="DS58" t="e">
        <f>AND(#REF!,"WgtSVAK7hHo=")</f>
        <v>#REF!</v>
      </c>
      <c r="DT58" t="e">
        <f>AND(#REF!,"WgtSVAK7hHs=")</f>
        <v>#REF!</v>
      </c>
      <c r="DU58" t="e">
        <f>AND(#REF!,"WgtSVAK7hHw=")</f>
        <v>#REF!</v>
      </c>
      <c r="DV58" t="e">
        <f>AND(#REF!,"WgtSVAK7hH0=")</f>
        <v>#REF!</v>
      </c>
      <c r="DW58" t="e">
        <f>AND(#REF!,"WgtSVAK7hH4=")</f>
        <v>#REF!</v>
      </c>
      <c r="DX58" t="e">
        <f>AND(#REF!,"WgtSVAK7hH8=")</f>
        <v>#REF!</v>
      </c>
      <c r="DY58" t="e">
        <f>AND(#REF!,"WgtSVAK7hIA=")</f>
        <v>#REF!</v>
      </c>
      <c r="DZ58" t="e">
        <f>AND(#REF!,"WgtSVAK7hIE=")</f>
        <v>#REF!</v>
      </c>
      <c r="EA58" t="e">
        <f>AND(#REF!,"WgtSVAK7hII=")</f>
        <v>#REF!</v>
      </c>
      <c r="EB58" t="e">
        <f>AND(#REF!,"WgtSVAK7hIM=")</f>
        <v>#REF!</v>
      </c>
      <c r="EC58" t="e">
        <f>AND(#REF!,"WgtSVAK7hIQ=")</f>
        <v>#REF!</v>
      </c>
      <c r="ED58" t="e">
        <f>AND(#REF!,"WgtSVAK7hIU=")</f>
        <v>#REF!</v>
      </c>
      <c r="EE58" t="e">
        <f>AND(#REF!,"WgtSVAK7hIY=")</f>
        <v>#REF!</v>
      </c>
      <c r="EF58" t="e">
        <f>AND(#REF!,"WgtSVAK7hIc=")</f>
        <v>#REF!</v>
      </c>
      <c r="EG58" t="e">
        <f>AND(#REF!,"WgtSVAK7hIg=")</f>
        <v>#REF!</v>
      </c>
      <c r="EH58" t="e">
        <f>AND(#REF!,"WgtSVAK7hIk=")</f>
        <v>#REF!</v>
      </c>
      <c r="EI58" t="e">
        <f>AND(#REF!,"WgtSVAK7hIo=")</f>
        <v>#REF!</v>
      </c>
      <c r="EJ58" t="e">
        <f>AND(#REF!,"WgtSVAK7hIs=")</f>
        <v>#REF!</v>
      </c>
      <c r="EK58" t="e">
        <f>AND(#REF!,"WgtSVAK7hIw=")</f>
        <v>#REF!</v>
      </c>
      <c r="EL58" t="e">
        <f>AND(#REF!,"WgtSVAK7hI0=")</f>
        <v>#REF!</v>
      </c>
      <c r="EM58" t="e">
        <f>AND(#REF!,"WgtSVAK7hI4=")</f>
        <v>#REF!</v>
      </c>
      <c r="EN58" t="e">
        <f>AND(#REF!,"WgtSVAK7hI8=")</f>
        <v>#REF!</v>
      </c>
      <c r="EO58" t="e">
        <f>AND(#REF!,"WgtSVAK7hJA=")</f>
        <v>#REF!</v>
      </c>
      <c r="EP58" t="e">
        <f>AND(#REF!,"WgtSVAK7hJE=")</f>
        <v>#REF!</v>
      </c>
      <c r="EQ58" t="e">
        <f>AND(#REF!,"WgtSVAK7hJI=")</f>
        <v>#REF!</v>
      </c>
      <c r="ER58" t="e">
        <f>AND(#REF!,"WgtSVAK7hJM=")</f>
        <v>#REF!</v>
      </c>
      <c r="ES58" t="e">
        <f>AND(#REF!,"WgtSVAK7hJQ=")</f>
        <v>#REF!</v>
      </c>
      <c r="ET58" t="e">
        <f>AND(#REF!,"WgtSVAK7hJU=")</f>
        <v>#REF!</v>
      </c>
      <c r="EU58" t="e">
        <f>AND(#REF!,"WgtSVAK7hJY=")</f>
        <v>#REF!</v>
      </c>
      <c r="EV58" t="e">
        <f>AND(#REF!,"WgtSVAK7hJc=")</f>
        <v>#REF!</v>
      </c>
      <c r="EW58" t="e">
        <f>AND(#REF!,"WgtSVAK7hJg=")</f>
        <v>#REF!</v>
      </c>
      <c r="EX58" t="e">
        <f>AND(#REF!,"WgtSVAK7hJk=")</f>
        <v>#REF!</v>
      </c>
      <c r="EY58" t="e">
        <f>AND(#REF!,"WgtSVAK7hJo=")</f>
        <v>#REF!</v>
      </c>
      <c r="EZ58" t="e">
        <f>AND(#REF!,"WgtSVAK7hJs=")</f>
        <v>#REF!</v>
      </c>
      <c r="FA58" t="e">
        <f>AND(#REF!,"WgtSVAK7hJw=")</f>
        <v>#REF!</v>
      </c>
      <c r="FB58" t="e">
        <f>AND(#REF!,"WgtSVAK7hJ0=")</f>
        <v>#REF!</v>
      </c>
      <c r="FC58" t="e">
        <f>AND(#REF!,"WgtSVAK7hJ4=")</f>
        <v>#REF!</v>
      </c>
      <c r="FD58" t="e">
        <f>AND(#REF!,"WgtSVAK7hJ8=")</f>
        <v>#REF!</v>
      </c>
      <c r="FE58" t="e">
        <f>AND(#REF!,"WgtSVAK7hKA=")</f>
        <v>#REF!</v>
      </c>
      <c r="FF58" t="e">
        <f>AND(#REF!,"WgtSVAK7hKE=")</f>
        <v>#REF!</v>
      </c>
      <c r="FG58" t="e">
        <f>AND(#REF!,"WgtSVAK7hKI=")</f>
        <v>#REF!</v>
      </c>
      <c r="FH58" t="e">
        <f>AND(#REF!,"WgtSVAK7hKM=")</f>
        <v>#REF!</v>
      </c>
      <c r="FI58" t="e">
        <f>AND(#REF!,"WgtSVAK7hKQ=")</f>
        <v>#REF!</v>
      </c>
      <c r="FJ58" t="e">
        <f>AND(#REF!,"WgtSVAK7hKU=")</f>
        <v>#REF!</v>
      </c>
      <c r="FK58" t="e">
        <f>AND(#REF!,"WgtSVAK7hKY=")</f>
        <v>#REF!</v>
      </c>
      <c r="FL58" t="e">
        <f>AND(#REF!,"WgtSVAK7hKc=")</f>
        <v>#REF!</v>
      </c>
      <c r="FM58" t="e">
        <f>AND(#REF!,"WgtSVAK7hKg=")</f>
        <v>#REF!</v>
      </c>
      <c r="FN58" t="e">
        <f>AND(#REF!,"WgtSVAK7hKk=")</f>
        <v>#REF!</v>
      </c>
      <c r="FO58" t="e">
        <f>AND(#REF!,"WgtSVAK7hKo=")</f>
        <v>#REF!</v>
      </c>
      <c r="FP58" t="e">
        <f>AND(#REF!,"WgtSVAK7hKs=")</f>
        <v>#REF!</v>
      </c>
      <c r="FQ58" t="e">
        <f>AND(#REF!,"WgtSVAK7hKw=")</f>
        <v>#REF!</v>
      </c>
      <c r="FR58" t="e">
        <f>AND(#REF!,"WgtSVAK7hK0=")</f>
        <v>#REF!</v>
      </c>
      <c r="FS58" t="e">
        <f>AND(#REF!,"WgtSVAK7hK4=")</f>
        <v>#REF!</v>
      </c>
      <c r="FT58" t="e">
        <f>AND(#REF!,"WgtSVAK7hK8=")</f>
        <v>#REF!</v>
      </c>
      <c r="FU58" t="e">
        <f>AND(#REF!,"WgtSVAK7hLA=")</f>
        <v>#REF!</v>
      </c>
      <c r="FV58" t="e">
        <f>AND(#REF!,"WgtSVAK7hLE=")</f>
        <v>#REF!</v>
      </c>
      <c r="FW58" t="e">
        <f>AND(#REF!,"WgtSVAK7hLI=")</f>
        <v>#REF!</v>
      </c>
      <c r="FX58" t="e">
        <f>AND(#REF!,"WgtSVAK7hLM=")</f>
        <v>#REF!</v>
      </c>
      <c r="FY58" t="e">
        <f>AND(#REF!,"WgtSVAK7hLQ=")</f>
        <v>#REF!</v>
      </c>
      <c r="FZ58" t="e">
        <f>AND(#REF!,"WgtSVAK7hLU=")</f>
        <v>#REF!</v>
      </c>
      <c r="GA58" t="e">
        <f>AND(#REF!,"WgtSVAK7hLY=")</f>
        <v>#REF!</v>
      </c>
      <c r="GB58" t="e">
        <f>AND(#REF!,"WgtSVAK7hLc=")</f>
        <v>#REF!</v>
      </c>
      <c r="GC58" t="e">
        <f>AND(#REF!,"WgtSVAK7hLg=")</f>
        <v>#REF!</v>
      </c>
      <c r="GD58" t="e">
        <f>AND(#REF!,"WgtSVAK7hLk=")</f>
        <v>#REF!</v>
      </c>
      <c r="GE58" t="e">
        <f>AND(#REF!,"WgtSVAK7hLo=")</f>
        <v>#REF!</v>
      </c>
      <c r="GF58" t="e">
        <f>AND(#REF!,"WgtSVAK7hLs=")</f>
        <v>#REF!</v>
      </c>
      <c r="GG58" t="e">
        <f>AND(#REF!,"WgtSVAK7hLw=")</f>
        <v>#REF!</v>
      </c>
      <c r="GH58" t="e">
        <f>AND(#REF!,"WgtSVAK7hL0=")</f>
        <v>#REF!</v>
      </c>
      <c r="GI58" t="e">
        <f>AND(#REF!,"WgtSVAK7hL4=")</f>
        <v>#REF!</v>
      </c>
      <c r="GJ58" t="e">
        <f>AND(#REF!,"WgtSVAK7hL8=")</f>
        <v>#REF!</v>
      </c>
      <c r="GK58" t="e">
        <f>AND(#REF!,"WgtSVAK7hMA=")</f>
        <v>#REF!</v>
      </c>
      <c r="GL58" t="e">
        <f>AND(#REF!,"WgtSVAK7hME=")</f>
        <v>#REF!</v>
      </c>
      <c r="GM58" t="e">
        <f>AND(#REF!,"WgtSVAK7hMI=")</f>
        <v>#REF!</v>
      </c>
      <c r="GN58" t="e">
        <f>AND(#REF!,"WgtSVAK7hMM=")</f>
        <v>#REF!</v>
      </c>
      <c r="GO58" t="e">
        <f>AND(#REF!,"WgtSVAK7hMQ=")</f>
        <v>#REF!</v>
      </c>
      <c r="GP58" t="e">
        <f>AND(#REF!,"WgtSVAK7hMU=")</f>
        <v>#REF!</v>
      </c>
      <c r="GQ58" t="e">
        <f>AND(#REF!,"WgtSVAK7hMY=")</f>
        <v>#REF!</v>
      </c>
      <c r="GR58" t="e">
        <f>AND(#REF!,"WgtSVAK7hMc=")</f>
        <v>#REF!</v>
      </c>
      <c r="GS58" t="e">
        <f>AND(#REF!,"WgtSVAK7hMg=")</f>
        <v>#REF!</v>
      </c>
      <c r="GT58" t="e">
        <f>AND(#REF!,"WgtSVAK7hMk=")</f>
        <v>#REF!</v>
      </c>
      <c r="GU58" t="e">
        <f>AND(#REF!,"WgtSVAK7hMo=")</f>
        <v>#REF!</v>
      </c>
      <c r="GV58" t="e">
        <f>AND(#REF!,"WgtSVAK7hMs=")</f>
        <v>#REF!</v>
      </c>
      <c r="GW58" t="e">
        <f>AND(#REF!,"WgtSVAK7hMw=")</f>
        <v>#REF!</v>
      </c>
      <c r="GX58" t="e">
        <f>AND(#REF!,"WgtSVAK7hM0=")</f>
        <v>#REF!</v>
      </c>
      <c r="GY58" t="e">
        <f>AND(#REF!,"WgtSVAK7hM4=")</f>
        <v>#REF!</v>
      </c>
      <c r="GZ58" t="e">
        <f>AND(#REF!,"WgtSVAK7hM8=")</f>
        <v>#REF!</v>
      </c>
      <c r="HA58" t="e">
        <f>AND(#REF!,"WgtSVAK7hNA=")</f>
        <v>#REF!</v>
      </c>
      <c r="HB58" t="e">
        <f>AND(#REF!,"WgtSVAK7hNE=")</f>
        <v>#REF!</v>
      </c>
      <c r="HC58" t="e">
        <f>AND(#REF!,"WgtSVAK7hNI=")</f>
        <v>#REF!</v>
      </c>
      <c r="HD58" t="e">
        <f>AND(#REF!,"WgtSVAK7hNM=")</f>
        <v>#REF!</v>
      </c>
      <c r="HE58" t="e">
        <f>AND(#REF!,"WgtSVAK7hNQ=")</f>
        <v>#REF!</v>
      </c>
      <c r="HF58" t="e">
        <f>AND(#REF!,"WgtSVAK7hNU=")</f>
        <v>#REF!</v>
      </c>
      <c r="HG58" t="e">
        <f>AND(#REF!,"WgtSVAK7hNY=")</f>
        <v>#REF!</v>
      </c>
      <c r="HH58" t="e">
        <f>AND(#REF!,"WgtSVAK7hNc=")</f>
        <v>#REF!</v>
      </c>
      <c r="HI58" t="e">
        <f>AND(#REF!,"WgtSVAK7hNg=")</f>
        <v>#REF!</v>
      </c>
      <c r="HJ58" t="e">
        <f>AND(#REF!,"WgtSVAK7hNk=")</f>
        <v>#REF!</v>
      </c>
      <c r="HK58" t="e">
        <f>AND(#REF!,"WgtSVAK7hNo=")</f>
        <v>#REF!</v>
      </c>
      <c r="HL58" t="e">
        <f>AND(#REF!,"WgtSVAK7hNs=")</f>
        <v>#REF!</v>
      </c>
      <c r="HM58" t="e">
        <f>AND(#REF!,"WgtSVAK7hNw=")</f>
        <v>#REF!</v>
      </c>
      <c r="HN58" t="e">
        <f>AND(#REF!,"WgtSVAK7hN0=")</f>
        <v>#REF!</v>
      </c>
      <c r="HO58" t="e">
        <f>AND(#REF!,"WgtSVAK7hN4=")</f>
        <v>#REF!</v>
      </c>
      <c r="HP58" t="e">
        <f>AND(#REF!,"WgtSVAK7hN8=")</f>
        <v>#REF!</v>
      </c>
      <c r="HQ58" t="e">
        <f>AND(#REF!,"WgtSVAK7hOA=")</f>
        <v>#REF!</v>
      </c>
      <c r="HR58" t="e">
        <f>AND(#REF!,"WgtSVAK7hOE=")</f>
        <v>#REF!</v>
      </c>
      <c r="HS58" t="e">
        <f>AND(#REF!,"WgtSVAK7hOI=")</f>
        <v>#REF!</v>
      </c>
      <c r="HT58" t="e">
        <f>AND(#REF!,"WgtSVAK7hOM=")</f>
        <v>#REF!</v>
      </c>
      <c r="HU58" t="e">
        <f>AND(#REF!,"WgtSVAK7hOQ=")</f>
        <v>#REF!</v>
      </c>
      <c r="HV58" t="e">
        <f>AND(#REF!,"WgtSVAK7hOU=")</f>
        <v>#REF!</v>
      </c>
      <c r="HW58" t="e">
        <f>AND(#REF!,"WgtSVAK7hOY=")</f>
        <v>#REF!</v>
      </c>
      <c r="HX58" t="e">
        <f>AND(#REF!,"WgtSVAK7hOc=")</f>
        <v>#REF!</v>
      </c>
      <c r="HY58" t="e">
        <f>AND(#REF!,"WgtSVAK7hOg=")</f>
        <v>#REF!</v>
      </c>
      <c r="HZ58" t="e">
        <f>AND(#REF!,"WgtSVAK7hOk=")</f>
        <v>#REF!</v>
      </c>
      <c r="IA58" t="e">
        <f>AND(#REF!,"WgtSVAK7hOo=")</f>
        <v>#REF!</v>
      </c>
      <c r="IB58" t="e">
        <f>AND(#REF!,"WgtSVAK7hOs=")</f>
        <v>#REF!</v>
      </c>
      <c r="IC58" t="e">
        <f>AND(#REF!,"WgtSVAK7hOw=")</f>
        <v>#REF!</v>
      </c>
      <c r="ID58" t="e">
        <f>AND(#REF!,"WgtSVAK7hO0=")</f>
        <v>#REF!</v>
      </c>
      <c r="IE58" t="e">
        <f>AND(#REF!,"WgtSVAK7hO4=")</f>
        <v>#REF!</v>
      </c>
      <c r="IF58" t="e">
        <f>AND(#REF!,"WgtSVAK7hO8=")</f>
        <v>#REF!</v>
      </c>
      <c r="IG58" t="e">
        <f>AND(#REF!,"WgtSVAK7hPA=")</f>
        <v>#REF!</v>
      </c>
      <c r="IH58" t="e">
        <f>AND(#REF!,"WgtSVAK7hPE=")</f>
        <v>#REF!</v>
      </c>
      <c r="II58" t="e">
        <f>AND(#REF!,"WgtSVAK7hPI=")</f>
        <v>#REF!</v>
      </c>
      <c r="IJ58" t="e">
        <f>AND(#REF!,"WgtSVAK7hPM=")</f>
        <v>#REF!</v>
      </c>
      <c r="IK58" t="e">
        <f>AND(#REF!,"WgtSVAK7hPQ=")</f>
        <v>#REF!</v>
      </c>
      <c r="IL58" t="e">
        <f>AND(#REF!,"WgtSVAK7hPU=")</f>
        <v>#REF!</v>
      </c>
      <c r="IM58" t="e">
        <f>AND(#REF!,"WgtSVAK7hPY=")</f>
        <v>#REF!</v>
      </c>
      <c r="IN58" t="e">
        <f>AND(#REF!,"WgtSVAK7hPc=")</f>
        <v>#REF!</v>
      </c>
      <c r="IO58" t="e">
        <f>AND(#REF!,"WgtSVAK7hPg=")</f>
        <v>#REF!</v>
      </c>
      <c r="IP58" t="e">
        <f>AND(#REF!,"WgtSVAK7hPk=")</f>
        <v>#REF!</v>
      </c>
      <c r="IQ58" t="e">
        <f>AND(#REF!,"WgtSVAK7hPo=")</f>
        <v>#REF!</v>
      </c>
      <c r="IR58" t="e">
        <f>AND(#REF!,"WgtSVAK7hPs=")</f>
        <v>#REF!</v>
      </c>
      <c r="IS58" t="e">
        <f>AND(#REF!,"WgtSVAK7hPw=")</f>
        <v>#REF!</v>
      </c>
      <c r="IT58" t="e">
        <f>AND(#REF!,"WgtSVAK7hP0=")</f>
        <v>#REF!</v>
      </c>
      <c r="IU58" t="e">
        <f>AND(#REF!,"WgtSVAK7hP4=")</f>
        <v>#REF!</v>
      </c>
      <c r="IV58" t="e">
        <f>AND(#REF!,"WgtSVAK7hP8=")</f>
        <v>#REF!</v>
      </c>
    </row>
    <row r="59" spans="1:256" x14ac:dyDescent="0.2">
      <c r="A59" t="e">
        <f>AND(#REF!,"XL7PhE7G5QA=")</f>
        <v>#REF!</v>
      </c>
      <c r="B59" t="e">
        <f>AND(#REF!,"XL7PhE7G5QE=")</f>
        <v>#REF!</v>
      </c>
      <c r="C59" t="e">
        <f>AND(#REF!,"XL7PhE7G5QI=")</f>
        <v>#REF!</v>
      </c>
      <c r="D59" t="e">
        <f>AND(#REF!,"XL7PhE7G5QM=")</f>
        <v>#REF!</v>
      </c>
      <c r="E59" t="e">
        <f>AND(#REF!,"XL7PhE7G5QQ=")</f>
        <v>#REF!</v>
      </c>
      <c r="F59" t="e">
        <f>AND(#REF!,"XL7PhE7G5QU=")</f>
        <v>#REF!</v>
      </c>
      <c r="G59" t="e">
        <f>AND(#REF!,"XL7PhE7G5QY=")</f>
        <v>#REF!</v>
      </c>
      <c r="H59" t="e">
        <f>AND(#REF!,"XL7PhE7G5Qc=")</f>
        <v>#REF!</v>
      </c>
      <c r="I59" t="e">
        <f>AND(#REF!,"XL7PhE7G5Qg=")</f>
        <v>#REF!</v>
      </c>
      <c r="J59" t="e">
        <f>AND(#REF!,"XL7PhE7G5Qk=")</f>
        <v>#REF!</v>
      </c>
      <c r="K59" t="e">
        <f>AND(#REF!,"XL7PhE7G5Qo=")</f>
        <v>#REF!</v>
      </c>
      <c r="L59" t="e">
        <f>AND(#REF!,"XL7PhE7G5Qs=")</f>
        <v>#REF!</v>
      </c>
      <c r="M59" t="e">
        <f>AND(#REF!,"XL7PhE7G5Qw=")</f>
        <v>#REF!</v>
      </c>
      <c r="N59" t="e">
        <f>AND(#REF!,"XL7PhE7G5Q0=")</f>
        <v>#REF!</v>
      </c>
      <c r="O59" t="e">
        <f>AND(#REF!,"XL7PhE7G5Q4=")</f>
        <v>#REF!</v>
      </c>
      <c r="P59" t="e">
        <f>AND(#REF!,"XL7PhE7G5Q8=")</f>
        <v>#REF!</v>
      </c>
      <c r="Q59" t="e">
        <f>AND(#REF!,"XL7PhE7G5RA=")</f>
        <v>#REF!</v>
      </c>
      <c r="R59" t="e">
        <f>AND(#REF!,"XL7PhE7G5RE=")</f>
        <v>#REF!</v>
      </c>
      <c r="S59" t="e">
        <f>AND(#REF!,"XL7PhE7G5RI=")</f>
        <v>#REF!</v>
      </c>
      <c r="T59" t="e">
        <f>AND(#REF!,"XL7PhE7G5RM=")</f>
        <v>#REF!</v>
      </c>
      <c r="U59" t="e">
        <f>AND(#REF!,"XL7PhE7G5RQ=")</f>
        <v>#REF!</v>
      </c>
      <c r="V59" t="e">
        <f>AND(#REF!,"XL7PhE7G5RU=")</f>
        <v>#REF!</v>
      </c>
      <c r="W59" t="e">
        <f>AND(#REF!,"XL7PhE7G5RY=")</f>
        <v>#REF!</v>
      </c>
      <c r="X59" t="e">
        <f>IF(#REF!,"XL7PhE7G5Rc=",0)</f>
        <v>#REF!</v>
      </c>
      <c r="Y59" t="e">
        <f>AND(#REF!,"XL7PhE7G5Rg=")</f>
        <v>#REF!</v>
      </c>
      <c r="Z59" t="e">
        <f>AND(#REF!,"XL7PhE7G5Rk=")</f>
        <v>#REF!</v>
      </c>
      <c r="AA59" t="e">
        <f>AND(#REF!,"XL7PhE7G5Ro=")</f>
        <v>#REF!</v>
      </c>
      <c r="AB59" t="e">
        <f>AND(#REF!,"XL7PhE7G5Rs=")</f>
        <v>#REF!</v>
      </c>
      <c r="AC59" t="e">
        <f>AND(#REF!,"XL7PhE7G5Rw=")</f>
        <v>#REF!</v>
      </c>
      <c r="AD59" t="e">
        <f>AND(#REF!,"XL7PhE7G5R0=")</f>
        <v>#REF!</v>
      </c>
      <c r="AE59" t="e">
        <f>AND(#REF!,"XL7PhE7G5R4=")</f>
        <v>#REF!</v>
      </c>
      <c r="AF59" t="e">
        <f>AND(#REF!,"XL7PhE7G5R8=")</f>
        <v>#REF!</v>
      </c>
      <c r="AG59" t="e">
        <f>AND(#REF!,"XL7PhE7G5SA=")</f>
        <v>#REF!</v>
      </c>
      <c r="AH59" t="e">
        <f>AND(#REF!,"XL7PhE7G5SE=")</f>
        <v>#REF!</v>
      </c>
      <c r="AI59" t="e">
        <f>AND(#REF!,"XL7PhE7G5SI=")</f>
        <v>#REF!</v>
      </c>
      <c r="AJ59" t="e">
        <f>AND(#REF!,"XL7PhE7G5SM=")</f>
        <v>#REF!</v>
      </c>
      <c r="AK59" t="e">
        <f>AND(#REF!,"XL7PhE7G5SQ=")</f>
        <v>#REF!</v>
      </c>
      <c r="AL59" t="e">
        <f>AND(#REF!,"XL7PhE7G5SU=")</f>
        <v>#REF!</v>
      </c>
      <c r="AM59" t="e">
        <f>AND(#REF!,"XL7PhE7G5SY=")</f>
        <v>#REF!</v>
      </c>
      <c r="AN59" t="e">
        <f>AND(#REF!,"XL7PhE7G5Sc=")</f>
        <v>#REF!</v>
      </c>
      <c r="AO59" t="e">
        <f>AND(#REF!,"XL7PhE7G5Sg=")</f>
        <v>#REF!</v>
      </c>
      <c r="AP59" t="e">
        <f>AND(#REF!,"XL7PhE7G5Sk=")</f>
        <v>#REF!</v>
      </c>
      <c r="AQ59" t="e">
        <f>AND(#REF!,"XL7PhE7G5So=")</f>
        <v>#REF!</v>
      </c>
      <c r="AR59" t="e">
        <f>AND(#REF!,"XL7PhE7G5Ss=")</f>
        <v>#REF!</v>
      </c>
      <c r="AS59" t="e">
        <f>AND(#REF!,"XL7PhE7G5Sw=")</f>
        <v>#REF!</v>
      </c>
      <c r="AT59" t="e">
        <f>AND(#REF!,"XL7PhE7G5S0=")</f>
        <v>#REF!</v>
      </c>
      <c r="AU59" t="e">
        <f>AND(#REF!,"XL7PhE7G5S4=")</f>
        <v>#REF!</v>
      </c>
      <c r="AV59" t="e">
        <f>AND(#REF!,"XL7PhE7G5S8=")</f>
        <v>#REF!</v>
      </c>
      <c r="AW59" t="e">
        <f>AND(#REF!,"XL7PhE7G5TA=")</f>
        <v>#REF!</v>
      </c>
      <c r="AX59" t="e">
        <f>AND(#REF!,"XL7PhE7G5TE=")</f>
        <v>#REF!</v>
      </c>
      <c r="AY59" t="e">
        <f>AND(#REF!,"XL7PhE7G5TI=")</f>
        <v>#REF!</v>
      </c>
      <c r="AZ59" t="e">
        <f>AND(#REF!,"XL7PhE7G5TM=")</f>
        <v>#REF!</v>
      </c>
      <c r="BA59" t="e">
        <f>AND(#REF!,"XL7PhE7G5TQ=")</f>
        <v>#REF!</v>
      </c>
      <c r="BB59" t="e">
        <f>AND(#REF!,"XL7PhE7G5TU=")</f>
        <v>#REF!</v>
      </c>
      <c r="BC59" t="e">
        <f>AND(#REF!,"XL7PhE7G5TY=")</f>
        <v>#REF!</v>
      </c>
      <c r="BD59" t="e">
        <f>AND(#REF!,"XL7PhE7G5Tc=")</f>
        <v>#REF!</v>
      </c>
      <c r="BE59" t="e">
        <f>AND(#REF!,"XL7PhE7G5Tg=")</f>
        <v>#REF!</v>
      </c>
      <c r="BF59" t="e">
        <f>AND(#REF!,"XL7PhE7G5Tk=")</f>
        <v>#REF!</v>
      </c>
      <c r="BG59" t="e">
        <f>AND(#REF!,"XL7PhE7G5To=")</f>
        <v>#REF!</v>
      </c>
      <c r="BH59" t="e">
        <f>AND(#REF!,"XL7PhE7G5Ts=")</f>
        <v>#REF!</v>
      </c>
      <c r="BI59" t="e">
        <f>AND(#REF!,"XL7PhE7G5Tw=")</f>
        <v>#REF!</v>
      </c>
      <c r="BJ59" t="e">
        <f>AND(#REF!,"XL7PhE7G5T0=")</f>
        <v>#REF!</v>
      </c>
      <c r="BK59" t="e">
        <f>AND(#REF!,"XL7PhE7G5T4=")</f>
        <v>#REF!</v>
      </c>
      <c r="BL59" t="e">
        <f>AND(#REF!,"XL7PhE7G5T8=")</f>
        <v>#REF!</v>
      </c>
      <c r="BM59" t="e">
        <f>AND(#REF!,"XL7PhE7G5UA=")</f>
        <v>#REF!</v>
      </c>
      <c r="BN59" t="e">
        <f>AND(#REF!,"XL7PhE7G5UE=")</f>
        <v>#REF!</v>
      </c>
      <c r="BO59" t="e">
        <f>AND(#REF!,"XL7PhE7G5UI=")</f>
        <v>#REF!</v>
      </c>
      <c r="BP59" t="e">
        <f>AND(#REF!,"XL7PhE7G5UM=")</f>
        <v>#REF!</v>
      </c>
      <c r="BQ59" t="e">
        <f>AND(#REF!,"XL7PhE7G5UQ=")</f>
        <v>#REF!</v>
      </c>
      <c r="BR59" t="e">
        <f>AND(#REF!,"XL7PhE7G5UU=")</f>
        <v>#REF!</v>
      </c>
      <c r="BS59" t="e">
        <f>AND(#REF!,"XL7PhE7G5UY=")</f>
        <v>#REF!</v>
      </c>
      <c r="BT59" t="e">
        <f>AND(#REF!,"XL7PhE7G5Uc=")</f>
        <v>#REF!</v>
      </c>
      <c r="BU59" t="e">
        <f>AND(#REF!,"XL7PhE7G5Ug=")</f>
        <v>#REF!</v>
      </c>
      <c r="BV59" t="e">
        <f>AND(#REF!,"XL7PhE7G5Uk=")</f>
        <v>#REF!</v>
      </c>
      <c r="BW59" t="e">
        <f>AND(#REF!,"XL7PhE7G5Uo=")</f>
        <v>#REF!</v>
      </c>
      <c r="BX59" t="e">
        <f>AND(#REF!,"XL7PhE7G5Us=")</f>
        <v>#REF!</v>
      </c>
      <c r="BY59" t="e">
        <f>AND(#REF!,"XL7PhE7G5Uw=")</f>
        <v>#REF!</v>
      </c>
      <c r="BZ59" t="e">
        <f>AND(#REF!,"XL7PhE7G5U0=")</f>
        <v>#REF!</v>
      </c>
      <c r="CA59" t="e">
        <f>AND(#REF!,"XL7PhE7G5U4=")</f>
        <v>#REF!</v>
      </c>
      <c r="CB59" t="e">
        <f>AND(#REF!,"XL7PhE7G5U8=")</f>
        <v>#REF!</v>
      </c>
      <c r="CC59" t="e">
        <f>AND(#REF!,"XL7PhE7G5VA=")</f>
        <v>#REF!</v>
      </c>
      <c r="CD59" t="e">
        <f>AND(#REF!,"XL7PhE7G5VE=")</f>
        <v>#REF!</v>
      </c>
      <c r="CE59" t="e">
        <f>AND(#REF!,"XL7PhE7G5VI=")</f>
        <v>#REF!</v>
      </c>
      <c r="CF59" t="e">
        <f>AND(#REF!,"XL7PhE7G5VM=")</f>
        <v>#REF!</v>
      </c>
      <c r="CG59" t="e">
        <f>AND(#REF!,"XL7PhE7G5VQ=")</f>
        <v>#REF!</v>
      </c>
      <c r="CH59" t="e">
        <f>AND(#REF!,"XL7PhE7G5VU=")</f>
        <v>#REF!</v>
      </c>
      <c r="CI59" t="e">
        <f>AND(#REF!,"XL7PhE7G5VY=")</f>
        <v>#REF!</v>
      </c>
      <c r="CJ59" t="e">
        <f>AND(#REF!,"XL7PhE7G5Vc=")</f>
        <v>#REF!</v>
      </c>
      <c r="CK59" t="e">
        <f>AND(#REF!,"XL7PhE7G5Vg=")</f>
        <v>#REF!</v>
      </c>
      <c r="CL59" t="e">
        <f>AND(#REF!,"XL7PhE7G5Vk=")</f>
        <v>#REF!</v>
      </c>
      <c r="CM59" t="e">
        <f>AND(#REF!,"XL7PhE7G5Vo=")</f>
        <v>#REF!</v>
      </c>
      <c r="CN59" t="e">
        <f>AND(#REF!,"XL7PhE7G5Vs=")</f>
        <v>#REF!</v>
      </c>
      <c r="CO59" t="e">
        <f>AND(#REF!,"XL7PhE7G5Vw=")</f>
        <v>#REF!</v>
      </c>
      <c r="CP59" t="e">
        <f>AND(#REF!,"XL7PhE7G5V0=")</f>
        <v>#REF!</v>
      </c>
      <c r="CQ59" t="e">
        <f>AND(#REF!,"XL7PhE7G5V4=")</f>
        <v>#REF!</v>
      </c>
      <c r="CR59" t="e">
        <f>AND(#REF!,"XL7PhE7G5V8=")</f>
        <v>#REF!</v>
      </c>
      <c r="CS59" t="e">
        <f>AND(#REF!,"XL7PhE7G5WA=")</f>
        <v>#REF!</v>
      </c>
      <c r="CT59" t="e">
        <f>AND(#REF!,"XL7PhE7G5WE=")</f>
        <v>#REF!</v>
      </c>
      <c r="CU59" t="e">
        <f>AND(#REF!,"XL7PhE7G5WI=")</f>
        <v>#REF!</v>
      </c>
      <c r="CV59" t="e">
        <f>AND(#REF!,"XL7PhE7G5WM=")</f>
        <v>#REF!</v>
      </c>
      <c r="CW59" t="e">
        <f>AND(#REF!,"XL7PhE7G5WQ=")</f>
        <v>#REF!</v>
      </c>
      <c r="CX59" t="e">
        <f>AND(#REF!,"XL7PhE7G5WU=")</f>
        <v>#REF!</v>
      </c>
      <c r="CY59" t="e">
        <f>AND(#REF!,"XL7PhE7G5WY=")</f>
        <v>#REF!</v>
      </c>
      <c r="CZ59" t="e">
        <f>AND(#REF!,"XL7PhE7G5Wc=")</f>
        <v>#REF!</v>
      </c>
      <c r="DA59" t="e">
        <f>AND(#REF!,"XL7PhE7G5Wg=")</f>
        <v>#REF!</v>
      </c>
      <c r="DB59" t="e">
        <f>AND(#REF!,"XL7PhE7G5Wk=")</f>
        <v>#REF!</v>
      </c>
      <c r="DC59" t="e">
        <f>AND(#REF!,"XL7PhE7G5Wo=")</f>
        <v>#REF!</v>
      </c>
      <c r="DD59" t="e">
        <f>AND(#REF!,"XL7PhE7G5Ws=")</f>
        <v>#REF!</v>
      </c>
      <c r="DE59" t="e">
        <f>AND(#REF!,"XL7PhE7G5Ww=")</f>
        <v>#REF!</v>
      </c>
      <c r="DF59" t="e">
        <f>AND(#REF!,"XL7PhE7G5W0=")</f>
        <v>#REF!</v>
      </c>
      <c r="DG59" t="e">
        <f>AND(#REF!,"XL7PhE7G5W4=")</f>
        <v>#REF!</v>
      </c>
      <c r="DH59" t="e">
        <f>AND(#REF!,"XL7PhE7G5W8=")</f>
        <v>#REF!</v>
      </c>
      <c r="DI59" t="e">
        <f>AND(#REF!,"XL7PhE7G5XA=")</f>
        <v>#REF!</v>
      </c>
      <c r="DJ59" t="e">
        <f>AND(#REF!,"XL7PhE7G5XE=")</f>
        <v>#REF!</v>
      </c>
      <c r="DK59" t="e">
        <f>AND(#REF!,"XL7PhE7G5XI=")</f>
        <v>#REF!</v>
      </c>
      <c r="DL59" t="e">
        <f>AND(#REF!,"XL7PhE7G5XM=")</f>
        <v>#REF!</v>
      </c>
      <c r="DM59" t="e">
        <f>AND(#REF!,"XL7PhE7G5XQ=")</f>
        <v>#REF!</v>
      </c>
      <c r="DN59" t="e">
        <f>AND(#REF!,"XL7PhE7G5XU=")</f>
        <v>#REF!</v>
      </c>
      <c r="DO59" t="e">
        <f>AND(#REF!,"XL7PhE7G5XY=")</f>
        <v>#REF!</v>
      </c>
      <c r="DP59" t="e">
        <f>AND(#REF!,"XL7PhE7G5Xc=")</f>
        <v>#REF!</v>
      </c>
      <c r="DQ59" t="e">
        <f>AND(#REF!,"XL7PhE7G5Xg=")</f>
        <v>#REF!</v>
      </c>
      <c r="DR59" t="e">
        <f>AND(#REF!,"XL7PhE7G5Xk=")</f>
        <v>#REF!</v>
      </c>
      <c r="DS59" t="e">
        <f>AND(#REF!,"XL7PhE7G5Xo=")</f>
        <v>#REF!</v>
      </c>
      <c r="DT59" t="e">
        <f>AND(#REF!,"XL7PhE7G5Xs=")</f>
        <v>#REF!</v>
      </c>
      <c r="DU59" t="e">
        <f>AND(#REF!,"XL7PhE7G5Xw=")</f>
        <v>#REF!</v>
      </c>
      <c r="DV59" t="e">
        <f>AND(#REF!,"XL7PhE7G5X0=")</f>
        <v>#REF!</v>
      </c>
      <c r="DW59" t="e">
        <f>AND(#REF!,"XL7PhE7G5X4=")</f>
        <v>#REF!</v>
      </c>
      <c r="DX59" t="e">
        <f>AND(#REF!,"XL7PhE7G5X8=")</f>
        <v>#REF!</v>
      </c>
      <c r="DY59" t="e">
        <f>AND(#REF!,"XL7PhE7G5YA=")</f>
        <v>#REF!</v>
      </c>
      <c r="DZ59" t="e">
        <f>AND(#REF!,"XL7PhE7G5YE=")</f>
        <v>#REF!</v>
      </c>
      <c r="EA59" t="e">
        <f>AND(#REF!,"XL7PhE7G5YI=")</f>
        <v>#REF!</v>
      </c>
      <c r="EB59" t="e">
        <f>AND(#REF!,"XL7PhE7G5YM=")</f>
        <v>#REF!</v>
      </c>
      <c r="EC59" t="e">
        <f>AND(#REF!,"XL7PhE7G5YQ=")</f>
        <v>#REF!</v>
      </c>
      <c r="ED59" t="e">
        <f>AND(#REF!,"XL7PhE7G5YU=")</f>
        <v>#REF!</v>
      </c>
      <c r="EE59" t="e">
        <f>AND(#REF!,"XL7PhE7G5YY=")</f>
        <v>#REF!</v>
      </c>
      <c r="EF59" t="e">
        <f>AND(#REF!,"XL7PhE7G5Yc=")</f>
        <v>#REF!</v>
      </c>
      <c r="EG59" t="e">
        <f>AND(#REF!,"XL7PhE7G5Yg=")</f>
        <v>#REF!</v>
      </c>
      <c r="EH59" t="e">
        <f>AND(#REF!,"XL7PhE7G5Yk=")</f>
        <v>#REF!</v>
      </c>
      <c r="EI59" t="e">
        <f>AND(#REF!,"XL7PhE7G5Yo=")</f>
        <v>#REF!</v>
      </c>
      <c r="EJ59" t="e">
        <f>AND(#REF!,"XL7PhE7G5Ys=")</f>
        <v>#REF!</v>
      </c>
      <c r="EK59" t="e">
        <f>AND(#REF!,"XL7PhE7G5Yw=")</f>
        <v>#REF!</v>
      </c>
      <c r="EL59" t="e">
        <f>AND(#REF!,"XL7PhE7G5Y0=")</f>
        <v>#REF!</v>
      </c>
      <c r="EM59" t="e">
        <f>AND(#REF!,"XL7PhE7G5Y4=")</f>
        <v>#REF!</v>
      </c>
      <c r="EN59" t="e">
        <f>AND(#REF!,"XL7PhE7G5Y8=")</f>
        <v>#REF!</v>
      </c>
      <c r="EO59" t="e">
        <f>AND(#REF!,"XL7PhE7G5ZA=")</f>
        <v>#REF!</v>
      </c>
      <c r="EP59" t="e">
        <f>AND(#REF!,"XL7PhE7G5ZE=")</f>
        <v>#REF!</v>
      </c>
      <c r="EQ59" t="e">
        <f>AND(#REF!,"XL7PhE7G5ZI=")</f>
        <v>#REF!</v>
      </c>
      <c r="ER59" t="e">
        <f>AND(#REF!,"XL7PhE7G5ZM=")</f>
        <v>#REF!</v>
      </c>
      <c r="ES59" t="e">
        <f>AND(#REF!,"XL7PhE7G5ZQ=")</f>
        <v>#REF!</v>
      </c>
      <c r="ET59" t="e">
        <f>AND(#REF!,"XL7PhE7G5ZU=")</f>
        <v>#REF!</v>
      </c>
      <c r="EU59" t="e">
        <f>AND(#REF!,"XL7PhE7G5ZY=")</f>
        <v>#REF!</v>
      </c>
      <c r="EV59" t="e">
        <f>AND(#REF!,"XL7PhE7G5Zc=")</f>
        <v>#REF!</v>
      </c>
      <c r="EW59" t="e">
        <f>AND(#REF!,"XL7PhE7G5Zg=")</f>
        <v>#REF!</v>
      </c>
      <c r="EX59" t="e">
        <f>AND(#REF!,"XL7PhE7G5Zk=")</f>
        <v>#REF!</v>
      </c>
      <c r="EY59" t="e">
        <f>AND(#REF!,"XL7PhE7G5Zo=")</f>
        <v>#REF!</v>
      </c>
      <c r="EZ59" t="e">
        <f>AND(#REF!,"XL7PhE7G5Zs=")</f>
        <v>#REF!</v>
      </c>
      <c r="FA59" t="e">
        <f>AND(#REF!,"XL7PhE7G5Zw=")</f>
        <v>#REF!</v>
      </c>
      <c r="FB59" t="e">
        <f>AND(#REF!,"XL7PhE7G5Z0=")</f>
        <v>#REF!</v>
      </c>
      <c r="FC59" t="e">
        <f>AND(#REF!,"XL7PhE7G5Z4=")</f>
        <v>#REF!</v>
      </c>
      <c r="FD59" t="e">
        <f>AND(#REF!,"XL7PhE7G5Z8=")</f>
        <v>#REF!</v>
      </c>
      <c r="FE59" t="e">
        <f>AND(#REF!,"XL7PhE7G5aA=")</f>
        <v>#REF!</v>
      </c>
      <c r="FF59" t="e">
        <f>AND(#REF!,"XL7PhE7G5aE=")</f>
        <v>#REF!</v>
      </c>
      <c r="FG59" t="e">
        <f>AND(#REF!,"XL7PhE7G5aI=")</f>
        <v>#REF!</v>
      </c>
      <c r="FH59" t="e">
        <f>AND(#REF!,"XL7PhE7G5aM=")</f>
        <v>#REF!</v>
      </c>
      <c r="FI59" t="e">
        <f>AND(#REF!,"XL7PhE7G5aQ=")</f>
        <v>#REF!</v>
      </c>
      <c r="FJ59" t="e">
        <f>AND(#REF!,"XL7PhE7G5aU=")</f>
        <v>#REF!</v>
      </c>
      <c r="FK59" t="e">
        <f>AND(#REF!,"XL7PhE7G5aY=")</f>
        <v>#REF!</v>
      </c>
      <c r="FL59" t="e">
        <f>AND(#REF!,"XL7PhE7G5ac=")</f>
        <v>#REF!</v>
      </c>
      <c r="FM59" t="e">
        <f>AND(#REF!,"XL7PhE7G5ag=")</f>
        <v>#REF!</v>
      </c>
      <c r="FN59" t="e">
        <f>AND(#REF!,"XL7PhE7G5ak=")</f>
        <v>#REF!</v>
      </c>
      <c r="FO59" t="e">
        <f>AND(#REF!,"XL7PhE7G5ao=")</f>
        <v>#REF!</v>
      </c>
      <c r="FP59" t="e">
        <f>AND(#REF!,"XL7PhE7G5as=")</f>
        <v>#REF!</v>
      </c>
      <c r="FQ59" t="e">
        <f>AND(#REF!,"XL7PhE7G5aw=")</f>
        <v>#REF!</v>
      </c>
      <c r="FR59" t="e">
        <f>AND(#REF!,"XL7PhE7G5a0=")</f>
        <v>#REF!</v>
      </c>
      <c r="FS59" t="e">
        <f>AND(#REF!,"XL7PhE7G5a4=")</f>
        <v>#REF!</v>
      </c>
      <c r="FT59" t="e">
        <f>AND(#REF!,"XL7PhE7G5a8=")</f>
        <v>#REF!</v>
      </c>
      <c r="FU59" t="e">
        <f>AND(#REF!,"XL7PhE7G5bA=")</f>
        <v>#REF!</v>
      </c>
      <c r="FV59" t="e">
        <f>AND(#REF!,"XL7PhE7G5bE=")</f>
        <v>#REF!</v>
      </c>
      <c r="FW59" t="e">
        <f>AND(#REF!,"XL7PhE7G5bI=")</f>
        <v>#REF!</v>
      </c>
      <c r="FX59" t="e">
        <f>AND(#REF!,"XL7PhE7G5bM=")</f>
        <v>#REF!</v>
      </c>
      <c r="FY59" t="e">
        <f>AND(#REF!,"XL7PhE7G5bQ=")</f>
        <v>#REF!</v>
      </c>
      <c r="FZ59" t="e">
        <f>AND(#REF!,"XL7PhE7G5bU=")</f>
        <v>#REF!</v>
      </c>
      <c r="GA59" t="e">
        <f>AND(#REF!,"XL7PhE7G5bY=")</f>
        <v>#REF!</v>
      </c>
      <c r="GB59" t="e">
        <f>AND(#REF!,"XL7PhE7G5bc=")</f>
        <v>#REF!</v>
      </c>
      <c r="GC59" t="e">
        <f>AND(#REF!,"XL7PhE7G5bg=")</f>
        <v>#REF!</v>
      </c>
      <c r="GD59" t="e">
        <f>AND(#REF!,"XL7PhE7G5bk=")</f>
        <v>#REF!</v>
      </c>
      <c r="GE59" t="e">
        <f>AND(#REF!,"XL7PhE7G5bo=")</f>
        <v>#REF!</v>
      </c>
      <c r="GF59" t="e">
        <f>AND(#REF!,"XL7PhE7G5bs=")</f>
        <v>#REF!</v>
      </c>
      <c r="GG59" t="e">
        <f>AND(#REF!,"XL7PhE7G5bw=")</f>
        <v>#REF!</v>
      </c>
      <c r="GH59" t="e">
        <f>AND(#REF!,"XL7PhE7G5b0=")</f>
        <v>#REF!</v>
      </c>
      <c r="GI59" t="e">
        <f>AND(#REF!,"XL7PhE7G5b4=")</f>
        <v>#REF!</v>
      </c>
      <c r="GJ59" t="e">
        <f>AND(#REF!,"XL7PhE7G5b8=")</f>
        <v>#REF!</v>
      </c>
      <c r="GK59" t="e">
        <f>AND(#REF!,"XL7PhE7G5cA=")</f>
        <v>#REF!</v>
      </c>
      <c r="GL59" t="e">
        <f>AND(#REF!,"XL7PhE7G5cE=")</f>
        <v>#REF!</v>
      </c>
      <c r="GM59" t="e">
        <f>AND(#REF!,"XL7PhE7G5cI=")</f>
        <v>#REF!</v>
      </c>
      <c r="GN59" t="e">
        <f>AND(#REF!,"XL7PhE7G5cM=")</f>
        <v>#REF!</v>
      </c>
      <c r="GO59" t="e">
        <f>AND(#REF!,"XL7PhE7G5cQ=")</f>
        <v>#REF!</v>
      </c>
      <c r="GP59" t="e">
        <f>AND(#REF!,"XL7PhE7G5cU=")</f>
        <v>#REF!</v>
      </c>
      <c r="GQ59" t="e">
        <f>AND(#REF!,"XL7PhE7G5cY=")</f>
        <v>#REF!</v>
      </c>
      <c r="GR59" t="e">
        <f>AND(#REF!,"XL7PhE7G5cc=")</f>
        <v>#REF!</v>
      </c>
      <c r="GS59" t="e">
        <f>AND(#REF!,"XL7PhE7G5cg=")</f>
        <v>#REF!</v>
      </c>
      <c r="GT59" t="e">
        <f>AND(#REF!,"XL7PhE7G5ck=")</f>
        <v>#REF!</v>
      </c>
      <c r="GU59" t="e">
        <f>AND(#REF!,"XL7PhE7G5co=")</f>
        <v>#REF!</v>
      </c>
      <c r="GV59" t="e">
        <f>AND(#REF!,"XL7PhE7G5cs=")</f>
        <v>#REF!</v>
      </c>
      <c r="GW59" t="e">
        <f>AND(#REF!,"XL7PhE7G5cw=")</f>
        <v>#REF!</v>
      </c>
      <c r="GX59" t="e">
        <f>AND(#REF!,"XL7PhE7G5c0=")</f>
        <v>#REF!</v>
      </c>
      <c r="GY59" t="e">
        <f>AND(#REF!,"XL7PhE7G5c4=")</f>
        <v>#REF!</v>
      </c>
      <c r="GZ59" t="e">
        <f>AND(#REF!,"XL7PhE7G5c8=")</f>
        <v>#REF!</v>
      </c>
      <c r="HA59" t="e">
        <f>AND(#REF!,"XL7PhE7G5dA=")</f>
        <v>#REF!</v>
      </c>
      <c r="HB59" t="e">
        <f>AND(#REF!,"XL7PhE7G5dE=")</f>
        <v>#REF!</v>
      </c>
      <c r="HC59" t="e">
        <f>AND(#REF!,"XL7PhE7G5dI=")</f>
        <v>#REF!</v>
      </c>
      <c r="HD59" t="e">
        <f>AND(#REF!,"XL7PhE7G5dM=")</f>
        <v>#REF!</v>
      </c>
      <c r="HE59" t="e">
        <f>AND(#REF!,"XL7PhE7G5dQ=")</f>
        <v>#REF!</v>
      </c>
      <c r="HF59" t="e">
        <f>AND(#REF!,"XL7PhE7G5dU=")</f>
        <v>#REF!</v>
      </c>
      <c r="HG59" t="e">
        <f>AND(#REF!,"XL7PhE7G5dY=")</f>
        <v>#REF!</v>
      </c>
      <c r="HH59" t="e">
        <f>AND(#REF!,"XL7PhE7G5dc=")</f>
        <v>#REF!</v>
      </c>
      <c r="HI59" t="e">
        <f>AND(#REF!,"XL7PhE7G5dg=")</f>
        <v>#REF!</v>
      </c>
      <c r="HJ59" t="e">
        <f>AND(#REF!,"XL7PhE7G5dk=")</f>
        <v>#REF!</v>
      </c>
      <c r="HK59" t="e">
        <f>AND(#REF!,"XL7PhE7G5do=")</f>
        <v>#REF!</v>
      </c>
      <c r="HL59" t="e">
        <f>AND(#REF!,"XL7PhE7G5ds=")</f>
        <v>#REF!</v>
      </c>
      <c r="HM59" t="e">
        <f>AND(#REF!,"XL7PhE7G5dw=")</f>
        <v>#REF!</v>
      </c>
      <c r="HN59" t="e">
        <f>AND(#REF!,"XL7PhE7G5d0=")</f>
        <v>#REF!</v>
      </c>
      <c r="HO59" t="e">
        <f>IF(#REF!,"XL7PhE7G5d4=",0)</f>
        <v>#REF!</v>
      </c>
      <c r="HP59" t="e">
        <f>AND(#REF!,"XL7PhE7G5d8=")</f>
        <v>#REF!</v>
      </c>
      <c r="HQ59" t="e">
        <f>AND(#REF!,"XL7PhE7G5eA=")</f>
        <v>#REF!</v>
      </c>
      <c r="HR59" t="e">
        <f>AND(#REF!,"XL7PhE7G5eE=")</f>
        <v>#REF!</v>
      </c>
      <c r="HS59" t="e">
        <f>AND(#REF!,"XL7PhE7G5eI=")</f>
        <v>#REF!</v>
      </c>
      <c r="HT59" t="e">
        <f>AND(#REF!,"XL7PhE7G5eM=")</f>
        <v>#REF!</v>
      </c>
      <c r="HU59" t="e">
        <f>AND(#REF!,"XL7PhE7G5eQ=")</f>
        <v>#REF!</v>
      </c>
      <c r="HV59" t="e">
        <f>AND(#REF!,"XL7PhE7G5eU=")</f>
        <v>#REF!</v>
      </c>
      <c r="HW59" t="e">
        <f>AND(#REF!,"XL7PhE7G5eY=")</f>
        <v>#REF!</v>
      </c>
      <c r="HX59" t="e">
        <f>AND(#REF!,"XL7PhE7G5ec=")</f>
        <v>#REF!</v>
      </c>
      <c r="HY59" t="e">
        <f>AND(#REF!,"XL7PhE7G5eg=")</f>
        <v>#REF!</v>
      </c>
      <c r="HZ59" t="e">
        <f>AND(#REF!,"XL7PhE7G5ek=")</f>
        <v>#REF!</v>
      </c>
      <c r="IA59" t="e">
        <f>AND(#REF!,"XL7PhE7G5eo=")</f>
        <v>#REF!</v>
      </c>
      <c r="IB59" t="e">
        <f>AND(#REF!,"XL7PhE7G5es=")</f>
        <v>#REF!</v>
      </c>
      <c r="IC59" t="e">
        <f>AND(#REF!,"XL7PhE7G5ew=")</f>
        <v>#REF!</v>
      </c>
      <c r="ID59" t="e">
        <f>AND(#REF!,"XL7PhE7G5e0=")</f>
        <v>#REF!</v>
      </c>
      <c r="IE59" t="e">
        <f>AND(#REF!,"XL7PhE7G5e4=")</f>
        <v>#REF!</v>
      </c>
      <c r="IF59" t="e">
        <f>AND(#REF!,"XL7PhE7G5e8=")</f>
        <v>#REF!</v>
      </c>
      <c r="IG59" t="e">
        <f>AND(#REF!,"XL7PhE7G5fA=")</f>
        <v>#REF!</v>
      </c>
      <c r="IH59" t="e">
        <f>AND(#REF!,"XL7PhE7G5fE=")</f>
        <v>#REF!</v>
      </c>
      <c r="II59" t="e">
        <f>AND(#REF!,"XL7PhE7G5fI=")</f>
        <v>#REF!</v>
      </c>
      <c r="IJ59" t="e">
        <f>AND(#REF!,"XL7PhE7G5fM=")</f>
        <v>#REF!</v>
      </c>
      <c r="IK59" t="e">
        <f>AND(#REF!,"XL7PhE7G5fQ=")</f>
        <v>#REF!</v>
      </c>
      <c r="IL59" t="e">
        <f>AND(#REF!,"XL7PhE7G5fU=")</f>
        <v>#REF!</v>
      </c>
      <c r="IM59" t="e">
        <f>AND(#REF!,"XL7PhE7G5fY=")</f>
        <v>#REF!</v>
      </c>
      <c r="IN59" t="e">
        <f>AND(#REF!,"XL7PhE7G5fc=")</f>
        <v>#REF!</v>
      </c>
      <c r="IO59" t="e">
        <f>AND(#REF!,"XL7PhE7G5fg=")</f>
        <v>#REF!</v>
      </c>
      <c r="IP59" t="e">
        <f>AND(#REF!,"XL7PhE7G5fk=")</f>
        <v>#REF!</v>
      </c>
      <c r="IQ59" t="e">
        <f>AND(#REF!,"XL7PhE7G5fo=")</f>
        <v>#REF!</v>
      </c>
      <c r="IR59" t="e">
        <f>AND(#REF!,"XL7PhE7G5fs=")</f>
        <v>#REF!</v>
      </c>
      <c r="IS59" t="e">
        <f>AND(#REF!,"XL7PhE7G5fw=")</f>
        <v>#REF!</v>
      </c>
      <c r="IT59" t="e">
        <f>AND(#REF!,"XL7PhE7G5f0=")</f>
        <v>#REF!</v>
      </c>
      <c r="IU59" t="e">
        <f>AND(#REF!,"XL7PhE7G5f4=")</f>
        <v>#REF!</v>
      </c>
      <c r="IV59" t="e">
        <f>AND(#REF!,"XL7PhE7G5f8=")</f>
        <v>#REF!</v>
      </c>
    </row>
    <row r="60" spans="1:256" x14ac:dyDescent="0.2">
      <c r="A60" t="e">
        <f>AND(#REF!,"KA06CXVXDgA=")</f>
        <v>#REF!</v>
      </c>
      <c r="B60" t="e">
        <f>AND(#REF!,"KA06CXVXDgE=")</f>
        <v>#REF!</v>
      </c>
      <c r="C60" t="e">
        <f>AND(#REF!,"KA06CXVXDgI=")</f>
        <v>#REF!</v>
      </c>
      <c r="D60" t="e">
        <f>AND(#REF!,"KA06CXVXDgM=")</f>
        <v>#REF!</v>
      </c>
      <c r="E60" t="e">
        <f>AND(#REF!,"KA06CXVXDgQ=")</f>
        <v>#REF!</v>
      </c>
      <c r="F60" t="e">
        <f>AND(#REF!,"KA06CXVXDgU=")</f>
        <v>#REF!</v>
      </c>
      <c r="G60" t="e">
        <f>AND(#REF!,"KA06CXVXDgY=")</f>
        <v>#REF!</v>
      </c>
      <c r="H60" t="e">
        <f>AND(#REF!,"KA06CXVXDgc=")</f>
        <v>#REF!</v>
      </c>
      <c r="I60" t="e">
        <f>AND(#REF!,"KA06CXVXDgg=")</f>
        <v>#REF!</v>
      </c>
      <c r="J60" t="e">
        <f>AND(#REF!,"KA06CXVXDgk=")</f>
        <v>#REF!</v>
      </c>
      <c r="K60" t="e">
        <f>AND(#REF!,"KA06CXVXDgo=")</f>
        <v>#REF!</v>
      </c>
      <c r="L60" t="e">
        <f>AND(#REF!,"KA06CXVXDgs=")</f>
        <v>#REF!</v>
      </c>
      <c r="M60" t="e">
        <f>AND(#REF!,"KA06CXVXDgw=")</f>
        <v>#REF!</v>
      </c>
      <c r="N60" t="e">
        <f>AND(#REF!,"KA06CXVXDg0=")</f>
        <v>#REF!</v>
      </c>
      <c r="O60" t="e">
        <f>AND(#REF!,"KA06CXVXDg4=")</f>
        <v>#REF!</v>
      </c>
      <c r="P60" t="e">
        <f>AND(#REF!,"KA06CXVXDg8=")</f>
        <v>#REF!</v>
      </c>
      <c r="Q60" t="e">
        <f>AND(#REF!,"KA06CXVXDhA=")</f>
        <v>#REF!</v>
      </c>
      <c r="R60" t="e">
        <f>AND(#REF!,"KA06CXVXDhE=")</f>
        <v>#REF!</v>
      </c>
      <c r="S60" t="e">
        <f>AND(#REF!,"KA06CXVXDhI=")</f>
        <v>#REF!</v>
      </c>
      <c r="T60" t="e">
        <f>AND(#REF!,"KA06CXVXDhM=")</f>
        <v>#REF!</v>
      </c>
      <c r="U60" t="e">
        <f>AND(#REF!,"KA06CXVXDhQ=")</f>
        <v>#REF!</v>
      </c>
      <c r="V60" t="e">
        <f>AND(#REF!,"KA06CXVXDhU=")</f>
        <v>#REF!</v>
      </c>
      <c r="W60" t="e">
        <f>AND(#REF!,"KA06CXVXDhY=")</f>
        <v>#REF!</v>
      </c>
      <c r="X60" t="e">
        <f>AND(#REF!,"KA06CXVXDhc=")</f>
        <v>#REF!</v>
      </c>
      <c r="Y60" t="e">
        <f>AND(#REF!,"KA06CXVXDhg=")</f>
        <v>#REF!</v>
      </c>
      <c r="Z60" t="e">
        <f>AND(#REF!,"KA06CXVXDhk=")</f>
        <v>#REF!</v>
      </c>
      <c r="AA60" t="e">
        <f>AND(#REF!,"KA06CXVXDho=")</f>
        <v>#REF!</v>
      </c>
      <c r="AB60" t="e">
        <f>AND(#REF!,"KA06CXVXDhs=")</f>
        <v>#REF!</v>
      </c>
      <c r="AC60" t="e">
        <f>AND(#REF!,"KA06CXVXDhw=")</f>
        <v>#REF!</v>
      </c>
      <c r="AD60" t="e">
        <f>AND(#REF!,"KA06CXVXDh0=")</f>
        <v>#REF!</v>
      </c>
      <c r="AE60" t="e">
        <f>AND(#REF!,"KA06CXVXDh4=")</f>
        <v>#REF!</v>
      </c>
      <c r="AF60" t="e">
        <f>AND(#REF!,"KA06CXVXDh8=")</f>
        <v>#REF!</v>
      </c>
      <c r="AG60" t="e">
        <f>AND(#REF!,"KA06CXVXDiA=")</f>
        <v>#REF!</v>
      </c>
      <c r="AH60" t="e">
        <f>AND(#REF!,"KA06CXVXDiE=")</f>
        <v>#REF!</v>
      </c>
      <c r="AI60" t="e">
        <f>AND(#REF!,"KA06CXVXDiI=")</f>
        <v>#REF!</v>
      </c>
      <c r="AJ60" t="e">
        <f>AND(#REF!,"KA06CXVXDiM=")</f>
        <v>#REF!</v>
      </c>
      <c r="AK60" t="e">
        <f>AND(#REF!,"KA06CXVXDiQ=")</f>
        <v>#REF!</v>
      </c>
      <c r="AL60" t="e">
        <f>AND(#REF!,"KA06CXVXDiU=")</f>
        <v>#REF!</v>
      </c>
      <c r="AM60" t="e">
        <f>AND(#REF!,"KA06CXVXDiY=")</f>
        <v>#REF!</v>
      </c>
      <c r="AN60" t="e">
        <f>AND(#REF!,"KA06CXVXDic=")</f>
        <v>#REF!</v>
      </c>
      <c r="AO60" t="e">
        <f>AND(#REF!,"KA06CXVXDig=")</f>
        <v>#REF!</v>
      </c>
      <c r="AP60" t="e">
        <f>AND(#REF!,"KA06CXVXDik=")</f>
        <v>#REF!</v>
      </c>
      <c r="AQ60" t="e">
        <f>AND(#REF!,"KA06CXVXDio=")</f>
        <v>#REF!</v>
      </c>
      <c r="AR60" t="e">
        <f>AND(#REF!,"KA06CXVXDis=")</f>
        <v>#REF!</v>
      </c>
      <c r="AS60" t="e">
        <f>AND(#REF!,"KA06CXVXDiw=")</f>
        <v>#REF!</v>
      </c>
      <c r="AT60" t="e">
        <f>AND(#REF!,"KA06CXVXDi0=")</f>
        <v>#REF!</v>
      </c>
      <c r="AU60" t="e">
        <f>AND(#REF!,"KA06CXVXDi4=")</f>
        <v>#REF!</v>
      </c>
      <c r="AV60" t="e">
        <f>AND(#REF!,"KA06CXVXDi8=")</f>
        <v>#REF!</v>
      </c>
      <c r="AW60" t="e">
        <f>AND(#REF!,"KA06CXVXDjA=")</f>
        <v>#REF!</v>
      </c>
      <c r="AX60" t="e">
        <f>AND(#REF!,"KA06CXVXDjE=")</f>
        <v>#REF!</v>
      </c>
      <c r="AY60" t="e">
        <f>AND(#REF!,"KA06CXVXDjI=")</f>
        <v>#REF!</v>
      </c>
      <c r="AZ60" t="e">
        <f>AND(#REF!,"KA06CXVXDjM=")</f>
        <v>#REF!</v>
      </c>
      <c r="BA60" t="e">
        <f>AND(#REF!,"KA06CXVXDjQ=")</f>
        <v>#REF!</v>
      </c>
      <c r="BB60" t="e">
        <f>AND(#REF!,"KA06CXVXDjU=")</f>
        <v>#REF!</v>
      </c>
      <c r="BC60" t="e">
        <f>AND(#REF!,"KA06CXVXDjY=")</f>
        <v>#REF!</v>
      </c>
      <c r="BD60" t="e">
        <f>AND(#REF!,"KA06CXVXDjc=")</f>
        <v>#REF!</v>
      </c>
      <c r="BE60" t="e">
        <f>AND(#REF!,"KA06CXVXDjg=")</f>
        <v>#REF!</v>
      </c>
      <c r="BF60" t="e">
        <f>AND(#REF!,"KA06CXVXDjk=")</f>
        <v>#REF!</v>
      </c>
      <c r="BG60" t="e">
        <f>AND(#REF!,"KA06CXVXDjo=")</f>
        <v>#REF!</v>
      </c>
      <c r="BH60" t="e">
        <f>AND(#REF!,"KA06CXVXDjs=")</f>
        <v>#REF!</v>
      </c>
      <c r="BI60" t="e">
        <f>AND(#REF!,"KA06CXVXDjw=")</f>
        <v>#REF!</v>
      </c>
      <c r="BJ60" t="e">
        <f>AND(#REF!,"KA06CXVXDj0=")</f>
        <v>#REF!</v>
      </c>
      <c r="BK60" t="e">
        <f>AND(#REF!,"KA06CXVXDj4=")</f>
        <v>#REF!</v>
      </c>
      <c r="BL60" t="e">
        <f>AND(#REF!,"KA06CXVXDj8=")</f>
        <v>#REF!</v>
      </c>
      <c r="BM60" t="e">
        <f>AND(#REF!,"KA06CXVXDkA=")</f>
        <v>#REF!</v>
      </c>
      <c r="BN60" t="e">
        <f>AND(#REF!,"KA06CXVXDkE=")</f>
        <v>#REF!</v>
      </c>
      <c r="BO60" t="e">
        <f>AND(#REF!,"KA06CXVXDkI=")</f>
        <v>#REF!</v>
      </c>
      <c r="BP60" t="e">
        <f>AND(#REF!,"KA06CXVXDkM=")</f>
        <v>#REF!</v>
      </c>
      <c r="BQ60" t="e">
        <f>AND(#REF!,"KA06CXVXDkQ=")</f>
        <v>#REF!</v>
      </c>
      <c r="BR60" t="e">
        <f>AND(#REF!,"KA06CXVXDkU=")</f>
        <v>#REF!</v>
      </c>
      <c r="BS60" t="e">
        <f>AND(#REF!,"KA06CXVXDkY=")</f>
        <v>#REF!</v>
      </c>
      <c r="BT60" t="e">
        <f>AND(#REF!,"KA06CXVXDkc=")</f>
        <v>#REF!</v>
      </c>
      <c r="BU60" t="e">
        <f>AND(#REF!,"KA06CXVXDkg=")</f>
        <v>#REF!</v>
      </c>
      <c r="BV60" t="e">
        <f>AND(#REF!,"KA06CXVXDkk=")</f>
        <v>#REF!</v>
      </c>
      <c r="BW60" t="e">
        <f>AND(#REF!,"KA06CXVXDko=")</f>
        <v>#REF!</v>
      </c>
      <c r="BX60" t="e">
        <f>AND(#REF!,"KA06CXVXDks=")</f>
        <v>#REF!</v>
      </c>
      <c r="BY60" t="e">
        <f>AND(#REF!,"KA06CXVXDkw=")</f>
        <v>#REF!</v>
      </c>
      <c r="BZ60" t="e">
        <f>AND(#REF!,"KA06CXVXDk0=")</f>
        <v>#REF!</v>
      </c>
      <c r="CA60" t="e">
        <f>AND(#REF!,"KA06CXVXDk4=")</f>
        <v>#REF!</v>
      </c>
      <c r="CB60" t="e">
        <f>AND(#REF!,"KA06CXVXDk8=")</f>
        <v>#REF!</v>
      </c>
      <c r="CC60" t="e">
        <f>AND(#REF!,"KA06CXVXDlA=")</f>
        <v>#REF!</v>
      </c>
      <c r="CD60" t="e">
        <f>AND(#REF!,"KA06CXVXDlE=")</f>
        <v>#REF!</v>
      </c>
      <c r="CE60" t="e">
        <f>AND(#REF!,"KA06CXVXDlI=")</f>
        <v>#REF!</v>
      </c>
      <c r="CF60" t="e">
        <f>AND(#REF!,"KA06CXVXDlM=")</f>
        <v>#REF!</v>
      </c>
      <c r="CG60" t="e">
        <f>AND(#REF!,"KA06CXVXDlQ=")</f>
        <v>#REF!</v>
      </c>
      <c r="CH60" t="e">
        <f>AND(#REF!,"KA06CXVXDlU=")</f>
        <v>#REF!</v>
      </c>
      <c r="CI60" t="e">
        <f>AND(#REF!,"KA06CXVXDlY=")</f>
        <v>#REF!</v>
      </c>
      <c r="CJ60" t="e">
        <f>AND(#REF!,"KA06CXVXDlc=")</f>
        <v>#REF!</v>
      </c>
      <c r="CK60" t="e">
        <f>AND(#REF!,"KA06CXVXDlg=")</f>
        <v>#REF!</v>
      </c>
      <c r="CL60" t="e">
        <f>AND(#REF!,"KA06CXVXDlk=")</f>
        <v>#REF!</v>
      </c>
      <c r="CM60" t="e">
        <f>AND(#REF!,"KA06CXVXDlo=")</f>
        <v>#REF!</v>
      </c>
      <c r="CN60" t="e">
        <f>AND(#REF!,"KA06CXVXDls=")</f>
        <v>#REF!</v>
      </c>
      <c r="CO60" t="e">
        <f>AND(#REF!,"KA06CXVXDlw=")</f>
        <v>#REF!</v>
      </c>
      <c r="CP60" t="e">
        <f>AND(#REF!,"KA06CXVXDl0=")</f>
        <v>#REF!</v>
      </c>
      <c r="CQ60" t="e">
        <f>AND(#REF!,"KA06CXVXDl4=")</f>
        <v>#REF!</v>
      </c>
      <c r="CR60" t="e">
        <f>AND(#REF!,"KA06CXVXDl8=")</f>
        <v>#REF!</v>
      </c>
      <c r="CS60" t="e">
        <f>AND(#REF!,"KA06CXVXDmA=")</f>
        <v>#REF!</v>
      </c>
      <c r="CT60" t="e">
        <f>AND(#REF!,"KA06CXVXDmE=")</f>
        <v>#REF!</v>
      </c>
      <c r="CU60" t="e">
        <f>AND(#REF!,"KA06CXVXDmI=")</f>
        <v>#REF!</v>
      </c>
      <c r="CV60" t="e">
        <f>AND(#REF!,"KA06CXVXDmM=")</f>
        <v>#REF!</v>
      </c>
      <c r="CW60" t="e">
        <f>AND(#REF!,"KA06CXVXDmQ=")</f>
        <v>#REF!</v>
      </c>
      <c r="CX60" t="e">
        <f>AND(#REF!,"KA06CXVXDmU=")</f>
        <v>#REF!</v>
      </c>
      <c r="CY60" t="e">
        <f>AND(#REF!,"KA06CXVXDmY=")</f>
        <v>#REF!</v>
      </c>
      <c r="CZ60" t="e">
        <f>AND(#REF!,"KA06CXVXDmc=")</f>
        <v>#REF!</v>
      </c>
      <c r="DA60" t="e">
        <f>AND(#REF!,"KA06CXVXDmg=")</f>
        <v>#REF!</v>
      </c>
      <c r="DB60" t="e">
        <f>AND(#REF!,"KA06CXVXDmk=")</f>
        <v>#REF!</v>
      </c>
      <c r="DC60" t="e">
        <f>AND(#REF!,"KA06CXVXDmo=")</f>
        <v>#REF!</v>
      </c>
      <c r="DD60" t="e">
        <f>AND(#REF!,"KA06CXVXDms=")</f>
        <v>#REF!</v>
      </c>
      <c r="DE60" t="e">
        <f>AND(#REF!,"KA06CXVXDmw=")</f>
        <v>#REF!</v>
      </c>
      <c r="DF60" t="e">
        <f>AND(#REF!,"KA06CXVXDm0=")</f>
        <v>#REF!</v>
      </c>
      <c r="DG60" t="e">
        <f>AND(#REF!,"KA06CXVXDm4=")</f>
        <v>#REF!</v>
      </c>
      <c r="DH60" t="e">
        <f>AND(#REF!,"KA06CXVXDm8=")</f>
        <v>#REF!</v>
      </c>
      <c r="DI60" t="e">
        <f>AND(#REF!,"KA06CXVXDnA=")</f>
        <v>#REF!</v>
      </c>
      <c r="DJ60" t="e">
        <f>AND(#REF!,"KA06CXVXDnE=")</f>
        <v>#REF!</v>
      </c>
      <c r="DK60" t="e">
        <f>AND(#REF!,"KA06CXVXDnI=")</f>
        <v>#REF!</v>
      </c>
      <c r="DL60" t="e">
        <f>AND(#REF!,"KA06CXVXDnM=")</f>
        <v>#REF!</v>
      </c>
      <c r="DM60" t="e">
        <f>AND(#REF!,"KA06CXVXDnQ=")</f>
        <v>#REF!</v>
      </c>
      <c r="DN60" t="e">
        <f>AND(#REF!,"KA06CXVXDnU=")</f>
        <v>#REF!</v>
      </c>
      <c r="DO60" t="e">
        <f>AND(#REF!,"KA06CXVXDnY=")</f>
        <v>#REF!</v>
      </c>
      <c r="DP60" t="e">
        <f>AND(#REF!,"KA06CXVXDnc=")</f>
        <v>#REF!</v>
      </c>
      <c r="DQ60" t="e">
        <f>AND(#REF!,"KA06CXVXDng=")</f>
        <v>#REF!</v>
      </c>
      <c r="DR60" t="e">
        <f>AND(#REF!,"KA06CXVXDnk=")</f>
        <v>#REF!</v>
      </c>
      <c r="DS60" t="e">
        <f>AND(#REF!,"KA06CXVXDno=")</f>
        <v>#REF!</v>
      </c>
      <c r="DT60" t="e">
        <f>AND(#REF!,"KA06CXVXDns=")</f>
        <v>#REF!</v>
      </c>
      <c r="DU60" t="e">
        <f>AND(#REF!,"KA06CXVXDnw=")</f>
        <v>#REF!</v>
      </c>
      <c r="DV60" t="e">
        <f>AND(#REF!,"KA06CXVXDn0=")</f>
        <v>#REF!</v>
      </c>
      <c r="DW60" t="e">
        <f>AND(#REF!,"KA06CXVXDn4=")</f>
        <v>#REF!</v>
      </c>
      <c r="DX60" t="e">
        <f>AND(#REF!,"KA06CXVXDn8=")</f>
        <v>#REF!</v>
      </c>
      <c r="DY60" t="e">
        <f>AND(#REF!,"KA06CXVXDoA=")</f>
        <v>#REF!</v>
      </c>
      <c r="DZ60" t="e">
        <f>AND(#REF!,"KA06CXVXDoE=")</f>
        <v>#REF!</v>
      </c>
      <c r="EA60" t="e">
        <f>AND(#REF!,"KA06CXVXDoI=")</f>
        <v>#REF!</v>
      </c>
      <c r="EB60" t="e">
        <f>AND(#REF!,"KA06CXVXDoM=")</f>
        <v>#REF!</v>
      </c>
      <c r="EC60" t="e">
        <f>AND(#REF!,"KA06CXVXDoQ=")</f>
        <v>#REF!</v>
      </c>
      <c r="ED60" t="e">
        <f>AND(#REF!,"KA06CXVXDoU=")</f>
        <v>#REF!</v>
      </c>
      <c r="EE60" t="e">
        <f>AND(#REF!,"KA06CXVXDoY=")</f>
        <v>#REF!</v>
      </c>
      <c r="EF60" t="e">
        <f>AND(#REF!,"KA06CXVXDoc=")</f>
        <v>#REF!</v>
      </c>
      <c r="EG60" t="e">
        <f>AND(#REF!,"KA06CXVXDog=")</f>
        <v>#REF!</v>
      </c>
      <c r="EH60" t="e">
        <f>AND(#REF!,"KA06CXVXDok=")</f>
        <v>#REF!</v>
      </c>
      <c r="EI60" t="e">
        <f>AND(#REF!,"KA06CXVXDoo=")</f>
        <v>#REF!</v>
      </c>
      <c r="EJ60" t="e">
        <f>AND(#REF!,"KA06CXVXDos=")</f>
        <v>#REF!</v>
      </c>
      <c r="EK60" t="e">
        <f>AND(#REF!,"KA06CXVXDow=")</f>
        <v>#REF!</v>
      </c>
      <c r="EL60" t="e">
        <f>AND(#REF!,"KA06CXVXDo0=")</f>
        <v>#REF!</v>
      </c>
      <c r="EM60" t="e">
        <f>AND(#REF!,"KA06CXVXDo4=")</f>
        <v>#REF!</v>
      </c>
      <c r="EN60" t="e">
        <f>AND(#REF!,"KA06CXVXDo8=")</f>
        <v>#REF!</v>
      </c>
      <c r="EO60" t="e">
        <f>AND(#REF!,"KA06CXVXDpA=")</f>
        <v>#REF!</v>
      </c>
      <c r="EP60" t="e">
        <f>AND(#REF!,"KA06CXVXDpE=")</f>
        <v>#REF!</v>
      </c>
      <c r="EQ60" t="e">
        <f>AND(#REF!,"KA06CXVXDpI=")</f>
        <v>#REF!</v>
      </c>
      <c r="ER60" t="e">
        <f>AND(#REF!,"KA06CXVXDpM=")</f>
        <v>#REF!</v>
      </c>
      <c r="ES60" t="e">
        <f>AND(#REF!,"KA06CXVXDpQ=")</f>
        <v>#REF!</v>
      </c>
      <c r="ET60" t="e">
        <f>AND(#REF!,"KA06CXVXDpU=")</f>
        <v>#REF!</v>
      </c>
      <c r="EU60" t="e">
        <f>AND(#REF!,"KA06CXVXDpY=")</f>
        <v>#REF!</v>
      </c>
      <c r="EV60" t="e">
        <f>AND(#REF!,"KA06CXVXDpc=")</f>
        <v>#REF!</v>
      </c>
      <c r="EW60" t="e">
        <f>AND(#REF!,"KA06CXVXDpg=")</f>
        <v>#REF!</v>
      </c>
      <c r="EX60" t="e">
        <f>AND(#REF!,"KA06CXVXDpk=")</f>
        <v>#REF!</v>
      </c>
      <c r="EY60" t="e">
        <f>AND(#REF!,"KA06CXVXDpo=")</f>
        <v>#REF!</v>
      </c>
      <c r="EZ60" t="e">
        <f>AND(#REF!,"KA06CXVXDps=")</f>
        <v>#REF!</v>
      </c>
      <c r="FA60" t="e">
        <f>AND(#REF!,"KA06CXVXDpw=")</f>
        <v>#REF!</v>
      </c>
      <c r="FB60" t="e">
        <f>AND(#REF!,"KA06CXVXDp0=")</f>
        <v>#REF!</v>
      </c>
      <c r="FC60" t="e">
        <f>AND(#REF!,"KA06CXVXDp4=")</f>
        <v>#REF!</v>
      </c>
      <c r="FD60" t="e">
        <f>AND(#REF!,"KA06CXVXDp8=")</f>
        <v>#REF!</v>
      </c>
      <c r="FE60" t="e">
        <f>AND(#REF!,"KA06CXVXDqA=")</f>
        <v>#REF!</v>
      </c>
      <c r="FF60" t="e">
        <f>AND(#REF!,"KA06CXVXDqE=")</f>
        <v>#REF!</v>
      </c>
      <c r="FG60" t="e">
        <f>AND(#REF!,"KA06CXVXDqI=")</f>
        <v>#REF!</v>
      </c>
      <c r="FH60" t="e">
        <f>AND(#REF!,"KA06CXVXDqM=")</f>
        <v>#REF!</v>
      </c>
      <c r="FI60" t="e">
        <f>AND(#REF!,"KA06CXVXDqQ=")</f>
        <v>#REF!</v>
      </c>
      <c r="FJ60" t="e">
        <f>IF(#REF!,"KA06CXVXDqU=",0)</f>
        <v>#REF!</v>
      </c>
      <c r="FK60" t="e">
        <f>AND(#REF!,"KA06CXVXDqY=")</f>
        <v>#REF!</v>
      </c>
      <c r="FL60" t="e">
        <f>AND(#REF!,"KA06CXVXDqc=")</f>
        <v>#REF!</v>
      </c>
      <c r="FM60" t="e">
        <f>AND(#REF!,"KA06CXVXDqg=")</f>
        <v>#REF!</v>
      </c>
      <c r="FN60" t="e">
        <f>AND(#REF!,"KA06CXVXDqk=")</f>
        <v>#REF!</v>
      </c>
      <c r="FO60" t="e">
        <f>AND(#REF!,"KA06CXVXDqo=")</f>
        <v>#REF!</v>
      </c>
      <c r="FP60" t="e">
        <f>AND(#REF!,"KA06CXVXDqs=")</f>
        <v>#REF!</v>
      </c>
      <c r="FQ60" t="e">
        <f>AND(#REF!,"KA06CXVXDqw=")</f>
        <v>#REF!</v>
      </c>
      <c r="FR60" t="e">
        <f>AND(#REF!,"KA06CXVXDq0=")</f>
        <v>#REF!</v>
      </c>
      <c r="FS60" t="e">
        <f>AND(#REF!,"KA06CXVXDq4=")</f>
        <v>#REF!</v>
      </c>
      <c r="FT60" t="e">
        <f>AND(#REF!,"KA06CXVXDq8=")</f>
        <v>#REF!</v>
      </c>
      <c r="FU60" t="e">
        <f>AND(#REF!,"KA06CXVXDrA=")</f>
        <v>#REF!</v>
      </c>
      <c r="FV60" t="e">
        <f>AND(#REF!,"KA06CXVXDrE=")</f>
        <v>#REF!</v>
      </c>
      <c r="FW60" t="e">
        <f>AND(#REF!,"KA06CXVXDrI=")</f>
        <v>#REF!</v>
      </c>
      <c r="FX60" t="e">
        <f>AND(#REF!,"KA06CXVXDrM=")</f>
        <v>#REF!</v>
      </c>
      <c r="FY60" t="e">
        <f>AND(#REF!,"KA06CXVXDrQ=")</f>
        <v>#REF!</v>
      </c>
      <c r="FZ60" t="e">
        <f>AND(#REF!,"KA06CXVXDrU=")</f>
        <v>#REF!</v>
      </c>
      <c r="GA60" t="e">
        <f>AND(#REF!,"KA06CXVXDrY=")</f>
        <v>#REF!</v>
      </c>
      <c r="GB60" t="e">
        <f>AND(#REF!,"KA06CXVXDrc=")</f>
        <v>#REF!</v>
      </c>
      <c r="GC60" t="e">
        <f>AND(#REF!,"KA06CXVXDrg=")</f>
        <v>#REF!</v>
      </c>
      <c r="GD60" t="e">
        <f>AND(#REF!,"KA06CXVXDrk=")</f>
        <v>#REF!</v>
      </c>
      <c r="GE60" t="e">
        <f>AND(#REF!,"KA06CXVXDro=")</f>
        <v>#REF!</v>
      </c>
      <c r="GF60" t="e">
        <f>AND(#REF!,"KA06CXVXDrs=")</f>
        <v>#REF!</v>
      </c>
      <c r="GG60" t="e">
        <f>AND(#REF!,"KA06CXVXDrw=")</f>
        <v>#REF!</v>
      </c>
      <c r="GH60" t="e">
        <f>AND(#REF!,"KA06CXVXDr0=")</f>
        <v>#REF!</v>
      </c>
      <c r="GI60" t="e">
        <f>AND(#REF!,"KA06CXVXDr4=")</f>
        <v>#REF!</v>
      </c>
      <c r="GJ60" t="e">
        <f>AND(#REF!,"KA06CXVXDr8=")</f>
        <v>#REF!</v>
      </c>
      <c r="GK60" t="e">
        <f>AND(#REF!,"KA06CXVXDsA=")</f>
        <v>#REF!</v>
      </c>
      <c r="GL60" t="e">
        <f>AND(#REF!,"KA06CXVXDsE=")</f>
        <v>#REF!</v>
      </c>
      <c r="GM60" t="e">
        <f>AND(#REF!,"KA06CXVXDsI=")</f>
        <v>#REF!</v>
      </c>
      <c r="GN60" t="e">
        <f>AND(#REF!,"KA06CXVXDsM=")</f>
        <v>#REF!</v>
      </c>
      <c r="GO60" t="e">
        <f>AND(#REF!,"KA06CXVXDsQ=")</f>
        <v>#REF!</v>
      </c>
      <c r="GP60" t="e">
        <f>AND(#REF!,"KA06CXVXDsU=")</f>
        <v>#REF!</v>
      </c>
      <c r="GQ60" t="e">
        <f>AND(#REF!,"KA06CXVXDsY=")</f>
        <v>#REF!</v>
      </c>
      <c r="GR60" t="e">
        <f>AND(#REF!,"KA06CXVXDsc=")</f>
        <v>#REF!</v>
      </c>
      <c r="GS60" t="e">
        <f>AND(#REF!,"KA06CXVXDsg=")</f>
        <v>#REF!</v>
      </c>
      <c r="GT60" t="e">
        <f>AND(#REF!,"KA06CXVXDsk=")</f>
        <v>#REF!</v>
      </c>
      <c r="GU60" t="e">
        <f>AND(#REF!,"KA06CXVXDso=")</f>
        <v>#REF!</v>
      </c>
      <c r="GV60" t="e">
        <f>AND(#REF!,"KA06CXVXDss=")</f>
        <v>#REF!</v>
      </c>
      <c r="GW60" t="e">
        <f>AND(#REF!,"KA06CXVXDsw=")</f>
        <v>#REF!</v>
      </c>
      <c r="GX60" t="e">
        <f>AND(#REF!,"KA06CXVXDs0=")</f>
        <v>#REF!</v>
      </c>
      <c r="GY60" t="e">
        <f>AND(#REF!,"KA06CXVXDs4=")</f>
        <v>#REF!</v>
      </c>
      <c r="GZ60" t="e">
        <f>AND(#REF!,"KA06CXVXDs8=")</f>
        <v>#REF!</v>
      </c>
      <c r="HA60" t="e">
        <f>AND(#REF!,"KA06CXVXDtA=")</f>
        <v>#REF!</v>
      </c>
      <c r="HB60" t="e">
        <f>AND(#REF!,"KA06CXVXDtE=")</f>
        <v>#REF!</v>
      </c>
      <c r="HC60" t="e">
        <f>AND(#REF!,"KA06CXVXDtI=")</f>
        <v>#REF!</v>
      </c>
      <c r="HD60" t="e">
        <f>AND(#REF!,"KA06CXVXDtM=")</f>
        <v>#REF!</v>
      </c>
      <c r="HE60" t="e">
        <f>AND(#REF!,"KA06CXVXDtQ=")</f>
        <v>#REF!</v>
      </c>
      <c r="HF60" t="e">
        <f>AND(#REF!,"KA06CXVXDtU=")</f>
        <v>#REF!</v>
      </c>
      <c r="HG60" t="e">
        <f>AND(#REF!,"KA06CXVXDtY=")</f>
        <v>#REF!</v>
      </c>
      <c r="HH60" t="e">
        <f>AND(#REF!,"KA06CXVXDtc=")</f>
        <v>#REF!</v>
      </c>
      <c r="HI60" t="e">
        <f>AND(#REF!,"KA06CXVXDtg=")</f>
        <v>#REF!</v>
      </c>
      <c r="HJ60" t="e">
        <f>AND(#REF!,"KA06CXVXDtk=")</f>
        <v>#REF!</v>
      </c>
      <c r="HK60" t="e">
        <f>AND(#REF!,"KA06CXVXDto=")</f>
        <v>#REF!</v>
      </c>
      <c r="HL60" t="e">
        <f>AND(#REF!,"KA06CXVXDts=")</f>
        <v>#REF!</v>
      </c>
      <c r="HM60" t="e">
        <f>AND(#REF!,"KA06CXVXDtw=")</f>
        <v>#REF!</v>
      </c>
      <c r="HN60" t="e">
        <f>AND(#REF!,"KA06CXVXDt0=")</f>
        <v>#REF!</v>
      </c>
      <c r="HO60" t="e">
        <f>AND(#REF!,"KA06CXVXDt4=")</f>
        <v>#REF!</v>
      </c>
      <c r="HP60" t="e">
        <f>AND(#REF!,"KA06CXVXDt8=")</f>
        <v>#REF!</v>
      </c>
      <c r="HQ60" t="e">
        <f>AND(#REF!,"KA06CXVXDuA=")</f>
        <v>#REF!</v>
      </c>
      <c r="HR60" t="e">
        <f>AND(#REF!,"KA06CXVXDuE=")</f>
        <v>#REF!</v>
      </c>
      <c r="HS60" t="e">
        <f>AND(#REF!,"KA06CXVXDuI=")</f>
        <v>#REF!</v>
      </c>
      <c r="HT60" t="e">
        <f>AND(#REF!,"KA06CXVXDuM=")</f>
        <v>#REF!</v>
      </c>
      <c r="HU60" t="e">
        <f>AND(#REF!,"KA06CXVXDuQ=")</f>
        <v>#REF!</v>
      </c>
      <c r="HV60" t="e">
        <f>AND(#REF!,"KA06CXVXDuU=")</f>
        <v>#REF!</v>
      </c>
      <c r="HW60" t="e">
        <f>AND(#REF!,"KA06CXVXDuY=")</f>
        <v>#REF!</v>
      </c>
      <c r="HX60" t="e">
        <f>AND(#REF!,"KA06CXVXDuc=")</f>
        <v>#REF!</v>
      </c>
      <c r="HY60" t="e">
        <f>AND(#REF!,"KA06CXVXDug=")</f>
        <v>#REF!</v>
      </c>
      <c r="HZ60" t="e">
        <f>AND(#REF!,"KA06CXVXDuk=")</f>
        <v>#REF!</v>
      </c>
      <c r="IA60" t="e">
        <f>AND(#REF!,"KA06CXVXDuo=")</f>
        <v>#REF!</v>
      </c>
      <c r="IB60" t="e">
        <f>AND(#REF!,"KA06CXVXDus=")</f>
        <v>#REF!</v>
      </c>
      <c r="IC60" t="e">
        <f>AND(#REF!,"KA06CXVXDuw=")</f>
        <v>#REF!</v>
      </c>
      <c r="ID60" t="e">
        <f>AND(#REF!,"KA06CXVXDu0=")</f>
        <v>#REF!</v>
      </c>
      <c r="IE60" t="e">
        <f>AND(#REF!,"KA06CXVXDu4=")</f>
        <v>#REF!</v>
      </c>
      <c r="IF60" t="e">
        <f>AND(#REF!,"KA06CXVXDu8=")</f>
        <v>#REF!</v>
      </c>
      <c r="IG60" t="e">
        <f>AND(#REF!,"KA06CXVXDvA=")</f>
        <v>#REF!</v>
      </c>
      <c r="IH60" t="e">
        <f>AND(#REF!,"KA06CXVXDvE=")</f>
        <v>#REF!</v>
      </c>
      <c r="II60" t="e">
        <f>AND(#REF!,"KA06CXVXDvI=")</f>
        <v>#REF!</v>
      </c>
      <c r="IJ60" t="e">
        <f>AND(#REF!,"KA06CXVXDvM=")</f>
        <v>#REF!</v>
      </c>
      <c r="IK60" t="e">
        <f>AND(#REF!,"KA06CXVXDvQ=")</f>
        <v>#REF!</v>
      </c>
      <c r="IL60" t="e">
        <f>AND(#REF!,"KA06CXVXDvU=")</f>
        <v>#REF!</v>
      </c>
      <c r="IM60" t="e">
        <f>AND(#REF!,"KA06CXVXDvY=")</f>
        <v>#REF!</v>
      </c>
      <c r="IN60" t="e">
        <f>AND(#REF!,"KA06CXVXDvc=")</f>
        <v>#REF!</v>
      </c>
      <c r="IO60" t="e">
        <f>AND(#REF!,"KA06CXVXDvg=")</f>
        <v>#REF!</v>
      </c>
      <c r="IP60" t="e">
        <f>AND(#REF!,"KA06CXVXDvk=")</f>
        <v>#REF!</v>
      </c>
      <c r="IQ60" t="e">
        <f>AND(#REF!,"KA06CXVXDvo=")</f>
        <v>#REF!</v>
      </c>
      <c r="IR60" t="e">
        <f>AND(#REF!,"KA06CXVXDvs=")</f>
        <v>#REF!</v>
      </c>
      <c r="IS60" t="e">
        <f>AND(#REF!,"KA06CXVXDvw=")</f>
        <v>#REF!</v>
      </c>
      <c r="IT60" t="e">
        <f>AND(#REF!,"KA06CXVXDv0=")</f>
        <v>#REF!</v>
      </c>
      <c r="IU60" t="e">
        <f>AND(#REF!,"KA06CXVXDv4=")</f>
        <v>#REF!</v>
      </c>
      <c r="IV60" t="e">
        <f>AND(#REF!,"KA06CXVXDv8=")</f>
        <v>#REF!</v>
      </c>
    </row>
    <row r="61" spans="1:256" x14ac:dyDescent="0.2">
      <c r="A61" t="e">
        <f>AND(#REF!,"aqGDf2Js3QA=")</f>
        <v>#REF!</v>
      </c>
      <c r="B61" t="e">
        <f>AND(#REF!,"aqGDf2Js3QE=")</f>
        <v>#REF!</v>
      </c>
      <c r="C61" t="e">
        <f>AND(#REF!,"aqGDf2Js3QI=")</f>
        <v>#REF!</v>
      </c>
      <c r="D61" t="e">
        <f>AND(#REF!,"aqGDf2Js3QM=")</f>
        <v>#REF!</v>
      </c>
      <c r="E61" t="e">
        <f>AND(#REF!,"aqGDf2Js3QQ=")</f>
        <v>#REF!</v>
      </c>
      <c r="F61" t="e">
        <f>AND(#REF!,"aqGDf2Js3QU=")</f>
        <v>#REF!</v>
      </c>
      <c r="G61" t="e">
        <f>AND(#REF!,"aqGDf2Js3QY=")</f>
        <v>#REF!</v>
      </c>
      <c r="H61" t="e">
        <f>AND(#REF!,"aqGDf2Js3Qc=")</f>
        <v>#REF!</v>
      </c>
      <c r="I61" t="e">
        <f>AND(#REF!,"aqGDf2Js3Qg=")</f>
        <v>#REF!</v>
      </c>
      <c r="J61" t="e">
        <f>AND(#REF!,"aqGDf2Js3Qk=")</f>
        <v>#REF!</v>
      </c>
      <c r="K61" t="e">
        <f>AND(#REF!,"aqGDf2Js3Qo=")</f>
        <v>#REF!</v>
      </c>
      <c r="L61" t="e">
        <f>AND(#REF!,"aqGDf2Js3Qs=")</f>
        <v>#REF!</v>
      </c>
      <c r="M61" t="e">
        <f>AND(#REF!,"aqGDf2Js3Qw=")</f>
        <v>#REF!</v>
      </c>
      <c r="N61" t="e">
        <f>AND(#REF!,"aqGDf2Js3Q0=")</f>
        <v>#REF!</v>
      </c>
      <c r="O61" t="e">
        <f>AND(#REF!,"aqGDf2Js3Q4=")</f>
        <v>#REF!</v>
      </c>
      <c r="P61" t="e">
        <f>AND(#REF!,"aqGDf2Js3Q8=")</f>
        <v>#REF!</v>
      </c>
      <c r="Q61" t="e">
        <f>AND(#REF!,"aqGDf2Js3RA=")</f>
        <v>#REF!</v>
      </c>
      <c r="R61" t="e">
        <f>AND(#REF!,"aqGDf2Js3RE=")</f>
        <v>#REF!</v>
      </c>
      <c r="S61" t="e">
        <f>AND(#REF!,"aqGDf2Js3RI=")</f>
        <v>#REF!</v>
      </c>
      <c r="T61" t="e">
        <f>AND(#REF!,"aqGDf2Js3RM=")</f>
        <v>#REF!</v>
      </c>
      <c r="U61" t="e">
        <f>AND(#REF!,"aqGDf2Js3RQ=")</f>
        <v>#REF!</v>
      </c>
      <c r="V61" t="e">
        <f>AND(#REF!,"aqGDf2Js3RU=")</f>
        <v>#REF!</v>
      </c>
      <c r="W61" t="e">
        <f>AND(#REF!,"aqGDf2Js3RY=")</f>
        <v>#REF!</v>
      </c>
      <c r="X61" t="e">
        <f>AND(#REF!,"aqGDf2Js3Rc=")</f>
        <v>#REF!</v>
      </c>
      <c r="Y61" t="e">
        <f>AND(#REF!,"aqGDf2Js3Rg=")</f>
        <v>#REF!</v>
      </c>
      <c r="Z61" t="e">
        <f>AND(#REF!,"aqGDf2Js3Rk=")</f>
        <v>#REF!</v>
      </c>
      <c r="AA61" t="e">
        <f>AND(#REF!,"aqGDf2Js3Ro=")</f>
        <v>#REF!</v>
      </c>
      <c r="AB61" t="e">
        <f>AND(#REF!,"aqGDf2Js3Rs=")</f>
        <v>#REF!</v>
      </c>
      <c r="AC61" t="e">
        <f>AND(#REF!,"aqGDf2Js3Rw=")</f>
        <v>#REF!</v>
      </c>
      <c r="AD61" t="e">
        <f>AND(#REF!,"aqGDf2Js3R0=")</f>
        <v>#REF!</v>
      </c>
      <c r="AE61" t="e">
        <f>AND(#REF!,"aqGDf2Js3R4=")</f>
        <v>#REF!</v>
      </c>
      <c r="AF61" t="e">
        <f>AND(#REF!,"aqGDf2Js3R8=")</f>
        <v>#REF!</v>
      </c>
      <c r="AG61" t="e">
        <f>AND(#REF!,"aqGDf2Js3SA=")</f>
        <v>#REF!</v>
      </c>
      <c r="AH61" t="e">
        <f>AND(#REF!,"aqGDf2Js3SE=")</f>
        <v>#REF!</v>
      </c>
      <c r="AI61" t="e">
        <f>AND(#REF!,"aqGDf2Js3SI=")</f>
        <v>#REF!</v>
      </c>
      <c r="AJ61" t="e">
        <f>AND(#REF!,"aqGDf2Js3SM=")</f>
        <v>#REF!</v>
      </c>
      <c r="AK61" t="e">
        <f>AND(#REF!,"aqGDf2Js3SQ=")</f>
        <v>#REF!</v>
      </c>
      <c r="AL61" t="e">
        <f>AND(#REF!,"aqGDf2Js3SU=")</f>
        <v>#REF!</v>
      </c>
      <c r="AM61" t="e">
        <f>AND(#REF!,"aqGDf2Js3SY=")</f>
        <v>#REF!</v>
      </c>
      <c r="AN61" t="e">
        <f>AND(#REF!,"aqGDf2Js3Sc=")</f>
        <v>#REF!</v>
      </c>
      <c r="AO61" t="e">
        <f>AND(#REF!,"aqGDf2Js3Sg=")</f>
        <v>#REF!</v>
      </c>
      <c r="AP61" t="e">
        <f>AND(#REF!,"aqGDf2Js3Sk=")</f>
        <v>#REF!</v>
      </c>
      <c r="AQ61" t="e">
        <f>AND(#REF!,"aqGDf2Js3So=")</f>
        <v>#REF!</v>
      </c>
      <c r="AR61" t="e">
        <f>AND(#REF!,"aqGDf2Js3Ss=")</f>
        <v>#REF!</v>
      </c>
      <c r="AS61" t="e">
        <f>AND(#REF!,"aqGDf2Js3Sw=")</f>
        <v>#REF!</v>
      </c>
      <c r="AT61" t="e">
        <f>AND(#REF!,"aqGDf2Js3S0=")</f>
        <v>#REF!</v>
      </c>
      <c r="AU61" t="e">
        <f>AND(#REF!,"aqGDf2Js3S4=")</f>
        <v>#REF!</v>
      </c>
      <c r="AV61" t="e">
        <f>AND(#REF!,"aqGDf2Js3S8=")</f>
        <v>#REF!</v>
      </c>
      <c r="AW61" t="e">
        <f>AND(#REF!,"aqGDf2Js3TA=")</f>
        <v>#REF!</v>
      </c>
      <c r="AX61" t="e">
        <f>AND(#REF!,"aqGDf2Js3TE=")</f>
        <v>#REF!</v>
      </c>
      <c r="AY61" t="e">
        <f>AND(#REF!,"aqGDf2Js3TI=")</f>
        <v>#REF!</v>
      </c>
      <c r="AZ61" t="e">
        <f>AND(#REF!,"aqGDf2Js3TM=")</f>
        <v>#REF!</v>
      </c>
      <c r="BA61" t="e">
        <f>AND(#REF!,"aqGDf2Js3TQ=")</f>
        <v>#REF!</v>
      </c>
      <c r="BB61" t="e">
        <f>AND(#REF!,"aqGDf2Js3TU=")</f>
        <v>#REF!</v>
      </c>
      <c r="BC61" t="e">
        <f>AND(#REF!,"aqGDf2Js3TY=")</f>
        <v>#REF!</v>
      </c>
      <c r="BD61" t="e">
        <f>AND(#REF!,"aqGDf2Js3Tc=")</f>
        <v>#REF!</v>
      </c>
      <c r="BE61" t="e">
        <f>AND(#REF!,"aqGDf2Js3Tg=")</f>
        <v>#REF!</v>
      </c>
      <c r="BF61" t="e">
        <f>AND(#REF!,"aqGDf2Js3Tk=")</f>
        <v>#REF!</v>
      </c>
      <c r="BG61" t="e">
        <f>AND(#REF!,"aqGDf2Js3To=")</f>
        <v>#REF!</v>
      </c>
      <c r="BH61" t="e">
        <f>AND(#REF!,"aqGDf2Js3Ts=")</f>
        <v>#REF!</v>
      </c>
      <c r="BI61" t="e">
        <f>AND(#REF!,"aqGDf2Js3Tw=")</f>
        <v>#REF!</v>
      </c>
      <c r="BJ61" t="e">
        <f>AND(#REF!,"aqGDf2Js3T0=")</f>
        <v>#REF!</v>
      </c>
      <c r="BK61" t="e">
        <f>AND(#REF!,"aqGDf2Js3T4=")</f>
        <v>#REF!</v>
      </c>
      <c r="BL61" t="e">
        <f>AND(#REF!,"aqGDf2Js3T8=")</f>
        <v>#REF!</v>
      </c>
      <c r="BM61" t="e">
        <f>AND(#REF!,"aqGDf2Js3UA=")</f>
        <v>#REF!</v>
      </c>
      <c r="BN61" t="e">
        <f>AND(#REF!,"aqGDf2Js3UE=")</f>
        <v>#REF!</v>
      </c>
      <c r="BO61" t="e">
        <f>AND(#REF!,"aqGDf2Js3UI=")</f>
        <v>#REF!</v>
      </c>
      <c r="BP61" t="e">
        <f>AND(#REF!,"aqGDf2Js3UM=")</f>
        <v>#REF!</v>
      </c>
      <c r="BQ61" t="e">
        <f>AND(#REF!,"aqGDf2Js3UQ=")</f>
        <v>#REF!</v>
      </c>
      <c r="BR61" t="e">
        <f>AND(#REF!,"aqGDf2Js3UU=")</f>
        <v>#REF!</v>
      </c>
      <c r="BS61" t="e">
        <f>AND(#REF!,"aqGDf2Js3UY=")</f>
        <v>#REF!</v>
      </c>
      <c r="BT61" t="e">
        <f>AND(#REF!,"aqGDf2Js3Uc=")</f>
        <v>#REF!</v>
      </c>
      <c r="BU61" t="e">
        <f>AND(#REF!,"aqGDf2Js3Ug=")</f>
        <v>#REF!</v>
      </c>
      <c r="BV61" t="e">
        <f>AND(#REF!,"aqGDf2Js3Uk=")</f>
        <v>#REF!</v>
      </c>
      <c r="BW61" t="e">
        <f>AND(#REF!,"aqGDf2Js3Uo=")</f>
        <v>#REF!</v>
      </c>
      <c r="BX61" t="e">
        <f>AND(#REF!,"aqGDf2Js3Us=")</f>
        <v>#REF!</v>
      </c>
      <c r="BY61" t="e">
        <f>AND(#REF!,"aqGDf2Js3Uw=")</f>
        <v>#REF!</v>
      </c>
      <c r="BZ61" t="e">
        <f>AND(#REF!,"aqGDf2Js3U0=")</f>
        <v>#REF!</v>
      </c>
      <c r="CA61" t="e">
        <f>AND(#REF!,"aqGDf2Js3U4=")</f>
        <v>#REF!</v>
      </c>
      <c r="CB61" t="e">
        <f>AND(#REF!,"aqGDf2Js3U8=")</f>
        <v>#REF!</v>
      </c>
      <c r="CC61" t="e">
        <f>AND(#REF!,"aqGDf2Js3VA=")</f>
        <v>#REF!</v>
      </c>
      <c r="CD61" t="e">
        <f>AND(#REF!,"aqGDf2Js3VE=")</f>
        <v>#REF!</v>
      </c>
      <c r="CE61" t="e">
        <f>AND(#REF!,"aqGDf2Js3VI=")</f>
        <v>#REF!</v>
      </c>
      <c r="CF61" t="e">
        <f>AND(#REF!,"aqGDf2Js3VM=")</f>
        <v>#REF!</v>
      </c>
      <c r="CG61" t="e">
        <f>AND(#REF!,"aqGDf2Js3VQ=")</f>
        <v>#REF!</v>
      </c>
      <c r="CH61" t="e">
        <f>AND(#REF!,"aqGDf2Js3VU=")</f>
        <v>#REF!</v>
      </c>
      <c r="CI61" t="e">
        <f>AND(#REF!,"aqGDf2Js3VY=")</f>
        <v>#REF!</v>
      </c>
      <c r="CJ61" t="e">
        <f>AND(#REF!,"aqGDf2Js3Vc=")</f>
        <v>#REF!</v>
      </c>
      <c r="CK61" t="e">
        <f>AND(#REF!,"aqGDf2Js3Vg=")</f>
        <v>#REF!</v>
      </c>
      <c r="CL61" t="e">
        <f>AND(#REF!,"aqGDf2Js3Vk=")</f>
        <v>#REF!</v>
      </c>
      <c r="CM61" t="e">
        <f>AND(#REF!,"aqGDf2Js3Vo=")</f>
        <v>#REF!</v>
      </c>
      <c r="CN61" t="e">
        <f>AND(#REF!,"aqGDf2Js3Vs=")</f>
        <v>#REF!</v>
      </c>
      <c r="CO61" t="e">
        <f>AND(#REF!,"aqGDf2Js3Vw=")</f>
        <v>#REF!</v>
      </c>
      <c r="CP61" t="e">
        <f>AND(#REF!,"aqGDf2Js3V0=")</f>
        <v>#REF!</v>
      </c>
      <c r="CQ61" t="e">
        <f>AND(#REF!,"aqGDf2Js3V4=")</f>
        <v>#REF!</v>
      </c>
      <c r="CR61" t="e">
        <f>AND(#REF!,"aqGDf2Js3V8=")</f>
        <v>#REF!</v>
      </c>
      <c r="CS61" t="e">
        <f>AND(#REF!,"aqGDf2Js3WA=")</f>
        <v>#REF!</v>
      </c>
      <c r="CT61" t="e">
        <f>AND(#REF!,"aqGDf2Js3WE=")</f>
        <v>#REF!</v>
      </c>
      <c r="CU61" t="e">
        <f>AND(#REF!,"aqGDf2Js3WI=")</f>
        <v>#REF!</v>
      </c>
      <c r="CV61" t="e">
        <f>AND(#REF!,"aqGDf2Js3WM=")</f>
        <v>#REF!</v>
      </c>
      <c r="CW61" t="e">
        <f>AND(#REF!,"aqGDf2Js3WQ=")</f>
        <v>#REF!</v>
      </c>
      <c r="CX61" t="e">
        <f>AND(#REF!,"aqGDf2Js3WU=")</f>
        <v>#REF!</v>
      </c>
      <c r="CY61" t="e">
        <f>AND(#REF!,"aqGDf2Js3WY=")</f>
        <v>#REF!</v>
      </c>
      <c r="CZ61" t="e">
        <f>AND(#REF!,"aqGDf2Js3Wc=")</f>
        <v>#REF!</v>
      </c>
      <c r="DA61" t="e">
        <f>AND(#REF!,"aqGDf2Js3Wg=")</f>
        <v>#REF!</v>
      </c>
      <c r="DB61" t="e">
        <f>AND(#REF!,"aqGDf2Js3Wk=")</f>
        <v>#REF!</v>
      </c>
      <c r="DC61" t="e">
        <f>AND(#REF!,"aqGDf2Js3Wo=")</f>
        <v>#REF!</v>
      </c>
      <c r="DD61" t="e">
        <f>AND(#REF!,"aqGDf2Js3Ws=")</f>
        <v>#REF!</v>
      </c>
      <c r="DE61" t="e">
        <f>IF(#REF!,"aqGDf2Js3Ww=",0)</f>
        <v>#REF!</v>
      </c>
      <c r="DF61" t="e">
        <f>AND(#REF!,"aqGDf2Js3W0=")</f>
        <v>#REF!</v>
      </c>
      <c r="DG61" t="e">
        <f>AND(#REF!,"aqGDf2Js3W4=")</f>
        <v>#REF!</v>
      </c>
      <c r="DH61" t="e">
        <f>AND(#REF!,"aqGDf2Js3W8=")</f>
        <v>#REF!</v>
      </c>
      <c r="DI61" t="e">
        <f>AND(#REF!,"aqGDf2Js3XA=")</f>
        <v>#REF!</v>
      </c>
      <c r="DJ61" t="e">
        <f>AND(#REF!,"aqGDf2Js3XE=")</f>
        <v>#REF!</v>
      </c>
      <c r="DK61" t="e">
        <f>AND(#REF!,"aqGDf2Js3XI=")</f>
        <v>#REF!</v>
      </c>
      <c r="DL61" t="e">
        <f>AND(#REF!,"aqGDf2Js3XM=")</f>
        <v>#REF!</v>
      </c>
      <c r="DM61" t="e">
        <f>AND(#REF!,"aqGDf2Js3XQ=")</f>
        <v>#REF!</v>
      </c>
      <c r="DN61" t="e">
        <f>AND(#REF!,"aqGDf2Js3XU=")</f>
        <v>#REF!</v>
      </c>
      <c r="DO61" t="e">
        <f>AND(#REF!,"aqGDf2Js3XY=")</f>
        <v>#REF!</v>
      </c>
      <c r="DP61" t="e">
        <f>AND(#REF!,"aqGDf2Js3Xc=")</f>
        <v>#REF!</v>
      </c>
      <c r="DQ61" t="e">
        <f>AND(#REF!,"aqGDf2Js3Xg=")</f>
        <v>#REF!</v>
      </c>
      <c r="DR61" t="e">
        <f>AND(#REF!,"aqGDf2Js3Xk=")</f>
        <v>#REF!</v>
      </c>
      <c r="DS61" t="e">
        <f>AND(#REF!,"aqGDf2Js3Xo=")</f>
        <v>#REF!</v>
      </c>
      <c r="DT61" t="e">
        <f>AND(#REF!,"aqGDf2Js3Xs=")</f>
        <v>#REF!</v>
      </c>
      <c r="DU61" t="e">
        <f>AND(#REF!,"aqGDf2Js3Xw=")</f>
        <v>#REF!</v>
      </c>
      <c r="DV61" t="e">
        <f>AND(#REF!,"aqGDf2Js3X0=")</f>
        <v>#REF!</v>
      </c>
      <c r="DW61" t="e">
        <f>AND(#REF!,"aqGDf2Js3X4=")</f>
        <v>#REF!</v>
      </c>
      <c r="DX61" t="e">
        <f>AND(#REF!,"aqGDf2Js3X8=")</f>
        <v>#REF!</v>
      </c>
      <c r="DY61" t="e">
        <f>AND(#REF!,"aqGDf2Js3YA=")</f>
        <v>#REF!</v>
      </c>
      <c r="DZ61" t="e">
        <f>AND(#REF!,"aqGDf2Js3YE=")</f>
        <v>#REF!</v>
      </c>
      <c r="EA61" t="e">
        <f>AND(#REF!,"aqGDf2Js3YI=")</f>
        <v>#REF!</v>
      </c>
      <c r="EB61" t="e">
        <f>AND(#REF!,"aqGDf2Js3YM=")</f>
        <v>#REF!</v>
      </c>
      <c r="EC61" t="e">
        <f>AND(#REF!,"aqGDf2Js3YQ=")</f>
        <v>#REF!</v>
      </c>
      <c r="ED61" t="e">
        <f>AND(#REF!,"aqGDf2Js3YU=")</f>
        <v>#REF!</v>
      </c>
      <c r="EE61" t="e">
        <f>AND(#REF!,"aqGDf2Js3YY=")</f>
        <v>#REF!</v>
      </c>
      <c r="EF61" t="e">
        <f>AND(#REF!,"aqGDf2Js3Yc=")</f>
        <v>#REF!</v>
      </c>
      <c r="EG61" t="e">
        <f>AND(#REF!,"aqGDf2Js3Yg=")</f>
        <v>#REF!</v>
      </c>
      <c r="EH61" t="e">
        <f>AND(#REF!,"aqGDf2Js3Yk=")</f>
        <v>#REF!</v>
      </c>
      <c r="EI61" t="e">
        <f>AND(#REF!,"aqGDf2Js3Yo=")</f>
        <v>#REF!</v>
      </c>
      <c r="EJ61" t="e">
        <f>AND(#REF!,"aqGDf2Js3Ys=")</f>
        <v>#REF!</v>
      </c>
      <c r="EK61" t="e">
        <f>AND(#REF!,"aqGDf2Js3Yw=")</f>
        <v>#REF!</v>
      </c>
      <c r="EL61" t="e">
        <f>AND(#REF!,"aqGDf2Js3Y0=")</f>
        <v>#REF!</v>
      </c>
      <c r="EM61" t="e">
        <f>AND(#REF!,"aqGDf2Js3Y4=")</f>
        <v>#REF!</v>
      </c>
      <c r="EN61" t="e">
        <f>AND(#REF!,"aqGDf2Js3Y8=")</f>
        <v>#REF!</v>
      </c>
      <c r="EO61" t="e">
        <f>AND(#REF!,"aqGDf2Js3ZA=")</f>
        <v>#REF!</v>
      </c>
      <c r="EP61" t="e">
        <f>AND(#REF!,"aqGDf2Js3ZE=")</f>
        <v>#REF!</v>
      </c>
      <c r="EQ61" t="e">
        <f>AND(#REF!,"aqGDf2Js3ZI=")</f>
        <v>#REF!</v>
      </c>
      <c r="ER61" t="e">
        <f>AND(#REF!,"aqGDf2Js3ZM=")</f>
        <v>#REF!</v>
      </c>
      <c r="ES61" t="e">
        <f>AND(#REF!,"aqGDf2Js3ZQ=")</f>
        <v>#REF!</v>
      </c>
      <c r="ET61" t="e">
        <f>AND(#REF!,"aqGDf2Js3ZU=")</f>
        <v>#REF!</v>
      </c>
      <c r="EU61" t="e">
        <f>AND(#REF!,"aqGDf2Js3ZY=")</f>
        <v>#REF!</v>
      </c>
      <c r="EV61" t="e">
        <f>AND(#REF!,"aqGDf2Js3Zc=")</f>
        <v>#REF!</v>
      </c>
      <c r="EW61" t="e">
        <f>AND(#REF!,"aqGDf2Js3Zg=")</f>
        <v>#REF!</v>
      </c>
      <c r="EX61" t="e">
        <f>AND(#REF!,"aqGDf2Js3Zk=")</f>
        <v>#REF!</v>
      </c>
      <c r="EY61" t="e">
        <f>AND(#REF!,"aqGDf2Js3Zo=")</f>
        <v>#REF!</v>
      </c>
      <c r="EZ61" t="e">
        <f>AND(#REF!,"aqGDf2Js3Zs=")</f>
        <v>#REF!</v>
      </c>
      <c r="FA61" t="e">
        <f>AND(#REF!,"aqGDf2Js3Zw=")</f>
        <v>#REF!</v>
      </c>
      <c r="FB61" t="e">
        <f>AND(#REF!,"aqGDf2Js3Z0=")</f>
        <v>#REF!</v>
      </c>
      <c r="FC61" t="e">
        <f>AND(#REF!,"aqGDf2Js3Z4=")</f>
        <v>#REF!</v>
      </c>
      <c r="FD61" t="e">
        <f>AND(#REF!,"aqGDf2Js3Z8=")</f>
        <v>#REF!</v>
      </c>
      <c r="FE61" t="e">
        <f>AND(#REF!,"aqGDf2Js3aA=")</f>
        <v>#REF!</v>
      </c>
      <c r="FF61" t="e">
        <f>AND(#REF!,"aqGDf2Js3aE=")</f>
        <v>#REF!</v>
      </c>
      <c r="FG61" t="e">
        <f>AND(#REF!,"aqGDf2Js3aI=")</f>
        <v>#REF!</v>
      </c>
      <c r="FH61" t="e">
        <f>AND(#REF!,"aqGDf2Js3aM=")</f>
        <v>#REF!</v>
      </c>
      <c r="FI61" t="e">
        <f>AND(#REF!,"aqGDf2Js3aQ=")</f>
        <v>#REF!</v>
      </c>
      <c r="FJ61" t="e">
        <f>AND(#REF!,"aqGDf2Js3aU=")</f>
        <v>#REF!</v>
      </c>
      <c r="FK61" t="e">
        <f>AND(#REF!,"aqGDf2Js3aY=")</f>
        <v>#REF!</v>
      </c>
      <c r="FL61" t="e">
        <f>AND(#REF!,"aqGDf2Js3ac=")</f>
        <v>#REF!</v>
      </c>
      <c r="FM61" t="e">
        <f>AND(#REF!,"aqGDf2Js3ag=")</f>
        <v>#REF!</v>
      </c>
      <c r="FN61" t="e">
        <f>AND(#REF!,"aqGDf2Js3ak=")</f>
        <v>#REF!</v>
      </c>
      <c r="FO61" t="e">
        <f>AND(#REF!,"aqGDf2Js3ao=")</f>
        <v>#REF!</v>
      </c>
      <c r="FP61" t="e">
        <f>AND(#REF!,"aqGDf2Js3as=")</f>
        <v>#REF!</v>
      </c>
      <c r="FQ61" t="e">
        <f>AND(#REF!,"aqGDf2Js3aw=")</f>
        <v>#REF!</v>
      </c>
      <c r="FR61" t="e">
        <f>AND(#REF!,"aqGDf2Js3a0=")</f>
        <v>#REF!</v>
      </c>
      <c r="FS61" t="e">
        <f>AND(#REF!,"aqGDf2Js3a4=")</f>
        <v>#REF!</v>
      </c>
      <c r="FT61" t="e">
        <f>AND(#REF!,"aqGDf2Js3a8=")</f>
        <v>#REF!</v>
      </c>
      <c r="FU61" t="e">
        <f>AND(#REF!,"aqGDf2Js3bA=")</f>
        <v>#REF!</v>
      </c>
      <c r="FV61" t="e">
        <f>AND(#REF!,"aqGDf2Js3bE=")</f>
        <v>#REF!</v>
      </c>
      <c r="FW61" t="e">
        <f>AND(#REF!,"aqGDf2Js3bI=")</f>
        <v>#REF!</v>
      </c>
      <c r="FX61" t="e">
        <f>AND(#REF!,"aqGDf2Js3bM=")</f>
        <v>#REF!</v>
      </c>
      <c r="FY61" t="e">
        <f>AND(#REF!,"aqGDf2Js3bQ=")</f>
        <v>#REF!</v>
      </c>
      <c r="FZ61" t="e">
        <f>AND(#REF!,"aqGDf2Js3bU=")</f>
        <v>#REF!</v>
      </c>
      <c r="GA61" t="e">
        <f>AND(#REF!,"aqGDf2Js3bY=")</f>
        <v>#REF!</v>
      </c>
      <c r="GB61" t="e">
        <f>AND(#REF!,"aqGDf2Js3bc=")</f>
        <v>#REF!</v>
      </c>
      <c r="GC61" t="e">
        <f>AND(#REF!,"aqGDf2Js3bg=")</f>
        <v>#REF!</v>
      </c>
      <c r="GD61" t="e">
        <f>AND(#REF!,"aqGDf2Js3bk=")</f>
        <v>#REF!</v>
      </c>
      <c r="GE61" t="e">
        <f>AND(#REF!,"aqGDf2Js3bo=")</f>
        <v>#REF!</v>
      </c>
      <c r="GF61" t="e">
        <f>AND(#REF!,"aqGDf2Js3bs=")</f>
        <v>#REF!</v>
      </c>
      <c r="GG61" t="e">
        <f>AND(#REF!,"aqGDf2Js3bw=")</f>
        <v>#REF!</v>
      </c>
      <c r="GH61" t="e">
        <f>AND(#REF!,"aqGDf2Js3b0=")</f>
        <v>#REF!</v>
      </c>
      <c r="GI61" t="e">
        <f>AND(#REF!,"aqGDf2Js3b4=")</f>
        <v>#REF!</v>
      </c>
      <c r="GJ61" t="e">
        <f>AND(#REF!,"aqGDf2Js3b8=")</f>
        <v>#REF!</v>
      </c>
      <c r="GK61" t="e">
        <f>AND(#REF!,"aqGDf2Js3cA=")</f>
        <v>#REF!</v>
      </c>
      <c r="GL61" t="e">
        <f>AND(#REF!,"aqGDf2Js3cE=")</f>
        <v>#REF!</v>
      </c>
      <c r="GM61" t="e">
        <f>AND(#REF!,"aqGDf2Js3cI=")</f>
        <v>#REF!</v>
      </c>
      <c r="GN61" t="e">
        <f>AND(#REF!,"aqGDf2Js3cM=")</f>
        <v>#REF!</v>
      </c>
      <c r="GO61" t="e">
        <f>AND(#REF!,"aqGDf2Js3cQ=")</f>
        <v>#REF!</v>
      </c>
      <c r="GP61" t="e">
        <f>AND(#REF!,"aqGDf2Js3cU=")</f>
        <v>#REF!</v>
      </c>
      <c r="GQ61" t="e">
        <f>AND(#REF!,"aqGDf2Js3cY=")</f>
        <v>#REF!</v>
      </c>
      <c r="GR61" t="e">
        <f>AND(#REF!,"aqGDf2Js3cc=")</f>
        <v>#REF!</v>
      </c>
      <c r="GS61" t="e">
        <f>AND(#REF!,"aqGDf2Js3cg=")</f>
        <v>#REF!</v>
      </c>
      <c r="GT61" t="e">
        <f>AND(#REF!,"aqGDf2Js3ck=")</f>
        <v>#REF!</v>
      </c>
      <c r="GU61" t="e">
        <f>AND(#REF!,"aqGDf2Js3co=")</f>
        <v>#REF!</v>
      </c>
      <c r="GV61" t="e">
        <f>AND(#REF!,"aqGDf2Js3cs=")</f>
        <v>#REF!</v>
      </c>
      <c r="GW61" t="e">
        <f>AND(#REF!,"aqGDf2Js3cw=")</f>
        <v>#REF!</v>
      </c>
      <c r="GX61" t="e">
        <f>AND(#REF!,"aqGDf2Js3c0=")</f>
        <v>#REF!</v>
      </c>
      <c r="GY61" t="e">
        <f>AND(#REF!,"aqGDf2Js3c4=")</f>
        <v>#REF!</v>
      </c>
      <c r="GZ61" t="e">
        <f>AND(#REF!,"aqGDf2Js3c8=")</f>
        <v>#REF!</v>
      </c>
      <c r="HA61" t="e">
        <f>AND(#REF!,"aqGDf2Js3dA=")</f>
        <v>#REF!</v>
      </c>
      <c r="HB61" t="e">
        <f>AND(#REF!,"aqGDf2Js3dE=")</f>
        <v>#REF!</v>
      </c>
      <c r="HC61" t="e">
        <f>AND(#REF!,"aqGDf2Js3dI=")</f>
        <v>#REF!</v>
      </c>
      <c r="HD61" t="e">
        <f>AND(#REF!,"aqGDf2Js3dM=")</f>
        <v>#REF!</v>
      </c>
      <c r="HE61" t="e">
        <f>AND(#REF!,"aqGDf2Js3dQ=")</f>
        <v>#REF!</v>
      </c>
      <c r="HF61" t="e">
        <f>AND(#REF!,"aqGDf2Js3dU=")</f>
        <v>#REF!</v>
      </c>
      <c r="HG61" t="e">
        <f>AND(#REF!,"aqGDf2Js3dY=")</f>
        <v>#REF!</v>
      </c>
      <c r="HH61" t="e">
        <f>AND(#REF!,"aqGDf2Js3dc=")</f>
        <v>#REF!</v>
      </c>
      <c r="HI61" t="e">
        <f>AND(#REF!,"aqGDf2Js3dg=")</f>
        <v>#REF!</v>
      </c>
      <c r="HJ61" t="e">
        <f>AND(#REF!,"aqGDf2Js3dk=")</f>
        <v>#REF!</v>
      </c>
      <c r="HK61" t="e">
        <f>AND(#REF!,"aqGDf2Js3do=")</f>
        <v>#REF!</v>
      </c>
      <c r="HL61" t="e">
        <f>AND(#REF!,"aqGDf2Js3ds=")</f>
        <v>#REF!</v>
      </c>
      <c r="HM61" t="e">
        <f>AND(#REF!,"aqGDf2Js3dw=")</f>
        <v>#REF!</v>
      </c>
      <c r="HN61" t="e">
        <f>AND(#REF!,"aqGDf2Js3d0=")</f>
        <v>#REF!</v>
      </c>
      <c r="HO61" t="e">
        <f>AND(#REF!,"aqGDf2Js3d4=")</f>
        <v>#REF!</v>
      </c>
      <c r="HP61" t="e">
        <f>AND(#REF!,"aqGDf2Js3d8=")</f>
        <v>#REF!</v>
      </c>
      <c r="HQ61" t="e">
        <f>AND(#REF!,"aqGDf2Js3eA=")</f>
        <v>#REF!</v>
      </c>
      <c r="HR61" t="e">
        <f>AND(#REF!,"aqGDf2Js3eE=")</f>
        <v>#REF!</v>
      </c>
      <c r="HS61" t="e">
        <f>AND(#REF!,"aqGDf2Js3eI=")</f>
        <v>#REF!</v>
      </c>
      <c r="HT61" t="e">
        <f>AND(#REF!,"aqGDf2Js3eM=")</f>
        <v>#REF!</v>
      </c>
      <c r="HU61" t="e">
        <f>AND(#REF!,"aqGDf2Js3eQ=")</f>
        <v>#REF!</v>
      </c>
      <c r="HV61" t="e">
        <f>AND(#REF!,"aqGDf2Js3eU=")</f>
        <v>#REF!</v>
      </c>
      <c r="HW61" t="e">
        <f>AND(#REF!,"aqGDf2Js3eY=")</f>
        <v>#REF!</v>
      </c>
      <c r="HX61" t="e">
        <f>AND(#REF!,"aqGDf2Js3ec=")</f>
        <v>#REF!</v>
      </c>
      <c r="HY61" t="e">
        <f>AND(#REF!,"aqGDf2Js3eg=")</f>
        <v>#REF!</v>
      </c>
      <c r="HZ61" t="e">
        <f>AND(#REF!,"aqGDf2Js3ek=")</f>
        <v>#REF!</v>
      </c>
      <c r="IA61" t="e">
        <f>AND(#REF!,"aqGDf2Js3eo=")</f>
        <v>#REF!</v>
      </c>
      <c r="IB61" t="e">
        <f>AND(#REF!,"aqGDf2Js3es=")</f>
        <v>#REF!</v>
      </c>
      <c r="IC61" t="e">
        <f>AND(#REF!,"aqGDf2Js3ew=")</f>
        <v>#REF!</v>
      </c>
      <c r="ID61" t="e">
        <f>AND(#REF!,"aqGDf2Js3e0=")</f>
        <v>#REF!</v>
      </c>
      <c r="IE61" t="e">
        <f>AND(#REF!,"aqGDf2Js3e4=")</f>
        <v>#REF!</v>
      </c>
      <c r="IF61" t="e">
        <f>AND(#REF!,"aqGDf2Js3e8=")</f>
        <v>#REF!</v>
      </c>
      <c r="IG61" t="e">
        <f>AND(#REF!,"aqGDf2Js3fA=")</f>
        <v>#REF!</v>
      </c>
      <c r="IH61" t="e">
        <f>AND(#REF!,"aqGDf2Js3fE=")</f>
        <v>#REF!</v>
      </c>
      <c r="II61" t="e">
        <f>AND(#REF!,"aqGDf2Js3fI=")</f>
        <v>#REF!</v>
      </c>
      <c r="IJ61" t="e">
        <f>AND(#REF!,"aqGDf2Js3fM=")</f>
        <v>#REF!</v>
      </c>
      <c r="IK61" t="e">
        <f>AND(#REF!,"aqGDf2Js3fQ=")</f>
        <v>#REF!</v>
      </c>
      <c r="IL61" t="e">
        <f>AND(#REF!,"aqGDf2Js3fU=")</f>
        <v>#REF!</v>
      </c>
      <c r="IM61" t="e">
        <f>AND(#REF!,"aqGDf2Js3fY=")</f>
        <v>#REF!</v>
      </c>
      <c r="IN61" t="e">
        <f>AND(#REF!,"aqGDf2Js3fc=")</f>
        <v>#REF!</v>
      </c>
      <c r="IO61" t="e">
        <f>AND(#REF!,"aqGDf2Js3fg=")</f>
        <v>#REF!</v>
      </c>
      <c r="IP61" t="e">
        <f>AND(#REF!,"aqGDf2Js3fk=")</f>
        <v>#REF!</v>
      </c>
      <c r="IQ61" t="e">
        <f>AND(#REF!,"aqGDf2Js3fo=")</f>
        <v>#REF!</v>
      </c>
      <c r="IR61" t="e">
        <f>AND(#REF!,"aqGDf2Js3fs=")</f>
        <v>#REF!</v>
      </c>
      <c r="IS61" t="e">
        <f>AND(#REF!,"aqGDf2Js3fw=")</f>
        <v>#REF!</v>
      </c>
      <c r="IT61" t="e">
        <f>AND(#REF!,"aqGDf2Js3f0=")</f>
        <v>#REF!</v>
      </c>
      <c r="IU61" t="e">
        <f>AND(#REF!,"aqGDf2Js3f4=")</f>
        <v>#REF!</v>
      </c>
      <c r="IV61" t="e">
        <f>AND(#REF!,"aqGDf2Js3f8=")</f>
        <v>#REF!</v>
      </c>
    </row>
    <row r="62" spans="1:256" x14ac:dyDescent="0.2">
      <c r="A62" t="e">
        <f>AND(#REF!,"RFXIPR+zCQA=")</f>
        <v>#REF!</v>
      </c>
      <c r="B62" t="e">
        <f>AND(#REF!,"RFXIPR+zCQE=")</f>
        <v>#REF!</v>
      </c>
      <c r="C62" t="e">
        <f>AND(#REF!,"RFXIPR+zCQI=")</f>
        <v>#REF!</v>
      </c>
      <c r="D62" t="e">
        <f>AND(#REF!,"RFXIPR+zCQM=")</f>
        <v>#REF!</v>
      </c>
      <c r="E62" t="e">
        <f>AND(#REF!,"RFXIPR+zCQQ=")</f>
        <v>#REF!</v>
      </c>
      <c r="F62" t="e">
        <f>AND(#REF!,"RFXIPR+zCQU=")</f>
        <v>#REF!</v>
      </c>
      <c r="G62" t="e">
        <f>AND(#REF!,"RFXIPR+zCQY=")</f>
        <v>#REF!</v>
      </c>
      <c r="H62" t="e">
        <f>AND(#REF!,"RFXIPR+zCQc=")</f>
        <v>#REF!</v>
      </c>
      <c r="I62" t="e">
        <f>AND(#REF!,"RFXIPR+zCQg=")</f>
        <v>#REF!</v>
      </c>
      <c r="J62" t="e">
        <f>AND(#REF!,"RFXIPR+zCQk=")</f>
        <v>#REF!</v>
      </c>
      <c r="K62" t="e">
        <f>AND(#REF!,"RFXIPR+zCQo=")</f>
        <v>#REF!</v>
      </c>
      <c r="L62" t="e">
        <f>AND(#REF!,"RFXIPR+zCQs=")</f>
        <v>#REF!</v>
      </c>
      <c r="M62" t="e">
        <f>AND(#REF!,"RFXIPR+zCQw=")</f>
        <v>#REF!</v>
      </c>
      <c r="N62" t="e">
        <f>AND(#REF!,"RFXIPR+zCQ0=")</f>
        <v>#REF!</v>
      </c>
      <c r="O62" t="e">
        <f>AND(#REF!,"RFXIPR+zCQ4=")</f>
        <v>#REF!</v>
      </c>
      <c r="P62" t="e">
        <f>AND(#REF!,"RFXIPR+zCQ8=")</f>
        <v>#REF!</v>
      </c>
      <c r="Q62" t="e">
        <f>AND(#REF!,"RFXIPR+zCRA=")</f>
        <v>#REF!</v>
      </c>
      <c r="R62" t="e">
        <f>AND(#REF!,"RFXIPR+zCRE=")</f>
        <v>#REF!</v>
      </c>
      <c r="S62" t="e">
        <f>AND(#REF!,"RFXIPR+zCRI=")</f>
        <v>#REF!</v>
      </c>
      <c r="T62" t="e">
        <f>AND(#REF!,"RFXIPR+zCRM=")</f>
        <v>#REF!</v>
      </c>
      <c r="U62" t="e">
        <f>AND(#REF!,"RFXIPR+zCRQ=")</f>
        <v>#REF!</v>
      </c>
      <c r="V62" t="e">
        <f>AND(#REF!,"RFXIPR+zCRU=")</f>
        <v>#REF!</v>
      </c>
      <c r="W62" t="e">
        <f>AND(#REF!,"RFXIPR+zCRY=")</f>
        <v>#REF!</v>
      </c>
      <c r="X62" t="e">
        <f>AND(#REF!,"RFXIPR+zCRc=")</f>
        <v>#REF!</v>
      </c>
      <c r="Y62" t="e">
        <f>AND(#REF!,"RFXIPR+zCRg=")</f>
        <v>#REF!</v>
      </c>
      <c r="Z62" t="e">
        <f>AND(#REF!,"RFXIPR+zCRk=")</f>
        <v>#REF!</v>
      </c>
      <c r="AA62" t="e">
        <f>AND(#REF!,"RFXIPR+zCRo=")</f>
        <v>#REF!</v>
      </c>
      <c r="AB62" t="e">
        <f>AND(#REF!,"RFXIPR+zCRs=")</f>
        <v>#REF!</v>
      </c>
      <c r="AC62" t="e">
        <f>AND(#REF!,"RFXIPR+zCRw=")</f>
        <v>#REF!</v>
      </c>
      <c r="AD62" t="e">
        <f>AND(#REF!,"RFXIPR+zCR0=")</f>
        <v>#REF!</v>
      </c>
      <c r="AE62" t="e">
        <f>AND(#REF!,"RFXIPR+zCR4=")</f>
        <v>#REF!</v>
      </c>
      <c r="AF62" t="e">
        <f>AND(#REF!,"RFXIPR+zCR8=")</f>
        <v>#REF!</v>
      </c>
      <c r="AG62" t="e">
        <f>AND(#REF!,"RFXIPR+zCSA=")</f>
        <v>#REF!</v>
      </c>
      <c r="AH62" t="e">
        <f>AND(#REF!,"RFXIPR+zCSE=")</f>
        <v>#REF!</v>
      </c>
      <c r="AI62" t="e">
        <f>AND(#REF!,"RFXIPR+zCSI=")</f>
        <v>#REF!</v>
      </c>
      <c r="AJ62" t="e">
        <f>AND(#REF!,"RFXIPR+zCSM=")</f>
        <v>#REF!</v>
      </c>
      <c r="AK62" t="e">
        <f>AND(#REF!,"RFXIPR+zCSQ=")</f>
        <v>#REF!</v>
      </c>
      <c r="AL62" t="e">
        <f>AND(#REF!,"RFXIPR+zCSU=")</f>
        <v>#REF!</v>
      </c>
      <c r="AM62" t="e">
        <f>AND(#REF!,"RFXIPR+zCSY=")</f>
        <v>#REF!</v>
      </c>
      <c r="AN62" t="e">
        <f>AND(#REF!,"RFXIPR+zCSc=")</f>
        <v>#REF!</v>
      </c>
      <c r="AO62" t="e">
        <f>AND(#REF!,"RFXIPR+zCSg=")</f>
        <v>#REF!</v>
      </c>
      <c r="AP62" t="e">
        <f>AND(#REF!,"RFXIPR+zCSk=")</f>
        <v>#REF!</v>
      </c>
      <c r="AQ62" t="e">
        <f>AND(#REF!,"RFXIPR+zCSo=")</f>
        <v>#REF!</v>
      </c>
      <c r="AR62" t="e">
        <f>AND(#REF!,"RFXIPR+zCSs=")</f>
        <v>#REF!</v>
      </c>
      <c r="AS62" t="e">
        <f>AND(#REF!,"RFXIPR+zCSw=")</f>
        <v>#REF!</v>
      </c>
      <c r="AT62" t="e">
        <f>AND(#REF!,"RFXIPR+zCS0=")</f>
        <v>#REF!</v>
      </c>
      <c r="AU62" t="e">
        <f>AND(#REF!,"RFXIPR+zCS4=")</f>
        <v>#REF!</v>
      </c>
      <c r="AV62" t="e">
        <f>AND(#REF!,"RFXIPR+zCS8=")</f>
        <v>#REF!</v>
      </c>
      <c r="AW62" t="e">
        <f>AND(#REF!,"RFXIPR+zCTA=")</f>
        <v>#REF!</v>
      </c>
      <c r="AX62" t="e">
        <f>AND(#REF!,"RFXIPR+zCTE=")</f>
        <v>#REF!</v>
      </c>
      <c r="AY62" t="e">
        <f>AND(#REF!,"RFXIPR+zCTI=")</f>
        <v>#REF!</v>
      </c>
      <c r="AZ62" t="e">
        <f>IF(#REF!,"RFXIPR+zCTM=",0)</f>
        <v>#REF!</v>
      </c>
      <c r="BA62" t="e">
        <f>AND(#REF!,"RFXIPR+zCTQ=")</f>
        <v>#REF!</v>
      </c>
      <c r="BB62" t="e">
        <f>AND(#REF!,"RFXIPR+zCTU=")</f>
        <v>#REF!</v>
      </c>
      <c r="BC62" t="e">
        <f>AND(#REF!,"RFXIPR+zCTY=")</f>
        <v>#REF!</v>
      </c>
      <c r="BD62" t="e">
        <f>AND(#REF!,"RFXIPR+zCTc=")</f>
        <v>#REF!</v>
      </c>
      <c r="BE62" t="e">
        <f>AND(#REF!,"RFXIPR+zCTg=")</f>
        <v>#REF!</v>
      </c>
      <c r="BF62" t="e">
        <f>AND(#REF!,"RFXIPR+zCTk=")</f>
        <v>#REF!</v>
      </c>
      <c r="BG62" t="e">
        <f>AND(#REF!,"RFXIPR+zCTo=")</f>
        <v>#REF!</v>
      </c>
      <c r="BH62" t="e">
        <f>AND(#REF!,"RFXIPR+zCTs=")</f>
        <v>#REF!</v>
      </c>
      <c r="BI62" t="e">
        <f>AND(#REF!,"RFXIPR+zCTw=")</f>
        <v>#REF!</v>
      </c>
      <c r="BJ62" t="e">
        <f>AND(#REF!,"RFXIPR+zCT0=")</f>
        <v>#REF!</v>
      </c>
      <c r="BK62" t="e">
        <f>AND(#REF!,"RFXIPR+zCT4=")</f>
        <v>#REF!</v>
      </c>
      <c r="BL62" t="e">
        <f>AND(#REF!,"RFXIPR+zCT8=")</f>
        <v>#REF!</v>
      </c>
      <c r="BM62" t="e">
        <f>AND(#REF!,"RFXIPR+zCUA=")</f>
        <v>#REF!</v>
      </c>
      <c r="BN62" t="e">
        <f>AND(#REF!,"RFXIPR+zCUE=")</f>
        <v>#REF!</v>
      </c>
      <c r="BO62" t="e">
        <f>AND(#REF!,"RFXIPR+zCUI=")</f>
        <v>#REF!</v>
      </c>
      <c r="BP62" t="e">
        <f>AND(#REF!,"RFXIPR+zCUM=")</f>
        <v>#REF!</v>
      </c>
      <c r="BQ62" t="e">
        <f>AND(#REF!,"RFXIPR+zCUQ=")</f>
        <v>#REF!</v>
      </c>
      <c r="BR62" t="e">
        <f>AND(#REF!,"RFXIPR+zCUU=")</f>
        <v>#REF!</v>
      </c>
      <c r="BS62" t="e">
        <f>AND(#REF!,"RFXIPR+zCUY=")</f>
        <v>#REF!</v>
      </c>
      <c r="BT62" t="e">
        <f>AND(#REF!,"RFXIPR+zCUc=")</f>
        <v>#REF!</v>
      </c>
      <c r="BU62" t="e">
        <f>AND(#REF!,"RFXIPR+zCUg=")</f>
        <v>#REF!</v>
      </c>
      <c r="BV62" t="e">
        <f>AND(#REF!,"RFXIPR+zCUk=")</f>
        <v>#REF!</v>
      </c>
      <c r="BW62" t="e">
        <f>AND(#REF!,"RFXIPR+zCUo=")</f>
        <v>#REF!</v>
      </c>
      <c r="BX62" t="e">
        <f>AND(#REF!,"RFXIPR+zCUs=")</f>
        <v>#REF!</v>
      </c>
      <c r="BY62" t="e">
        <f>AND(#REF!,"RFXIPR+zCUw=")</f>
        <v>#REF!</v>
      </c>
      <c r="BZ62" t="e">
        <f>AND(#REF!,"RFXIPR+zCU0=")</f>
        <v>#REF!</v>
      </c>
      <c r="CA62" t="e">
        <f>AND(#REF!,"RFXIPR+zCU4=")</f>
        <v>#REF!</v>
      </c>
      <c r="CB62" t="e">
        <f>AND(#REF!,"RFXIPR+zCU8=")</f>
        <v>#REF!</v>
      </c>
      <c r="CC62" t="e">
        <f>AND(#REF!,"RFXIPR+zCVA=")</f>
        <v>#REF!</v>
      </c>
      <c r="CD62" t="e">
        <f>AND(#REF!,"RFXIPR+zCVE=")</f>
        <v>#REF!</v>
      </c>
      <c r="CE62" t="e">
        <f>AND(#REF!,"RFXIPR+zCVI=")</f>
        <v>#REF!</v>
      </c>
      <c r="CF62" t="e">
        <f>AND(#REF!,"RFXIPR+zCVM=")</f>
        <v>#REF!</v>
      </c>
      <c r="CG62" t="e">
        <f>AND(#REF!,"RFXIPR+zCVQ=")</f>
        <v>#REF!</v>
      </c>
      <c r="CH62" t="e">
        <f>AND(#REF!,"RFXIPR+zCVU=")</f>
        <v>#REF!</v>
      </c>
      <c r="CI62" t="e">
        <f>AND(#REF!,"RFXIPR+zCVY=")</f>
        <v>#REF!</v>
      </c>
      <c r="CJ62" t="e">
        <f>AND(#REF!,"RFXIPR+zCVc=")</f>
        <v>#REF!</v>
      </c>
      <c r="CK62" t="e">
        <f>AND(#REF!,"RFXIPR+zCVg=")</f>
        <v>#REF!</v>
      </c>
      <c r="CL62" t="e">
        <f>AND(#REF!,"RFXIPR+zCVk=")</f>
        <v>#REF!</v>
      </c>
      <c r="CM62" t="e">
        <f>AND(#REF!,"RFXIPR+zCVo=")</f>
        <v>#REF!</v>
      </c>
      <c r="CN62" t="e">
        <f>AND(#REF!,"RFXIPR+zCVs=")</f>
        <v>#REF!</v>
      </c>
      <c r="CO62" t="e">
        <f>AND(#REF!,"RFXIPR+zCVw=")</f>
        <v>#REF!</v>
      </c>
      <c r="CP62" t="e">
        <f>AND(#REF!,"RFXIPR+zCV0=")</f>
        <v>#REF!</v>
      </c>
      <c r="CQ62" t="e">
        <f>AND(#REF!,"RFXIPR+zCV4=")</f>
        <v>#REF!</v>
      </c>
      <c r="CR62" t="e">
        <f>AND(#REF!,"RFXIPR+zCV8=")</f>
        <v>#REF!</v>
      </c>
      <c r="CS62" t="e">
        <f>AND(#REF!,"RFXIPR+zCWA=")</f>
        <v>#REF!</v>
      </c>
      <c r="CT62" t="e">
        <f>AND(#REF!,"RFXIPR+zCWE=")</f>
        <v>#REF!</v>
      </c>
      <c r="CU62" t="e">
        <f>AND(#REF!,"RFXIPR+zCWI=")</f>
        <v>#REF!</v>
      </c>
      <c r="CV62" t="e">
        <f>AND(#REF!,"RFXIPR+zCWM=")</f>
        <v>#REF!</v>
      </c>
      <c r="CW62" t="e">
        <f>AND(#REF!,"RFXIPR+zCWQ=")</f>
        <v>#REF!</v>
      </c>
      <c r="CX62" t="e">
        <f>AND(#REF!,"RFXIPR+zCWU=")</f>
        <v>#REF!</v>
      </c>
      <c r="CY62" t="e">
        <f>AND(#REF!,"RFXIPR+zCWY=")</f>
        <v>#REF!</v>
      </c>
      <c r="CZ62" t="e">
        <f>AND(#REF!,"RFXIPR+zCWc=")</f>
        <v>#REF!</v>
      </c>
      <c r="DA62" t="e">
        <f>AND(#REF!,"RFXIPR+zCWg=")</f>
        <v>#REF!</v>
      </c>
      <c r="DB62" t="e">
        <f>AND(#REF!,"RFXIPR+zCWk=")</f>
        <v>#REF!</v>
      </c>
      <c r="DC62" t="e">
        <f>AND(#REF!,"RFXIPR+zCWo=")</f>
        <v>#REF!</v>
      </c>
      <c r="DD62" t="e">
        <f>AND(#REF!,"RFXIPR+zCWs=")</f>
        <v>#REF!</v>
      </c>
      <c r="DE62" t="e">
        <f>AND(#REF!,"RFXIPR+zCWw=")</f>
        <v>#REF!</v>
      </c>
      <c r="DF62" t="e">
        <f>AND(#REF!,"RFXIPR+zCW0=")</f>
        <v>#REF!</v>
      </c>
      <c r="DG62" t="e">
        <f>AND(#REF!,"RFXIPR+zCW4=")</f>
        <v>#REF!</v>
      </c>
      <c r="DH62" t="e">
        <f>AND(#REF!,"RFXIPR+zCW8=")</f>
        <v>#REF!</v>
      </c>
      <c r="DI62" t="e">
        <f>AND(#REF!,"RFXIPR+zCXA=")</f>
        <v>#REF!</v>
      </c>
      <c r="DJ62" t="e">
        <f>AND(#REF!,"RFXIPR+zCXE=")</f>
        <v>#REF!</v>
      </c>
      <c r="DK62" t="e">
        <f>AND(#REF!,"RFXIPR+zCXI=")</f>
        <v>#REF!</v>
      </c>
      <c r="DL62" t="e">
        <f>AND(#REF!,"RFXIPR+zCXM=")</f>
        <v>#REF!</v>
      </c>
      <c r="DM62" t="e">
        <f>AND(#REF!,"RFXIPR+zCXQ=")</f>
        <v>#REF!</v>
      </c>
      <c r="DN62" t="e">
        <f>AND(#REF!,"RFXIPR+zCXU=")</f>
        <v>#REF!</v>
      </c>
      <c r="DO62" t="e">
        <f>AND(#REF!,"RFXIPR+zCXY=")</f>
        <v>#REF!</v>
      </c>
      <c r="DP62" t="e">
        <f>AND(#REF!,"RFXIPR+zCXc=")</f>
        <v>#REF!</v>
      </c>
      <c r="DQ62" t="e">
        <f>AND(#REF!,"RFXIPR+zCXg=")</f>
        <v>#REF!</v>
      </c>
      <c r="DR62" t="e">
        <f>AND(#REF!,"RFXIPR+zCXk=")</f>
        <v>#REF!</v>
      </c>
      <c r="DS62" t="e">
        <f>AND(#REF!,"RFXIPR+zCXo=")</f>
        <v>#REF!</v>
      </c>
      <c r="DT62" t="e">
        <f>AND(#REF!,"RFXIPR+zCXs=")</f>
        <v>#REF!</v>
      </c>
      <c r="DU62" t="e">
        <f>AND(#REF!,"RFXIPR+zCXw=")</f>
        <v>#REF!</v>
      </c>
      <c r="DV62" t="e">
        <f>AND(#REF!,"RFXIPR+zCX0=")</f>
        <v>#REF!</v>
      </c>
      <c r="DW62" t="e">
        <f>AND(#REF!,"RFXIPR+zCX4=")</f>
        <v>#REF!</v>
      </c>
      <c r="DX62" t="e">
        <f>AND(#REF!,"RFXIPR+zCX8=")</f>
        <v>#REF!</v>
      </c>
      <c r="DY62" t="e">
        <f>AND(#REF!,"RFXIPR+zCYA=")</f>
        <v>#REF!</v>
      </c>
      <c r="DZ62" t="e">
        <f>AND(#REF!,"RFXIPR+zCYE=")</f>
        <v>#REF!</v>
      </c>
      <c r="EA62" t="e">
        <f>AND(#REF!,"RFXIPR+zCYI=")</f>
        <v>#REF!</v>
      </c>
      <c r="EB62" t="e">
        <f>AND(#REF!,"RFXIPR+zCYM=")</f>
        <v>#REF!</v>
      </c>
      <c r="EC62" t="e">
        <f>AND(#REF!,"RFXIPR+zCYQ=")</f>
        <v>#REF!</v>
      </c>
      <c r="ED62" t="e">
        <f>AND(#REF!,"RFXIPR+zCYU=")</f>
        <v>#REF!</v>
      </c>
      <c r="EE62" t="e">
        <f>AND(#REF!,"RFXIPR+zCYY=")</f>
        <v>#REF!</v>
      </c>
      <c r="EF62" t="e">
        <f>AND(#REF!,"RFXIPR+zCYc=")</f>
        <v>#REF!</v>
      </c>
      <c r="EG62" t="e">
        <f>AND(#REF!,"RFXIPR+zCYg=")</f>
        <v>#REF!</v>
      </c>
      <c r="EH62" t="e">
        <f>AND(#REF!,"RFXIPR+zCYk=")</f>
        <v>#REF!</v>
      </c>
      <c r="EI62" t="e">
        <f>AND(#REF!,"RFXIPR+zCYo=")</f>
        <v>#REF!</v>
      </c>
      <c r="EJ62" t="e">
        <f>AND(#REF!,"RFXIPR+zCYs=")</f>
        <v>#REF!</v>
      </c>
      <c r="EK62" t="e">
        <f>AND(#REF!,"RFXIPR+zCYw=")</f>
        <v>#REF!</v>
      </c>
      <c r="EL62" t="e">
        <f>AND(#REF!,"RFXIPR+zCY0=")</f>
        <v>#REF!</v>
      </c>
      <c r="EM62" t="e">
        <f>AND(#REF!,"RFXIPR+zCY4=")</f>
        <v>#REF!</v>
      </c>
      <c r="EN62" t="e">
        <f>AND(#REF!,"RFXIPR+zCY8=")</f>
        <v>#REF!</v>
      </c>
      <c r="EO62" t="e">
        <f>AND(#REF!,"RFXIPR+zCZA=")</f>
        <v>#REF!</v>
      </c>
      <c r="EP62" t="e">
        <f>AND(#REF!,"RFXIPR+zCZE=")</f>
        <v>#REF!</v>
      </c>
      <c r="EQ62" t="e">
        <f>AND(#REF!,"RFXIPR+zCZI=")</f>
        <v>#REF!</v>
      </c>
      <c r="ER62" t="e">
        <f>AND(#REF!,"RFXIPR+zCZM=")</f>
        <v>#REF!</v>
      </c>
      <c r="ES62" t="e">
        <f>AND(#REF!,"RFXIPR+zCZQ=")</f>
        <v>#REF!</v>
      </c>
      <c r="ET62" t="e">
        <f>AND(#REF!,"RFXIPR+zCZU=")</f>
        <v>#REF!</v>
      </c>
      <c r="EU62" t="e">
        <f>AND(#REF!,"RFXIPR+zCZY=")</f>
        <v>#REF!</v>
      </c>
      <c r="EV62" t="e">
        <f>AND(#REF!,"RFXIPR+zCZc=")</f>
        <v>#REF!</v>
      </c>
      <c r="EW62" t="e">
        <f>AND(#REF!,"RFXIPR+zCZg=")</f>
        <v>#REF!</v>
      </c>
      <c r="EX62" t="e">
        <f>AND(#REF!,"RFXIPR+zCZk=")</f>
        <v>#REF!</v>
      </c>
      <c r="EY62" t="e">
        <f>AND(#REF!,"RFXIPR+zCZo=")</f>
        <v>#REF!</v>
      </c>
      <c r="EZ62" t="e">
        <f>AND(#REF!,"RFXIPR+zCZs=")</f>
        <v>#REF!</v>
      </c>
      <c r="FA62" t="e">
        <f>AND(#REF!,"RFXIPR+zCZw=")</f>
        <v>#REF!</v>
      </c>
      <c r="FB62" t="e">
        <f>AND(#REF!,"RFXIPR+zCZ0=")</f>
        <v>#REF!</v>
      </c>
      <c r="FC62" t="e">
        <f>AND(#REF!,"RFXIPR+zCZ4=")</f>
        <v>#REF!</v>
      </c>
      <c r="FD62" t="e">
        <f>AND(#REF!,"RFXIPR+zCZ8=")</f>
        <v>#REF!</v>
      </c>
      <c r="FE62" t="e">
        <f>AND(#REF!,"RFXIPR+zCaA=")</f>
        <v>#REF!</v>
      </c>
      <c r="FF62" t="e">
        <f>AND(#REF!,"RFXIPR+zCaE=")</f>
        <v>#REF!</v>
      </c>
      <c r="FG62" t="e">
        <f>AND(#REF!,"RFXIPR+zCaI=")</f>
        <v>#REF!</v>
      </c>
      <c r="FH62" t="e">
        <f>AND(#REF!,"RFXIPR+zCaM=")</f>
        <v>#REF!</v>
      </c>
      <c r="FI62" t="e">
        <f>AND(#REF!,"RFXIPR+zCaQ=")</f>
        <v>#REF!</v>
      </c>
      <c r="FJ62" t="e">
        <f>AND(#REF!,"RFXIPR+zCaU=")</f>
        <v>#REF!</v>
      </c>
      <c r="FK62" t="e">
        <f>AND(#REF!,"RFXIPR+zCaY=")</f>
        <v>#REF!</v>
      </c>
      <c r="FL62" t="e">
        <f>AND(#REF!,"RFXIPR+zCac=")</f>
        <v>#REF!</v>
      </c>
      <c r="FM62" t="e">
        <f>AND(#REF!,"RFXIPR+zCag=")</f>
        <v>#REF!</v>
      </c>
      <c r="FN62" t="e">
        <f>AND(#REF!,"RFXIPR+zCak=")</f>
        <v>#REF!</v>
      </c>
      <c r="FO62" t="e">
        <f>AND(#REF!,"RFXIPR+zCao=")</f>
        <v>#REF!</v>
      </c>
      <c r="FP62" t="e">
        <f>AND(#REF!,"RFXIPR+zCas=")</f>
        <v>#REF!</v>
      </c>
      <c r="FQ62" t="e">
        <f>AND(#REF!,"RFXIPR+zCaw=")</f>
        <v>#REF!</v>
      </c>
      <c r="FR62" t="e">
        <f>AND(#REF!,"RFXIPR+zCa0=")</f>
        <v>#REF!</v>
      </c>
      <c r="FS62" t="e">
        <f>AND(#REF!,"RFXIPR+zCa4=")</f>
        <v>#REF!</v>
      </c>
      <c r="FT62" t="e">
        <f>AND(#REF!,"RFXIPR+zCa8=")</f>
        <v>#REF!</v>
      </c>
      <c r="FU62" t="e">
        <f>AND(#REF!,"RFXIPR+zCbA=")</f>
        <v>#REF!</v>
      </c>
      <c r="FV62" t="e">
        <f>AND(#REF!,"RFXIPR+zCbE=")</f>
        <v>#REF!</v>
      </c>
      <c r="FW62" t="e">
        <f>AND(#REF!,"RFXIPR+zCbI=")</f>
        <v>#REF!</v>
      </c>
      <c r="FX62" t="e">
        <f>AND(#REF!,"RFXIPR+zCbM=")</f>
        <v>#REF!</v>
      </c>
      <c r="FY62" t="e">
        <f>AND(#REF!,"RFXIPR+zCbQ=")</f>
        <v>#REF!</v>
      </c>
      <c r="FZ62" t="e">
        <f>AND(#REF!,"RFXIPR+zCbU=")</f>
        <v>#REF!</v>
      </c>
      <c r="GA62" t="e">
        <f>AND(#REF!,"RFXIPR+zCbY=")</f>
        <v>#REF!</v>
      </c>
      <c r="GB62" t="e">
        <f>AND(#REF!,"RFXIPR+zCbc=")</f>
        <v>#REF!</v>
      </c>
      <c r="GC62" t="e">
        <f>AND(#REF!,"RFXIPR+zCbg=")</f>
        <v>#REF!</v>
      </c>
      <c r="GD62" t="e">
        <f>AND(#REF!,"RFXIPR+zCbk=")</f>
        <v>#REF!</v>
      </c>
      <c r="GE62" t="e">
        <f>AND(#REF!,"RFXIPR+zCbo=")</f>
        <v>#REF!</v>
      </c>
      <c r="GF62" t="e">
        <f>AND(#REF!,"RFXIPR+zCbs=")</f>
        <v>#REF!</v>
      </c>
      <c r="GG62" t="e">
        <f>AND(#REF!,"RFXIPR+zCbw=")</f>
        <v>#REF!</v>
      </c>
      <c r="GH62" t="e">
        <f>AND(#REF!,"RFXIPR+zCb0=")</f>
        <v>#REF!</v>
      </c>
      <c r="GI62" t="e">
        <f>AND(#REF!,"RFXIPR+zCb4=")</f>
        <v>#REF!</v>
      </c>
      <c r="GJ62" t="e">
        <f>AND(#REF!,"RFXIPR+zCb8=")</f>
        <v>#REF!</v>
      </c>
      <c r="GK62" t="e">
        <f>AND(#REF!,"RFXIPR+zCcA=")</f>
        <v>#REF!</v>
      </c>
      <c r="GL62" t="e">
        <f>AND(#REF!,"RFXIPR+zCcE=")</f>
        <v>#REF!</v>
      </c>
      <c r="GM62" t="e">
        <f>AND(#REF!,"RFXIPR+zCcI=")</f>
        <v>#REF!</v>
      </c>
      <c r="GN62" t="e">
        <f>AND(#REF!,"RFXIPR+zCcM=")</f>
        <v>#REF!</v>
      </c>
      <c r="GO62" t="e">
        <f>AND(#REF!,"RFXIPR+zCcQ=")</f>
        <v>#REF!</v>
      </c>
      <c r="GP62" t="e">
        <f>AND(#REF!,"RFXIPR+zCcU=")</f>
        <v>#REF!</v>
      </c>
      <c r="GQ62" t="e">
        <f>AND(#REF!,"RFXIPR+zCcY=")</f>
        <v>#REF!</v>
      </c>
      <c r="GR62" t="e">
        <f>AND(#REF!,"RFXIPR+zCcc=")</f>
        <v>#REF!</v>
      </c>
      <c r="GS62" t="e">
        <f>AND(#REF!,"RFXIPR+zCcg=")</f>
        <v>#REF!</v>
      </c>
      <c r="GT62" t="e">
        <f>AND(#REF!,"RFXIPR+zCck=")</f>
        <v>#REF!</v>
      </c>
      <c r="GU62" t="e">
        <f>AND(#REF!,"RFXIPR+zCco=")</f>
        <v>#REF!</v>
      </c>
      <c r="GV62" t="e">
        <f>AND(#REF!,"RFXIPR+zCcs=")</f>
        <v>#REF!</v>
      </c>
      <c r="GW62" t="e">
        <f>AND(#REF!,"RFXIPR+zCcw=")</f>
        <v>#REF!</v>
      </c>
      <c r="GX62" t="e">
        <f>AND(#REF!,"RFXIPR+zCc0=")</f>
        <v>#REF!</v>
      </c>
      <c r="GY62" t="e">
        <f>AND(#REF!,"RFXIPR+zCc4=")</f>
        <v>#REF!</v>
      </c>
      <c r="GZ62" t="e">
        <f>AND(#REF!,"RFXIPR+zCc8=")</f>
        <v>#REF!</v>
      </c>
      <c r="HA62" t="e">
        <f>AND(#REF!,"RFXIPR+zCdA=")</f>
        <v>#REF!</v>
      </c>
      <c r="HB62" t="e">
        <f>AND(#REF!,"RFXIPR+zCdE=")</f>
        <v>#REF!</v>
      </c>
      <c r="HC62" t="e">
        <f>AND(#REF!,"RFXIPR+zCdI=")</f>
        <v>#REF!</v>
      </c>
      <c r="HD62" t="e">
        <f>AND(#REF!,"RFXIPR+zCdM=")</f>
        <v>#REF!</v>
      </c>
      <c r="HE62" t="e">
        <f>AND(#REF!,"RFXIPR+zCdQ=")</f>
        <v>#REF!</v>
      </c>
      <c r="HF62" t="e">
        <f>AND(#REF!,"RFXIPR+zCdU=")</f>
        <v>#REF!</v>
      </c>
      <c r="HG62" t="e">
        <f>AND(#REF!,"RFXIPR+zCdY=")</f>
        <v>#REF!</v>
      </c>
      <c r="HH62" t="e">
        <f>AND(#REF!,"RFXIPR+zCdc=")</f>
        <v>#REF!</v>
      </c>
      <c r="HI62" t="e">
        <f>AND(#REF!,"RFXIPR+zCdg=")</f>
        <v>#REF!</v>
      </c>
      <c r="HJ62" t="e">
        <f>AND(#REF!,"RFXIPR+zCdk=")</f>
        <v>#REF!</v>
      </c>
      <c r="HK62" t="e">
        <f>AND(#REF!,"RFXIPR+zCdo=")</f>
        <v>#REF!</v>
      </c>
      <c r="HL62" t="e">
        <f>AND(#REF!,"RFXIPR+zCds=")</f>
        <v>#REF!</v>
      </c>
      <c r="HM62" t="e">
        <f>AND(#REF!,"RFXIPR+zCdw=")</f>
        <v>#REF!</v>
      </c>
      <c r="HN62" t="e">
        <f>AND(#REF!,"RFXIPR+zCd0=")</f>
        <v>#REF!</v>
      </c>
      <c r="HO62" t="e">
        <f>AND(#REF!,"RFXIPR+zCd4=")</f>
        <v>#REF!</v>
      </c>
      <c r="HP62" t="e">
        <f>AND(#REF!,"RFXIPR+zCd8=")</f>
        <v>#REF!</v>
      </c>
      <c r="HQ62" t="e">
        <f>AND(#REF!,"RFXIPR+zCeA=")</f>
        <v>#REF!</v>
      </c>
      <c r="HR62" t="e">
        <f>AND(#REF!,"RFXIPR+zCeE=")</f>
        <v>#REF!</v>
      </c>
      <c r="HS62" t="e">
        <f>AND(#REF!,"RFXIPR+zCeI=")</f>
        <v>#REF!</v>
      </c>
      <c r="HT62" t="e">
        <f>AND(#REF!,"RFXIPR+zCeM=")</f>
        <v>#REF!</v>
      </c>
      <c r="HU62" t="e">
        <f>AND(#REF!,"RFXIPR+zCeQ=")</f>
        <v>#REF!</v>
      </c>
      <c r="HV62" t="e">
        <f>AND(#REF!,"RFXIPR+zCeU=")</f>
        <v>#REF!</v>
      </c>
      <c r="HW62" t="e">
        <f>AND(#REF!,"RFXIPR+zCeY=")</f>
        <v>#REF!</v>
      </c>
      <c r="HX62" t="e">
        <f>AND(#REF!,"RFXIPR+zCec=")</f>
        <v>#REF!</v>
      </c>
      <c r="HY62" t="e">
        <f>AND(#REF!,"RFXIPR+zCeg=")</f>
        <v>#REF!</v>
      </c>
      <c r="HZ62" t="e">
        <f>AND(#REF!,"RFXIPR+zCek=")</f>
        <v>#REF!</v>
      </c>
      <c r="IA62" t="e">
        <f>AND(#REF!,"RFXIPR+zCeo=")</f>
        <v>#REF!</v>
      </c>
      <c r="IB62" t="e">
        <f>AND(#REF!,"RFXIPR+zCes=")</f>
        <v>#REF!</v>
      </c>
      <c r="IC62" t="e">
        <f>AND(#REF!,"RFXIPR+zCew=")</f>
        <v>#REF!</v>
      </c>
      <c r="ID62" t="e">
        <f>AND(#REF!,"RFXIPR+zCe0=")</f>
        <v>#REF!</v>
      </c>
      <c r="IE62" t="e">
        <f>AND(#REF!,"RFXIPR+zCe4=")</f>
        <v>#REF!</v>
      </c>
      <c r="IF62" t="e">
        <f>AND(#REF!,"RFXIPR+zCe8=")</f>
        <v>#REF!</v>
      </c>
      <c r="IG62" t="e">
        <f>AND(#REF!,"RFXIPR+zCfA=")</f>
        <v>#REF!</v>
      </c>
      <c r="IH62" t="e">
        <f>AND(#REF!,"RFXIPR+zCfE=")</f>
        <v>#REF!</v>
      </c>
      <c r="II62" t="e">
        <f>AND(#REF!,"RFXIPR+zCfI=")</f>
        <v>#REF!</v>
      </c>
      <c r="IJ62" t="e">
        <f>AND(#REF!,"RFXIPR+zCfM=")</f>
        <v>#REF!</v>
      </c>
      <c r="IK62" t="e">
        <f>AND(#REF!,"RFXIPR+zCfQ=")</f>
        <v>#REF!</v>
      </c>
      <c r="IL62" t="e">
        <f>AND(#REF!,"RFXIPR+zCfU=")</f>
        <v>#REF!</v>
      </c>
      <c r="IM62" t="e">
        <f>AND(#REF!,"RFXIPR+zCfY=")</f>
        <v>#REF!</v>
      </c>
      <c r="IN62" t="e">
        <f>AND(#REF!,"RFXIPR+zCfc=")</f>
        <v>#REF!</v>
      </c>
      <c r="IO62" t="e">
        <f>AND(#REF!,"RFXIPR+zCfg=")</f>
        <v>#REF!</v>
      </c>
      <c r="IP62" t="e">
        <f>AND(#REF!,"RFXIPR+zCfk=")</f>
        <v>#REF!</v>
      </c>
      <c r="IQ62" t="e">
        <f>IF(#REF!,"RFXIPR+zCfo=",0)</f>
        <v>#REF!</v>
      </c>
      <c r="IR62" t="e">
        <f>AND(#REF!,"RFXIPR+zCfs=")</f>
        <v>#REF!</v>
      </c>
      <c r="IS62" t="e">
        <f>AND(#REF!,"RFXIPR+zCfw=")</f>
        <v>#REF!</v>
      </c>
      <c r="IT62" t="e">
        <f>AND(#REF!,"RFXIPR+zCf0=")</f>
        <v>#REF!</v>
      </c>
      <c r="IU62" t="e">
        <f>AND(#REF!,"RFXIPR+zCf4=")</f>
        <v>#REF!</v>
      </c>
      <c r="IV62" t="e">
        <f>AND(#REF!,"RFXIPR+zCf8=")</f>
        <v>#REF!</v>
      </c>
    </row>
    <row r="63" spans="1:256" x14ac:dyDescent="0.2">
      <c r="A63" t="e">
        <f>AND(#REF!,"VFeG4DmdLgA=")</f>
        <v>#REF!</v>
      </c>
      <c r="B63" t="e">
        <f>AND(#REF!,"VFeG4DmdLgE=")</f>
        <v>#REF!</v>
      </c>
      <c r="C63" t="e">
        <f>AND(#REF!,"VFeG4DmdLgI=")</f>
        <v>#REF!</v>
      </c>
      <c r="D63" t="e">
        <f>AND(#REF!,"VFeG4DmdLgM=")</f>
        <v>#REF!</v>
      </c>
      <c r="E63" t="e">
        <f>AND(#REF!,"VFeG4DmdLgQ=")</f>
        <v>#REF!</v>
      </c>
      <c r="F63" t="e">
        <f>AND(#REF!,"VFeG4DmdLgU=")</f>
        <v>#REF!</v>
      </c>
      <c r="G63" t="e">
        <f>AND(#REF!,"VFeG4DmdLgY=")</f>
        <v>#REF!</v>
      </c>
      <c r="H63" t="e">
        <f>AND(#REF!,"VFeG4DmdLgc=")</f>
        <v>#REF!</v>
      </c>
      <c r="I63" t="e">
        <f>AND(#REF!,"VFeG4DmdLgg=")</f>
        <v>#REF!</v>
      </c>
      <c r="J63" t="e">
        <f>AND(#REF!,"VFeG4DmdLgk=")</f>
        <v>#REF!</v>
      </c>
      <c r="K63" t="e">
        <f>AND(#REF!,"VFeG4DmdLgo=")</f>
        <v>#REF!</v>
      </c>
      <c r="L63" t="e">
        <f>AND(#REF!,"VFeG4DmdLgs=")</f>
        <v>#REF!</v>
      </c>
      <c r="M63" t="e">
        <f>AND(#REF!,"VFeG4DmdLgw=")</f>
        <v>#REF!</v>
      </c>
      <c r="N63" t="e">
        <f>AND(#REF!,"VFeG4DmdLg0=")</f>
        <v>#REF!</v>
      </c>
      <c r="O63" t="e">
        <f>AND(#REF!,"VFeG4DmdLg4=")</f>
        <v>#REF!</v>
      </c>
      <c r="P63" t="e">
        <f>AND(#REF!,"VFeG4DmdLg8=")</f>
        <v>#REF!</v>
      </c>
      <c r="Q63" t="e">
        <f>AND(#REF!,"VFeG4DmdLhA=")</f>
        <v>#REF!</v>
      </c>
      <c r="R63" t="e">
        <f>AND(#REF!,"VFeG4DmdLhE=")</f>
        <v>#REF!</v>
      </c>
      <c r="S63" t="e">
        <f>AND(#REF!,"VFeG4DmdLhI=")</f>
        <v>#REF!</v>
      </c>
      <c r="T63" t="e">
        <f>AND(#REF!,"VFeG4DmdLhM=")</f>
        <v>#REF!</v>
      </c>
      <c r="U63" t="e">
        <f>AND(#REF!,"VFeG4DmdLhQ=")</f>
        <v>#REF!</v>
      </c>
      <c r="V63" t="e">
        <f>AND(#REF!,"VFeG4DmdLhU=")</f>
        <v>#REF!</v>
      </c>
      <c r="W63" t="e">
        <f>AND(#REF!,"VFeG4DmdLhY=")</f>
        <v>#REF!</v>
      </c>
      <c r="X63" t="e">
        <f>AND(#REF!,"VFeG4DmdLhc=")</f>
        <v>#REF!</v>
      </c>
      <c r="Y63" t="e">
        <f>AND(#REF!,"VFeG4DmdLhg=")</f>
        <v>#REF!</v>
      </c>
      <c r="Z63" t="e">
        <f>AND(#REF!,"VFeG4DmdLhk=")</f>
        <v>#REF!</v>
      </c>
      <c r="AA63" t="e">
        <f>AND(#REF!,"VFeG4DmdLho=")</f>
        <v>#REF!</v>
      </c>
      <c r="AB63" t="e">
        <f>AND(#REF!,"VFeG4DmdLhs=")</f>
        <v>#REF!</v>
      </c>
      <c r="AC63" t="e">
        <f>AND(#REF!,"VFeG4DmdLhw=")</f>
        <v>#REF!</v>
      </c>
      <c r="AD63" t="e">
        <f>AND(#REF!,"VFeG4DmdLh0=")</f>
        <v>#REF!</v>
      </c>
      <c r="AE63" t="e">
        <f>AND(#REF!,"VFeG4DmdLh4=")</f>
        <v>#REF!</v>
      </c>
      <c r="AF63" t="e">
        <f>AND(#REF!,"VFeG4DmdLh8=")</f>
        <v>#REF!</v>
      </c>
      <c r="AG63" t="e">
        <f>AND(#REF!,"VFeG4DmdLiA=")</f>
        <v>#REF!</v>
      </c>
      <c r="AH63" t="e">
        <f>AND(#REF!,"VFeG4DmdLiE=")</f>
        <v>#REF!</v>
      </c>
      <c r="AI63" t="e">
        <f>AND(#REF!,"VFeG4DmdLiI=")</f>
        <v>#REF!</v>
      </c>
      <c r="AJ63" t="e">
        <f>AND(#REF!,"VFeG4DmdLiM=")</f>
        <v>#REF!</v>
      </c>
      <c r="AK63" t="e">
        <f>AND(#REF!,"VFeG4DmdLiQ=")</f>
        <v>#REF!</v>
      </c>
      <c r="AL63" t="e">
        <f>AND(#REF!,"VFeG4DmdLiU=")</f>
        <v>#REF!</v>
      </c>
      <c r="AM63" t="e">
        <f>AND(#REF!,"VFeG4DmdLiY=")</f>
        <v>#REF!</v>
      </c>
      <c r="AN63" t="e">
        <f>AND(#REF!,"VFeG4DmdLic=")</f>
        <v>#REF!</v>
      </c>
      <c r="AO63" t="e">
        <f>AND(#REF!,"VFeG4DmdLig=")</f>
        <v>#REF!</v>
      </c>
      <c r="AP63" t="e">
        <f>AND(#REF!,"VFeG4DmdLik=")</f>
        <v>#REF!</v>
      </c>
      <c r="AQ63" t="e">
        <f>AND(#REF!,"VFeG4DmdLio=")</f>
        <v>#REF!</v>
      </c>
      <c r="AR63" t="e">
        <f>AND(#REF!,"VFeG4DmdLis=")</f>
        <v>#REF!</v>
      </c>
      <c r="AS63" t="e">
        <f>AND(#REF!,"VFeG4DmdLiw=")</f>
        <v>#REF!</v>
      </c>
      <c r="AT63" t="e">
        <f>AND(#REF!,"VFeG4DmdLi0=")</f>
        <v>#REF!</v>
      </c>
      <c r="AU63" t="e">
        <f>AND(#REF!,"VFeG4DmdLi4=")</f>
        <v>#REF!</v>
      </c>
      <c r="AV63" t="e">
        <f>AND(#REF!,"VFeG4DmdLi8=")</f>
        <v>#REF!</v>
      </c>
      <c r="AW63" t="e">
        <f>AND(#REF!,"VFeG4DmdLjA=")</f>
        <v>#REF!</v>
      </c>
      <c r="AX63" t="e">
        <f>AND(#REF!,"VFeG4DmdLjE=")</f>
        <v>#REF!</v>
      </c>
      <c r="AY63" t="e">
        <f>AND(#REF!,"VFeG4DmdLjI=")</f>
        <v>#REF!</v>
      </c>
      <c r="AZ63" t="e">
        <f>AND(#REF!,"VFeG4DmdLjM=")</f>
        <v>#REF!</v>
      </c>
      <c r="BA63" t="e">
        <f>AND(#REF!,"VFeG4DmdLjQ=")</f>
        <v>#REF!</v>
      </c>
      <c r="BB63" t="e">
        <f>AND(#REF!,"VFeG4DmdLjU=")</f>
        <v>#REF!</v>
      </c>
      <c r="BC63" t="e">
        <f>AND(#REF!,"VFeG4DmdLjY=")</f>
        <v>#REF!</v>
      </c>
      <c r="BD63" t="e">
        <f>AND(#REF!,"VFeG4DmdLjc=")</f>
        <v>#REF!</v>
      </c>
      <c r="BE63" t="e">
        <f>AND(#REF!,"VFeG4DmdLjg=")</f>
        <v>#REF!</v>
      </c>
      <c r="BF63" t="e">
        <f>AND(#REF!,"VFeG4DmdLjk=")</f>
        <v>#REF!</v>
      </c>
      <c r="BG63" t="e">
        <f>AND(#REF!,"VFeG4DmdLjo=")</f>
        <v>#REF!</v>
      </c>
      <c r="BH63" t="e">
        <f>AND(#REF!,"VFeG4DmdLjs=")</f>
        <v>#REF!</v>
      </c>
      <c r="BI63" t="e">
        <f>AND(#REF!,"VFeG4DmdLjw=")</f>
        <v>#REF!</v>
      </c>
      <c r="BJ63" t="e">
        <f>AND(#REF!,"VFeG4DmdLj0=")</f>
        <v>#REF!</v>
      </c>
      <c r="BK63" t="e">
        <f>AND(#REF!,"VFeG4DmdLj4=")</f>
        <v>#REF!</v>
      </c>
      <c r="BL63" t="e">
        <f>AND(#REF!,"VFeG4DmdLj8=")</f>
        <v>#REF!</v>
      </c>
      <c r="BM63" t="e">
        <f>AND(#REF!,"VFeG4DmdLkA=")</f>
        <v>#REF!</v>
      </c>
      <c r="BN63" t="e">
        <f>AND(#REF!,"VFeG4DmdLkE=")</f>
        <v>#REF!</v>
      </c>
      <c r="BO63" t="e">
        <f>AND(#REF!,"VFeG4DmdLkI=")</f>
        <v>#REF!</v>
      </c>
      <c r="BP63" t="e">
        <f>AND(#REF!,"VFeG4DmdLkM=")</f>
        <v>#REF!</v>
      </c>
      <c r="BQ63" t="e">
        <f>AND(#REF!,"VFeG4DmdLkQ=")</f>
        <v>#REF!</v>
      </c>
      <c r="BR63" t="e">
        <f>AND(#REF!,"VFeG4DmdLkU=")</f>
        <v>#REF!</v>
      </c>
      <c r="BS63" t="e">
        <f>AND(#REF!,"VFeG4DmdLkY=")</f>
        <v>#REF!</v>
      </c>
      <c r="BT63" t="e">
        <f>AND(#REF!,"VFeG4DmdLkc=")</f>
        <v>#REF!</v>
      </c>
      <c r="BU63" t="e">
        <f>AND(#REF!,"VFeG4DmdLkg=")</f>
        <v>#REF!</v>
      </c>
      <c r="BV63" t="e">
        <f>AND(#REF!,"VFeG4DmdLkk=")</f>
        <v>#REF!</v>
      </c>
      <c r="BW63" t="e">
        <f>AND(#REF!,"VFeG4DmdLko=")</f>
        <v>#REF!</v>
      </c>
      <c r="BX63" t="e">
        <f>AND(#REF!,"VFeG4DmdLks=")</f>
        <v>#REF!</v>
      </c>
      <c r="BY63" t="e">
        <f>AND(#REF!,"VFeG4DmdLkw=")</f>
        <v>#REF!</v>
      </c>
      <c r="BZ63" t="e">
        <f>AND(#REF!,"VFeG4DmdLk0=")</f>
        <v>#REF!</v>
      </c>
      <c r="CA63" t="e">
        <f>AND(#REF!,"VFeG4DmdLk4=")</f>
        <v>#REF!</v>
      </c>
      <c r="CB63" t="e">
        <f>AND(#REF!,"VFeG4DmdLk8=")</f>
        <v>#REF!</v>
      </c>
      <c r="CC63" t="e">
        <f>AND(#REF!,"VFeG4DmdLlA=")</f>
        <v>#REF!</v>
      </c>
      <c r="CD63" t="e">
        <f>AND(#REF!,"VFeG4DmdLlE=")</f>
        <v>#REF!</v>
      </c>
      <c r="CE63" t="e">
        <f>AND(#REF!,"VFeG4DmdLlI=")</f>
        <v>#REF!</v>
      </c>
      <c r="CF63" t="e">
        <f>AND(#REF!,"VFeG4DmdLlM=")</f>
        <v>#REF!</v>
      </c>
      <c r="CG63" t="e">
        <f>AND(#REF!,"VFeG4DmdLlQ=")</f>
        <v>#REF!</v>
      </c>
      <c r="CH63" t="e">
        <f>AND(#REF!,"VFeG4DmdLlU=")</f>
        <v>#REF!</v>
      </c>
      <c r="CI63" t="e">
        <f>AND(#REF!,"VFeG4DmdLlY=")</f>
        <v>#REF!</v>
      </c>
      <c r="CJ63" t="e">
        <f>AND(#REF!,"VFeG4DmdLlc=")</f>
        <v>#REF!</v>
      </c>
      <c r="CK63" t="e">
        <f>AND(#REF!,"VFeG4DmdLlg=")</f>
        <v>#REF!</v>
      </c>
      <c r="CL63" t="e">
        <f>AND(#REF!,"VFeG4DmdLlk=")</f>
        <v>#REF!</v>
      </c>
      <c r="CM63" t="e">
        <f>AND(#REF!,"VFeG4DmdLlo=")</f>
        <v>#REF!</v>
      </c>
      <c r="CN63" t="e">
        <f>AND(#REF!,"VFeG4DmdLls=")</f>
        <v>#REF!</v>
      </c>
      <c r="CO63" t="e">
        <f>AND(#REF!,"VFeG4DmdLlw=")</f>
        <v>#REF!</v>
      </c>
      <c r="CP63" t="e">
        <f>AND(#REF!,"VFeG4DmdLl0=")</f>
        <v>#REF!</v>
      </c>
      <c r="CQ63" t="e">
        <f>AND(#REF!,"VFeG4DmdLl4=")</f>
        <v>#REF!</v>
      </c>
      <c r="CR63" t="e">
        <f>AND(#REF!,"VFeG4DmdLl8=")</f>
        <v>#REF!</v>
      </c>
      <c r="CS63" t="e">
        <f>AND(#REF!,"VFeG4DmdLmA=")</f>
        <v>#REF!</v>
      </c>
      <c r="CT63" t="e">
        <f>AND(#REF!,"VFeG4DmdLmE=")</f>
        <v>#REF!</v>
      </c>
      <c r="CU63" t="e">
        <f>AND(#REF!,"VFeG4DmdLmI=")</f>
        <v>#REF!</v>
      </c>
      <c r="CV63" t="e">
        <f>AND(#REF!,"VFeG4DmdLmM=")</f>
        <v>#REF!</v>
      </c>
      <c r="CW63" t="e">
        <f>AND(#REF!,"VFeG4DmdLmQ=")</f>
        <v>#REF!</v>
      </c>
      <c r="CX63" t="e">
        <f>AND(#REF!,"VFeG4DmdLmU=")</f>
        <v>#REF!</v>
      </c>
      <c r="CY63" t="e">
        <f>AND(#REF!,"VFeG4DmdLmY=")</f>
        <v>#REF!</v>
      </c>
      <c r="CZ63" t="e">
        <f>AND(#REF!,"VFeG4DmdLmc=")</f>
        <v>#REF!</v>
      </c>
      <c r="DA63" t="e">
        <f>AND(#REF!,"VFeG4DmdLmg=")</f>
        <v>#REF!</v>
      </c>
      <c r="DB63" t="e">
        <f>AND(#REF!,"VFeG4DmdLmk=")</f>
        <v>#REF!</v>
      </c>
      <c r="DC63" t="e">
        <f>AND(#REF!,"VFeG4DmdLmo=")</f>
        <v>#REF!</v>
      </c>
      <c r="DD63" t="e">
        <f>AND(#REF!,"VFeG4DmdLms=")</f>
        <v>#REF!</v>
      </c>
      <c r="DE63" t="e">
        <f>AND(#REF!,"VFeG4DmdLmw=")</f>
        <v>#REF!</v>
      </c>
      <c r="DF63" t="e">
        <f>AND(#REF!,"VFeG4DmdLm0=")</f>
        <v>#REF!</v>
      </c>
      <c r="DG63" t="e">
        <f>AND(#REF!,"VFeG4DmdLm4=")</f>
        <v>#REF!</v>
      </c>
      <c r="DH63" t="e">
        <f>AND(#REF!,"VFeG4DmdLm8=")</f>
        <v>#REF!</v>
      </c>
      <c r="DI63" t="e">
        <f>AND(#REF!,"VFeG4DmdLnA=")</f>
        <v>#REF!</v>
      </c>
      <c r="DJ63" t="e">
        <f>AND(#REF!,"VFeG4DmdLnE=")</f>
        <v>#REF!</v>
      </c>
      <c r="DK63" t="e">
        <f>AND(#REF!,"VFeG4DmdLnI=")</f>
        <v>#REF!</v>
      </c>
      <c r="DL63" t="e">
        <f>AND(#REF!,"VFeG4DmdLnM=")</f>
        <v>#REF!</v>
      </c>
      <c r="DM63" t="e">
        <f>AND(#REF!,"VFeG4DmdLnQ=")</f>
        <v>#REF!</v>
      </c>
      <c r="DN63" t="e">
        <f>AND(#REF!,"VFeG4DmdLnU=")</f>
        <v>#REF!</v>
      </c>
      <c r="DO63" t="e">
        <f>AND(#REF!,"VFeG4DmdLnY=")</f>
        <v>#REF!</v>
      </c>
      <c r="DP63" t="e">
        <f>AND(#REF!,"VFeG4DmdLnc=")</f>
        <v>#REF!</v>
      </c>
      <c r="DQ63" t="e">
        <f>AND(#REF!,"VFeG4DmdLng=")</f>
        <v>#REF!</v>
      </c>
      <c r="DR63" t="e">
        <f>AND(#REF!,"VFeG4DmdLnk=")</f>
        <v>#REF!</v>
      </c>
      <c r="DS63" t="e">
        <f>AND(#REF!,"VFeG4DmdLno=")</f>
        <v>#REF!</v>
      </c>
      <c r="DT63" t="e">
        <f>AND(#REF!,"VFeG4DmdLns=")</f>
        <v>#REF!</v>
      </c>
      <c r="DU63" t="e">
        <f>AND(#REF!,"VFeG4DmdLnw=")</f>
        <v>#REF!</v>
      </c>
      <c r="DV63" t="e">
        <f>AND(#REF!,"VFeG4DmdLn0=")</f>
        <v>#REF!</v>
      </c>
      <c r="DW63" t="e">
        <f>AND(#REF!,"VFeG4DmdLn4=")</f>
        <v>#REF!</v>
      </c>
      <c r="DX63" t="e">
        <f>AND(#REF!,"VFeG4DmdLn8=")</f>
        <v>#REF!</v>
      </c>
      <c r="DY63" t="e">
        <f>AND(#REF!,"VFeG4DmdLoA=")</f>
        <v>#REF!</v>
      </c>
      <c r="DZ63" t="e">
        <f>AND(#REF!,"VFeG4DmdLoE=")</f>
        <v>#REF!</v>
      </c>
      <c r="EA63" t="e">
        <f>AND(#REF!,"VFeG4DmdLoI=")</f>
        <v>#REF!</v>
      </c>
      <c r="EB63" t="e">
        <f>AND(#REF!,"VFeG4DmdLoM=")</f>
        <v>#REF!</v>
      </c>
      <c r="EC63" t="e">
        <f>AND(#REF!,"VFeG4DmdLoQ=")</f>
        <v>#REF!</v>
      </c>
      <c r="ED63" t="e">
        <f>AND(#REF!,"VFeG4DmdLoU=")</f>
        <v>#REF!</v>
      </c>
      <c r="EE63" t="e">
        <f>AND(#REF!,"VFeG4DmdLoY=")</f>
        <v>#REF!</v>
      </c>
      <c r="EF63" t="e">
        <f>AND(#REF!,"VFeG4DmdLoc=")</f>
        <v>#REF!</v>
      </c>
      <c r="EG63" t="e">
        <f>AND(#REF!,"VFeG4DmdLog=")</f>
        <v>#REF!</v>
      </c>
      <c r="EH63" t="e">
        <f>AND(#REF!,"VFeG4DmdLok=")</f>
        <v>#REF!</v>
      </c>
      <c r="EI63" t="e">
        <f>AND(#REF!,"VFeG4DmdLoo=")</f>
        <v>#REF!</v>
      </c>
      <c r="EJ63" t="e">
        <f>AND(#REF!,"VFeG4DmdLos=")</f>
        <v>#REF!</v>
      </c>
      <c r="EK63" t="e">
        <f>AND(#REF!,"VFeG4DmdLow=")</f>
        <v>#REF!</v>
      </c>
      <c r="EL63" t="e">
        <f>AND(#REF!,"VFeG4DmdLo0=")</f>
        <v>#REF!</v>
      </c>
      <c r="EM63" t="e">
        <f>AND(#REF!,"VFeG4DmdLo4=")</f>
        <v>#REF!</v>
      </c>
      <c r="EN63" t="e">
        <f>AND(#REF!,"VFeG4DmdLo8=")</f>
        <v>#REF!</v>
      </c>
      <c r="EO63" t="e">
        <f>AND(#REF!,"VFeG4DmdLpA=")</f>
        <v>#REF!</v>
      </c>
      <c r="EP63" t="e">
        <f>AND(#REF!,"VFeG4DmdLpE=")</f>
        <v>#REF!</v>
      </c>
      <c r="EQ63" t="e">
        <f>AND(#REF!,"VFeG4DmdLpI=")</f>
        <v>#REF!</v>
      </c>
      <c r="ER63" t="e">
        <f>AND(#REF!,"VFeG4DmdLpM=")</f>
        <v>#REF!</v>
      </c>
      <c r="ES63" t="e">
        <f>AND(#REF!,"VFeG4DmdLpQ=")</f>
        <v>#REF!</v>
      </c>
      <c r="ET63" t="e">
        <f>AND(#REF!,"VFeG4DmdLpU=")</f>
        <v>#REF!</v>
      </c>
      <c r="EU63" t="e">
        <f>AND(#REF!,"VFeG4DmdLpY=")</f>
        <v>#REF!</v>
      </c>
      <c r="EV63" t="e">
        <f>AND(#REF!,"VFeG4DmdLpc=")</f>
        <v>#REF!</v>
      </c>
      <c r="EW63" t="e">
        <f>AND(#REF!,"VFeG4DmdLpg=")</f>
        <v>#REF!</v>
      </c>
      <c r="EX63" t="e">
        <f>AND(#REF!,"VFeG4DmdLpk=")</f>
        <v>#REF!</v>
      </c>
      <c r="EY63" t="e">
        <f>AND(#REF!,"VFeG4DmdLpo=")</f>
        <v>#REF!</v>
      </c>
      <c r="EZ63" t="e">
        <f>AND(#REF!,"VFeG4DmdLps=")</f>
        <v>#REF!</v>
      </c>
      <c r="FA63" t="e">
        <f>AND(#REF!,"VFeG4DmdLpw=")</f>
        <v>#REF!</v>
      </c>
      <c r="FB63" t="e">
        <f>AND(#REF!,"VFeG4DmdLp0=")</f>
        <v>#REF!</v>
      </c>
      <c r="FC63" t="e">
        <f>AND(#REF!,"VFeG4DmdLp4=")</f>
        <v>#REF!</v>
      </c>
      <c r="FD63" t="e">
        <f>AND(#REF!,"VFeG4DmdLp8=")</f>
        <v>#REF!</v>
      </c>
      <c r="FE63" t="e">
        <f>AND(#REF!,"VFeG4DmdLqA=")</f>
        <v>#REF!</v>
      </c>
      <c r="FF63" t="e">
        <f>AND(#REF!,"VFeG4DmdLqE=")</f>
        <v>#REF!</v>
      </c>
      <c r="FG63" t="e">
        <f>AND(#REF!,"VFeG4DmdLqI=")</f>
        <v>#REF!</v>
      </c>
      <c r="FH63" t="e">
        <f>AND(#REF!,"VFeG4DmdLqM=")</f>
        <v>#REF!</v>
      </c>
      <c r="FI63" t="e">
        <f>AND(#REF!,"VFeG4DmdLqQ=")</f>
        <v>#REF!</v>
      </c>
      <c r="FJ63" t="e">
        <f>AND(#REF!,"VFeG4DmdLqU=")</f>
        <v>#REF!</v>
      </c>
      <c r="FK63" t="e">
        <f>AND(#REF!,"VFeG4DmdLqY=")</f>
        <v>#REF!</v>
      </c>
      <c r="FL63" t="e">
        <f>AND(#REF!,"VFeG4DmdLqc=")</f>
        <v>#REF!</v>
      </c>
      <c r="FM63" t="e">
        <f>AND(#REF!,"VFeG4DmdLqg=")</f>
        <v>#REF!</v>
      </c>
      <c r="FN63" t="e">
        <f>AND(#REF!,"VFeG4DmdLqk=")</f>
        <v>#REF!</v>
      </c>
      <c r="FO63" t="e">
        <f>AND(#REF!,"VFeG4DmdLqo=")</f>
        <v>#REF!</v>
      </c>
      <c r="FP63" t="e">
        <f>AND(#REF!,"VFeG4DmdLqs=")</f>
        <v>#REF!</v>
      </c>
      <c r="FQ63" t="e">
        <f>AND(#REF!,"VFeG4DmdLqw=")</f>
        <v>#REF!</v>
      </c>
      <c r="FR63" t="e">
        <f>AND(#REF!,"VFeG4DmdLq0=")</f>
        <v>#REF!</v>
      </c>
      <c r="FS63" t="e">
        <f>AND(#REF!,"VFeG4DmdLq4=")</f>
        <v>#REF!</v>
      </c>
      <c r="FT63" t="e">
        <f>AND(#REF!,"VFeG4DmdLq8=")</f>
        <v>#REF!</v>
      </c>
      <c r="FU63" t="e">
        <f>AND(#REF!,"VFeG4DmdLrA=")</f>
        <v>#REF!</v>
      </c>
      <c r="FV63" t="e">
        <f>AND(#REF!,"VFeG4DmdLrE=")</f>
        <v>#REF!</v>
      </c>
      <c r="FW63" t="e">
        <f>AND(#REF!,"VFeG4DmdLrI=")</f>
        <v>#REF!</v>
      </c>
      <c r="FX63" t="e">
        <f>AND(#REF!,"VFeG4DmdLrM=")</f>
        <v>#REF!</v>
      </c>
      <c r="FY63" t="e">
        <f>AND(#REF!,"VFeG4DmdLrQ=")</f>
        <v>#REF!</v>
      </c>
      <c r="FZ63" t="e">
        <f>AND(#REF!,"VFeG4DmdLrU=")</f>
        <v>#REF!</v>
      </c>
      <c r="GA63" t="e">
        <f>AND(#REF!,"VFeG4DmdLrY=")</f>
        <v>#REF!</v>
      </c>
      <c r="GB63" t="e">
        <f>AND(#REF!,"VFeG4DmdLrc=")</f>
        <v>#REF!</v>
      </c>
      <c r="GC63" t="e">
        <f>AND(#REF!,"VFeG4DmdLrg=")</f>
        <v>#REF!</v>
      </c>
      <c r="GD63" t="e">
        <f>AND(#REF!,"VFeG4DmdLrk=")</f>
        <v>#REF!</v>
      </c>
      <c r="GE63" t="e">
        <f>AND(#REF!,"VFeG4DmdLro=")</f>
        <v>#REF!</v>
      </c>
      <c r="GF63" t="e">
        <f>AND(#REF!,"VFeG4DmdLrs=")</f>
        <v>#REF!</v>
      </c>
      <c r="GG63" t="e">
        <f>AND(#REF!,"VFeG4DmdLrw=")</f>
        <v>#REF!</v>
      </c>
      <c r="GH63" t="e">
        <f>AND(#REF!,"VFeG4DmdLr0=")</f>
        <v>#REF!</v>
      </c>
      <c r="GI63" t="e">
        <f>AND(#REF!,"VFeG4DmdLr4=")</f>
        <v>#REF!</v>
      </c>
      <c r="GJ63" t="e">
        <f>AND(#REF!,"VFeG4DmdLr8=")</f>
        <v>#REF!</v>
      </c>
      <c r="GK63" t="e">
        <f>AND(#REF!,"VFeG4DmdLsA=")</f>
        <v>#REF!</v>
      </c>
      <c r="GL63" t="e">
        <f>IF(#REF!,"VFeG4DmdLsE=",0)</f>
        <v>#REF!</v>
      </c>
      <c r="GM63" t="e">
        <f>AND(#REF!,"VFeG4DmdLsI=")</f>
        <v>#REF!</v>
      </c>
      <c r="GN63" t="e">
        <f>AND(#REF!,"VFeG4DmdLsM=")</f>
        <v>#REF!</v>
      </c>
      <c r="GO63" t="e">
        <f>AND(#REF!,"VFeG4DmdLsQ=")</f>
        <v>#REF!</v>
      </c>
      <c r="GP63" t="e">
        <f>AND(#REF!,"VFeG4DmdLsU=")</f>
        <v>#REF!</v>
      </c>
      <c r="GQ63" t="e">
        <f>AND(#REF!,"VFeG4DmdLsY=")</f>
        <v>#REF!</v>
      </c>
      <c r="GR63" t="e">
        <f>AND(#REF!,"VFeG4DmdLsc=")</f>
        <v>#REF!</v>
      </c>
      <c r="GS63" t="e">
        <f>AND(#REF!,"VFeG4DmdLsg=")</f>
        <v>#REF!</v>
      </c>
      <c r="GT63" t="e">
        <f>AND(#REF!,"VFeG4DmdLsk=")</f>
        <v>#REF!</v>
      </c>
      <c r="GU63" t="e">
        <f>AND(#REF!,"VFeG4DmdLso=")</f>
        <v>#REF!</v>
      </c>
      <c r="GV63" t="e">
        <f>AND(#REF!,"VFeG4DmdLss=")</f>
        <v>#REF!</v>
      </c>
      <c r="GW63" t="e">
        <f>AND(#REF!,"VFeG4DmdLsw=")</f>
        <v>#REF!</v>
      </c>
      <c r="GX63" t="e">
        <f>AND(#REF!,"VFeG4DmdLs0=")</f>
        <v>#REF!</v>
      </c>
      <c r="GY63" t="e">
        <f>AND(#REF!,"VFeG4DmdLs4=")</f>
        <v>#REF!</v>
      </c>
      <c r="GZ63" t="e">
        <f>AND(#REF!,"VFeG4DmdLs8=")</f>
        <v>#REF!</v>
      </c>
      <c r="HA63" t="e">
        <f>AND(#REF!,"VFeG4DmdLtA=")</f>
        <v>#REF!</v>
      </c>
      <c r="HB63" t="e">
        <f>AND(#REF!,"VFeG4DmdLtE=")</f>
        <v>#REF!</v>
      </c>
      <c r="HC63" t="e">
        <f>AND(#REF!,"VFeG4DmdLtI=")</f>
        <v>#REF!</v>
      </c>
      <c r="HD63" t="e">
        <f>AND(#REF!,"VFeG4DmdLtM=")</f>
        <v>#REF!</v>
      </c>
      <c r="HE63" t="e">
        <f>AND(#REF!,"VFeG4DmdLtQ=")</f>
        <v>#REF!</v>
      </c>
      <c r="HF63" t="e">
        <f>AND(#REF!,"VFeG4DmdLtU=")</f>
        <v>#REF!</v>
      </c>
      <c r="HG63" t="e">
        <f>AND(#REF!,"VFeG4DmdLtY=")</f>
        <v>#REF!</v>
      </c>
      <c r="HH63" t="e">
        <f>AND(#REF!,"VFeG4DmdLtc=")</f>
        <v>#REF!</v>
      </c>
      <c r="HI63" t="e">
        <f>AND(#REF!,"VFeG4DmdLtg=")</f>
        <v>#REF!</v>
      </c>
      <c r="HJ63" t="e">
        <f>AND(#REF!,"VFeG4DmdLtk=")</f>
        <v>#REF!</v>
      </c>
      <c r="HK63" t="e">
        <f>AND(#REF!,"VFeG4DmdLto=")</f>
        <v>#REF!</v>
      </c>
      <c r="HL63" t="e">
        <f>AND(#REF!,"VFeG4DmdLts=")</f>
        <v>#REF!</v>
      </c>
      <c r="HM63" t="e">
        <f>AND(#REF!,"VFeG4DmdLtw=")</f>
        <v>#REF!</v>
      </c>
      <c r="HN63" t="e">
        <f>AND(#REF!,"VFeG4DmdLt0=")</f>
        <v>#REF!</v>
      </c>
      <c r="HO63" t="e">
        <f>AND(#REF!,"VFeG4DmdLt4=")</f>
        <v>#REF!</v>
      </c>
      <c r="HP63" t="e">
        <f>AND(#REF!,"VFeG4DmdLt8=")</f>
        <v>#REF!</v>
      </c>
      <c r="HQ63" t="e">
        <f>AND(#REF!,"VFeG4DmdLuA=")</f>
        <v>#REF!</v>
      </c>
      <c r="HR63" t="e">
        <f>AND(#REF!,"VFeG4DmdLuE=")</f>
        <v>#REF!</v>
      </c>
      <c r="HS63" t="e">
        <f>AND(#REF!,"VFeG4DmdLuI=")</f>
        <v>#REF!</v>
      </c>
      <c r="HT63" t="e">
        <f>AND(#REF!,"VFeG4DmdLuM=")</f>
        <v>#REF!</v>
      </c>
      <c r="HU63" t="e">
        <f>AND(#REF!,"VFeG4DmdLuQ=")</f>
        <v>#REF!</v>
      </c>
      <c r="HV63" t="e">
        <f>AND(#REF!,"VFeG4DmdLuU=")</f>
        <v>#REF!</v>
      </c>
      <c r="HW63" t="e">
        <f>AND(#REF!,"VFeG4DmdLuY=")</f>
        <v>#REF!</v>
      </c>
      <c r="HX63" t="e">
        <f>AND(#REF!,"VFeG4DmdLuc=")</f>
        <v>#REF!</v>
      </c>
      <c r="HY63" t="e">
        <f>AND(#REF!,"VFeG4DmdLug=")</f>
        <v>#REF!</v>
      </c>
      <c r="HZ63" t="e">
        <f>AND(#REF!,"VFeG4DmdLuk=")</f>
        <v>#REF!</v>
      </c>
      <c r="IA63" t="e">
        <f>AND(#REF!,"VFeG4DmdLuo=")</f>
        <v>#REF!</v>
      </c>
      <c r="IB63" t="e">
        <f>AND(#REF!,"VFeG4DmdLus=")</f>
        <v>#REF!</v>
      </c>
      <c r="IC63" t="e">
        <f>AND(#REF!,"VFeG4DmdLuw=")</f>
        <v>#REF!</v>
      </c>
      <c r="ID63" t="e">
        <f>AND(#REF!,"VFeG4DmdLu0=")</f>
        <v>#REF!</v>
      </c>
      <c r="IE63" t="e">
        <f>AND(#REF!,"VFeG4DmdLu4=")</f>
        <v>#REF!</v>
      </c>
      <c r="IF63" t="e">
        <f>AND(#REF!,"VFeG4DmdLu8=")</f>
        <v>#REF!</v>
      </c>
      <c r="IG63" t="e">
        <f>AND(#REF!,"VFeG4DmdLvA=")</f>
        <v>#REF!</v>
      </c>
      <c r="IH63" t="e">
        <f>AND(#REF!,"VFeG4DmdLvE=")</f>
        <v>#REF!</v>
      </c>
      <c r="II63" t="e">
        <f>AND(#REF!,"VFeG4DmdLvI=")</f>
        <v>#REF!</v>
      </c>
      <c r="IJ63" t="e">
        <f>AND(#REF!,"VFeG4DmdLvM=")</f>
        <v>#REF!</v>
      </c>
      <c r="IK63" t="e">
        <f>AND(#REF!,"VFeG4DmdLvQ=")</f>
        <v>#REF!</v>
      </c>
      <c r="IL63" t="e">
        <f>AND(#REF!,"VFeG4DmdLvU=")</f>
        <v>#REF!</v>
      </c>
      <c r="IM63" t="e">
        <f>AND(#REF!,"VFeG4DmdLvY=")</f>
        <v>#REF!</v>
      </c>
      <c r="IN63" t="e">
        <f>AND(#REF!,"VFeG4DmdLvc=")</f>
        <v>#REF!</v>
      </c>
      <c r="IO63" t="e">
        <f>AND(#REF!,"VFeG4DmdLvg=")</f>
        <v>#REF!</v>
      </c>
      <c r="IP63" t="e">
        <f>AND(#REF!,"VFeG4DmdLvk=")</f>
        <v>#REF!</v>
      </c>
      <c r="IQ63" t="e">
        <f>AND(#REF!,"VFeG4DmdLvo=")</f>
        <v>#REF!</v>
      </c>
      <c r="IR63" t="e">
        <f>AND(#REF!,"VFeG4DmdLvs=")</f>
        <v>#REF!</v>
      </c>
      <c r="IS63" t="e">
        <f>AND(#REF!,"VFeG4DmdLvw=")</f>
        <v>#REF!</v>
      </c>
      <c r="IT63" t="e">
        <f>AND(#REF!,"VFeG4DmdLv0=")</f>
        <v>#REF!</v>
      </c>
      <c r="IU63" t="e">
        <f>AND(#REF!,"VFeG4DmdLv4=")</f>
        <v>#REF!</v>
      </c>
      <c r="IV63" t="e">
        <f>AND(#REF!,"VFeG4DmdLv8=")</f>
        <v>#REF!</v>
      </c>
    </row>
    <row r="64" spans="1:256" x14ac:dyDescent="0.2">
      <c r="A64" t="e">
        <f>AND(#REF!,"BiResj8VTwA=")</f>
        <v>#REF!</v>
      </c>
      <c r="B64" t="e">
        <f>AND(#REF!,"BiResj8VTwE=")</f>
        <v>#REF!</v>
      </c>
      <c r="C64" t="e">
        <f>AND(#REF!,"BiResj8VTwI=")</f>
        <v>#REF!</v>
      </c>
      <c r="D64" t="e">
        <f>AND(#REF!,"BiResj8VTwM=")</f>
        <v>#REF!</v>
      </c>
      <c r="E64" t="e">
        <f>AND(#REF!,"BiResj8VTwQ=")</f>
        <v>#REF!</v>
      </c>
      <c r="F64" t="e">
        <f>AND(#REF!,"BiResj8VTwU=")</f>
        <v>#REF!</v>
      </c>
      <c r="G64" t="e">
        <f>AND(#REF!,"BiResj8VTwY=")</f>
        <v>#REF!</v>
      </c>
      <c r="H64" t="e">
        <f>AND(#REF!,"BiResj8VTwc=")</f>
        <v>#REF!</v>
      </c>
      <c r="I64" t="e">
        <f>AND(#REF!,"BiResj8VTwg=")</f>
        <v>#REF!</v>
      </c>
      <c r="J64" t="e">
        <f>AND(#REF!,"BiResj8VTwk=")</f>
        <v>#REF!</v>
      </c>
      <c r="K64" t="e">
        <f>AND(#REF!,"BiResj8VTwo=")</f>
        <v>#REF!</v>
      </c>
      <c r="L64" t="e">
        <f>AND(#REF!,"BiResj8VTws=")</f>
        <v>#REF!</v>
      </c>
      <c r="M64" t="e">
        <f>AND(#REF!,"BiResj8VTww=")</f>
        <v>#REF!</v>
      </c>
      <c r="N64" t="e">
        <f>AND(#REF!,"BiResj8VTw0=")</f>
        <v>#REF!</v>
      </c>
      <c r="O64" t="e">
        <f>AND(#REF!,"BiResj8VTw4=")</f>
        <v>#REF!</v>
      </c>
      <c r="P64" t="e">
        <f>AND(#REF!,"BiResj8VTw8=")</f>
        <v>#REF!</v>
      </c>
      <c r="Q64" t="e">
        <f>AND(#REF!,"BiResj8VTxA=")</f>
        <v>#REF!</v>
      </c>
      <c r="R64" t="e">
        <f>AND(#REF!,"BiResj8VTxE=")</f>
        <v>#REF!</v>
      </c>
      <c r="S64" t="e">
        <f>AND(#REF!,"BiResj8VTxI=")</f>
        <v>#REF!</v>
      </c>
      <c r="T64" t="e">
        <f>AND(#REF!,"BiResj8VTxM=")</f>
        <v>#REF!</v>
      </c>
      <c r="U64" t="e">
        <f>AND(#REF!,"BiResj8VTxQ=")</f>
        <v>#REF!</v>
      </c>
      <c r="V64" t="e">
        <f>AND(#REF!,"BiResj8VTxU=")</f>
        <v>#REF!</v>
      </c>
      <c r="W64" t="e">
        <f>AND(#REF!,"BiResj8VTxY=")</f>
        <v>#REF!</v>
      </c>
      <c r="X64" t="e">
        <f>AND(#REF!,"BiResj8VTxc=")</f>
        <v>#REF!</v>
      </c>
      <c r="Y64" t="e">
        <f>AND(#REF!,"BiResj8VTxg=")</f>
        <v>#REF!</v>
      </c>
      <c r="Z64" t="e">
        <f>AND(#REF!,"BiResj8VTxk=")</f>
        <v>#REF!</v>
      </c>
      <c r="AA64" t="e">
        <f>AND(#REF!,"BiResj8VTxo=")</f>
        <v>#REF!</v>
      </c>
      <c r="AB64" t="e">
        <f>AND(#REF!,"BiResj8VTxs=")</f>
        <v>#REF!</v>
      </c>
      <c r="AC64" t="e">
        <f>AND(#REF!,"BiResj8VTxw=")</f>
        <v>#REF!</v>
      </c>
      <c r="AD64" t="e">
        <f>AND(#REF!,"BiResj8VTx0=")</f>
        <v>#REF!</v>
      </c>
      <c r="AE64" t="e">
        <f>AND(#REF!,"BiResj8VTx4=")</f>
        <v>#REF!</v>
      </c>
      <c r="AF64" t="e">
        <f>AND(#REF!,"BiResj8VTx8=")</f>
        <v>#REF!</v>
      </c>
      <c r="AG64" t="e">
        <f>AND(#REF!,"BiResj8VTyA=")</f>
        <v>#REF!</v>
      </c>
      <c r="AH64" t="e">
        <f>AND(#REF!,"BiResj8VTyE=")</f>
        <v>#REF!</v>
      </c>
      <c r="AI64" t="e">
        <f>AND(#REF!,"BiResj8VTyI=")</f>
        <v>#REF!</v>
      </c>
      <c r="AJ64" t="e">
        <f>AND(#REF!,"BiResj8VTyM=")</f>
        <v>#REF!</v>
      </c>
      <c r="AK64" t="e">
        <f>AND(#REF!,"BiResj8VTyQ=")</f>
        <v>#REF!</v>
      </c>
      <c r="AL64" t="e">
        <f>AND(#REF!,"BiResj8VTyU=")</f>
        <v>#REF!</v>
      </c>
      <c r="AM64" t="e">
        <f>AND(#REF!,"BiResj8VTyY=")</f>
        <v>#REF!</v>
      </c>
      <c r="AN64" t="e">
        <f>AND(#REF!,"BiResj8VTyc=")</f>
        <v>#REF!</v>
      </c>
      <c r="AO64" t="e">
        <f>AND(#REF!,"BiResj8VTyg=")</f>
        <v>#REF!</v>
      </c>
      <c r="AP64" t="e">
        <f>AND(#REF!,"BiResj8VTyk=")</f>
        <v>#REF!</v>
      </c>
      <c r="AQ64" t="e">
        <f>AND(#REF!,"BiResj8VTyo=")</f>
        <v>#REF!</v>
      </c>
      <c r="AR64" t="e">
        <f>AND(#REF!,"BiResj8VTys=")</f>
        <v>#REF!</v>
      </c>
      <c r="AS64" t="e">
        <f>AND(#REF!,"BiResj8VTyw=")</f>
        <v>#REF!</v>
      </c>
      <c r="AT64" t="e">
        <f>AND(#REF!,"BiResj8VTy0=")</f>
        <v>#REF!</v>
      </c>
      <c r="AU64" t="e">
        <f>AND(#REF!,"BiResj8VTy4=")</f>
        <v>#REF!</v>
      </c>
      <c r="AV64" t="e">
        <f>AND(#REF!,"BiResj8VTy8=")</f>
        <v>#REF!</v>
      </c>
      <c r="AW64" t="e">
        <f>AND(#REF!,"BiResj8VTzA=")</f>
        <v>#REF!</v>
      </c>
      <c r="AX64" t="e">
        <f>AND(#REF!,"BiResj8VTzE=")</f>
        <v>#REF!</v>
      </c>
      <c r="AY64" t="e">
        <f>AND(#REF!,"BiResj8VTzI=")</f>
        <v>#REF!</v>
      </c>
      <c r="AZ64" t="e">
        <f>AND(#REF!,"BiResj8VTzM=")</f>
        <v>#REF!</v>
      </c>
      <c r="BA64" t="e">
        <f>AND(#REF!,"BiResj8VTzQ=")</f>
        <v>#REF!</v>
      </c>
      <c r="BB64" t="e">
        <f>AND(#REF!,"BiResj8VTzU=")</f>
        <v>#REF!</v>
      </c>
      <c r="BC64" t="e">
        <f>AND(#REF!,"BiResj8VTzY=")</f>
        <v>#REF!</v>
      </c>
      <c r="BD64" t="e">
        <f>AND(#REF!,"BiResj8VTzc=")</f>
        <v>#REF!</v>
      </c>
      <c r="BE64" t="e">
        <f>AND(#REF!,"BiResj8VTzg=")</f>
        <v>#REF!</v>
      </c>
      <c r="BF64" t="e">
        <f>AND(#REF!,"BiResj8VTzk=")</f>
        <v>#REF!</v>
      </c>
      <c r="BG64" t="e">
        <f>AND(#REF!,"BiResj8VTzo=")</f>
        <v>#REF!</v>
      </c>
      <c r="BH64" t="e">
        <f>AND(#REF!,"BiResj8VTzs=")</f>
        <v>#REF!</v>
      </c>
      <c r="BI64" t="e">
        <f>AND(#REF!,"BiResj8VTzw=")</f>
        <v>#REF!</v>
      </c>
      <c r="BJ64" t="e">
        <f>AND(#REF!,"BiResj8VTz0=")</f>
        <v>#REF!</v>
      </c>
      <c r="BK64" t="e">
        <f>AND(#REF!,"BiResj8VTz4=")</f>
        <v>#REF!</v>
      </c>
      <c r="BL64" t="e">
        <f>AND(#REF!,"BiResj8VTz8=")</f>
        <v>#REF!</v>
      </c>
      <c r="BM64" t="e">
        <f>AND(#REF!,"BiResj8VT0A=")</f>
        <v>#REF!</v>
      </c>
      <c r="BN64" t="e">
        <f>AND(#REF!,"BiResj8VT0E=")</f>
        <v>#REF!</v>
      </c>
      <c r="BO64" t="e">
        <f>AND(#REF!,"BiResj8VT0I=")</f>
        <v>#REF!</v>
      </c>
      <c r="BP64" t="e">
        <f>AND(#REF!,"BiResj8VT0M=")</f>
        <v>#REF!</v>
      </c>
      <c r="BQ64" t="e">
        <f>AND(#REF!,"BiResj8VT0Q=")</f>
        <v>#REF!</v>
      </c>
      <c r="BR64" t="e">
        <f>AND(#REF!,"BiResj8VT0U=")</f>
        <v>#REF!</v>
      </c>
      <c r="BS64" t="e">
        <f>AND(#REF!,"BiResj8VT0Y=")</f>
        <v>#REF!</v>
      </c>
      <c r="BT64" t="e">
        <f>AND(#REF!,"BiResj8VT0c=")</f>
        <v>#REF!</v>
      </c>
      <c r="BU64" t="e">
        <f>AND(#REF!,"BiResj8VT0g=")</f>
        <v>#REF!</v>
      </c>
      <c r="BV64" t="e">
        <f>AND(#REF!,"BiResj8VT0k=")</f>
        <v>#REF!</v>
      </c>
      <c r="BW64" t="e">
        <f>AND(#REF!,"BiResj8VT0o=")</f>
        <v>#REF!</v>
      </c>
      <c r="BX64" t="e">
        <f>AND(#REF!,"BiResj8VT0s=")</f>
        <v>#REF!</v>
      </c>
      <c r="BY64" t="e">
        <f>AND(#REF!,"BiResj8VT0w=")</f>
        <v>#REF!</v>
      </c>
      <c r="BZ64" t="e">
        <f>AND(#REF!,"BiResj8VT00=")</f>
        <v>#REF!</v>
      </c>
      <c r="CA64" t="e">
        <f>AND(#REF!,"BiResj8VT04=")</f>
        <v>#REF!</v>
      </c>
      <c r="CB64" t="e">
        <f>AND(#REF!,"BiResj8VT08=")</f>
        <v>#REF!</v>
      </c>
      <c r="CC64" t="e">
        <f>AND(#REF!,"BiResj8VT1A=")</f>
        <v>#REF!</v>
      </c>
      <c r="CD64" t="e">
        <f>AND(#REF!,"BiResj8VT1E=")</f>
        <v>#REF!</v>
      </c>
      <c r="CE64" t="e">
        <f>AND(#REF!,"BiResj8VT1I=")</f>
        <v>#REF!</v>
      </c>
      <c r="CF64" t="e">
        <f>AND(#REF!,"BiResj8VT1M=")</f>
        <v>#REF!</v>
      </c>
      <c r="CG64" t="e">
        <f>AND(#REF!,"BiResj8VT1Q=")</f>
        <v>#REF!</v>
      </c>
      <c r="CH64" t="e">
        <f>AND(#REF!,"BiResj8VT1U=")</f>
        <v>#REF!</v>
      </c>
      <c r="CI64" t="e">
        <f>AND(#REF!,"BiResj8VT1Y=")</f>
        <v>#REF!</v>
      </c>
      <c r="CJ64" t="e">
        <f>AND(#REF!,"BiResj8VT1c=")</f>
        <v>#REF!</v>
      </c>
      <c r="CK64" t="e">
        <f>AND(#REF!,"BiResj8VT1g=")</f>
        <v>#REF!</v>
      </c>
      <c r="CL64" t="e">
        <f>AND(#REF!,"BiResj8VT1k=")</f>
        <v>#REF!</v>
      </c>
      <c r="CM64" t="e">
        <f>AND(#REF!,"BiResj8VT1o=")</f>
        <v>#REF!</v>
      </c>
      <c r="CN64" t="e">
        <f>AND(#REF!,"BiResj8VT1s=")</f>
        <v>#REF!</v>
      </c>
      <c r="CO64" t="e">
        <f>AND(#REF!,"BiResj8VT1w=")</f>
        <v>#REF!</v>
      </c>
      <c r="CP64" t="e">
        <f>AND(#REF!,"BiResj8VT10=")</f>
        <v>#REF!</v>
      </c>
      <c r="CQ64" t="e">
        <f>AND(#REF!,"BiResj8VT14=")</f>
        <v>#REF!</v>
      </c>
      <c r="CR64" t="e">
        <f>AND(#REF!,"BiResj8VT18=")</f>
        <v>#REF!</v>
      </c>
      <c r="CS64" t="e">
        <f>AND(#REF!,"BiResj8VT2A=")</f>
        <v>#REF!</v>
      </c>
      <c r="CT64" t="e">
        <f>AND(#REF!,"BiResj8VT2E=")</f>
        <v>#REF!</v>
      </c>
      <c r="CU64" t="e">
        <f>AND(#REF!,"BiResj8VT2I=")</f>
        <v>#REF!</v>
      </c>
      <c r="CV64" t="e">
        <f>AND(#REF!,"BiResj8VT2M=")</f>
        <v>#REF!</v>
      </c>
      <c r="CW64" t="e">
        <f>AND(#REF!,"BiResj8VT2Q=")</f>
        <v>#REF!</v>
      </c>
      <c r="CX64" t="e">
        <f>AND(#REF!,"BiResj8VT2U=")</f>
        <v>#REF!</v>
      </c>
      <c r="CY64" t="e">
        <f>AND(#REF!,"BiResj8VT2Y=")</f>
        <v>#REF!</v>
      </c>
      <c r="CZ64" t="e">
        <f>AND(#REF!,"BiResj8VT2c=")</f>
        <v>#REF!</v>
      </c>
      <c r="DA64" t="e">
        <f>AND(#REF!,"BiResj8VT2g=")</f>
        <v>#REF!</v>
      </c>
      <c r="DB64" t="e">
        <f>AND(#REF!,"BiResj8VT2k=")</f>
        <v>#REF!</v>
      </c>
      <c r="DC64" t="e">
        <f>AND(#REF!,"BiResj8VT2o=")</f>
        <v>#REF!</v>
      </c>
      <c r="DD64" t="e">
        <f>AND(#REF!,"BiResj8VT2s=")</f>
        <v>#REF!</v>
      </c>
      <c r="DE64" t="e">
        <f>AND(#REF!,"BiResj8VT2w=")</f>
        <v>#REF!</v>
      </c>
      <c r="DF64" t="e">
        <f>AND(#REF!,"BiResj8VT20=")</f>
        <v>#REF!</v>
      </c>
      <c r="DG64" t="e">
        <f>AND(#REF!,"BiResj8VT24=")</f>
        <v>#REF!</v>
      </c>
      <c r="DH64" t="e">
        <f>AND(#REF!,"BiResj8VT28=")</f>
        <v>#REF!</v>
      </c>
      <c r="DI64" t="e">
        <f>AND(#REF!,"BiResj8VT3A=")</f>
        <v>#REF!</v>
      </c>
      <c r="DJ64" t="e">
        <f>AND(#REF!,"BiResj8VT3E=")</f>
        <v>#REF!</v>
      </c>
      <c r="DK64" t="e">
        <f>AND(#REF!,"BiResj8VT3I=")</f>
        <v>#REF!</v>
      </c>
      <c r="DL64" t="e">
        <f>AND(#REF!,"BiResj8VT3M=")</f>
        <v>#REF!</v>
      </c>
      <c r="DM64" t="e">
        <f>AND(#REF!,"BiResj8VT3Q=")</f>
        <v>#REF!</v>
      </c>
      <c r="DN64" t="e">
        <f>AND(#REF!,"BiResj8VT3U=")</f>
        <v>#REF!</v>
      </c>
      <c r="DO64" t="e">
        <f>AND(#REF!,"BiResj8VT3Y=")</f>
        <v>#REF!</v>
      </c>
      <c r="DP64" t="e">
        <f>AND(#REF!,"BiResj8VT3c=")</f>
        <v>#REF!</v>
      </c>
      <c r="DQ64" t="e">
        <f>AND(#REF!,"BiResj8VT3g=")</f>
        <v>#REF!</v>
      </c>
      <c r="DR64" t="e">
        <f>AND(#REF!,"BiResj8VT3k=")</f>
        <v>#REF!</v>
      </c>
      <c r="DS64" t="e">
        <f>AND(#REF!,"BiResj8VT3o=")</f>
        <v>#REF!</v>
      </c>
      <c r="DT64" t="e">
        <f>AND(#REF!,"BiResj8VT3s=")</f>
        <v>#REF!</v>
      </c>
      <c r="DU64" t="e">
        <f>AND(#REF!,"BiResj8VT3w=")</f>
        <v>#REF!</v>
      </c>
      <c r="DV64" t="e">
        <f>AND(#REF!,"BiResj8VT30=")</f>
        <v>#REF!</v>
      </c>
      <c r="DW64" t="e">
        <f>AND(#REF!,"BiResj8VT34=")</f>
        <v>#REF!</v>
      </c>
      <c r="DX64" t="e">
        <f>AND(#REF!,"BiResj8VT38=")</f>
        <v>#REF!</v>
      </c>
      <c r="DY64" t="e">
        <f>AND(#REF!,"BiResj8VT4A=")</f>
        <v>#REF!</v>
      </c>
      <c r="DZ64" t="e">
        <f>AND(#REF!,"BiResj8VT4E=")</f>
        <v>#REF!</v>
      </c>
      <c r="EA64" t="e">
        <f>AND(#REF!,"BiResj8VT4I=")</f>
        <v>#REF!</v>
      </c>
      <c r="EB64" t="e">
        <f>AND(#REF!,"BiResj8VT4M=")</f>
        <v>#REF!</v>
      </c>
      <c r="EC64" t="e">
        <f>AND(#REF!,"BiResj8VT4Q=")</f>
        <v>#REF!</v>
      </c>
      <c r="ED64" t="e">
        <f>AND(#REF!,"BiResj8VT4U=")</f>
        <v>#REF!</v>
      </c>
      <c r="EE64" t="e">
        <f>AND(#REF!,"BiResj8VT4Y=")</f>
        <v>#REF!</v>
      </c>
      <c r="EF64" t="e">
        <f>AND(#REF!,"BiResj8VT4c=")</f>
        <v>#REF!</v>
      </c>
      <c r="EG64" t="e">
        <f>IF(#REF!,"BiResj8VT4g=",0)</f>
        <v>#REF!</v>
      </c>
      <c r="EH64" t="e">
        <f>AND(#REF!,"BiResj8VT4k=")</f>
        <v>#REF!</v>
      </c>
      <c r="EI64" t="e">
        <f>AND(#REF!,"BiResj8VT4o=")</f>
        <v>#REF!</v>
      </c>
      <c r="EJ64" t="e">
        <f>AND(#REF!,"BiResj8VT4s=")</f>
        <v>#REF!</v>
      </c>
      <c r="EK64" t="e">
        <f>AND(#REF!,"BiResj8VT4w=")</f>
        <v>#REF!</v>
      </c>
      <c r="EL64" t="e">
        <f>AND(#REF!,"BiResj8VT40=")</f>
        <v>#REF!</v>
      </c>
      <c r="EM64" t="e">
        <f>AND(#REF!,"BiResj8VT44=")</f>
        <v>#REF!</v>
      </c>
      <c r="EN64" t="e">
        <f>AND(#REF!,"BiResj8VT48=")</f>
        <v>#REF!</v>
      </c>
      <c r="EO64" t="e">
        <f>AND(#REF!,"BiResj8VT5A=")</f>
        <v>#REF!</v>
      </c>
      <c r="EP64" t="e">
        <f>AND(#REF!,"BiResj8VT5E=")</f>
        <v>#REF!</v>
      </c>
      <c r="EQ64" t="e">
        <f>AND(#REF!,"BiResj8VT5I=")</f>
        <v>#REF!</v>
      </c>
      <c r="ER64" t="e">
        <f>AND(#REF!,"BiResj8VT5M=")</f>
        <v>#REF!</v>
      </c>
      <c r="ES64" t="e">
        <f>AND(#REF!,"BiResj8VT5Q=")</f>
        <v>#REF!</v>
      </c>
      <c r="ET64" t="e">
        <f>AND(#REF!,"BiResj8VT5U=")</f>
        <v>#REF!</v>
      </c>
      <c r="EU64" t="e">
        <f>AND(#REF!,"BiResj8VT5Y=")</f>
        <v>#REF!</v>
      </c>
      <c r="EV64" t="e">
        <f>AND(#REF!,"BiResj8VT5c=")</f>
        <v>#REF!</v>
      </c>
      <c r="EW64" t="e">
        <f>AND(#REF!,"BiResj8VT5g=")</f>
        <v>#REF!</v>
      </c>
      <c r="EX64" t="e">
        <f>AND(#REF!,"BiResj8VT5k=")</f>
        <v>#REF!</v>
      </c>
      <c r="EY64" t="e">
        <f>AND(#REF!,"BiResj8VT5o=")</f>
        <v>#REF!</v>
      </c>
      <c r="EZ64" t="e">
        <f>AND(#REF!,"BiResj8VT5s=")</f>
        <v>#REF!</v>
      </c>
      <c r="FA64" t="e">
        <f>AND(#REF!,"BiResj8VT5w=")</f>
        <v>#REF!</v>
      </c>
      <c r="FB64" t="e">
        <f>AND(#REF!,"BiResj8VT50=")</f>
        <v>#REF!</v>
      </c>
      <c r="FC64" t="e">
        <f>AND(#REF!,"BiResj8VT54=")</f>
        <v>#REF!</v>
      </c>
      <c r="FD64" t="e">
        <f>AND(#REF!,"BiResj8VT58=")</f>
        <v>#REF!</v>
      </c>
      <c r="FE64" t="e">
        <f>AND(#REF!,"BiResj8VT6A=")</f>
        <v>#REF!</v>
      </c>
      <c r="FF64" t="e">
        <f>AND(#REF!,"BiResj8VT6E=")</f>
        <v>#REF!</v>
      </c>
      <c r="FG64" t="e">
        <f>AND(#REF!,"BiResj8VT6I=")</f>
        <v>#REF!</v>
      </c>
      <c r="FH64" t="e">
        <f>AND(#REF!,"BiResj8VT6M=")</f>
        <v>#REF!</v>
      </c>
      <c r="FI64" t="e">
        <f>AND(#REF!,"BiResj8VT6Q=")</f>
        <v>#REF!</v>
      </c>
      <c r="FJ64" t="e">
        <f>AND(#REF!,"BiResj8VT6U=")</f>
        <v>#REF!</v>
      </c>
      <c r="FK64" t="e">
        <f>AND(#REF!,"BiResj8VT6Y=")</f>
        <v>#REF!</v>
      </c>
      <c r="FL64" t="e">
        <f>AND(#REF!,"BiResj8VT6c=")</f>
        <v>#REF!</v>
      </c>
      <c r="FM64" t="e">
        <f>AND(#REF!,"BiResj8VT6g=")</f>
        <v>#REF!</v>
      </c>
      <c r="FN64" t="e">
        <f>AND(#REF!,"BiResj8VT6k=")</f>
        <v>#REF!</v>
      </c>
      <c r="FO64" t="e">
        <f>AND(#REF!,"BiResj8VT6o=")</f>
        <v>#REF!</v>
      </c>
      <c r="FP64" t="e">
        <f>AND(#REF!,"BiResj8VT6s=")</f>
        <v>#REF!</v>
      </c>
      <c r="FQ64" t="e">
        <f>AND(#REF!,"BiResj8VT6w=")</f>
        <v>#REF!</v>
      </c>
      <c r="FR64" t="e">
        <f>AND(#REF!,"BiResj8VT60=")</f>
        <v>#REF!</v>
      </c>
      <c r="FS64" t="e">
        <f>AND(#REF!,"BiResj8VT64=")</f>
        <v>#REF!</v>
      </c>
      <c r="FT64" t="e">
        <f>AND(#REF!,"BiResj8VT68=")</f>
        <v>#REF!</v>
      </c>
      <c r="FU64" t="e">
        <f>AND(#REF!,"BiResj8VT7A=")</f>
        <v>#REF!</v>
      </c>
      <c r="FV64" t="e">
        <f>AND(#REF!,"BiResj8VT7E=")</f>
        <v>#REF!</v>
      </c>
      <c r="FW64" t="e">
        <f>AND(#REF!,"BiResj8VT7I=")</f>
        <v>#REF!</v>
      </c>
      <c r="FX64" t="e">
        <f>AND(#REF!,"BiResj8VT7M=")</f>
        <v>#REF!</v>
      </c>
      <c r="FY64" t="e">
        <f>AND(#REF!,"BiResj8VT7Q=")</f>
        <v>#REF!</v>
      </c>
      <c r="FZ64" t="e">
        <f>AND(#REF!,"BiResj8VT7U=")</f>
        <v>#REF!</v>
      </c>
      <c r="GA64" t="e">
        <f>AND(#REF!,"BiResj8VT7Y=")</f>
        <v>#REF!</v>
      </c>
      <c r="GB64" t="e">
        <f>AND(#REF!,"BiResj8VT7c=")</f>
        <v>#REF!</v>
      </c>
      <c r="GC64" t="e">
        <f>AND(#REF!,"BiResj8VT7g=")</f>
        <v>#REF!</v>
      </c>
      <c r="GD64" t="e">
        <f>AND(#REF!,"BiResj8VT7k=")</f>
        <v>#REF!</v>
      </c>
      <c r="GE64" t="e">
        <f>AND(#REF!,"BiResj8VT7o=")</f>
        <v>#REF!</v>
      </c>
      <c r="GF64" t="e">
        <f>AND(#REF!,"BiResj8VT7s=")</f>
        <v>#REF!</v>
      </c>
      <c r="GG64" t="e">
        <f>AND(#REF!,"BiResj8VT7w=")</f>
        <v>#REF!</v>
      </c>
      <c r="GH64" t="e">
        <f>AND(#REF!,"BiResj8VT70=")</f>
        <v>#REF!</v>
      </c>
      <c r="GI64" t="e">
        <f>AND(#REF!,"BiResj8VT74=")</f>
        <v>#REF!</v>
      </c>
      <c r="GJ64" t="e">
        <f>AND(#REF!,"BiResj8VT78=")</f>
        <v>#REF!</v>
      </c>
      <c r="GK64" t="e">
        <f>AND(#REF!,"BiResj8VT8A=")</f>
        <v>#REF!</v>
      </c>
      <c r="GL64" t="e">
        <f>AND(#REF!,"BiResj8VT8E=")</f>
        <v>#REF!</v>
      </c>
      <c r="GM64" t="e">
        <f>AND(#REF!,"BiResj8VT8I=")</f>
        <v>#REF!</v>
      </c>
      <c r="GN64" t="e">
        <f>AND(#REF!,"BiResj8VT8M=")</f>
        <v>#REF!</v>
      </c>
      <c r="GO64" t="e">
        <f>AND(#REF!,"BiResj8VT8Q=")</f>
        <v>#REF!</v>
      </c>
      <c r="GP64" t="e">
        <f>AND(#REF!,"BiResj8VT8U=")</f>
        <v>#REF!</v>
      </c>
      <c r="GQ64" t="e">
        <f>AND(#REF!,"BiResj8VT8Y=")</f>
        <v>#REF!</v>
      </c>
      <c r="GR64" t="e">
        <f>AND(#REF!,"BiResj8VT8c=")</f>
        <v>#REF!</v>
      </c>
      <c r="GS64" t="e">
        <f>AND(#REF!,"BiResj8VT8g=")</f>
        <v>#REF!</v>
      </c>
      <c r="GT64" t="e">
        <f>AND(#REF!,"BiResj8VT8k=")</f>
        <v>#REF!</v>
      </c>
      <c r="GU64" t="e">
        <f>AND(#REF!,"BiResj8VT8o=")</f>
        <v>#REF!</v>
      </c>
      <c r="GV64" t="e">
        <f>AND(#REF!,"BiResj8VT8s=")</f>
        <v>#REF!</v>
      </c>
      <c r="GW64" t="e">
        <f>AND(#REF!,"BiResj8VT8w=")</f>
        <v>#REF!</v>
      </c>
      <c r="GX64" t="e">
        <f>AND(#REF!,"BiResj8VT80=")</f>
        <v>#REF!</v>
      </c>
      <c r="GY64" t="e">
        <f>AND(#REF!,"BiResj8VT84=")</f>
        <v>#REF!</v>
      </c>
      <c r="GZ64" t="e">
        <f>AND(#REF!,"BiResj8VT88=")</f>
        <v>#REF!</v>
      </c>
      <c r="HA64" t="e">
        <f>AND(#REF!,"BiResj8VT9A=")</f>
        <v>#REF!</v>
      </c>
      <c r="HB64" t="e">
        <f>AND(#REF!,"BiResj8VT9E=")</f>
        <v>#REF!</v>
      </c>
      <c r="HC64" t="e">
        <f>AND(#REF!,"BiResj8VT9I=")</f>
        <v>#REF!</v>
      </c>
      <c r="HD64" t="e">
        <f>AND(#REF!,"BiResj8VT9M=")</f>
        <v>#REF!</v>
      </c>
      <c r="HE64" t="e">
        <f>AND(#REF!,"BiResj8VT9Q=")</f>
        <v>#REF!</v>
      </c>
      <c r="HF64" t="e">
        <f>AND(#REF!,"BiResj8VT9U=")</f>
        <v>#REF!</v>
      </c>
      <c r="HG64" t="e">
        <f>AND(#REF!,"BiResj8VT9Y=")</f>
        <v>#REF!</v>
      </c>
      <c r="HH64" t="e">
        <f>AND(#REF!,"BiResj8VT9c=")</f>
        <v>#REF!</v>
      </c>
      <c r="HI64" t="e">
        <f>AND(#REF!,"BiResj8VT9g=")</f>
        <v>#REF!</v>
      </c>
      <c r="HJ64" t="e">
        <f>AND(#REF!,"BiResj8VT9k=")</f>
        <v>#REF!</v>
      </c>
      <c r="HK64" t="e">
        <f>AND(#REF!,"BiResj8VT9o=")</f>
        <v>#REF!</v>
      </c>
      <c r="HL64" t="e">
        <f>AND(#REF!,"BiResj8VT9s=")</f>
        <v>#REF!</v>
      </c>
      <c r="HM64" t="e">
        <f>AND(#REF!,"BiResj8VT9w=")</f>
        <v>#REF!</v>
      </c>
      <c r="HN64" t="e">
        <f>AND(#REF!,"BiResj8VT90=")</f>
        <v>#REF!</v>
      </c>
      <c r="HO64" t="e">
        <f>AND(#REF!,"BiResj8VT94=")</f>
        <v>#REF!</v>
      </c>
      <c r="HP64" t="e">
        <f>AND(#REF!,"BiResj8VT98=")</f>
        <v>#REF!</v>
      </c>
      <c r="HQ64" t="e">
        <f>AND(#REF!,"BiResj8VT+A=")</f>
        <v>#REF!</v>
      </c>
      <c r="HR64" t="e">
        <f>AND(#REF!,"BiResj8VT+E=")</f>
        <v>#REF!</v>
      </c>
      <c r="HS64" t="e">
        <f>AND(#REF!,"BiResj8VT+I=")</f>
        <v>#REF!</v>
      </c>
      <c r="HT64" t="e">
        <f>AND(#REF!,"BiResj8VT+M=")</f>
        <v>#REF!</v>
      </c>
      <c r="HU64" t="e">
        <f>AND(#REF!,"BiResj8VT+Q=")</f>
        <v>#REF!</v>
      </c>
      <c r="HV64" t="e">
        <f>AND(#REF!,"BiResj8VT+U=")</f>
        <v>#REF!</v>
      </c>
      <c r="HW64" t="e">
        <f>AND(#REF!,"BiResj8VT+Y=")</f>
        <v>#REF!</v>
      </c>
      <c r="HX64" t="e">
        <f>AND(#REF!,"BiResj8VT+c=")</f>
        <v>#REF!</v>
      </c>
      <c r="HY64" t="e">
        <f>AND(#REF!,"BiResj8VT+g=")</f>
        <v>#REF!</v>
      </c>
      <c r="HZ64" t="e">
        <f>AND(#REF!,"BiResj8VT+k=")</f>
        <v>#REF!</v>
      </c>
      <c r="IA64" t="e">
        <f>AND(#REF!,"BiResj8VT+o=")</f>
        <v>#REF!</v>
      </c>
      <c r="IB64" t="e">
        <f>AND(#REF!,"BiResj8VT+s=")</f>
        <v>#REF!</v>
      </c>
      <c r="IC64" t="e">
        <f>AND(#REF!,"BiResj8VT+w=")</f>
        <v>#REF!</v>
      </c>
      <c r="ID64" t="e">
        <f>AND(#REF!,"BiResj8VT+0=")</f>
        <v>#REF!</v>
      </c>
      <c r="IE64" t="e">
        <f>AND(#REF!,"BiResj8VT+4=")</f>
        <v>#REF!</v>
      </c>
      <c r="IF64" t="e">
        <f>AND(#REF!,"BiResj8VT+8=")</f>
        <v>#REF!</v>
      </c>
      <c r="IG64" t="e">
        <f>AND(#REF!,"BiResj8VT/A=")</f>
        <v>#REF!</v>
      </c>
      <c r="IH64" t="e">
        <f>AND(#REF!,"BiResj8VT/E=")</f>
        <v>#REF!</v>
      </c>
      <c r="II64" t="e">
        <f>AND(#REF!,"BiResj8VT/I=")</f>
        <v>#REF!</v>
      </c>
      <c r="IJ64" t="e">
        <f>AND(#REF!,"BiResj8VT/M=")</f>
        <v>#REF!</v>
      </c>
      <c r="IK64" t="e">
        <f>AND(#REF!,"BiResj8VT/Q=")</f>
        <v>#REF!</v>
      </c>
      <c r="IL64" t="e">
        <f>AND(#REF!,"BiResj8VT/U=")</f>
        <v>#REF!</v>
      </c>
      <c r="IM64" t="e">
        <f>AND(#REF!,"BiResj8VT/Y=")</f>
        <v>#REF!</v>
      </c>
      <c r="IN64" t="e">
        <f>AND(#REF!,"BiResj8VT/c=")</f>
        <v>#REF!</v>
      </c>
      <c r="IO64" t="e">
        <f>AND(#REF!,"BiResj8VT/g=")</f>
        <v>#REF!</v>
      </c>
      <c r="IP64" t="e">
        <f>AND(#REF!,"BiResj8VT/k=")</f>
        <v>#REF!</v>
      </c>
      <c r="IQ64" t="e">
        <f>AND(#REF!,"BiResj8VT/o=")</f>
        <v>#REF!</v>
      </c>
      <c r="IR64" t="e">
        <f>AND(#REF!,"BiResj8VT/s=")</f>
        <v>#REF!</v>
      </c>
      <c r="IS64" t="e">
        <f>AND(#REF!,"BiResj8VT/w=")</f>
        <v>#REF!</v>
      </c>
      <c r="IT64" t="e">
        <f>AND(#REF!,"BiResj8VT/0=")</f>
        <v>#REF!</v>
      </c>
      <c r="IU64" t="e">
        <f>AND(#REF!,"BiResj8VT/4=")</f>
        <v>#REF!</v>
      </c>
      <c r="IV64" t="e">
        <f>AND(#REF!,"BiResj8VT/8=")</f>
        <v>#REF!</v>
      </c>
    </row>
    <row r="65" spans="1:256" x14ac:dyDescent="0.2">
      <c r="A65" t="e">
        <f>AND(#REF!,"RL/YvWCkgQA=")</f>
        <v>#REF!</v>
      </c>
      <c r="B65" t="e">
        <f>AND(#REF!,"RL/YvWCkgQE=")</f>
        <v>#REF!</v>
      </c>
      <c r="C65" t="e">
        <f>AND(#REF!,"RL/YvWCkgQI=")</f>
        <v>#REF!</v>
      </c>
      <c r="D65" t="e">
        <f>AND(#REF!,"RL/YvWCkgQM=")</f>
        <v>#REF!</v>
      </c>
      <c r="E65" t="e">
        <f>AND(#REF!,"RL/YvWCkgQQ=")</f>
        <v>#REF!</v>
      </c>
      <c r="F65" t="e">
        <f>AND(#REF!,"RL/YvWCkgQU=")</f>
        <v>#REF!</v>
      </c>
      <c r="G65" t="e">
        <f>AND(#REF!,"RL/YvWCkgQY=")</f>
        <v>#REF!</v>
      </c>
      <c r="H65" t="e">
        <f>AND(#REF!,"RL/YvWCkgQc=")</f>
        <v>#REF!</v>
      </c>
      <c r="I65" t="e">
        <f>AND(#REF!,"RL/YvWCkgQg=")</f>
        <v>#REF!</v>
      </c>
      <c r="J65" t="e">
        <f>AND(#REF!,"RL/YvWCkgQk=")</f>
        <v>#REF!</v>
      </c>
      <c r="K65" t="e">
        <f>AND(#REF!,"RL/YvWCkgQo=")</f>
        <v>#REF!</v>
      </c>
      <c r="L65" t="e">
        <f>AND(#REF!,"RL/YvWCkgQs=")</f>
        <v>#REF!</v>
      </c>
      <c r="M65" t="e">
        <f>AND(#REF!,"RL/YvWCkgQw=")</f>
        <v>#REF!</v>
      </c>
      <c r="N65" t="e">
        <f>AND(#REF!,"RL/YvWCkgQ0=")</f>
        <v>#REF!</v>
      </c>
      <c r="O65" t="e">
        <f>AND(#REF!,"RL/YvWCkgQ4=")</f>
        <v>#REF!</v>
      </c>
      <c r="P65" t="e">
        <f>AND(#REF!,"RL/YvWCkgQ8=")</f>
        <v>#REF!</v>
      </c>
      <c r="Q65" t="e">
        <f>AND(#REF!,"RL/YvWCkgRA=")</f>
        <v>#REF!</v>
      </c>
      <c r="R65" t="e">
        <f>AND(#REF!,"RL/YvWCkgRE=")</f>
        <v>#REF!</v>
      </c>
      <c r="S65" t="e">
        <f>AND(#REF!,"RL/YvWCkgRI=")</f>
        <v>#REF!</v>
      </c>
      <c r="T65" t="e">
        <f>AND(#REF!,"RL/YvWCkgRM=")</f>
        <v>#REF!</v>
      </c>
      <c r="U65" t="e">
        <f>AND(#REF!,"RL/YvWCkgRQ=")</f>
        <v>#REF!</v>
      </c>
      <c r="V65" t="e">
        <f>AND(#REF!,"RL/YvWCkgRU=")</f>
        <v>#REF!</v>
      </c>
      <c r="W65" t="e">
        <f>AND(#REF!,"RL/YvWCkgRY=")</f>
        <v>#REF!</v>
      </c>
      <c r="X65" t="e">
        <f>AND(#REF!,"RL/YvWCkgRc=")</f>
        <v>#REF!</v>
      </c>
      <c r="Y65" t="e">
        <f>AND(#REF!,"RL/YvWCkgRg=")</f>
        <v>#REF!</v>
      </c>
      <c r="Z65" t="e">
        <f>AND(#REF!,"RL/YvWCkgRk=")</f>
        <v>#REF!</v>
      </c>
      <c r="AA65" t="e">
        <f>AND(#REF!,"RL/YvWCkgRo=")</f>
        <v>#REF!</v>
      </c>
      <c r="AB65" t="e">
        <f>AND(#REF!,"RL/YvWCkgRs=")</f>
        <v>#REF!</v>
      </c>
      <c r="AC65" t="e">
        <f>AND(#REF!,"RL/YvWCkgRw=")</f>
        <v>#REF!</v>
      </c>
      <c r="AD65" t="e">
        <f>AND(#REF!,"RL/YvWCkgR0=")</f>
        <v>#REF!</v>
      </c>
      <c r="AE65" t="e">
        <f>AND(#REF!,"RL/YvWCkgR4=")</f>
        <v>#REF!</v>
      </c>
      <c r="AF65" t="e">
        <f>AND(#REF!,"RL/YvWCkgR8=")</f>
        <v>#REF!</v>
      </c>
      <c r="AG65" t="e">
        <f>AND(#REF!,"RL/YvWCkgSA=")</f>
        <v>#REF!</v>
      </c>
      <c r="AH65" t="e">
        <f>AND(#REF!,"RL/YvWCkgSE=")</f>
        <v>#REF!</v>
      </c>
      <c r="AI65" t="e">
        <f>AND(#REF!,"RL/YvWCkgSI=")</f>
        <v>#REF!</v>
      </c>
      <c r="AJ65" t="e">
        <f>AND(#REF!,"RL/YvWCkgSM=")</f>
        <v>#REF!</v>
      </c>
      <c r="AK65" t="e">
        <f>AND(#REF!,"RL/YvWCkgSQ=")</f>
        <v>#REF!</v>
      </c>
      <c r="AL65" t="e">
        <f>AND(#REF!,"RL/YvWCkgSU=")</f>
        <v>#REF!</v>
      </c>
      <c r="AM65" t="e">
        <f>AND(#REF!,"RL/YvWCkgSY=")</f>
        <v>#REF!</v>
      </c>
      <c r="AN65" t="e">
        <f>AND(#REF!,"RL/YvWCkgSc=")</f>
        <v>#REF!</v>
      </c>
      <c r="AO65" t="e">
        <f>AND(#REF!,"RL/YvWCkgSg=")</f>
        <v>#REF!</v>
      </c>
      <c r="AP65" t="e">
        <f>AND(#REF!,"RL/YvWCkgSk=")</f>
        <v>#REF!</v>
      </c>
      <c r="AQ65" t="e">
        <f>AND(#REF!,"RL/YvWCkgSo=")</f>
        <v>#REF!</v>
      </c>
      <c r="AR65" t="e">
        <f>AND(#REF!,"RL/YvWCkgSs=")</f>
        <v>#REF!</v>
      </c>
      <c r="AS65" t="e">
        <f>AND(#REF!,"RL/YvWCkgSw=")</f>
        <v>#REF!</v>
      </c>
      <c r="AT65" t="e">
        <f>AND(#REF!,"RL/YvWCkgS0=")</f>
        <v>#REF!</v>
      </c>
      <c r="AU65" t="e">
        <f>AND(#REF!,"RL/YvWCkgS4=")</f>
        <v>#REF!</v>
      </c>
      <c r="AV65" t="e">
        <f>AND(#REF!,"RL/YvWCkgS8=")</f>
        <v>#REF!</v>
      </c>
      <c r="AW65" t="e">
        <f>AND(#REF!,"RL/YvWCkgTA=")</f>
        <v>#REF!</v>
      </c>
      <c r="AX65" t="e">
        <f>AND(#REF!,"RL/YvWCkgTE=")</f>
        <v>#REF!</v>
      </c>
      <c r="AY65" t="e">
        <f>AND(#REF!,"RL/YvWCkgTI=")</f>
        <v>#REF!</v>
      </c>
      <c r="AZ65" t="e">
        <f>AND(#REF!,"RL/YvWCkgTM=")</f>
        <v>#REF!</v>
      </c>
      <c r="BA65" t="e">
        <f>AND(#REF!,"RL/YvWCkgTQ=")</f>
        <v>#REF!</v>
      </c>
      <c r="BB65" t="e">
        <f>AND(#REF!,"RL/YvWCkgTU=")</f>
        <v>#REF!</v>
      </c>
      <c r="BC65" t="e">
        <f>AND(#REF!,"RL/YvWCkgTY=")</f>
        <v>#REF!</v>
      </c>
      <c r="BD65" t="e">
        <f>AND(#REF!,"RL/YvWCkgTc=")</f>
        <v>#REF!</v>
      </c>
      <c r="BE65" t="e">
        <f>AND(#REF!,"RL/YvWCkgTg=")</f>
        <v>#REF!</v>
      </c>
      <c r="BF65" t="e">
        <f>AND(#REF!,"RL/YvWCkgTk=")</f>
        <v>#REF!</v>
      </c>
      <c r="BG65" t="e">
        <f>AND(#REF!,"RL/YvWCkgTo=")</f>
        <v>#REF!</v>
      </c>
      <c r="BH65" t="e">
        <f>AND(#REF!,"RL/YvWCkgTs=")</f>
        <v>#REF!</v>
      </c>
      <c r="BI65" t="e">
        <f>AND(#REF!,"RL/YvWCkgTw=")</f>
        <v>#REF!</v>
      </c>
      <c r="BJ65" t="e">
        <f>AND(#REF!,"RL/YvWCkgT0=")</f>
        <v>#REF!</v>
      </c>
      <c r="BK65" t="e">
        <f>AND(#REF!,"RL/YvWCkgT4=")</f>
        <v>#REF!</v>
      </c>
      <c r="BL65" t="e">
        <f>AND(#REF!,"RL/YvWCkgT8=")</f>
        <v>#REF!</v>
      </c>
      <c r="BM65" t="e">
        <f>AND(#REF!,"RL/YvWCkgUA=")</f>
        <v>#REF!</v>
      </c>
      <c r="BN65" t="e">
        <f>AND(#REF!,"RL/YvWCkgUE=")</f>
        <v>#REF!</v>
      </c>
      <c r="BO65" t="e">
        <f>AND(#REF!,"RL/YvWCkgUI=")</f>
        <v>#REF!</v>
      </c>
      <c r="BP65" t="e">
        <f>AND(#REF!,"RL/YvWCkgUM=")</f>
        <v>#REF!</v>
      </c>
      <c r="BQ65" t="e">
        <f>AND(#REF!,"RL/YvWCkgUQ=")</f>
        <v>#REF!</v>
      </c>
      <c r="BR65" t="e">
        <f>AND(#REF!,"RL/YvWCkgUU=")</f>
        <v>#REF!</v>
      </c>
      <c r="BS65" t="e">
        <f>AND(#REF!,"RL/YvWCkgUY=")</f>
        <v>#REF!</v>
      </c>
      <c r="BT65" t="e">
        <f>AND(#REF!,"RL/YvWCkgUc=")</f>
        <v>#REF!</v>
      </c>
      <c r="BU65" t="e">
        <f>AND(#REF!,"RL/YvWCkgUg=")</f>
        <v>#REF!</v>
      </c>
      <c r="BV65" t="e">
        <f>AND(#REF!,"RL/YvWCkgUk=")</f>
        <v>#REF!</v>
      </c>
      <c r="BW65" t="e">
        <f>AND(#REF!,"RL/YvWCkgUo=")</f>
        <v>#REF!</v>
      </c>
      <c r="BX65" t="e">
        <f>AND(#REF!,"RL/YvWCkgUs=")</f>
        <v>#REF!</v>
      </c>
      <c r="BY65" t="e">
        <f>AND(#REF!,"RL/YvWCkgUw=")</f>
        <v>#REF!</v>
      </c>
      <c r="BZ65" t="e">
        <f>AND(#REF!,"RL/YvWCkgU0=")</f>
        <v>#REF!</v>
      </c>
      <c r="CA65" t="e">
        <f>AND(#REF!,"RL/YvWCkgU4=")</f>
        <v>#REF!</v>
      </c>
      <c r="CB65" t="e">
        <f>IF(#REF!,"RL/YvWCkgU8=",0)</f>
        <v>#REF!</v>
      </c>
      <c r="CC65" t="e">
        <f>AND(#REF!,"RL/YvWCkgVA=")</f>
        <v>#REF!</v>
      </c>
      <c r="CD65" t="e">
        <f>AND(#REF!,"RL/YvWCkgVE=")</f>
        <v>#REF!</v>
      </c>
      <c r="CE65" t="e">
        <f>AND(#REF!,"RL/YvWCkgVI=")</f>
        <v>#REF!</v>
      </c>
      <c r="CF65" t="e">
        <f>AND(#REF!,"RL/YvWCkgVM=")</f>
        <v>#REF!</v>
      </c>
      <c r="CG65" t="e">
        <f>AND(#REF!,"RL/YvWCkgVQ=")</f>
        <v>#REF!</v>
      </c>
      <c r="CH65" t="e">
        <f>AND(#REF!,"RL/YvWCkgVU=")</f>
        <v>#REF!</v>
      </c>
      <c r="CI65" t="e">
        <f>AND(#REF!,"RL/YvWCkgVY=")</f>
        <v>#REF!</v>
      </c>
      <c r="CJ65" t="e">
        <f>AND(#REF!,"RL/YvWCkgVc=")</f>
        <v>#REF!</v>
      </c>
      <c r="CK65" t="e">
        <f>AND(#REF!,"RL/YvWCkgVg=")</f>
        <v>#REF!</v>
      </c>
      <c r="CL65" t="e">
        <f>AND(#REF!,"RL/YvWCkgVk=")</f>
        <v>#REF!</v>
      </c>
      <c r="CM65" t="e">
        <f>AND(#REF!,"RL/YvWCkgVo=")</f>
        <v>#REF!</v>
      </c>
      <c r="CN65" t="e">
        <f>AND(#REF!,"RL/YvWCkgVs=")</f>
        <v>#REF!</v>
      </c>
      <c r="CO65" t="e">
        <f>AND(#REF!,"RL/YvWCkgVw=")</f>
        <v>#REF!</v>
      </c>
      <c r="CP65" t="e">
        <f>AND(#REF!,"RL/YvWCkgV0=")</f>
        <v>#REF!</v>
      </c>
      <c r="CQ65" t="e">
        <f>AND(#REF!,"RL/YvWCkgV4=")</f>
        <v>#REF!</v>
      </c>
      <c r="CR65" t="e">
        <f>AND(#REF!,"RL/YvWCkgV8=")</f>
        <v>#REF!</v>
      </c>
      <c r="CS65" t="e">
        <f>AND(#REF!,"RL/YvWCkgWA=")</f>
        <v>#REF!</v>
      </c>
      <c r="CT65" t="e">
        <f>AND(#REF!,"RL/YvWCkgWE=")</f>
        <v>#REF!</v>
      </c>
      <c r="CU65" t="e">
        <f>AND(#REF!,"RL/YvWCkgWI=")</f>
        <v>#REF!</v>
      </c>
      <c r="CV65" t="e">
        <f>AND(#REF!,"RL/YvWCkgWM=")</f>
        <v>#REF!</v>
      </c>
      <c r="CW65" t="e">
        <f>AND(#REF!,"RL/YvWCkgWQ=")</f>
        <v>#REF!</v>
      </c>
      <c r="CX65" t="e">
        <f>AND(#REF!,"RL/YvWCkgWU=")</f>
        <v>#REF!</v>
      </c>
      <c r="CY65" t="e">
        <f>AND(#REF!,"RL/YvWCkgWY=")</f>
        <v>#REF!</v>
      </c>
      <c r="CZ65" t="e">
        <f>AND(#REF!,"RL/YvWCkgWc=")</f>
        <v>#REF!</v>
      </c>
      <c r="DA65" t="e">
        <f>AND(#REF!,"RL/YvWCkgWg=")</f>
        <v>#REF!</v>
      </c>
      <c r="DB65" t="e">
        <f>AND(#REF!,"RL/YvWCkgWk=")</f>
        <v>#REF!</v>
      </c>
      <c r="DC65" t="e">
        <f>AND(#REF!,"RL/YvWCkgWo=")</f>
        <v>#REF!</v>
      </c>
      <c r="DD65" t="e">
        <f>AND(#REF!,"RL/YvWCkgWs=")</f>
        <v>#REF!</v>
      </c>
      <c r="DE65" t="e">
        <f>AND(#REF!,"RL/YvWCkgWw=")</f>
        <v>#REF!</v>
      </c>
      <c r="DF65" t="e">
        <f>AND(#REF!,"RL/YvWCkgW0=")</f>
        <v>#REF!</v>
      </c>
      <c r="DG65" t="e">
        <f>AND(#REF!,"RL/YvWCkgW4=")</f>
        <v>#REF!</v>
      </c>
      <c r="DH65" t="e">
        <f>AND(#REF!,"RL/YvWCkgW8=")</f>
        <v>#REF!</v>
      </c>
      <c r="DI65" t="e">
        <f>AND(#REF!,"RL/YvWCkgXA=")</f>
        <v>#REF!</v>
      </c>
      <c r="DJ65" t="e">
        <f>AND(#REF!,"RL/YvWCkgXE=")</f>
        <v>#REF!</v>
      </c>
      <c r="DK65" t="e">
        <f>AND(#REF!,"RL/YvWCkgXI=")</f>
        <v>#REF!</v>
      </c>
      <c r="DL65" t="e">
        <f>AND(#REF!,"RL/YvWCkgXM=")</f>
        <v>#REF!</v>
      </c>
      <c r="DM65" t="e">
        <f>AND(#REF!,"RL/YvWCkgXQ=")</f>
        <v>#REF!</v>
      </c>
      <c r="DN65" t="e">
        <f>AND(#REF!,"RL/YvWCkgXU=")</f>
        <v>#REF!</v>
      </c>
      <c r="DO65" t="e">
        <f>AND(#REF!,"RL/YvWCkgXY=")</f>
        <v>#REF!</v>
      </c>
      <c r="DP65" t="e">
        <f>AND(#REF!,"RL/YvWCkgXc=")</f>
        <v>#REF!</v>
      </c>
      <c r="DQ65" t="e">
        <f>AND(#REF!,"RL/YvWCkgXg=")</f>
        <v>#REF!</v>
      </c>
      <c r="DR65" t="e">
        <f>AND(#REF!,"RL/YvWCkgXk=")</f>
        <v>#REF!</v>
      </c>
      <c r="DS65" t="e">
        <f>AND(#REF!,"RL/YvWCkgXo=")</f>
        <v>#REF!</v>
      </c>
      <c r="DT65" t="e">
        <f>AND(#REF!,"RL/YvWCkgXs=")</f>
        <v>#REF!</v>
      </c>
      <c r="DU65" t="e">
        <f>AND(#REF!,"RL/YvWCkgXw=")</f>
        <v>#REF!</v>
      </c>
      <c r="DV65" t="e">
        <f>AND(#REF!,"RL/YvWCkgX0=")</f>
        <v>#REF!</v>
      </c>
      <c r="DW65" t="e">
        <f>AND(#REF!,"RL/YvWCkgX4=")</f>
        <v>#REF!</v>
      </c>
      <c r="DX65" t="e">
        <f>AND(#REF!,"RL/YvWCkgX8=")</f>
        <v>#REF!</v>
      </c>
      <c r="DY65" t="e">
        <f>AND(#REF!,"RL/YvWCkgYA=")</f>
        <v>#REF!</v>
      </c>
      <c r="DZ65" t="e">
        <f>AND(#REF!,"RL/YvWCkgYE=")</f>
        <v>#REF!</v>
      </c>
      <c r="EA65" t="e">
        <f>AND(#REF!,"RL/YvWCkgYI=")</f>
        <v>#REF!</v>
      </c>
      <c r="EB65" t="e">
        <f>AND(#REF!,"RL/YvWCkgYM=")</f>
        <v>#REF!</v>
      </c>
      <c r="EC65" t="e">
        <f>AND(#REF!,"RL/YvWCkgYQ=")</f>
        <v>#REF!</v>
      </c>
      <c r="ED65" t="e">
        <f>AND(#REF!,"RL/YvWCkgYU=")</f>
        <v>#REF!</v>
      </c>
      <c r="EE65" t="e">
        <f>AND(#REF!,"RL/YvWCkgYY=")</f>
        <v>#REF!</v>
      </c>
      <c r="EF65" t="e">
        <f>AND(#REF!,"RL/YvWCkgYc=")</f>
        <v>#REF!</v>
      </c>
      <c r="EG65" t="e">
        <f>AND(#REF!,"RL/YvWCkgYg=")</f>
        <v>#REF!</v>
      </c>
      <c r="EH65" t="e">
        <f>AND(#REF!,"RL/YvWCkgYk=")</f>
        <v>#REF!</v>
      </c>
      <c r="EI65" t="e">
        <f>AND(#REF!,"RL/YvWCkgYo=")</f>
        <v>#REF!</v>
      </c>
      <c r="EJ65" t="e">
        <f>AND(#REF!,"RL/YvWCkgYs=")</f>
        <v>#REF!</v>
      </c>
      <c r="EK65" t="e">
        <f>AND(#REF!,"RL/YvWCkgYw=")</f>
        <v>#REF!</v>
      </c>
      <c r="EL65" t="e">
        <f>AND(#REF!,"RL/YvWCkgY0=")</f>
        <v>#REF!</v>
      </c>
      <c r="EM65" t="e">
        <f>AND(#REF!,"RL/YvWCkgY4=")</f>
        <v>#REF!</v>
      </c>
      <c r="EN65" t="e">
        <f>AND(#REF!,"RL/YvWCkgY8=")</f>
        <v>#REF!</v>
      </c>
      <c r="EO65" t="e">
        <f>AND(#REF!,"RL/YvWCkgZA=")</f>
        <v>#REF!</v>
      </c>
      <c r="EP65" t="e">
        <f>AND(#REF!,"RL/YvWCkgZE=")</f>
        <v>#REF!</v>
      </c>
      <c r="EQ65" t="e">
        <f>AND(#REF!,"RL/YvWCkgZI=")</f>
        <v>#REF!</v>
      </c>
      <c r="ER65" t="e">
        <f>AND(#REF!,"RL/YvWCkgZM=")</f>
        <v>#REF!</v>
      </c>
      <c r="ES65" t="e">
        <f>AND(#REF!,"RL/YvWCkgZQ=")</f>
        <v>#REF!</v>
      </c>
      <c r="ET65" t="e">
        <f>AND(#REF!,"RL/YvWCkgZU=")</f>
        <v>#REF!</v>
      </c>
      <c r="EU65" t="e">
        <f>AND(#REF!,"RL/YvWCkgZY=")</f>
        <v>#REF!</v>
      </c>
      <c r="EV65" t="e">
        <f>AND(#REF!,"RL/YvWCkgZc=")</f>
        <v>#REF!</v>
      </c>
      <c r="EW65" t="e">
        <f>AND(#REF!,"RL/YvWCkgZg=")</f>
        <v>#REF!</v>
      </c>
      <c r="EX65" t="e">
        <f>AND(#REF!,"RL/YvWCkgZk=")</f>
        <v>#REF!</v>
      </c>
      <c r="EY65" t="e">
        <f>AND(#REF!,"RL/YvWCkgZo=")</f>
        <v>#REF!</v>
      </c>
      <c r="EZ65" t="e">
        <f>AND(#REF!,"RL/YvWCkgZs=")</f>
        <v>#REF!</v>
      </c>
      <c r="FA65" t="e">
        <f>AND(#REF!,"RL/YvWCkgZw=")</f>
        <v>#REF!</v>
      </c>
      <c r="FB65" t="e">
        <f>AND(#REF!,"RL/YvWCkgZ0=")</f>
        <v>#REF!</v>
      </c>
      <c r="FC65" t="e">
        <f>AND(#REF!,"RL/YvWCkgZ4=")</f>
        <v>#REF!</v>
      </c>
      <c r="FD65" t="e">
        <f>AND(#REF!,"RL/YvWCkgZ8=")</f>
        <v>#REF!</v>
      </c>
      <c r="FE65" t="e">
        <f>AND(#REF!,"RL/YvWCkgaA=")</f>
        <v>#REF!</v>
      </c>
      <c r="FF65" t="e">
        <f>AND(#REF!,"RL/YvWCkgaE=")</f>
        <v>#REF!</v>
      </c>
      <c r="FG65" t="e">
        <f>AND(#REF!,"RL/YvWCkgaI=")</f>
        <v>#REF!</v>
      </c>
      <c r="FH65" t="e">
        <f>AND(#REF!,"RL/YvWCkgaM=")</f>
        <v>#REF!</v>
      </c>
      <c r="FI65" t="e">
        <f>AND(#REF!,"RL/YvWCkgaQ=")</f>
        <v>#REF!</v>
      </c>
      <c r="FJ65" t="e">
        <f>AND(#REF!,"RL/YvWCkgaU=")</f>
        <v>#REF!</v>
      </c>
      <c r="FK65" t="e">
        <f>AND(#REF!,"RL/YvWCkgaY=")</f>
        <v>#REF!</v>
      </c>
      <c r="FL65" t="e">
        <f>AND(#REF!,"RL/YvWCkgac=")</f>
        <v>#REF!</v>
      </c>
      <c r="FM65" t="e">
        <f>AND(#REF!,"RL/YvWCkgag=")</f>
        <v>#REF!</v>
      </c>
      <c r="FN65" t="e">
        <f>AND(#REF!,"RL/YvWCkgak=")</f>
        <v>#REF!</v>
      </c>
      <c r="FO65" t="e">
        <f>AND(#REF!,"RL/YvWCkgao=")</f>
        <v>#REF!</v>
      </c>
      <c r="FP65" t="e">
        <f>AND(#REF!,"RL/YvWCkgas=")</f>
        <v>#REF!</v>
      </c>
      <c r="FQ65" t="e">
        <f>AND(#REF!,"RL/YvWCkgaw=")</f>
        <v>#REF!</v>
      </c>
      <c r="FR65" t="e">
        <f>AND(#REF!,"RL/YvWCkga0=")</f>
        <v>#REF!</v>
      </c>
      <c r="FS65" t="e">
        <f>AND(#REF!,"RL/YvWCkga4=")</f>
        <v>#REF!</v>
      </c>
      <c r="FT65" t="e">
        <f>AND(#REF!,"RL/YvWCkga8=")</f>
        <v>#REF!</v>
      </c>
      <c r="FU65" t="e">
        <f>AND(#REF!,"RL/YvWCkgbA=")</f>
        <v>#REF!</v>
      </c>
      <c r="FV65" t="e">
        <f>AND(#REF!,"RL/YvWCkgbE=")</f>
        <v>#REF!</v>
      </c>
      <c r="FW65" t="e">
        <f>AND(#REF!,"RL/YvWCkgbI=")</f>
        <v>#REF!</v>
      </c>
      <c r="FX65" t="e">
        <f>AND(#REF!,"RL/YvWCkgbM=")</f>
        <v>#REF!</v>
      </c>
      <c r="FY65" t="e">
        <f>AND(#REF!,"RL/YvWCkgbQ=")</f>
        <v>#REF!</v>
      </c>
      <c r="FZ65" t="e">
        <f>AND(#REF!,"RL/YvWCkgbU=")</f>
        <v>#REF!</v>
      </c>
      <c r="GA65" t="e">
        <f>AND(#REF!,"RL/YvWCkgbY=")</f>
        <v>#REF!</v>
      </c>
      <c r="GB65" t="e">
        <f>AND(#REF!,"RL/YvWCkgbc=")</f>
        <v>#REF!</v>
      </c>
      <c r="GC65" t="e">
        <f>AND(#REF!,"RL/YvWCkgbg=")</f>
        <v>#REF!</v>
      </c>
      <c r="GD65" t="e">
        <f>AND(#REF!,"RL/YvWCkgbk=")</f>
        <v>#REF!</v>
      </c>
      <c r="GE65" t="e">
        <f>AND(#REF!,"RL/YvWCkgbo=")</f>
        <v>#REF!</v>
      </c>
      <c r="GF65" t="e">
        <f>AND(#REF!,"RL/YvWCkgbs=")</f>
        <v>#REF!</v>
      </c>
      <c r="GG65" t="e">
        <f>AND(#REF!,"RL/YvWCkgbw=")</f>
        <v>#REF!</v>
      </c>
      <c r="GH65" t="e">
        <f>AND(#REF!,"RL/YvWCkgb0=")</f>
        <v>#REF!</v>
      </c>
      <c r="GI65" t="e">
        <f>AND(#REF!,"RL/YvWCkgb4=")</f>
        <v>#REF!</v>
      </c>
      <c r="GJ65" t="e">
        <f>AND(#REF!,"RL/YvWCkgb8=")</f>
        <v>#REF!</v>
      </c>
      <c r="GK65" t="e">
        <f>AND(#REF!,"RL/YvWCkgcA=")</f>
        <v>#REF!</v>
      </c>
      <c r="GL65" t="e">
        <f>AND(#REF!,"RL/YvWCkgcE=")</f>
        <v>#REF!</v>
      </c>
      <c r="GM65" t="e">
        <f>AND(#REF!,"RL/YvWCkgcI=")</f>
        <v>#REF!</v>
      </c>
      <c r="GN65" t="e">
        <f>AND(#REF!,"RL/YvWCkgcM=")</f>
        <v>#REF!</v>
      </c>
      <c r="GO65" t="e">
        <f>AND(#REF!,"RL/YvWCkgcQ=")</f>
        <v>#REF!</v>
      </c>
      <c r="GP65" t="e">
        <f>AND(#REF!,"RL/YvWCkgcU=")</f>
        <v>#REF!</v>
      </c>
      <c r="GQ65" t="e">
        <f>AND(#REF!,"RL/YvWCkgcY=")</f>
        <v>#REF!</v>
      </c>
      <c r="GR65" t="e">
        <f>AND(#REF!,"RL/YvWCkgcc=")</f>
        <v>#REF!</v>
      </c>
      <c r="GS65" t="e">
        <f>AND(#REF!,"RL/YvWCkgcg=")</f>
        <v>#REF!</v>
      </c>
      <c r="GT65" t="e">
        <f>AND(#REF!,"RL/YvWCkgck=")</f>
        <v>#REF!</v>
      </c>
      <c r="GU65" t="e">
        <f>AND(#REF!,"RL/YvWCkgco=")</f>
        <v>#REF!</v>
      </c>
      <c r="GV65" t="e">
        <f>AND(#REF!,"RL/YvWCkgcs=")</f>
        <v>#REF!</v>
      </c>
      <c r="GW65" t="e">
        <f>AND(#REF!,"RL/YvWCkgcw=")</f>
        <v>#REF!</v>
      </c>
      <c r="GX65" t="e">
        <f>AND(#REF!,"RL/YvWCkgc0=")</f>
        <v>#REF!</v>
      </c>
      <c r="GY65" t="e">
        <f>AND(#REF!,"RL/YvWCkgc4=")</f>
        <v>#REF!</v>
      </c>
      <c r="GZ65" t="e">
        <f>AND(#REF!,"RL/YvWCkgc8=")</f>
        <v>#REF!</v>
      </c>
      <c r="HA65" t="e">
        <f>AND(#REF!,"RL/YvWCkgdA=")</f>
        <v>#REF!</v>
      </c>
      <c r="HB65" t="e">
        <f>AND(#REF!,"RL/YvWCkgdE=")</f>
        <v>#REF!</v>
      </c>
      <c r="HC65" t="e">
        <f>AND(#REF!,"RL/YvWCkgdI=")</f>
        <v>#REF!</v>
      </c>
      <c r="HD65" t="e">
        <f>AND(#REF!,"RL/YvWCkgdM=")</f>
        <v>#REF!</v>
      </c>
      <c r="HE65" t="e">
        <f>AND(#REF!,"RL/YvWCkgdQ=")</f>
        <v>#REF!</v>
      </c>
      <c r="HF65" t="e">
        <f>AND(#REF!,"RL/YvWCkgdU=")</f>
        <v>#REF!</v>
      </c>
      <c r="HG65" t="e">
        <f>AND(#REF!,"RL/YvWCkgdY=")</f>
        <v>#REF!</v>
      </c>
      <c r="HH65" t="e">
        <f>AND(#REF!,"RL/YvWCkgdc=")</f>
        <v>#REF!</v>
      </c>
      <c r="HI65" t="e">
        <f>AND(#REF!,"RL/YvWCkgdg=")</f>
        <v>#REF!</v>
      </c>
      <c r="HJ65" t="e">
        <f>AND(#REF!,"RL/YvWCkgdk=")</f>
        <v>#REF!</v>
      </c>
      <c r="HK65" t="e">
        <f>AND(#REF!,"RL/YvWCkgdo=")</f>
        <v>#REF!</v>
      </c>
      <c r="HL65" t="e">
        <f>AND(#REF!,"RL/YvWCkgds=")</f>
        <v>#REF!</v>
      </c>
      <c r="HM65" t="e">
        <f>AND(#REF!,"RL/YvWCkgdw=")</f>
        <v>#REF!</v>
      </c>
      <c r="HN65" t="e">
        <f>AND(#REF!,"RL/YvWCkgd0=")</f>
        <v>#REF!</v>
      </c>
      <c r="HO65" t="e">
        <f>AND(#REF!,"RL/YvWCkgd4=")</f>
        <v>#REF!</v>
      </c>
      <c r="HP65" t="e">
        <f>AND(#REF!,"RL/YvWCkgd8=")</f>
        <v>#REF!</v>
      </c>
      <c r="HQ65" t="e">
        <f>AND(#REF!,"RL/YvWCkgeA=")</f>
        <v>#REF!</v>
      </c>
      <c r="HR65" t="e">
        <f>AND(#REF!,"RL/YvWCkgeE=")</f>
        <v>#REF!</v>
      </c>
      <c r="HS65" t="e">
        <f>AND(#REF!,"RL/YvWCkgeI=")</f>
        <v>#REF!</v>
      </c>
      <c r="HT65" t="e">
        <f>AND(#REF!,"RL/YvWCkgeM=")</f>
        <v>#REF!</v>
      </c>
      <c r="HU65" t="e">
        <f>AND(#REF!,"RL/YvWCkgeQ=")</f>
        <v>#REF!</v>
      </c>
      <c r="HV65" t="e">
        <f>AND(#REF!,"RL/YvWCkgeU=")</f>
        <v>#REF!</v>
      </c>
      <c r="HW65" t="e">
        <f>AND(#REF!,"RL/YvWCkgeY=")</f>
        <v>#REF!</v>
      </c>
      <c r="HX65" t="e">
        <f>AND(#REF!,"RL/YvWCkgec=")</f>
        <v>#REF!</v>
      </c>
      <c r="HY65" t="e">
        <f>AND(#REF!,"RL/YvWCkgeg=")</f>
        <v>#REF!</v>
      </c>
      <c r="HZ65" t="e">
        <f>AND(#REF!,"RL/YvWCkgek=")</f>
        <v>#REF!</v>
      </c>
      <c r="IA65" t="e">
        <f>AND(#REF!,"RL/YvWCkgeo=")</f>
        <v>#REF!</v>
      </c>
      <c r="IB65" t="e">
        <f>AND(#REF!,"RL/YvWCkges=")</f>
        <v>#REF!</v>
      </c>
      <c r="IC65" t="e">
        <f>AND(#REF!,"RL/YvWCkgew=")</f>
        <v>#REF!</v>
      </c>
      <c r="ID65" t="e">
        <f>AND(#REF!,"RL/YvWCkge0=")</f>
        <v>#REF!</v>
      </c>
      <c r="IE65" t="e">
        <f>AND(#REF!,"RL/YvWCkge4=")</f>
        <v>#REF!</v>
      </c>
      <c r="IF65" t="e">
        <f>AND(#REF!,"RL/YvWCkge8=")</f>
        <v>#REF!</v>
      </c>
      <c r="IG65" t="e">
        <f>AND(#REF!,"RL/YvWCkgfA=")</f>
        <v>#REF!</v>
      </c>
      <c r="IH65" t="e">
        <f>AND(#REF!,"RL/YvWCkgfE=")</f>
        <v>#REF!</v>
      </c>
      <c r="II65" t="e">
        <f>AND(#REF!,"RL/YvWCkgfI=")</f>
        <v>#REF!</v>
      </c>
      <c r="IJ65" t="e">
        <f>AND(#REF!,"RL/YvWCkgfM=")</f>
        <v>#REF!</v>
      </c>
      <c r="IK65" t="e">
        <f>AND(#REF!,"RL/YvWCkgfQ=")</f>
        <v>#REF!</v>
      </c>
      <c r="IL65" t="e">
        <f>AND(#REF!,"RL/YvWCkgfU=")</f>
        <v>#REF!</v>
      </c>
      <c r="IM65" t="e">
        <f>AND(#REF!,"RL/YvWCkgfY=")</f>
        <v>#REF!</v>
      </c>
      <c r="IN65" t="e">
        <f>AND(#REF!,"RL/YvWCkgfc=")</f>
        <v>#REF!</v>
      </c>
      <c r="IO65" t="e">
        <f>AND(#REF!,"RL/YvWCkgfg=")</f>
        <v>#REF!</v>
      </c>
      <c r="IP65" t="e">
        <f>AND(#REF!,"RL/YvWCkgfk=")</f>
        <v>#REF!</v>
      </c>
      <c r="IQ65" t="e">
        <f>AND(#REF!,"RL/YvWCkgfo=")</f>
        <v>#REF!</v>
      </c>
      <c r="IR65" t="e">
        <f>AND(#REF!,"RL/YvWCkgfs=")</f>
        <v>#REF!</v>
      </c>
      <c r="IS65" t="e">
        <f>AND(#REF!,"RL/YvWCkgfw=")</f>
        <v>#REF!</v>
      </c>
      <c r="IT65" t="e">
        <f>AND(#REF!,"RL/YvWCkgf0=")</f>
        <v>#REF!</v>
      </c>
      <c r="IU65" t="e">
        <f>AND(#REF!,"RL/YvWCkgf4=")</f>
        <v>#REF!</v>
      </c>
      <c r="IV65" t="e">
        <f>AND(#REF!,"RL/YvWCkgf8=")</f>
        <v>#REF!</v>
      </c>
    </row>
    <row r="66" spans="1:256" x14ac:dyDescent="0.2">
      <c r="A66" t="e">
        <f>AND(#REF!,"efjcKiiCnQA=")</f>
        <v>#REF!</v>
      </c>
      <c r="B66" t="e">
        <f>AND(#REF!,"efjcKiiCnQE=")</f>
        <v>#REF!</v>
      </c>
      <c r="C66" t="e">
        <f>AND(#REF!,"efjcKiiCnQI=")</f>
        <v>#REF!</v>
      </c>
      <c r="D66" t="e">
        <f>AND(#REF!,"efjcKiiCnQM=")</f>
        <v>#REF!</v>
      </c>
      <c r="E66" t="e">
        <f>AND(#REF!,"efjcKiiCnQQ=")</f>
        <v>#REF!</v>
      </c>
      <c r="F66" t="e">
        <f>AND(#REF!,"efjcKiiCnQU=")</f>
        <v>#REF!</v>
      </c>
      <c r="G66" t="e">
        <f>AND(#REF!,"efjcKiiCnQY=")</f>
        <v>#REF!</v>
      </c>
      <c r="H66" t="e">
        <f>AND(#REF!,"efjcKiiCnQc=")</f>
        <v>#REF!</v>
      </c>
      <c r="I66" t="e">
        <f>AND(#REF!,"efjcKiiCnQg=")</f>
        <v>#REF!</v>
      </c>
      <c r="J66" t="e">
        <f>AND(#REF!,"efjcKiiCnQk=")</f>
        <v>#REF!</v>
      </c>
      <c r="K66" t="e">
        <f>AND(#REF!,"efjcKiiCnQo=")</f>
        <v>#REF!</v>
      </c>
      <c r="L66" t="e">
        <f>AND(#REF!,"efjcKiiCnQs=")</f>
        <v>#REF!</v>
      </c>
      <c r="M66" t="e">
        <f>AND(#REF!,"efjcKiiCnQw=")</f>
        <v>#REF!</v>
      </c>
      <c r="N66" t="e">
        <f>AND(#REF!,"efjcKiiCnQ0=")</f>
        <v>#REF!</v>
      </c>
      <c r="O66" t="e">
        <f>AND(#REF!,"efjcKiiCnQ4=")</f>
        <v>#REF!</v>
      </c>
      <c r="P66" t="e">
        <f>AND(#REF!,"efjcKiiCnQ8=")</f>
        <v>#REF!</v>
      </c>
      <c r="Q66" t="e">
        <f>AND(#REF!,"efjcKiiCnRA=")</f>
        <v>#REF!</v>
      </c>
      <c r="R66" t="e">
        <f>AND(#REF!,"efjcKiiCnRE=")</f>
        <v>#REF!</v>
      </c>
      <c r="S66" t="e">
        <f>AND(#REF!,"efjcKiiCnRI=")</f>
        <v>#REF!</v>
      </c>
      <c r="T66" t="e">
        <f>AND(#REF!,"efjcKiiCnRM=")</f>
        <v>#REF!</v>
      </c>
      <c r="U66" t="e">
        <f>AND(#REF!,"efjcKiiCnRQ=")</f>
        <v>#REF!</v>
      </c>
      <c r="V66" t="e">
        <f>AND(#REF!,"efjcKiiCnRU=")</f>
        <v>#REF!</v>
      </c>
      <c r="W66" t="e">
        <f>IF(#REF!,"efjcKiiCnRY=",0)</f>
        <v>#REF!</v>
      </c>
      <c r="X66" t="e">
        <f>AND(#REF!,"efjcKiiCnRc=")</f>
        <v>#REF!</v>
      </c>
      <c r="Y66" t="e">
        <f>AND(#REF!,"efjcKiiCnRg=")</f>
        <v>#REF!</v>
      </c>
      <c r="Z66" t="e">
        <f>AND(#REF!,"efjcKiiCnRk=")</f>
        <v>#REF!</v>
      </c>
      <c r="AA66" t="e">
        <f>AND(#REF!,"efjcKiiCnRo=")</f>
        <v>#REF!</v>
      </c>
      <c r="AB66" t="e">
        <f>AND(#REF!,"efjcKiiCnRs=")</f>
        <v>#REF!</v>
      </c>
      <c r="AC66" t="e">
        <f>AND(#REF!,"efjcKiiCnRw=")</f>
        <v>#REF!</v>
      </c>
      <c r="AD66" t="e">
        <f>AND(#REF!,"efjcKiiCnR0=")</f>
        <v>#REF!</v>
      </c>
      <c r="AE66" t="e">
        <f>AND(#REF!,"efjcKiiCnR4=")</f>
        <v>#REF!</v>
      </c>
      <c r="AF66" t="e">
        <f>AND(#REF!,"efjcKiiCnR8=")</f>
        <v>#REF!</v>
      </c>
      <c r="AG66" t="e">
        <f>AND(#REF!,"efjcKiiCnSA=")</f>
        <v>#REF!</v>
      </c>
      <c r="AH66" t="e">
        <f>AND(#REF!,"efjcKiiCnSE=")</f>
        <v>#REF!</v>
      </c>
      <c r="AI66" t="e">
        <f>AND(#REF!,"efjcKiiCnSI=")</f>
        <v>#REF!</v>
      </c>
      <c r="AJ66" t="e">
        <f>AND(#REF!,"efjcKiiCnSM=")</f>
        <v>#REF!</v>
      </c>
      <c r="AK66" t="e">
        <f>AND(#REF!,"efjcKiiCnSQ=")</f>
        <v>#REF!</v>
      </c>
      <c r="AL66" t="e">
        <f>AND(#REF!,"efjcKiiCnSU=")</f>
        <v>#REF!</v>
      </c>
      <c r="AM66" t="e">
        <f>AND(#REF!,"efjcKiiCnSY=")</f>
        <v>#REF!</v>
      </c>
      <c r="AN66" t="e">
        <f>AND(#REF!,"efjcKiiCnSc=")</f>
        <v>#REF!</v>
      </c>
      <c r="AO66" t="e">
        <f>AND(#REF!,"efjcKiiCnSg=")</f>
        <v>#REF!</v>
      </c>
      <c r="AP66" t="e">
        <f>AND(#REF!,"efjcKiiCnSk=")</f>
        <v>#REF!</v>
      </c>
      <c r="AQ66" t="e">
        <f>AND(#REF!,"efjcKiiCnSo=")</f>
        <v>#REF!</v>
      </c>
      <c r="AR66" t="e">
        <f>AND(#REF!,"efjcKiiCnSs=")</f>
        <v>#REF!</v>
      </c>
      <c r="AS66" t="e">
        <f>AND(#REF!,"efjcKiiCnSw=")</f>
        <v>#REF!</v>
      </c>
      <c r="AT66" t="e">
        <f>AND(#REF!,"efjcKiiCnS0=")</f>
        <v>#REF!</v>
      </c>
      <c r="AU66" t="e">
        <f>AND(#REF!,"efjcKiiCnS4=")</f>
        <v>#REF!</v>
      </c>
      <c r="AV66" t="e">
        <f>AND(#REF!,"efjcKiiCnS8=")</f>
        <v>#REF!</v>
      </c>
      <c r="AW66" t="e">
        <f>AND(#REF!,"efjcKiiCnTA=")</f>
        <v>#REF!</v>
      </c>
      <c r="AX66" t="e">
        <f>AND(#REF!,"efjcKiiCnTE=")</f>
        <v>#REF!</v>
      </c>
      <c r="AY66" t="e">
        <f>AND(#REF!,"efjcKiiCnTI=")</f>
        <v>#REF!</v>
      </c>
      <c r="AZ66" t="e">
        <f>AND(#REF!,"efjcKiiCnTM=")</f>
        <v>#REF!</v>
      </c>
      <c r="BA66" t="e">
        <f>AND(#REF!,"efjcKiiCnTQ=")</f>
        <v>#REF!</v>
      </c>
      <c r="BB66" t="e">
        <f>AND(#REF!,"efjcKiiCnTU=")</f>
        <v>#REF!</v>
      </c>
      <c r="BC66" t="e">
        <f>AND(#REF!,"efjcKiiCnTY=")</f>
        <v>#REF!</v>
      </c>
      <c r="BD66" t="e">
        <f>AND(#REF!,"efjcKiiCnTc=")</f>
        <v>#REF!</v>
      </c>
      <c r="BE66" t="e">
        <f>AND(#REF!,"efjcKiiCnTg=")</f>
        <v>#REF!</v>
      </c>
      <c r="BF66" t="e">
        <f>AND(#REF!,"efjcKiiCnTk=")</f>
        <v>#REF!</v>
      </c>
      <c r="BG66" t="e">
        <f>AND(#REF!,"efjcKiiCnTo=")</f>
        <v>#REF!</v>
      </c>
      <c r="BH66" t="e">
        <f>AND(#REF!,"efjcKiiCnTs=")</f>
        <v>#REF!</v>
      </c>
      <c r="BI66" t="e">
        <f>AND(#REF!,"efjcKiiCnTw=")</f>
        <v>#REF!</v>
      </c>
      <c r="BJ66" t="e">
        <f>AND(#REF!,"efjcKiiCnT0=")</f>
        <v>#REF!</v>
      </c>
      <c r="BK66" t="e">
        <f>AND(#REF!,"efjcKiiCnT4=")</f>
        <v>#REF!</v>
      </c>
      <c r="BL66" t="e">
        <f>AND(#REF!,"efjcKiiCnT8=")</f>
        <v>#REF!</v>
      </c>
      <c r="BM66" t="e">
        <f>AND(#REF!,"efjcKiiCnUA=")</f>
        <v>#REF!</v>
      </c>
      <c r="BN66" t="e">
        <f>AND(#REF!,"efjcKiiCnUE=")</f>
        <v>#REF!</v>
      </c>
      <c r="BO66" t="e">
        <f>AND(#REF!,"efjcKiiCnUI=")</f>
        <v>#REF!</v>
      </c>
      <c r="BP66" t="e">
        <f>AND(#REF!,"efjcKiiCnUM=")</f>
        <v>#REF!</v>
      </c>
      <c r="BQ66" t="e">
        <f>AND(#REF!,"efjcKiiCnUQ=")</f>
        <v>#REF!</v>
      </c>
      <c r="BR66" t="e">
        <f>AND(#REF!,"efjcKiiCnUU=")</f>
        <v>#REF!</v>
      </c>
      <c r="BS66" t="e">
        <f>AND(#REF!,"efjcKiiCnUY=")</f>
        <v>#REF!</v>
      </c>
      <c r="BT66" t="e">
        <f>AND(#REF!,"efjcKiiCnUc=")</f>
        <v>#REF!</v>
      </c>
      <c r="BU66" t="e">
        <f>AND(#REF!,"efjcKiiCnUg=")</f>
        <v>#REF!</v>
      </c>
      <c r="BV66" t="e">
        <f>AND(#REF!,"efjcKiiCnUk=")</f>
        <v>#REF!</v>
      </c>
      <c r="BW66" t="e">
        <f>AND(#REF!,"efjcKiiCnUo=")</f>
        <v>#REF!</v>
      </c>
      <c r="BX66" t="e">
        <f>AND(#REF!,"efjcKiiCnUs=")</f>
        <v>#REF!</v>
      </c>
      <c r="BY66" t="e">
        <f>AND(#REF!,"efjcKiiCnUw=")</f>
        <v>#REF!</v>
      </c>
      <c r="BZ66" t="e">
        <f>AND(#REF!,"efjcKiiCnU0=")</f>
        <v>#REF!</v>
      </c>
      <c r="CA66" t="e">
        <f>AND(#REF!,"efjcKiiCnU4=")</f>
        <v>#REF!</v>
      </c>
      <c r="CB66" t="e">
        <f>AND(#REF!,"efjcKiiCnU8=")</f>
        <v>#REF!</v>
      </c>
      <c r="CC66" t="e">
        <f>AND(#REF!,"efjcKiiCnVA=")</f>
        <v>#REF!</v>
      </c>
      <c r="CD66" t="e">
        <f>AND(#REF!,"efjcKiiCnVE=")</f>
        <v>#REF!</v>
      </c>
      <c r="CE66" t="e">
        <f>AND(#REF!,"efjcKiiCnVI=")</f>
        <v>#REF!</v>
      </c>
      <c r="CF66" t="e">
        <f>AND(#REF!,"efjcKiiCnVM=")</f>
        <v>#REF!</v>
      </c>
      <c r="CG66" t="e">
        <f>AND(#REF!,"efjcKiiCnVQ=")</f>
        <v>#REF!</v>
      </c>
      <c r="CH66" t="e">
        <f>AND(#REF!,"efjcKiiCnVU=")</f>
        <v>#REF!</v>
      </c>
      <c r="CI66" t="e">
        <f>AND(#REF!,"efjcKiiCnVY=")</f>
        <v>#REF!</v>
      </c>
      <c r="CJ66" t="e">
        <f>AND(#REF!,"efjcKiiCnVc=")</f>
        <v>#REF!</v>
      </c>
      <c r="CK66" t="e">
        <f>AND(#REF!,"efjcKiiCnVg=")</f>
        <v>#REF!</v>
      </c>
      <c r="CL66" t="e">
        <f>AND(#REF!,"efjcKiiCnVk=")</f>
        <v>#REF!</v>
      </c>
      <c r="CM66" t="e">
        <f>AND(#REF!,"efjcKiiCnVo=")</f>
        <v>#REF!</v>
      </c>
      <c r="CN66" t="e">
        <f>AND(#REF!,"efjcKiiCnVs=")</f>
        <v>#REF!</v>
      </c>
      <c r="CO66" t="e">
        <f>AND(#REF!,"efjcKiiCnVw=")</f>
        <v>#REF!</v>
      </c>
      <c r="CP66" t="e">
        <f>AND(#REF!,"efjcKiiCnV0=")</f>
        <v>#REF!</v>
      </c>
      <c r="CQ66" t="e">
        <f>AND(#REF!,"efjcKiiCnV4=")</f>
        <v>#REF!</v>
      </c>
      <c r="CR66" t="e">
        <f>AND(#REF!,"efjcKiiCnV8=")</f>
        <v>#REF!</v>
      </c>
      <c r="CS66" t="e">
        <f>AND(#REF!,"efjcKiiCnWA=")</f>
        <v>#REF!</v>
      </c>
      <c r="CT66" t="e">
        <f>AND(#REF!,"efjcKiiCnWE=")</f>
        <v>#REF!</v>
      </c>
      <c r="CU66" t="e">
        <f>AND(#REF!,"efjcKiiCnWI=")</f>
        <v>#REF!</v>
      </c>
      <c r="CV66" t="e">
        <f>AND(#REF!,"efjcKiiCnWM=")</f>
        <v>#REF!</v>
      </c>
      <c r="CW66" t="e">
        <f>AND(#REF!,"efjcKiiCnWQ=")</f>
        <v>#REF!</v>
      </c>
      <c r="CX66" t="e">
        <f>AND(#REF!,"efjcKiiCnWU=")</f>
        <v>#REF!</v>
      </c>
      <c r="CY66" t="e">
        <f>AND(#REF!,"efjcKiiCnWY=")</f>
        <v>#REF!</v>
      </c>
      <c r="CZ66" t="e">
        <f>AND(#REF!,"efjcKiiCnWc=")</f>
        <v>#REF!</v>
      </c>
      <c r="DA66" t="e">
        <f>AND(#REF!,"efjcKiiCnWg=")</f>
        <v>#REF!</v>
      </c>
      <c r="DB66" t="e">
        <f>AND(#REF!,"efjcKiiCnWk=")</f>
        <v>#REF!</v>
      </c>
      <c r="DC66" t="e">
        <f>AND(#REF!,"efjcKiiCnWo=")</f>
        <v>#REF!</v>
      </c>
      <c r="DD66" t="e">
        <f>AND(#REF!,"efjcKiiCnWs=")</f>
        <v>#REF!</v>
      </c>
      <c r="DE66" t="e">
        <f>AND(#REF!,"efjcKiiCnWw=")</f>
        <v>#REF!</v>
      </c>
      <c r="DF66" t="e">
        <f>AND(#REF!,"efjcKiiCnW0=")</f>
        <v>#REF!</v>
      </c>
      <c r="DG66" t="e">
        <f>AND(#REF!,"efjcKiiCnW4=")</f>
        <v>#REF!</v>
      </c>
      <c r="DH66" t="e">
        <f>AND(#REF!,"efjcKiiCnW8=")</f>
        <v>#REF!</v>
      </c>
      <c r="DI66" t="e">
        <f>AND(#REF!,"efjcKiiCnXA=")</f>
        <v>#REF!</v>
      </c>
      <c r="DJ66" t="e">
        <f>AND(#REF!,"efjcKiiCnXE=")</f>
        <v>#REF!</v>
      </c>
      <c r="DK66" t="e">
        <f>AND(#REF!,"efjcKiiCnXI=")</f>
        <v>#REF!</v>
      </c>
      <c r="DL66" t="e">
        <f>AND(#REF!,"efjcKiiCnXM=")</f>
        <v>#REF!</v>
      </c>
      <c r="DM66" t="e">
        <f>AND(#REF!,"efjcKiiCnXQ=")</f>
        <v>#REF!</v>
      </c>
      <c r="DN66" t="e">
        <f>AND(#REF!,"efjcKiiCnXU=")</f>
        <v>#REF!</v>
      </c>
      <c r="DO66" t="e">
        <f>AND(#REF!,"efjcKiiCnXY=")</f>
        <v>#REF!</v>
      </c>
      <c r="DP66" t="e">
        <f>AND(#REF!,"efjcKiiCnXc=")</f>
        <v>#REF!</v>
      </c>
      <c r="DQ66" t="e">
        <f>AND(#REF!,"efjcKiiCnXg=")</f>
        <v>#REF!</v>
      </c>
      <c r="DR66" t="e">
        <f>AND(#REF!,"efjcKiiCnXk=")</f>
        <v>#REF!</v>
      </c>
      <c r="DS66" t="e">
        <f>AND(#REF!,"efjcKiiCnXo=")</f>
        <v>#REF!</v>
      </c>
      <c r="DT66" t="e">
        <f>AND(#REF!,"efjcKiiCnXs=")</f>
        <v>#REF!</v>
      </c>
      <c r="DU66" t="e">
        <f>AND(#REF!,"efjcKiiCnXw=")</f>
        <v>#REF!</v>
      </c>
      <c r="DV66" t="e">
        <f>AND(#REF!,"efjcKiiCnX0=")</f>
        <v>#REF!</v>
      </c>
      <c r="DW66" t="e">
        <f>AND(#REF!,"efjcKiiCnX4=")</f>
        <v>#REF!</v>
      </c>
      <c r="DX66" t="e">
        <f>AND(#REF!,"efjcKiiCnX8=")</f>
        <v>#REF!</v>
      </c>
      <c r="DY66" t="e">
        <f>AND(#REF!,"efjcKiiCnYA=")</f>
        <v>#REF!</v>
      </c>
      <c r="DZ66" t="e">
        <f>AND(#REF!,"efjcKiiCnYE=")</f>
        <v>#REF!</v>
      </c>
      <c r="EA66" t="e">
        <f>AND(#REF!,"efjcKiiCnYI=")</f>
        <v>#REF!</v>
      </c>
      <c r="EB66" t="e">
        <f>AND(#REF!,"efjcKiiCnYM=")</f>
        <v>#REF!</v>
      </c>
      <c r="EC66" t="e">
        <f>AND(#REF!,"efjcKiiCnYQ=")</f>
        <v>#REF!</v>
      </c>
      <c r="ED66" t="e">
        <f>AND(#REF!,"efjcKiiCnYU=")</f>
        <v>#REF!</v>
      </c>
      <c r="EE66" t="e">
        <f>AND(#REF!,"efjcKiiCnYY=")</f>
        <v>#REF!</v>
      </c>
      <c r="EF66" t="e">
        <f>AND(#REF!,"efjcKiiCnYc=")</f>
        <v>#REF!</v>
      </c>
      <c r="EG66" t="e">
        <f>AND(#REF!,"efjcKiiCnYg=")</f>
        <v>#REF!</v>
      </c>
      <c r="EH66" t="e">
        <f>AND(#REF!,"efjcKiiCnYk=")</f>
        <v>#REF!</v>
      </c>
      <c r="EI66" t="e">
        <f>AND(#REF!,"efjcKiiCnYo=")</f>
        <v>#REF!</v>
      </c>
      <c r="EJ66" t="e">
        <f>AND(#REF!,"efjcKiiCnYs=")</f>
        <v>#REF!</v>
      </c>
      <c r="EK66" t="e">
        <f>AND(#REF!,"efjcKiiCnYw=")</f>
        <v>#REF!</v>
      </c>
      <c r="EL66" t="e">
        <f>AND(#REF!,"efjcKiiCnY0=")</f>
        <v>#REF!</v>
      </c>
      <c r="EM66" t="e">
        <f>AND(#REF!,"efjcKiiCnY4=")</f>
        <v>#REF!</v>
      </c>
      <c r="EN66" t="e">
        <f>AND(#REF!,"efjcKiiCnY8=")</f>
        <v>#REF!</v>
      </c>
      <c r="EO66" t="e">
        <f>AND(#REF!,"efjcKiiCnZA=")</f>
        <v>#REF!</v>
      </c>
      <c r="EP66" t="e">
        <f>AND(#REF!,"efjcKiiCnZE=")</f>
        <v>#REF!</v>
      </c>
      <c r="EQ66" t="e">
        <f>AND(#REF!,"efjcKiiCnZI=")</f>
        <v>#REF!</v>
      </c>
      <c r="ER66" t="e">
        <f>AND(#REF!,"efjcKiiCnZM=")</f>
        <v>#REF!</v>
      </c>
      <c r="ES66" t="e">
        <f>AND(#REF!,"efjcKiiCnZQ=")</f>
        <v>#REF!</v>
      </c>
      <c r="ET66" t="e">
        <f>AND(#REF!,"efjcKiiCnZU=")</f>
        <v>#REF!</v>
      </c>
      <c r="EU66" t="e">
        <f>AND(#REF!,"efjcKiiCnZY=")</f>
        <v>#REF!</v>
      </c>
      <c r="EV66" t="e">
        <f>AND(#REF!,"efjcKiiCnZc=")</f>
        <v>#REF!</v>
      </c>
      <c r="EW66" t="e">
        <f>AND(#REF!,"efjcKiiCnZg=")</f>
        <v>#REF!</v>
      </c>
      <c r="EX66" t="e">
        <f>AND(#REF!,"efjcKiiCnZk=")</f>
        <v>#REF!</v>
      </c>
      <c r="EY66" t="e">
        <f>AND(#REF!,"efjcKiiCnZo=")</f>
        <v>#REF!</v>
      </c>
      <c r="EZ66" t="e">
        <f>AND(#REF!,"efjcKiiCnZs=")</f>
        <v>#REF!</v>
      </c>
      <c r="FA66" t="e">
        <f>AND(#REF!,"efjcKiiCnZw=")</f>
        <v>#REF!</v>
      </c>
      <c r="FB66" t="e">
        <f>AND(#REF!,"efjcKiiCnZ0=")</f>
        <v>#REF!</v>
      </c>
      <c r="FC66" t="e">
        <f>AND(#REF!,"efjcKiiCnZ4=")</f>
        <v>#REF!</v>
      </c>
      <c r="FD66" t="e">
        <f>AND(#REF!,"efjcKiiCnZ8=")</f>
        <v>#REF!</v>
      </c>
      <c r="FE66" t="e">
        <f>AND(#REF!,"efjcKiiCnaA=")</f>
        <v>#REF!</v>
      </c>
      <c r="FF66" t="e">
        <f>AND(#REF!,"efjcKiiCnaE=")</f>
        <v>#REF!</v>
      </c>
      <c r="FG66" t="e">
        <f>AND(#REF!,"efjcKiiCnaI=")</f>
        <v>#REF!</v>
      </c>
      <c r="FH66" t="e">
        <f>AND(#REF!,"efjcKiiCnaM=")</f>
        <v>#REF!</v>
      </c>
      <c r="FI66" t="e">
        <f>AND(#REF!,"efjcKiiCnaQ=")</f>
        <v>#REF!</v>
      </c>
      <c r="FJ66" t="e">
        <f>AND(#REF!,"efjcKiiCnaU=")</f>
        <v>#REF!</v>
      </c>
      <c r="FK66" t="e">
        <f>AND(#REF!,"efjcKiiCnaY=")</f>
        <v>#REF!</v>
      </c>
      <c r="FL66" t="e">
        <f>AND(#REF!,"efjcKiiCnac=")</f>
        <v>#REF!</v>
      </c>
      <c r="FM66" t="e">
        <f>AND(#REF!,"efjcKiiCnag=")</f>
        <v>#REF!</v>
      </c>
      <c r="FN66" t="e">
        <f>AND(#REF!,"efjcKiiCnak=")</f>
        <v>#REF!</v>
      </c>
      <c r="FO66" t="e">
        <f>AND(#REF!,"efjcKiiCnao=")</f>
        <v>#REF!</v>
      </c>
      <c r="FP66" t="e">
        <f>AND(#REF!,"efjcKiiCnas=")</f>
        <v>#REF!</v>
      </c>
      <c r="FQ66" t="e">
        <f>AND(#REF!,"efjcKiiCnaw=")</f>
        <v>#REF!</v>
      </c>
      <c r="FR66" t="e">
        <f>AND(#REF!,"efjcKiiCna0=")</f>
        <v>#REF!</v>
      </c>
      <c r="FS66" t="e">
        <f>AND(#REF!,"efjcKiiCna4=")</f>
        <v>#REF!</v>
      </c>
      <c r="FT66" t="e">
        <f>AND(#REF!,"efjcKiiCna8=")</f>
        <v>#REF!</v>
      </c>
      <c r="FU66" t="e">
        <f>AND(#REF!,"efjcKiiCnbA=")</f>
        <v>#REF!</v>
      </c>
      <c r="FV66" t="e">
        <f>AND(#REF!,"efjcKiiCnbE=")</f>
        <v>#REF!</v>
      </c>
      <c r="FW66" t="e">
        <f>AND(#REF!,"efjcKiiCnbI=")</f>
        <v>#REF!</v>
      </c>
      <c r="FX66" t="e">
        <f>AND(#REF!,"efjcKiiCnbM=")</f>
        <v>#REF!</v>
      </c>
      <c r="FY66" t="e">
        <f>AND(#REF!,"efjcKiiCnbQ=")</f>
        <v>#REF!</v>
      </c>
      <c r="FZ66" t="e">
        <f>AND(#REF!,"efjcKiiCnbU=")</f>
        <v>#REF!</v>
      </c>
      <c r="GA66" t="e">
        <f>AND(#REF!,"efjcKiiCnbY=")</f>
        <v>#REF!</v>
      </c>
      <c r="GB66" t="e">
        <f>AND(#REF!,"efjcKiiCnbc=")</f>
        <v>#REF!</v>
      </c>
      <c r="GC66" t="e">
        <f>AND(#REF!,"efjcKiiCnbg=")</f>
        <v>#REF!</v>
      </c>
      <c r="GD66" t="e">
        <f>AND(#REF!,"efjcKiiCnbk=")</f>
        <v>#REF!</v>
      </c>
      <c r="GE66" t="e">
        <f>AND(#REF!,"efjcKiiCnbo=")</f>
        <v>#REF!</v>
      </c>
      <c r="GF66" t="e">
        <f>AND(#REF!,"efjcKiiCnbs=")</f>
        <v>#REF!</v>
      </c>
      <c r="GG66" t="e">
        <f>AND(#REF!,"efjcKiiCnbw=")</f>
        <v>#REF!</v>
      </c>
      <c r="GH66" t="e">
        <f>AND(#REF!,"efjcKiiCnb0=")</f>
        <v>#REF!</v>
      </c>
      <c r="GI66" t="e">
        <f>AND(#REF!,"efjcKiiCnb4=")</f>
        <v>#REF!</v>
      </c>
      <c r="GJ66" t="e">
        <f>AND(#REF!,"efjcKiiCnb8=")</f>
        <v>#REF!</v>
      </c>
      <c r="GK66" t="e">
        <f>AND(#REF!,"efjcKiiCncA=")</f>
        <v>#REF!</v>
      </c>
      <c r="GL66" t="e">
        <f>AND(#REF!,"efjcKiiCncE=")</f>
        <v>#REF!</v>
      </c>
      <c r="GM66" t="e">
        <f>AND(#REF!,"efjcKiiCncI=")</f>
        <v>#REF!</v>
      </c>
      <c r="GN66" t="e">
        <f>AND(#REF!,"efjcKiiCncM=")</f>
        <v>#REF!</v>
      </c>
      <c r="GO66" t="e">
        <f>AND(#REF!,"efjcKiiCncQ=")</f>
        <v>#REF!</v>
      </c>
      <c r="GP66" t="e">
        <f>AND(#REF!,"efjcKiiCncU=")</f>
        <v>#REF!</v>
      </c>
      <c r="GQ66" t="e">
        <f>AND(#REF!,"efjcKiiCncY=")</f>
        <v>#REF!</v>
      </c>
      <c r="GR66" t="e">
        <f>AND(#REF!,"efjcKiiCncc=")</f>
        <v>#REF!</v>
      </c>
      <c r="GS66" t="e">
        <f>AND(#REF!,"efjcKiiCncg=")</f>
        <v>#REF!</v>
      </c>
      <c r="GT66" t="e">
        <f>AND(#REF!,"efjcKiiCnck=")</f>
        <v>#REF!</v>
      </c>
      <c r="GU66" t="e">
        <f>AND(#REF!,"efjcKiiCnco=")</f>
        <v>#REF!</v>
      </c>
      <c r="GV66" t="e">
        <f>AND(#REF!,"efjcKiiCncs=")</f>
        <v>#REF!</v>
      </c>
      <c r="GW66" t="e">
        <f>AND(#REF!,"efjcKiiCncw=")</f>
        <v>#REF!</v>
      </c>
      <c r="GX66" t="e">
        <f>AND(#REF!,"efjcKiiCnc0=")</f>
        <v>#REF!</v>
      </c>
      <c r="GY66" t="e">
        <f>AND(#REF!,"efjcKiiCnc4=")</f>
        <v>#REF!</v>
      </c>
      <c r="GZ66" t="e">
        <f>AND(#REF!,"efjcKiiCnc8=")</f>
        <v>#REF!</v>
      </c>
      <c r="HA66" t="e">
        <f>AND(#REF!,"efjcKiiCndA=")</f>
        <v>#REF!</v>
      </c>
      <c r="HB66" t="e">
        <f>AND(#REF!,"efjcKiiCndE=")</f>
        <v>#REF!</v>
      </c>
      <c r="HC66" t="e">
        <f>AND(#REF!,"efjcKiiCndI=")</f>
        <v>#REF!</v>
      </c>
      <c r="HD66" t="e">
        <f>AND(#REF!,"efjcKiiCndM=")</f>
        <v>#REF!</v>
      </c>
      <c r="HE66" t="e">
        <f>AND(#REF!,"efjcKiiCndQ=")</f>
        <v>#REF!</v>
      </c>
      <c r="HF66" t="e">
        <f>AND(#REF!,"efjcKiiCndU=")</f>
        <v>#REF!</v>
      </c>
      <c r="HG66" t="e">
        <f>AND(#REF!,"efjcKiiCndY=")</f>
        <v>#REF!</v>
      </c>
      <c r="HH66" t="e">
        <f>AND(#REF!,"efjcKiiCndc=")</f>
        <v>#REF!</v>
      </c>
      <c r="HI66" t="e">
        <f>AND(#REF!,"efjcKiiCndg=")</f>
        <v>#REF!</v>
      </c>
      <c r="HJ66" t="e">
        <f>AND(#REF!,"efjcKiiCndk=")</f>
        <v>#REF!</v>
      </c>
      <c r="HK66" t="e">
        <f>AND(#REF!,"efjcKiiCndo=")</f>
        <v>#REF!</v>
      </c>
      <c r="HL66" t="e">
        <f>AND(#REF!,"efjcKiiCnds=")</f>
        <v>#REF!</v>
      </c>
      <c r="HM66" t="e">
        <f>AND(#REF!,"efjcKiiCndw=")</f>
        <v>#REF!</v>
      </c>
      <c r="HN66" t="e">
        <f>IF(#REF!,"efjcKiiCnd0=",0)</f>
        <v>#REF!</v>
      </c>
      <c r="HO66" t="e">
        <f>AND(#REF!,"efjcKiiCnd4=")</f>
        <v>#REF!</v>
      </c>
      <c r="HP66" t="e">
        <f>AND(#REF!,"efjcKiiCnd8=")</f>
        <v>#REF!</v>
      </c>
      <c r="HQ66" t="e">
        <f>AND(#REF!,"efjcKiiCneA=")</f>
        <v>#REF!</v>
      </c>
      <c r="HR66" t="e">
        <f>AND(#REF!,"efjcKiiCneE=")</f>
        <v>#REF!</v>
      </c>
      <c r="HS66" t="e">
        <f>AND(#REF!,"efjcKiiCneI=")</f>
        <v>#REF!</v>
      </c>
      <c r="HT66" t="e">
        <f>AND(#REF!,"efjcKiiCneM=")</f>
        <v>#REF!</v>
      </c>
      <c r="HU66" t="e">
        <f>AND(#REF!,"efjcKiiCneQ=")</f>
        <v>#REF!</v>
      </c>
      <c r="HV66" t="e">
        <f>AND(#REF!,"efjcKiiCneU=")</f>
        <v>#REF!</v>
      </c>
      <c r="HW66" t="e">
        <f>AND(#REF!,"efjcKiiCneY=")</f>
        <v>#REF!</v>
      </c>
      <c r="HX66" t="e">
        <f>AND(#REF!,"efjcKiiCnec=")</f>
        <v>#REF!</v>
      </c>
      <c r="HY66" t="e">
        <f>AND(#REF!,"efjcKiiCneg=")</f>
        <v>#REF!</v>
      </c>
      <c r="HZ66" t="e">
        <f>AND(#REF!,"efjcKiiCnek=")</f>
        <v>#REF!</v>
      </c>
      <c r="IA66" t="e">
        <f>AND(#REF!,"efjcKiiCneo=")</f>
        <v>#REF!</v>
      </c>
      <c r="IB66" t="e">
        <f>AND(#REF!,"efjcKiiCnes=")</f>
        <v>#REF!</v>
      </c>
      <c r="IC66" t="e">
        <f>AND(#REF!,"efjcKiiCnew=")</f>
        <v>#REF!</v>
      </c>
      <c r="ID66" t="e">
        <f>AND(#REF!,"efjcKiiCne0=")</f>
        <v>#REF!</v>
      </c>
      <c r="IE66" t="e">
        <f>AND(#REF!,"efjcKiiCne4=")</f>
        <v>#REF!</v>
      </c>
      <c r="IF66" t="e">
        <f>AND(#REF!,"efjcKiiCne8=")</f>
        <v>#REF!</v>
      </c>
      <c r="IG66" t="e">
        <f>AND(#REF!,"efjcKiiCnfA=")</f>
        <v>#REF!</v>
      </c>
      <c r="IH66" t="e">
        <f>AND(#REF!,"efjcKiiCnfE=")</f>
        <v>#REF!</v>
      </c>
      <c r="II66" t="e">
        <f>AND(#REF!,"efjcKiiCnfI=")</f>
        <v>#REF!</v>
      </c>
      <c r="IJ66" t="e">
        <f>AND(#REF!,"efjcKiiCnfM=")</f>
        <v>#REF!</v>
      </c>
      <c r="IK66" t="e">
        <f>AND(#REF!,"efjcKiiCnfQ=")</f>
        <v>#REF!</v>
      </c>
      <c r="IL66" t="e">
        <f>AND(#REF!,"efjcKiiCnfU=")</f>
        <v>#REF!</v>
      </c>
      <c r="IM66" t="e">
        <f>AND(#REF!,"efjcKiiCnfY=")</f>
        <v>#REF!</v>
      </c>
      <c r="IN66" t="e">
        <f>AND(#REF!,"efjcKiiCnfc=")</f>
        <v>#REF!</v>
      </c>
      <c r="IO66" t="e">
        <f>AND(#REF!,"efjcKiiCnfg=")</f>
        <v>#REF!</v>
      </c>
      <c r="IP66" t="e">
        <f>AND(#REF!,"efjcKiiCnfk=")</f>
        <v>#REF!</v>
      </c>
      <c r="IQ66" t="e">
        <f>AND(#REF!,"efjcKiiCnfo=")</f>
        <v>#REF!</v>
      </c>
      <c r="IR66" t="e">
        <f>AND(#REF!,"efjcKiiCnfs=")</f>
        <v>#REF!</v>
      </c>
      <c r="IS66" t="e">
        <f>AND(#REF!,"efjcKiiCnfw=")</f>
        <v>#REF!</v>
      </c>
      <c r="IT66" t="e">
        <f>AND(#REF!,"efjcKiiCnf0=")</f>
        <v>#REF!</v>
      </c>
      <c r="IU66" t="e">
        <f>AND(#REF!,"efjcKiiCnf4=")</f>
        <v>#REF!</v>
      </c>
      <c r="IV66" t="e">
        <f>AND(#REF!,"efjcKiiCnf8=")</f>
        <v>#REF!</v>
      </c>
    </row>
    <row r="67" spans="1:256" x14ac:dyDescent="0.2">
      <c r="A67" t="e">
        <f>AND(#REF!,"ZiUwuDdnnQA=")</f>
        <v>#REF!</v>
      </c>
      <c r="B67" t="e">
        <f>AND(#REF!,"ZiUwuDdnnQE=")</f>
        <v>#REF!</v>
      </c>
      <c r="C67" t="e">
        <f>AND(#REF!,"ZiUwuDdnnQI=")</f>
        <v>#REF!</v>
      </c>
      <c r="D67" t="e">
        <f>AND(#REF!,"ZiUwuDdnnQM=")</f>
        <v>#REF!</v>
      </c>
      <c r="E67" t="e">
        <f>AND(#REF!,"ZiUwuDdnnQQ=")</f>
        <v>#REF!</v>
      </c>
      <c r="F67" t="e">
        <f>AND(#REF!,"ZiUwuDdnnQU=")</f>
        <v>#REF!</v>
      </c>
      <c r="G67" t="e">
        <f>AND(#REF!,"ZiUwuDdnnQY=")</f>
        <v>#REF!</v>
      </c>
      <c r="H67" t="e">
        <f>AND(#REF!,"ZiUwuDdnnQc=")</f>
        <v>#REF!</v>
      </c>
      <c r="I67" t="e">
        <f>AND(#REF!,"ZiUwuDdnnQg=")</f>
        <v>#REF!</v>
      </c>
      <c r="J67" t="e">
        <f>AND(#REF!,"ZiUwuDdnnQk=")</f>
        <v>#REF!</v>
      </c>
      <c r="K67" t="e">
        <f>AND(#REF!,"ZiUwuDdnnQo=")</f>
        <v>#REF!</v>
      </c>
      <c r="L67" t="e">
        <f>AND(#REF!,"ZiUwuDdnnQs=")</f>
        <v>#REF!</v>
      </c>
      <c r="M67" t="e">
        <f>AND(#REF!,"ZiUwuDdnnQw=")</f>
        <v>#REF!</v>
      </c>
      <c r="N67" t="e">
        <f>AND(#REF!,"ZiUwuDdnnQ0=")</f>
        <v>#REF!</v>
      </c>
      <c r="O67" t="e">
        <f>AND(#REF!,"ZiUwuDdnnQ4=")</f>
        <v>#REF!</v>
      </c>
      <c r="P67" t="e">
        <f>AND(#REF!,"ZiUwuDdnnQ8=")</f>
        <v>#REF!</v>
      </c>
      <c r="Q67" t="e">
        <f>AND(#REF!,"ZiUwuDdnnRA=")</f>
        <v>#REF!</v>
      </c>
      <c r="R67" t="e">
        <f>AND(#REF!,"ZiUwuDdnnRE=")</f>
        <v>#REF!</v>
      </c>
      <c r="S67" t="e">
        <f>AND(#REF!,"ZiUwuDdnnRI=")</f>
        <v>#REF!</v>
      </c>
      <c r="T67" t="e">
        <f>AND(#REF!,"ZiUwuDdnnRM=")</f>
        <v>#REF!</v>
      </c>
      <c r="U67" t="e">
        <f>AND(#REF!,"ZiUwuDdnnRQ=")</f>
        <v>#REF!</v>
      </c>
      <c r="V67" t="e">
        <f>AND(#REF!,"ZiUwuDdnnRU=")</f>
        <v>#REF!</v>
      </c>
      <c r="W67" t="e">
        <f>AND(#REF!,"ZiUwuDdnnRY=")</f>
        <v>#REF!</v>
      </c>
      <c r="X67" t="e">
        <f>AND(#REF!,"ZiUwuDdnnRc=")</f>
        <v>#REF!</v>
      </c>
      <c r="Y67" t="e">
        <f>AND(#REF!,"ZiUwuDdnnRg=")</f>
        <v>#REF!</v>
      </c>
      <c r="Z67" t="e">
        <f>AND(#REF!,"ZiUwuDdnnRk=")</f>
        <v>#REF!</v>
      </c>
      <c r="AA67" t="e">
        <f>AND(#REF!,"ZiUwuDdnnRo=")</f>
        <v>#REF!</v>
      </c>
      <c r="AB67" t="e">
        <f>AND(#REF!,"ZiUwuDdnnRs=")</f>
        <v>#REF!</v>
      </c>
      <c r="AC67" t="e">
        <f>AND(#REF!,"ZiUwuDdnnRw=")</f>
        <v>#REF!</v>
      </c>
      <c r="AD67" t="e">
        <f>AND(#REF!,"ZiUwuDdnnR0=")</f>
        <v>#REF!</v>
      </c>
      <c r="AE67" t="e">
        <f>AND(#REF!,"ZiUwuDdnnR4=")</f>
        <v>#REF!</v>
      </c>
      <c r="AF67" t="e">
        <f>AND(#REF!,"ZiUwuDdnnR8=")</f>
        <v>#REF!</v>
      </c>
      <c r="AG67" t="e">
        <f>AND(#REF!,"ZiUwuDdnnSA=")</f>
        <v>#REF!</v>
      </c>
      <c r="AH67" t="e">
        <f>AND(#REF!,"ZiUwuDdnnSE=")</f>
        <v>#REF!</v>
      </c>
      <c r="AI67" t="e">
        <f>AND(#REF!,"ZiUwuDdnnSI=")</f>
        <v>#REF!</v>
      </c>
      <c r="AJ67" t="e">
        <f>AND(#REF!,"ZiUwuDdnnSM=")</f>
        <v>#REF!</v>
      </c>
      <c r="AK67" t="e">
        <f>AND(#REF!,"ZiUwuDdnnSQ=")</f>
        <v>#REF!</v>
      </c>
      <c r="AL67" t="e">
        <f>AND(#REF!,"ZiUwuDdnnSU=")</f>
        <v>#REF!</v>
      </c>
      <c r="AM67" t="e">
        <f>AND(#REF!,"ZiUwuDdnnSY=")</f>
        <v>#REF!</v>
      </c>
      <c r="AN67" t="e">
        <f>AND(#REF!,"ZiUwuDdnnSc=")</f>
        <v>#REF!</v>
      </c>
      <c r="AO67" t="e">
        <f>AND(#REF!,"ZiUwuDdnnSg=")</f>
        <v>#REF!</v>
      </c>
      <c r="AP67" t="e">
        <f>AND(#REF!,"ZiUwuDdnnSk=")</f>
        <v>#REF!</v>
      </c>
      <c r="AQ67" t="e">
        <f>AND(#REF!,"ZiUwuDdnnSo=")</f>
        <v>#REF!</v>
      </c>
      <c r="AR67" t="e">
        <f>AND(#REF!,"ZiUwuDdnnSs=")</f>
        <v>#REF!</v>
      </c>
      <c r="AS67" t="e">
        <f>AND(#REF!,"ZiUwuDdnnSw=")</f>
        <v>#REF!</v>
      </c>
      <c r="AT67" t="e">
        <f>AND(#REF!,"ZiUwuDdnnS0=")</f>
        <v>#REF!</v>
      </c>
      <c r="AU67" t="e">
        <f>AND(#REF!,"ZiUwuDdnnS4=")</f>
        <v>#REF!</v>
      </c>
      <c r="AV67" t="e">
        <f>AND(#REF!,"ZiUwuDdnnS8=")</f>
        <v>#REF!</v>
      </c>
      <c r="AW67" t="e">
        <f>AND(#REF!,"ZiUwuDdnnTA=")</f>
        <v>#REF!</v>
      </c>
      <c r="AX67" t="e">
        <f>AND(#REF!,"ZiUwuDdnnTE=")</f>
        <v>#REF!</v>
      </c>
      <c r="AY67" t="e">
        <f>AND(#REF!,"ZiUwuDdnnTI=")</f>
        <v>#REF!</v>
      </c>
      <c r="AZ67" t="e">
        <f>AND(#REF!,"ZiUwuDdnnTM=")</f>
        <v>#REF!</v>
      </c>
      <c r="BA67" t="e">
        <f>AND(#REF!,"ZiUwuDdnnTQ=")</f>
        <v>#REF!</v>
      </c>
      <c r="BB67" t="e">
        <f>AND(#REF!,"ZiUwuDdnnTU=")</f>
        <v>#REF!</v>
      </c>
      <c r="BC67" t="e">
        <f>AND(#REF!,"ZiUwuDdnnTY=")</f>
        <v>#REF!</v>
      </c>
      <c r="BD67" t="e">
        <f>AND(#REF!,"ZiUwuDdnnTc=")</f>
        <v>#REF!</v>
      </c>
      <c r="BE67" t="e">
        <f>AND(#REF!,"ZiUwuDdnnTg=")</f>
        <v>#REF!</v>
      </c>
      <c r="BF67" t="e">
        <f>AND(#REF!,"ZiUwuDdnnTk=")</f>
        <v>#REF!</v>
      </c>
      <c r="BG67" t="e">
        <f>AND(#REF!,"ZiUwuDdnnTo=")</f>
        <v>#REF!</v>
      </c>
      <c r="BH67" t="e">
        <f>AND(#REF!,"ZiUwuDdnnTs=")</f>
        <v>#REF!</v>
      </c>
      <c r="BI67" t="e">
        <f>AND(#REF!,"ZiUwuDdnnTw=")</f>
        <v>#REF!</v>
      </c>
      <c r="BJ67" t="e">
        <f>AND(#REF!,"ZiUwuDdnnT0=")</f>
        <v>#REF!</v>
      </c>
      <c r="BK67" t="e">
        <f>AND(#REF!,"ZiUwuDdnnT4=")</f>
        <v>#REF!</v>
      </c>
      <c r="BL67" t="e">
        <f>AND(#REF!,"ZiUwuDdnnT8=")</f>
        <v>#REF!</v>
      </c>
      <c r="BM67" t="e">
        <f>AND(#REF!,"ZiUwuDdnnUA=")</f>
        <v>#REF!</v>
      </c>
      <c r="BN67" t="e">
        <f>AND(#REF!,"ZiUwuDdnnUE=")</f>
        <v>#REF!</v>
      </c>
      <c r="BO67" t="e">
        <f>AND(#REF!,"ZiUwuDdnnUI=")</f>
        <v>#REF!</v>
      </c>
      <c r="BP67" t="e">
        <f>AND(#REF!,"ZiUwuDdnnUM=")</f>
        <v>#REF!</v>
      </c>
      <c r="BQ67" t="e">
        <f>AND(#REF!,"ZiUwuDdnnUQ=")</f>
        <v>#REF!</v>
      </c>
      <c r="BR67" t="e">
        <f>AND(#REF!,"ZiUwuDdnnUU=")</f>
        <v>#REF!</v>
      </c>
      <c r="BS67" t="e">
        <f>AND(#REF!,"ZiUwuDdnnUY=")</f>
        <v>#REF!</v>
      </c>
      <c r="BT67" t="e">
        <f>AND(#REF!,"ZiUwuDdnnUc=")</f>
        <v>#REF!</v>
      </c>
      <c r="BU67" t="e">
        <f>AND(#REF!,"ZiUwuDdnnUg=")</f>
        <v>#REF!</v>
      </c>
      <c r="BV67" t="e">
        <f>AND(#REF!,"ZiUwuDdnnUk=")</f>
        <v>#REF!</v>
      </c>
      <c r="BW67" t="e">
        <f>AND(#REF!,"ZiUwuDdnnUo=")</f>
        <v>#REF!</v>
      </c>
      <c r="BX67" t="e">
        <f>AND(#REF!,"ZiUwuDdnnUs=")</f>
        <v>#REF!</v>
      </c>
      <c r="BY67" t="e">
        <f>AND(#REF!,"ZiUwuDdnnUw=")</f>
        <v>#REF!</v>
      </c>
      <c r="BZ67" t="e">
        <f>AND(#REF!,"ZiUwuDdnnU0=")</f>
        <v>#REF!</v>
      </c>
      <c r="CA67" t="e">
        <f>AND(#REF!,"ZiUwuDdnnU4=")</f>
        <v>#REF!</v>
      </c>
      <c r="CB67" t="e">
        <f>AND(#REF!,"ZiUwuDdnnU8=")</f>
        <v>#REF!</v>
      </c>
      <c r="CC67" t="e">
        <f>AND(#REF!,"ZiUwuDdnnVA=")</f>
        <v>#REF!</v>
      </c>
      <c r="CD67" t="e">
        <f>AND(#REF!,"ZiUwuDdnnVE=")</f>
        <v>#REF!</v>
      </c>
      <c r="CE67" t="e">
        <f>AND(#REF!,"ZiUwuDdnnVI=")</f>
        <v>#REF!</v>
      </c>
      <c r="CF67" t="e">
        <f>AND(#REF!,"ZiUwuDdnnVM=")</f>
        <v>#REF!</v>
      </c>
      <c r="CG67" t="e">
        <f>AND(#REF!,"ZiUwuDdnnVQ=")</f>
        <v>#REF!</v>
      </c>
      <c r="CH67" t="e">
        <f>AND(#REF!,"ZiUwuDdnnVU=")</f>
        <v>#REF!</v>
      </c>
      <c r="CI67" t="e">
        <f>AND(#REF!,"ZiUwuDdnnVY=")</f>
        <v>#REF!</v>
      </c>
      <c r="CJ67" t="e">
        <f>AND(#REF!,"ZiUwuDdnnVc=")</f>
        <v>#REF!</v>
      </c>
      <c r="CK67" t="e">
        <f>AND(#REF!,"ZiUwuDdnnVg=")</f>
        <v>#REF!</v>
      </c>
      <c r="CL67" t="e">
        <f>AND(#REF!,"ZiUwuDdnnVk=")</f>
        <v>#REF!</v>
      </c>
      <c r="CM67" t="e">
        <f>AND(#REF!,"ZiUwuDdnnVo=")</f>
        <v>#REF!</v>
      </c>
      <c r="CN67" t="e">
        <f>AND(#REF!,"ZiUwuDdnnVs=")</f>
        <v>#REF!</v>
      </c>
      <c r="CO67" t="e">
        <f>AND(#REF!,"ZiUwuDdnnVw=")</f>
        <v>#REF!</v>
      </c>
      <c r="CP67" t="e">
        <f>AND(#REF!,"ZiUwuDdnnV0=")</f>
        <v>#REF!</v>
      </c>
      <c r="CQ67" t="e">
        <f>AND(#REF!,"ZiUwuDdnnV4=")</f>
        <v>#REF!</v>
      </c>
      <c r="CR67" t="e">
        <f>AND(#REF!,"ZiUwuDdnnV8=")</f>
        <v>#REF!</v>
      </c>
      <c r="CS67" t="e">
        <f>AND(#REF!,"ZiUwuDdnnWA=")</f>
        <v>#REF!</v>
      </c>
      <c r="CT67" t="e">
        <f>AND(#REF!,"ZiUwuDdnnWE=")</f>
        <v>#REF!</v>
      </c>
      <c r="CU67" t="e">
        <f>AND(#REF!,"ZiUwuDdnnWI=")</f>
        <v>#REF!</v>
      </c>
      <c r="CV67" t="e">
        <f>AND(#REF!,"ZiUwuDdnnWM=")</f>
        <v>#REF!</v>
      </c>
      <c r="CW67" t="e">
        <f>AND(#REF!,"ZiUwuDdnnWQ=")</f>
        <v>#REF!</v>
      </c>
      <c r="CX67" t="e">
        <f>AND(#REF!,"ZiUwuDdnnWU=")</f>
        <v>#REF!</v>
      </c>
      <c r="CY67" t="e">
        <f>AND(#REF!,"ZiUwuDdnnWY=")</f>
        <v>#REF!</v>
      </c>
      <c r="CZ67" t="e">
        <f>AND(#REF!,"ZiUwuDdnnWc=")</f>
        <v>#REF!</v>
      </c>
      <c r="DA67" t="e">
        <f>AND(#REF!,"ZiUwuDdnnWg=")</f>
        <v>#REF!</v>
      </c>
      <c r="DB67" t="e">
        <f>AND(#REF!,"ZiUwuDdnnWk=")</f>
        <v>#REF!</v>
      </c>
      <c r="DC67" t="e">
        <f>AND(#REF!,"ZiUwuDdnnWo=")</f>
        <v>#REF!</v>
      </c>
      <c r="DD67" t="e">
        <f>AND(#REF!,"ZiUwuDdnnWs=")</f>
        <v>#REF!</v>
      </c>
      <c r="DE67" t="e">
        <f>AND(#REF!,"ZiUwuDdnnWw=")</f>
        <v>#REF!</v>
      </c>
      <c r="DF67" t="e">
        <f>AND(#REF!,"ZiUwuDdnnW0=")</f>
        <v>#REF!</v>
      </c>
      <c r="DG67" t="e">
        <f>AND(#REF!,"ZiUwuDdnnW4=")</f>
        <v>#REF!</v>
      </c>
      <c r="DH67" t="e">
        <f>AND(#REF!,"ZiUwuDdnnW8=")</f>
        <v>#REF!</v>
      </c>
      <c r="DI67" t="e">
        <f>AND(#REF!,"ZiUwuDdnnXA=")</f>
        <v>#REF!</v>
      </c>
      <c r="DJ67" t="e">
        <f>AND(#REF!,"ZiUwuDdnnXE=")</f>
        <v>#REF!</v>
      </c>
      <c r="DK67" t="e">
        <f>AND(#REF!,"ZiUwuDdnnXI=")</f>
        <v>#REF!</v>
      </c>
      <c r="DL67" t="e">
        <f>AND(#REF!,"ZiUwuDdnnXM=")</f>
        <v>#REF!</v>
      </c>
      <c r="DM67" t="e">
        <f>AND(#REF!,"ZiUwuDdnnXQ=")</f>
        <v>#REF!</v>
      </c>
      <c r="DN67" t="e">
        <f>AND(#REF!,"ZiUwuDdnnXU=")</f>
        <v>#REF!</v>
      </c>
      <c r="DO67" t="e">
        <f>AND(#REF!,"ZiUwuDdnnXY=")</f>
        <v>#REF!</v>
      </c>
      <c r="DP67" t="e">
        <f>AND(#REF!,"ZiUwuDdnnXc=")</f>
        <v>#REF!</v>
      </c>
      <c r="DQ67" t="e">
        <f>AND(#REF!,"ZiUwuDdnnXg=")</f>
        <v>#REF!</v>
      </c>
      <c r="DR67" t="e">
        <f>AND(#REF!,"ZiUwuDdnnXk=")</f>
        <v>#REF!</v>
      </c>
      <c r="DS67" t="e">
        <f>AND(#REF!,"ZiUwuDdnnXo=")</f>
        <v>#REF!</v>
      </c>
      <c r="DT67" t="e">
        <f>AND(#REF!,"ZiUwuDdnnXs=")</f>
        <v>#REF!</v>
      </c>
      <c r="DU67" t="e">
        <f>AND(#REF!,"ZiUwuDdnnXw=")</f>
        <v>#REF!</v>
      </c>
      <c r="DV67" t="e">
        <f>AND(#REF!,"ZiUwuDdnnX0=")</f>
        <v>#REF!</v>
      </c>
      <c r="DW67" t="e">
        <f>AND(#REF!,"ZiUwuDdnnX4=")</f>
        <v>#REF!</v>
      </c>
      <c r="DX67" t="e">
        <f>AND(#REF!,"ZiUwuDdnnX8=")</f>
        <v>#REF!</v>
      </c>
      <c r="DY67" t="e">
        <f>AND(#REF!,"ZiUwuDdnnYA=")</f>
        <v>#REF!</v>
      </c>
      <c r="DZ67" t="e">
        <f>AND(#REF!,"ZiUwuDdnnYE=")</f>
        <v>#REF!</v>
      </c>
      <c r="EA67" t="e">
        <f>AND(#REF!,"ZiUwuDdnnYI=")</f>
        <v>#REF!</v>
      </c>
      <c r="EB67" t="e">
        <f>AND(#REF!,"ZiUwuDdnnYM=")</f>
        <v>#REF!</v>
      </c>
      <c r="EC67" t="e">
        <f>AND(#REF!,"ZiUwuDdnnYQ=")</f>
        <v>#REF!</v>
      </c>
      <c r="ED67" t="e">
        <f>AND(#REF!,"ZiUwuDdnnYU=")</f>
        <v>#REF!</v>
      </c>
      <c r="EE67" t="e">
        <f>AND(#REF!,"ZiUwuDdnnYY=")</f>
        <v>#REF!</v>
      </c>
      <c r="EF67" t="e">
        <f>AND(#REF!,"ZiUwuDdnnYc=")</f>
        <v>#REF!</v>
      </c>
      <c r="EG67" t="e">
        <f>AND(#REF!,"ZiUwuDdnnYg=")</f>
        <v>#REF!</v>
      </c>
      <c r="EH67" t="e">
        <f>AND(#REF!,"ZiUwuDdnnYk=")</f>
        <v>#REF!</v>
      </c>
      <c r="EI67" t="e">
        <f>AND(#REF!,"ZiUwuDdnnYo=")</f>
        <v>#REF!</v>
      </c>
      <c r="EJ67" t="e">
        <f>AND(#REF!,"ZiUwuDdnnYs=")</f>
        <v>#REF!</v>
      </c>
      <c r="EK67" t="e">
        <f>AND(#REF!,"ZiUwuDdnnYw=")</f>
        <v>#REF!</v>
      </c>
      <c r="EL67" t="e">
        <f>AND(#REF!,"ZiUwuDdnnY0=")</f>
        <v>#REF!</v>
      </c>
      <c r="EM67" t="e">
        <f>AND(#REF!,"ZiUwuDdnnY4=")</f>
        <v>#REF!</v>
      </c>
      <c r="EN67" t="e">
        <f>AND(#REF!,"ZiUwuDdnnY8=")</f>
        <v>#REF!</v>
      </c>
      <c r="EO67" t="e">
        <f>AND(#REF!,"ZiUwuDdnnZA=")</f>
        <v>#REF!</v>
      </c>
      <c r="EP67" t="e">
        <f>AND(#REF!,"ZiUwuDdnnZE=")</f>
        <v>#REF!</v>
      </c>
      <c r="EQ67" t="e">
        <f>AND(#REF!,"ZiUwuDdnnZI=")</f>
        <v>#REF!</v>
      </c>
      <c r="ER67" t="e">
        <f>AND(#REF!,"ZiUwuDdnnZM=")</f>
        <v>#REF!</v>
      </c>
      <c r="ES67" t="e">
        <f>AND(#REF!,"ZiUwuDdnnZQ=")</f>
        <v>#REF!</v>
      </c>
      <c r="ET67" t="e">
        <f>AND(#REF!,"ZiUwuDdnnZU=")</f>
        <v>#REF!</v>
      </c>
      <c r="EU67" t="e">
        <f>AND(#REF!,"ZiUwuDdnnZY=")</f>
        <v>#REF!</v>
      </c>
      <c r="EV67" t="e">
        <f>AND(#REF!,"ZiUwuDdnnZc=")</f>
        <v>#REF!</v>
      </c>
      <c r="EW67" t="e">
        <f>AND(#REF!,"ZiUwuDdnnZg=")</f>
        <v>#REF!</v>
      </c>
      <c r="EX67" t="e">
        <f>AND(#REF!,"ZiUwuDdnnZk=")</f>
        <v>#REF!</v>
      </c>
      <c r="EY67" t="e">
        <f>AND(#REF!,"ZiUwuDdnnZo=")</f>
        <v>#REF!</v>
      </c>
      <c r="EZ67" t="e">
        <f>AND(#REF!,"ZiUwuDdnnZs=")</f>
        <v>#REF!</v>
      </c>
      <c r="FA67" t="e">
        <f>AND(#REF!,"ZiUwuDdnnZw=")</f>
        <v>#REF!</v>
      </c>
      <c r="FB67" t="e">
        <f>AND(#REF!,"ZiUwuDdnnZ0=")</f>
        <v>#REF!</v>
      </c>
      <c r="FC67" t="e">
        <f>AND(#REF!,"ZiUwuDdnnZ4=")</f>
        <v>#REF!</v>
      </c>
      <c r="FD67" t="e">
        <f>AND(#REF!,"ZiUwuDdnnZ8=")</f>
        <v>#REF!</v>
      </c>
      <c r="FE67" t="e">
        <f>AND(#REF!,"ZiUwuDdnnaA=")</f>
        <v>#REF!</v>
      </c>
      <c r="FF67" t="e">
        <f>AND(#REF!,"ZiUwuDdnnaE=")</f>
        <v>#REF!</v>
      </c>
      <c r="FG67" t="e">
        <f>AND(#REF!,"ZiUwuDdnnaI=")</f>
        <v>#REF!</v>
      </c>
      <c r="FH67" t="e">
        <f>AND(#REF!,"ZiUwuDdnnaM=")</f>
        <v>#REF!</v>
      </c>
      <c r="FI67" t="e">
        <f>IF(#REF!,"ZiUwuDdnnaQ=",0)</f>
        <v>#REF!</v>
      </c>
      <c r="FJ67" t="e">
        <f>AND(#REF!,"ZiUwuDdnnaU=")</f>
        <v>#REF!</v>
      </c>
      <c r="FK67" t="e">
        <f>AND(#REF!,"ZiUwuDdnnaY=")</f>
        <v>#REF!</v>
      </c>
      <c r="FL67" t="e">
        <f>AND(#REF!,"ZiUwuDdnnac=")</f>
        <v>#REF!</v>
      </c>
      <c r="FM67" t="e">
        <f>AND(#REF!,"ZiUwuDdnnag=")</f>
        <v>#REF!</v>
      </c>
      <c r="FN67" t="e">
        <f>AND(#REF!,"ZiUwuDdnnak=")</f>
        <v>#REF!</v>
      </c>
      <c r="FO67" t="e">
        <f>AND(#REF!,"ZiUwuDdnnao=")</f>
        <v>#REF!</v>
      </c>
      <c r="FP67" t="e">
        <f>AND(#REF!,"ZiUwuDdnnas=")</f>
        <v>#REF!</v>
      </c>
      <c r="FQ67" t="e">
        <f>AND(#REF!,"ZiUwuDdnnaw=")</f>
        <v>#REF!</v>
      </c>
      <c r="FR67" t="e">
        <f>AND(#REF!,"ZiUwuDdnna0=")</f>
        <v>#REF!</v>
      </c>
      <c r="FS67" t="e">
        <f>AND(#REF!,"ZiUwuDdnna4=")</f>
        <v>#REF!</v>
      </c>
      <c r="FT67" t="e">
        <f>AND(#REF!,"ZiUwuDdnna8=")</f>
        <v>#REF!</v>
      </c>
      <c r="FU67" t="e">
        <f>AND(#REF!,"ZiUwuDdnnbA=")</f>
        <v>#REF!</v>
      </c>
      <c r="FV67" t="e">
        <f>AND(#REF!,"ZiUwuDdnnbE=")</f>
        <v>#REF!</v>
      </c>
      <c r="FW67" t="e">
        <f>AND(#REF!,"ZiUwuDdnnbI=")</f>
        <v>#REF!</v>
      </c>
      <c r="FX67" t="e">
        <f>AND(#REF!,"ZiUwuDdnnbM=")</f>
        <v>#REF!</v>
      </c>
      <c r="FY67" t="e">
        <f>AND(#REF!,"ZiUwuDdnnbQ=")</f>
        <v>#REF!</v>
      </c>
      <c r="FZ67" t="e">
        <f>AND(#REF!,"ZiUwuDdnnbU=")</f>
        <v>#REF!</v>
      </c>
      <c r="GA67" t="e">
        <f>AND(#REF!,"ZiUwuDdnnbY=")</f>
        <v>#REF!</v>
      </c>
      <c r="GB67" t="e">
        <f>AND(#REF!,"ZiUwuDdnnbc=")</f>
        <v>#REF!</v>
      </c>
      <c r="GC67" t="e">
        <f>AND(#REF!,"ZiUwuDdnnbg=")</f>
        <v>#REF!</v>
      </c>
      <c r="GD67" t="e">
        <f>AND(#REF!,"ZiUwuDdnnbk=")</f>
        <v>#REF!</v>
      </c>
      <c r="GE67" t="e">
        <f>AND(#REF!,"ZiUwuDdnnbo=")</f>
        <v>#REF!</v>
      </c>
      <c r="GF67" t="e">
        <f>AND(#REF!,"ZiUwuDdnnbs=")</f>
        <v>#REF!</v>
      </c>
      <c r="GG67" t="e">
        <f>AND(#REF!,"ZiUwuDdnnbw=")</f>
        <v>#REF!</v>
      </c>
      <c r="GH67" t="e">
        <f>AND(#REF!,"ZiUwuDdnnb0=")</f>
        <v>#REF!</v>
      </c>
      <c r="GI67" t="e">
        <f>AND(#REF!,"ZiUwuDdnnb4=")</f>
        <v>#REF!</v>
      </c>
      <c r="GJ67" t="e">
        <f>AND(#REF!,"ZiUwuDdnnb8=")</f>
        <v>#REF!</v>
      </c>
      <c r="GK67" t="e">
        <f>AND(#REF!,"ZiUwuDdnncA=")</f>
        <v>#REF!</v>
      </c>
      <c r="GL67" t="e">
        <f>AND(#REF!,"ZiUwuDdnncE=")</f>
        <v>#REF!</v>
      </c>
      <c r="GM67" t="e">
        <f>AND(#REF!,"ZiUwuDdnncI=")</f>
        <v>#REF!</v>
      </c>
      <c r="GN67" t="e">
        <f>AND(#REF!,"ZiUwuDdnncM=")</f>
        <v>#REF!</v>
      </c>
      <c r="GO67" t="e">
        <f>AND(#REF!,"ZiUwuDdnncQ=")</f>
        <v>#REF!</v>
      </c>
      <c r="GP67" t="e">
        <f>AND(#REF!,"ZiUwuDdnncU=")</f>
        <v>#REF!</v>
      </c>
      <c r="GQ67" t="e">
        <f>AND(#REF!,"ZiUwuDdnncY=")</f>
        <v>#REF!</v>
      </c>
      <c r="GR67" t="e">
        <f>AND(#REF!,"ZiUwuDdnncc=")</f>
        <v>#REF!</v>
      </c>
      <c r="GS67" t="e">
        <f>AND(#REF!,"ZiUwuDdnncg=")</f>
        <v>#REF!</v>
      </c>
      <c r="GT67" t="e">
        <f>AND(#REF!,"ZiUwuDdnnck=")</f>
        <v>#REF!</v>
      </c>
      <c r="GU67" t="e">
        <f>AND(#REF!,"ZiUwuDdnnco=")</f>
        <v>#REF!</v>
      </c>
      <c r="GV67" t="e">
        <f>AND(#REF!,"ZiUwuDdnncs=")</f>
        <v>#REF!</v>
      </c>
      <c r="GW67" t="e">
        <f>AND(#REF!,"ZiUwuDdnncw=")</f>
        <v>#REF!</v>
      </c>
      <c r="GX67" t="e">
        <f>AND(#REF!,"ZiUwuDdnnc0=")</f>
        <v>#REF!</v>
      </c>
      <c r="GY67" t="e">
        <f>AND(#REF!,"ZiUwuDdnnc4=")</f>
        <v>#REF!</v>
      </c>
      <c r="GZ67" t="e">
        <f>AND(#REF!,"ZiUwuDdnnc8=")</f>
        <v>#REF!</v>
      </c>
      <c r="HA67" t="e">
        <f>AND(#REF!,"ZiUwuDdnndA=")</f>
        <v>#REF!</v>
      </c>
      <c r="HB67" t="e">
        <f>AND(#REF!,"ZiUwuDdnndE=")</f>
        <v>#REF!</v>
      </c>
      <c r="HC67" t="e">
        <f>AND(#REF!,"ZiUwuDdnndI=")</f>
        <v>#REF!</v>
      </c>
      <c r="HD67" t="e">
        <f>AND(#REF!,"ZiUwuDdnndM=")</f>
        <v>#REF!</v>
      </c>
      <c r="HE67" t="e">
        <f>AND(#REF!,"ZiUwuDdnndQ=")</f>
        <v>#REF!</v>
      </c>
      <c r="HF67" t="e">
        <f>AND(#REF!,"ZiUwuDdnndU=")</f>
        <v>#REF!</v>
      </c>
      <c r="HG67" t="e">
        <f>AND(#REF!,"ZiUwuDdnndY=")</f>
        <v>#REF!</v>
      </c>
      <c r="HH67" t="e">
        <f>AND(#REF!,"ZiUwuDdnndc=")</f>
        <v>#REF!</v>
      </c>
      <c r="HI67" t="e">
        <f>AND(#REF!,"ZiUwuDdnndg=")</f>
        <v>#REF!</v>
      </c>
      <c r="HJ67" t="e">
        <f>AND(#REF!,"ZiUwuDdnndk=")</f>
        <v>#REF!</v>
      </c>
      <c r="HK67" t="e">
        <f>AND(#REF!,"ZiUwuDdnndo=")</f>
        <v>#REF!</v>
      </c>
      <c r="HL67" t="e">
        <f>AND(#REF!,"ZiUwuDdnnds=")</f>
        <v>#REF!</v>
      </c>
      <c r="HM67" t="e">
        <f>AND(#REF!,"ZiUwuDdnndw=")</f>
        <v>#REF!</v>
      </c>
      <c r="HN67" t="e">
        <f>AND(#REF!,"ZiUwuDdnnd0=")</f>
        <v>#REF!</v>
      </c>
      <c r="HO67" t="e">
        <f>AND(#REF!,"ZiUwuDdnnd4=")</f>
        <v>#REF!</v>
      </c>
      <c r="HP67" t="e">
        <f>AND(#REF!,"ZiUwuDdnnd8=")</f>
        <v>#REF!</v>
      </c>
      <c r="HQ67" t="e">
        <f>AND(#REF!,"ZiUwuDdnneA=")</f>
        <v>#REF!</v>
      </c>
      <c r="HR67" t="e">
        <f>AND(#REF!,"ZiUwuDdnneE=")</f>
        <v>#REF!</v>
      </c>
      <c r="HS67" t="e">
        <f>AND(#REF!,"ZiUwuDdnneI=")</f>
        <v>#REF!</v>
      </c>
      <c r="HT67" t="e">
        <f>AND(#REF!,"ZiUwuDdnneM=")</f>
        <v>#REF!</v>
      </c>
      <c r="HU67" t="e">
        <f>AND(#REF!,"ZiUwuDdnneQ=")</f>
        <v>#REF!</v>
      </c>
      <c r="HV67" t="e">
        <f>AND(#REF!,"ZiUwuDdnneU=")</f>
        <v>#REF!</v>
      </c>
      <c r="HW67" t="e">
        <f>AND(#REF!,"ZiUwuDdnneY=")</f>
        <v>#REF!</v>
      </c>
      <c r="HX67" t="e">
        <f>AND(#REF!,"ZiUwuDdnnec=")</f>
        <v>#REF!</v>
      </c>
      <c r="HY67" t="e">
        <f>AND(#REF!,"ZiUwuDdnneg=")</f>
        <v>#REF!</v>
      </c>
      <c r="HZ67" t="e">
        <f>AND(#REF!,"ZiUwuDdnnek=")</f>
        <v>#REF!</v>
      </c>
      <c r="IA67" t="e">
        <f>AND(#REF!,"ZiUwuDdnneo=")</f>
        <v>#REF!</v>
      </c>
      <c r="IB67" t="e">
        <f>AND(#REF!,"ZiUwuDdnnes=")</f>
        <v>#REF!</v>
      </c>
      <c r="IC67" t="e">
        <f>AND(#REF!,"ZiUwuDdnnew=")</f>
        <v>#REF!</v>
      </c>
      <c r="ID67" t="e">
        <f>AND(#REF!,"ZiUwuDdnne0=")</f>
        <v>#REF!</v>
      </c>
      <c r="IE67" t="e">
        <f>AND(#REF!,"ZiUwuDdnne4=")</f>
        <v>#REF!</v>
      </c>
      <c r="IF67" t="e">
        <f>AND(#REF!,"ZiUwuDdnne8=")</f>
        <v>#REF!</v>
      </c>
      <c r="IG67" t="e">
        <f>AND(#REF!,"ZiUwuDdnnfA=")</f>
        <v>#REF!</v>
      </c>
      <c r="IH67" t="e">
        <f>AND(#REF!,"ZiUwuDdnnfE=")</f>
        <v>#REF!</v>
      </c>
      <c r="II67" t="e">
        <f>AND(#REF!,"ZiUwuDdnnfI=")</f>
        <v>#REF!</v>
      </c>
      <c r="IJ67" t="e">
        <f>AND(#REF!,"ZiUwuDdnnfM=")</f>
        <v>#REF!</v>
      </c>
      <c r="IK67" t="e">
        <f>AND(#REF!,"ZiUwuDdnnfQ=")</f>
        <v>#REF!</v>
      </c>
      <c r="IL67" t="e">
        <f>AND(#REF!,"ZiUwuDdnnfU=")</f>
        <v>#REF!</v>
      </c>
      <c r="IM67" t="e">
        <f>AND(#REF!,"ZiUwuDdnnfY=")</f>
        <v>#REF!</v>
      </c>
      <c r="IN67" t="e">
        <f>AND(#REF!,"ZiUwuDdnnfc=")</f>
        <v>#REF!</v>
      </c>
      <c r="IO67" t="e">
        <f>AND(#REF!,"ZiUwuDdnnfg=")</f>
        <v>#REF!</v>
      </c>
      <c r="IP67" t="e">
        <f>AND(#REF!,"ZiUwuDdnnfk=")</f>
        <v>#REF!</v>
      </c>
      <c r="IQ67" t="e">
        <f>AND(#REF!,"ZiUwuDdnnfo=")</f>
        <v>#REF!</v>
      </c>
      <c r="IR67" t="e">
        <f>AND(#REF!,"ZiUwuDdnnfs=")</f>
        <v>#REF!</v>
      </c>
      <c r="IS67" t="e">
        <f>AND(#REF!,"ZiUwuDdnnfw=")</f>
        <v>#REF!</v>
      </c>
      <c r="IT67" t="e">
        <f>AND(#REF!,"ZiUwuDdnnf0=")</f>
        <v>#REF!</v>
      </c>
      <c r="IU67" t="e">
        <f>AND(#REF!,"ZiUwuDdnnf4=")</f>
        <v>#REF!</v>
      </c>
      <c r="IV67" t="e">
        <f>AND(#REF!,"ZiUwuDdnnf8=")</f>
        <v>#REF!</v>
      </c>
    </row>
    <row r="68" spans="1:256" x14ac:dyDescent="0.2">
      <c r="A68" t="e">
        <f>AND(#REF!,"PC5poT59YQA=")</f>
        <v>#REF!</v>
      </c>
      <c r="B68" t="e">
        <f>AND(#REF!,"PC5poT59YQE=")</f>
        <v>#REF!</v>
      </c>
      <c r="C68" t="e">
        <f>AND(#REF!,"PC5poT59YQI=")</f>
        <v>#REF!</v>
      </c>
      <c r="D68" t="e">
        <f>AND(#REF!,"PC5poT59YQM=")</f>
        <v>#REF!</v>
      </c>
      <c r="E68" t="e">
        <f>AND(#REF!,"PC5poT59YQQ=")</f>
        <v>#REF!</v>
      </c>
      <c r="F68" t="e">
        <f>AND(#REF!,"PC5poT59YQU=")</f>
        <v>#REF!</v>
      </c>
      <c r="G68" t="e">
        <f>AND(#REF!,"PC5poT59YQY=")</f>
        <v>#REF!</v>
      </c>
      <c r="H68" t="e">
        <f>AND(#REF!,"PC5poT59YQc=")</f>
        <v>#REF!</v>
      </c>
      <c r="I68" t="e">
        <f>AND(#REF!,"PC5poT59YQg=")</f>
        <v>#REF!</v>
      </c>
      <c r="J68" t="e">
        <f>AND(#REF!,"PC5poT59YQk=")</f>
        <v>#REF!</v>
      </c>
      <c r="K68" t="e">
        <f>AND(#REF!,"PC5poT59YQo=")</f>
        <v>#REF!</v>
      </c>
      <c r="L68" t="e">
        <f>AND(#REF!,"PC5poT59YQs=")</f>
        <v>#REF!</v>
      </c>
      <c r="M68" t="e">
        <f>AND(#REF!,"PC5poT59YQw=")</f>
        <v>#REF!</v>
      </c>
      <c r="N68" t="e">
        <f>AND(#REF!,"PC5poT59YQ0=")</f>
        <v>#REF!</v>
      </c>
      <c r="O68" t="e">
        <f>AND(#REF!,"PC5poT59YQ4=")</f>
        <v>#REF!</v>
      </c>
      <c r="P68" t="e">
        <f>AND(#REF!,"PC5poT59YQ8=")</f>
        <v>#REF!</v>
      </c>
      <c r="Q68" t="e">
        <f>AND(#REF!,"PC5poT59YRA=")</f>
        <v>#REF!</v>
      </c>
      <c r="R68" t="e">
        <f>AND(#REF!,"PC5poT59YRE=")</f>
        <v>#REF!</v>
      </c>
      <c r="S68" t="e">
        <f>AND(#REF!,"PC5poT59YRI=")</f>
        <v>#REF!</v>
      </c>
      <c r="T68" t="e">
        <f>AND(#REF!,"PC5poT59YRM=")</f>
        <v>#REF!</v>
      </c>
      <c r="U68" t="e">
        <f>AND(#REF!,"PC5poT59YRQ=")</f>
        <v>#REF!</v>
      </c>
      <c r="V68" t="e">
        <f>AND(#REF!,"PC5poT59YRU=")</f>
        <v>#REF!</v>
      </c>
      <c r="W68" t="e">
        <f>AND(#REF!,"PC5poT59YRY=")</f>
        <v>#REF!</v>
      </c>
      <c r="X68" t="e">
        <f>AND(#REF!,"PC5poT59YRc=")</f>
        <v>#REF!</v>
      </c>
      <c r="Y68" t="e">
        <f>AND(#REF!,"PC5poT59YRg=")</f>
        <v>#REF!</v>
      </c>
      <c r="Z68" t="e">
        <f>AND(#REF!,"PC5poT59YRk=")</f>
        <v>#REF!</v>
      </c>
      <c r="AA68" t="e">
        <f>AND(#REF!,"PC5poT59YRo=")</f>
        <v>#REF!</v>
      </c>
      <c r="AB68" t="e">
        <f>AND(#REF!,"PC5poT59YRs=")</f>
        <v>#REF!</v>
      </c>
      <c r="AC68" t="e">
        <f>AND(#REF!,"PC5poT59YRw=")</f>
        <v>#REF!</v>
      </c>
      <c r="AD68" t="e">
        <f>AND(#REF!,"PC5poT59YR0=")</f>
        <v>#REF!</v>
      </c>
      <c r="AE68" t="e">
        <f>AND(#REF!,"PC5poT59YR4=")</f>
        <v>#REF!</v>
      </c>
      <c r="AF68" t="e">
        <f>AND(#REF!,"PC5poT59YR8=")</f>
        <v>#REF!</v>
      </c>
      <c r="AG68" t="e">
        <f>AND(#REF!,"PC5poT59YSA=")</f>
        <v>#REF!</v>
      </c>
      <c r="AH68" t="e">
        <f>AND(#REF!,"PC5poT59YSE=")</f>
        <v>#REF!</v>
      </c>
      <c r="AI68" t="e">
        <f>AND(#REF!,"PC5poT59YSI=")</f>
        <v>#REF!</v>
      </c>
      <c r="AJ68" t="e">
        <f>AND(#REF!,"PC5poT59YSM=")</f>
        <v>#REF!</v>
      </c>
      <c r="AK68" t="e">
        <f>AND(#REF!,"PC5poT59YSQ=")</f>
        <v>#REF!</v>
      </c>
      <c r="AL68" t="e">
        <f>AND(#REF!,"PC5poT59YSU=")</f>
        <v>#REF!</v>
      </c>
      <c r="AM68" t="e">
        <f>AND(#REF!,"PC5poT59YSY=")</f>
        <v>#REF!</v>
      </c>
      <c r="AN68" t="e">
        <f>AND(#REF!,"PC5poT59YSc=")</f>
        <v>#REF!</v>
      </c>
      <c r="AO68" t="e">
        <f>AND(#REF!,"PC5poT59YSg=")</f>
        <v>#REF!</v>
      </c>
      <c r="AP68" t="e">
        <f>AND(#REF!,"PC5poT59YSk=")</f>
        <v>#REF!</v>
      </c>
      <c r="AQ68" t="e">
        <f>AND(#REF!,"PC5poT59YSo=")</f>
        <v>#REF!</v>
      </c>
      <c r="AR68" t="e">
        <f>AND(#REF!,"PC5poT59YSs=")</f>
        <v>#REF!</v>
      </c>
      <c r="AS68" t="e">
        <f>AND(#REF!,"PC5poT59YSw=")</f>
        <v>#REF!</v>
      </c>
      <c r="AT68" t="e">
        <f>AND(#REF!,"PC5poT59YS0=")</f>
        <v>#REF!</v>
      </c>
      <c r="AU68" t="e">
        <f>AND(#REF!,"PC5poT59YS4=")</f>
        <v>#REF!</v>
      </c>
      <c r="AV68" t="e">
        <f>AND(#REF!,"PC5poT59YS8=")</f>
        <v>#REF!</v>
      </c>
      <c r="AW68" t="e">
        <f>AND(#REF!,"PC5poT59YTA=")</f>
        <v>#REF!</v>
      </c>
      <c r="AX68" t="e">
        <f>AND(#REF!,"PC5poT59YTE=")</f>
        <v>#REF!</v>
      </c>
      <c r="AY68" t="e">
        <f>AND(#REF!,"PC5poT59YTI=")</f>
        <v>#REF!</v>
      </c>
      <c r="AZ68" t="e">
        <f>AND(#REF!,"PC5poT59YTM=")</f>
        <v>#REF!</v>
      </c>
      <c r="BA68" t="e">
        <f>AND(#REF!,"PC5poT59YTQ=")</f>
        <v>#REF!</v>
      </c>
      <c r="BB68" t="e">
        <f>AND(#REF!,"PC5poT59YTU=")</f>
        <v>#REF!</v>
      </c>
      <c r="BC68" t="e">
        <f>AND(#REF!,"PC5poT59YTY=")</f>
        <v>#REF!</v>
      </c>
      <c r="BD68" t="e">
        <f>AND(#REF!,"PC5poT59YTc=")</f>
        <v>#REF!</v>
      </c>
      <c r="BE68" t="e">
        <f>AND(#REF!,"PC5poT59YTg=")</f>
        <v>#REF!</v>
      </c>
      <c r="BF68" t="e">
        <f>AND(#REF!,"PC5poT59YTk=")</f>
        <v>#REF!</v>
      </c>
      <c r="BG68" t="e">
        <f>AND(#REF!,"PC5poT59YTo=")</f>
        <v>#REF!</v>
      </c>
      <c r="BH68" t="e">
        <f>AND(#REF!,"PC5poT59YTs=")</f>
        <v>#REF!</v>
      </c>
      <c r="BI68" t="e">
        <f>AND(#REF!,"PC5poT59YTw=")</f>
        <v>#REF!</v>
      </c>
      <c r="BJ68" t="e">
        <f>AND(#REF!,"PC5poT59YT0=")</f>
        <v>#REF!</v>
      </c>
      <c r="BK68" t="e">
        <f>AND(#REF!,"PC5poT59YT4=")</f>
        <v>#REF!</v>
      </c>
      <c r="BL68" t="e">
        <f>AND(#REF!,"PC5poT59YT8=")</f>
        <v>#REF!</v>
      </c>
      <c r="BM68" t="e">
        <f>AND(#REF!,"PC5poT59YUA=")</f>
        <v>#REF!</v>
      </c>
      <c r="BN68" t="e">
        <f>AND(#REF!,"PC5poT59YUE=")</f>
        <v>#REF!</v>
      </c>
      <c r="BO68" t="e">
        <f>AND(#REF!,"PC5poT59YUI=")</f>
        <v>#REF!</v>
      </c>
      <c r="BP68" t="e">
        <f>AND(#REF!,"PC5poT59YUM=")</f>
        <v>#REF!</v>
      </c>
      <c r="BQ68" t="e">
        <f>AND(#REF!,"PC5poT59YUQ=")</f>
        <v>#REF!</v>
      </c>
      <c r="BR68" t="e">
        <f>AND(#REF!,"PC5poT59YUU=")</f>
        <v>#REF!</v>
      </c>
      <c r="BS68" t="e">
        <f>AND(#REF!,"PC5poT59YUY=")</f>
        <v>#REF!</v>
      </c>
      <c r="BT68" t="e">
        <f>AND(#REF!,"PC5poT59YUc=")</f>
        <v>#REF!</v>
      </c>
      <c r="BU68" t="e">
        <f>AND(#REF!,"PC5poT59YUg=")</f>
        <v>#REF!</v>
      </c>
      <c r="BV68" t="e">
        <f>AND(#REF!,"PC5poT59YUk=")</f>
        <v>#REF!</v>
      </c>
      <c r="BW68" t="e">
        <f>AND(#REF!,"PC5poT59YUo=")</f>
        <v>#REF!</v>
      </c>
      <c r="BX68" t="e">
        <f>AND(#REF!,"PC5poT59YUs=")</f>
        <v>#REF!</v>
      </c>
      <c r="BY68" t="e">
        <f>AND(#REF!,"PC5poT59YUw=")</f>
        <v>#REF!</v>
      </c>
      <c r="BZ68" t="e">
        <f>AND(#REF!,"PC5poT59YU0=")</f>
        <v>#REF!</v>
      </c>
      <c r="CA68" t="e">
        <f>AND(#REF!,"PC5poT59YU4=")</f>
        <v>#REF!</v>
      </c>
      <c r="CB68" t="e">
        <f>AND(#REF!,"PC5poT59YU8=")</f>
        <v>#REF!</v>
      </c>
      <c r="CC68" t="e">
        <f>AND(#REF!,"PC5poT59YVA=")</f>
        <v>#REF!</v>
      </c>
      <c r="CD68" t="e">
        <f>AND(#REF!,"PC5poT59YVE=")</f>
        <v>#REF!</v>
      </c>
      <c r="CE68" t="e">
        <f>AND(#REF!,"PC5poT59YVI=")</f>
        <v>#REF!</v>
      </c>
      <c r="CF68" t="e">
        <f>AND(#REF!,"PC5poT59YVM=")</f>
        <v>#REF!</v>
      </c>
      <c r="CG68" t="e">
        <f>AND(#REF!,"PC5poT59YVQ=")</f>
        <v>#REF!</v>
      </c>
      <c r="CH68" t="e">
        <f>AND(#REF!,"PC5poT59YVU=")</f>
        <v>#REF!</v>
      </c>
      <c r="CI68" t="e">
        <f>AND(#REF!,"PC5poT59YVY=")</f>
        <v>#REF!</v>
      </c>
      <c r="CJ68" t="e">
        <f>AND(#REF!,"PC5poT59YVc=")</f>
        <v>#REF!</v>
      </c>
      <c r="CK68" t="e">
        <f>AND(#REF!,"PC5poT59YVg=")</f>
        <v>#REF!</v>
      </c>
      <c r="CL68" t="e">
        <f>AND(#REF!,"PC5poT59YVk=")</f>
        <v>#REF!</v>
      </c>
      <c r="CM68" t="e">
        <f>AND(#REF!,"PC5poT59YVo=")</f>
        <v>#REF!</v>
      </c>
      <c r="CN68" t="e">
        <f>AND(#REF!,"PC5poT59YVs=")</f>
        <v>#REF!</v>
      </c>
      <c r="CO68" t="e">
        <f>AND(#REF!,"PC5poT59YVw=")</f>
        <v>#REF!</v>
      </c>
      <c r="CP68" t="e">
        <f>AND(#REF!,"PC5poT59YV0=")</f>
        <v>#REF!</v>
      </c>
      <c r="CQ68" t="e">
        <f>AND(#REF!,"PC5poT59YV4=")</f>
        <v>#REF!</v>
      </c>
      <c r="CR68" t="e">
        <f>AND(#REF!,"PC5poT59YV8=")</f>
        <v>#REF!</v>
      </c>
      <c r="CS68" t="e">
        <f>AND(#REF!,"PC5poT59YWA=")</f>
        <v>#REF!</v>
      </c>
      <c r="CT68" t="e">
        <f>AND(#REF!,"PC5poT59YWE=")</f>
        <v>#REF!</v>
      </c>
      <c r="CU68" t="e">
        <f>AND(#REF!,"PC5poT59YWI=")</f>
        <v>#REF!</v>
      </c>
      <c r="CV68" t="e">
        <f>AND(#REF!,"PC5poT59YWM=")</f>
        <v>#REF!</v>
      </c>
      <c r="CW68" t="e">
        <f>AND(#REF!,"PC5poT59YWQ=")</f>
        <v>#REF!</v>
      </c>
      <c r="CX68" t="e">
        <f>AND(#REF!,"PC5poT59YWU=")</f>
        <v>#REF!</v>
      </c>
      <c r="CY68" t="e">
        <f>AND(#REF!,"PC5poT59YWY=")</f>
        <v>#REF!</v>
      </c>
      <c r="CZ68" t="e">
        <f>AND(#REF!,"PC5poT59YWc=")</f>
        <v>#REF!</v>
      </c>
      <c r="DA68" t="e">
        <f>AND(#REF!,"PC5poT59YWg=")</f>
        <v>#REF!</v>
      </c>
      <c r="DB68" t="e">
        <f>AND(#REF!,"PC5poT59YWk=")</f>
        <v>#REF!</v>
      </c>
      <c r="DC68" t="e">
        <f>AND(#REF!,"PC5poT59YWo=")</f>
        <v>#REF!</v>
      </c>
      <c r="DD68" t="e">
        <f>IF(#REF!,"PC5poT59YWs=",0)</f>
        <v>#REF!</v>
      </c>
      <c r="DE68" t="e">
        <f>AND(#REF!,"PC5poT59YWw=")</f>
        <v>#REF!</v>
      </c>
      <c r="DF68" t="e">
        <f>AND(#REF!,"PC5poT59YW0=")</f>
        <v>#REF!</v>
      </c>
      <c r="DG68" t="e">
        <f>AND(#REF!,"PC5poT59YW4=")</f>
        <v>#REF!</v>
      </c>
      <c r="DH68" t="e">
        <f>AND(#REF!,"PC5poT59YW8=")</f>
        <v>#REF!</v>
      </c>
      <c r="DI68" t="e">
        <f>AND(#REF!,"PC5poT59YXA=")</f>
        <v>#REF!</v>
      </c>
      <c r="DJ68" t="e">
        <f>AND(#REF!,"PC5poT59YXE=")</f>
        <v>#REF!</v>
      </c>
      <c r="DK68" t="e">
        <f>AND(#REF!,"PC5poT59YXI=")</f>
        <v>#REF!</v>
      </c>
      <c r="DL68" t="e">
        <f>AND(#REF!,"PC5poT59YXM=")</f>
        <v>#REF!</v>
      </c>
      <c r="DM68" t="e">
        <f>AND(#REF!,"PC5poT59YXQ=")</f>
        <v>#REF!</v>
      </c>
      <c r="DN68" t="e">
        <f>AND(#REF!,"PC5poT59YXU=")</f>
        <v>#REF!</v>
      </c>
      <c r="DO68" t="e">
        <f>AND(#REF!,"PC5poT59YXY=")</f>
        <v>#REF!</v>
      </c>
      <c r="DP68" t="e">
        <f>AND(#REF!,"PC5poT59YXc=")</f>
        <v>#REF!</v>
      </c>
      <c r="DQ68" t="e">
        <f>AND(#REF!,"PC5poT59YXg=")</f>
        <v>#REF!</v>
      </c>
      <c r="DR68" t="e">
        <f>AND(#REF!,"PC5poT59YXk=")</f>
        <v>#REF!</v>
      </c>
      <c r="DS68" t="e">
        <f>AND(#REF!,"PC5poT59YXo=")</f>
        <v>#REF!</v>
      </c>
      <c r="DT68" t="e">
        <f>AND(#REF!,"PC5poT59YXs=")</f>
        <v>#REF!</v>
      </c>
      <c r="DU68" t="e">
        <f>AND(#REF!,"PC5poT59YXw=")</f>
        <v>#REF!</v>
      </c>
      <c r="DV68" t="e">
        <f>AND(#REF!,"PC5poT59YX0=")</f>
        <v>#REF!</v>
      </c>
      <c r="DW68" t="e">
        <f>AND(#REF!,"PC5poT59YX4=")</f>
        <v>#REF!</v>
      </c>
      <c r="DX68" t="e">
        <f>AND(#REF!,"PC5poT59YX8=")</f>
        <v>#REF!</v>
      </c>
      <c r="DY68" t="e">
        <f>AND(#REF!,"PC5poT59YYA=")</f>
        <v>#REF!</v>
      </c>
      <c r="DZ68" t="e">
        <f>AND(#REF!,"PC5poT59YYE=")</f>
        <v>#REF!</v>
      </c>
      <c r="EA68" t="e">
        <f>AND(#REF!,"PC5poT59YYI=")</f>
        <v>#REF!</v>
      </c>
      <c r="EB68" t="e">
        <f>AND(#REF!,"PC5poT59YYM=")</f>
        <v>#REF!</v>
      </c>
      <c r="EC68" t="e">
        <f>AND(#REF!,"PC5poT59YYQ=")</f>
        <v>#REF!</v>
      </c>
      <c r="ED68" t="e">
        <f>AND(#REF!,"PC5poT59YYU=")</f>
        <v>#REF!</v>
      </c>
      <c r="EE68" t="e">
        <f>AND(#REF!,"PC5poT59YYY=")</f>
        <v>#REF!</v>
      </c>
      <c r="EF68" t="e">
        <f>AND(#REF!,"PC5poT59YYc=")</f>
        <v>#REF!</v>
      </c>
      <c r="EG68" t="e">
        <f>AND(#REF!,"PC5poT59YYg=")</f>
        <v>#REF!</v>
      </c>
      <c r="EH68" t="e">
        <f>AND(#REF!,"PC5poT59YYk=")</f>
        <v>#REF!</v>
      </c>
      <c r="EI68" t="e">
        <f>AND(#REF!,"PC5poT59YYo=")</f>
        <v>#REF!</v>
      </c>
      <c r="EJ68" t="e">
        <f>AND(#REF!,"PC5poT59YYs=")</f>
        <v>#REF!</v>
      </c>
      <c r="EK68" t="e">
        <f>AND(#REF!,"PC5poT59YYw=")</f>
        <v>#REF!</v>
      </c>
      <c r="EL68" t="e">
        <f>AND(#REF!,"PC5poT59YY0=")</f>
        <v>#REF!</v>
      </c>
      <c r="EM68" t="e">
        <f>AND(#REF!,"PC5poT59YY4=")</f>
        <v>#REF!</v>
      </c>
      <c r="EN68" t="e">
        <f>AND(#REF!,"PC5poT59YY8=")</f>
        <v>#REF!</v>
      </c>
      <c r="EO68" t="e">
        <f>AND(#REF!,"PC5poT59YZA=")</f>
        <v>#REF!</v>
      </c>
      <c r="EP68" t="e">
        <f>AND(#REF!,"PC5poT59YZE=")</f>
        <v>#REF!</v>
      </c>
      <c r="EQ68" t="e">
        <f>AND(#REF!,"PC5poT59YZI=")</f>
        <v>#REF!</v>
      </c>
      <c r="ER68" t="e">
        <f>AND(#REF!,"PC5poT59YZM=")</f>
        <v>#REF!</v>
      </c>
      <c r="ES68" t="e">
        <f>AND(#REF!,"PC5poT59YZQ=")</f>
        <v>#REF!</v>
      </c>
      <c r="ET68" t="e">
        <f>AND(#REF!,"PC5poT59YZU=")</f>
        <v>#REF!</v>
      </c>
      <c r="EU68" t="e">
        <f>AND(#REF!,"PC5poT59YZY=")</f>
        <v>#REF!</v>
      </c>
      <c r="EV68" t="e">
        <f>AND(#REF!,"PC5poT59YZc=")</f>
        <v>#REF!</v>
      </c>
      <c r="EW68" t="e">
        <f>AND(#REF!,"PC5poT59YZg=")</f>
        <v>#REF!</v>
      </c>
      <c r="EX68" t="e">
        <f>AND(#REF!,"PC5poT59YZk=")</f>
        <v>#REF!</v>
      </c>
      <c r="EY68" t="e">
        <f>AND(#REF!,"PC5poT59YZo=")</f>
        <v>#REF!</v>
      </c>
      <c r="EZ68" t="e">
        <f>AND(#REF!,"PC5poT59YZs=")</f>
        <v>#REF!</v>
      </c>
      <c r="FA68" t="e">
        <f>AND(#REF!,"PC5poT59YZw=")</f>
        <v>#REF!</v>
      </c>
      <c r="FB68" t="e">
        <f>AND(#REF!,"PC5poT59YZ0=")</f>
        <v>#REF!</v>
      </c>
      <c r="FC68" t="e">
        <f>AND(#REF!,"PC5poT59YZ4=")</f>
        <v>#REF!</v>
      </c>
      <c r="FD68" t="e">
        <f>AND(#REF!,"PC5poT59YZ8=")</f>
        <v>#REF!</v>
      </c>
      <c r="FE68" t="e">
        <f>AND(#REF!,"PC5poT59YaA=")</f>
        <v>#REF!</v>
      </c>
      <c r="FF68" t="e">
        <f>AND(#REF!,"PC5poT59YaE=")</f>
        <v>#REF!</v>
      </c>
      <c r="FG68" t="e">
        <f>AND(#REF!,"PC5poT59YaI=")</f>
        <v>#REF!</v>
      </c>
      <c r="FH68" t="e">
        <f>AND(#REF!,"PC5poT59YaM=")</f>
        <v>#REF!</v>
      </c>
      <c r="FI68" t="e">
        <f>AND(#REF!,"PC5poT59YaQ=")</f>
        <v>#REF!</v>
      </c>
      <c r="FJ68" t="e">
        <f>AND(#REF!,"PC5poT59YaU=")</f>
        <v>#REF!</v>
      </c>
      <c r="FK68" t="e">
        <f>AND(#REF!,"PC5poT59YaY=")</f>
        <v>#REF!</v>
      </c>
      <c r="FL68" t="e">
        <f>AND(#REF!,"PC5poT59Yac=")</f>
        <v>#REF!</v>
      </c>
      <c r="FM68" t="e">
        <f>AND(#REF!,"PC5poT59Yag=")</f>
        <v>#REF!</v>
      </c>
      <c r="FN68" t="e">
        <f>AND(#REF!,"PC5poT59Yak=")</f>
        <v>#REF!</v>
      </c>
      <c r="FO68" t="e">
        <f>AND(#REF!,"PC5poT59Yao=")</f>
        <v>#REF!</v>
      </c>
      <c r="FP68" t="e">
        <f>AND(#REF!,"PC5poT59Yas=")</f>
        <v>#REF!</v>
      </c>
      <c r="FQ68" t="e">
        <f>AND(#REF!,"PC5poT59Yaw=")</f>
        <v>#REF!</v>
      </c>
      <c r="FR68" t="e">
        <f>AND(#REF!,"PC5poT59Ya0=")</f>
        <v>#REF!</v>
      </c>
      <c r="FS68" t="e">
        <f>AND(#REF!,"PC5poT59Ya4=")</f>
        <v>#REF!</v>
      </c>
      <c r="FT68" t="e">
        <f>AND(#REF!,"PC5poT59Ya8=")</f>
        <v>#REF!</v>
      </c>
      <c r="FU68" t="e">
        <f>AND(#REF!,"PC5poT59YbA=")</f>
        <v>#REF!</v>
      </c>
      <c r="FV68" t="e">
        <f>AND(#REF!,"PC5poT59YbE=")</f>
        <v>#REF!</v>
      </c>
      <c r="FW68" t="e">
        <f>AND(#REF!,"PC5poT59YbI=")</f>
        <v>#REF!</v>
      </c>
      <c r="FX68" t="e">
        <f>AND(#REF!,"PC5poT59YbM=")</f>
        <v>#REF!</v>
      </c>
      <c r="FY68" t="e">
        <f>AND(#REF!,"PC5poT59YbQ=")</f>
        <v>#REF!</v>
      </c>
      <c r="FZ68" t="e">
        <f>AND(#REF!,"PC5poT59YbU=")</f>
        <v>#REF!</v>
      </c>
      <c r="GA68" t="e">
        <f>AND(#REF!,"PC5poT59YbY=")</f>
        <v>#REF!</v>
      </c>
      <c r="GB68" t="e">
        <f>AND(#REF!,"PC5poT59Ybc=")</f>
        <v>#REF!</v>
      </c>
      <c r="GC68" t="e">
        <f>AND(#REF!,"PC5poT59Ybg=")</f>
        <v>#REF!</v>
      </c>
      <c r="GD68" t="e">
        <f>AND(#REF!,"PC5poT59Ybk=")</f>
        <v>#REF!</v>
      </c>
      <c r="GE68" t="e">
        <f>AND(#REF!,"PC5poT59Ybo=")</f>
        <v>#REF!</v>
      </c>
      <c r="GF68" t="e">
        <f>AND(#REF!,"PC5poT59Ybs=")</f>
        <v>#REF!</v>
      </c>
      <c r="GG68" t="e">
        <f>AND(#REF!,"PC5poT59Ybw=")</f>
        <v>#REF!</v>
      </c>
      <c r="GH68" t="e">
        <f>AND(#REF!,"PC5poT59Yb0=")</f>
        <v>#REF!</v>
      </c>
      <c r="GI68" t="e">
        <f>AND(#REF!,"PC5poT59Yb4=")</f>
        <v>#REF!</v>
      </c>
      <c r="GJ68" t="e">
        <f>AND(#REF!,"PC5poT59Yb8=")</f>
        <v>#REF!</v>
      </c>
      <c r="GK68" t="e">
        <f>AND(#REF!,"PC5poT59YcA=")</f>
        <v>#REF!</v>
      </c>
      <c r="GL68" t="e">
        <f>AND(#REF!,"PC5poT59YcE=")</f>
        <v>#REF!</v>
      </c>
      <c r="GM68" t="e">
        <f>AND(#REF!,"PC5poT59YcI=")</f>
        <v>#REF!</v>
      </c>
      <c r="GN68" t="e">
        <f>AND(#REF!,"PC5poT59YcM=")</f>
        <v>#REF!</v>
      </c>
      <c r="GO68" t="e">
        <f>AND(#REF!,"PC5poT59YcQ=")</f>
        <v>#REF!</v>
      </c>
      <c r="GP68" t="e">
        <f>AND(#REF!,"PC5poT59YcU=")</f>
        <v>#REF!</v>
      </c>
      <c r="GQ68" t="e">
        <f>AND(#REF!,"PC5poT59YcY=")</f>
        <v>#REF!</v>
      </c>
      <c r="GR68" t="e">
        <f>AND(#REF!,"PC5poT59Ycc=")</f>
        <v>#REF!</v>
      </c>
      <c r="GS68" t="e">
        <f>AND(#REF!,"PC5poT59Ycg=")</f>
        <v>#REF!</v>
      </c>
      <c r="GT68" t="e">
        <f>AND(#REF!,"PC5poT59Yck=")</f>
        <v>#REF!</v>
      </c>
      <c r="GU68" t="e">
        <f>AND(#REF!,"PC5poT59Yco=")</f>
        <v>#REF!</v>
      </c>
      <c r="GV68" t="e">
        <f>AND(#REF!,"PC5poT59Ycs=")</f>
        <v>#REF!</v>
      </c>
      <c r="GW68" t="e">
        <f>AND(#REF!,"PC5poT59Ycw=")</f>
        <v>#REF!</v>
      </c>
      <c r="GX68" t="e">
        <f>AND(#REF!,"PC5poT59Yc0=")</f>
        <v>#REF!</v>
      </c>
      <c r="GY68" t="e">
        <f>AND(#REF!,"PC5poT59Yc4=")</f>
        <v>#REF!</v>
      </c>
      <c r="GZ68" t="e">
        <f>AND(#REF!,"PC5poT59Yc8=")</f>
        <v>#REF!</v>
      </c>
      <c r="HA68" t="e">
        <f>AND(#REF!,"PC5poT59YdA=")</f>
        <v>#REF!</v>
      </c>
      <c r="HB68" t="e">
        <f>AND(#REF!,"PC5poT59YdE=")</f>
        <v>#REF!</v>
      </c>
      <c r="HC68" t="e">
        <f>AND(#REF!,"PC5poT59YdI=")</f>
        <v>#REF!</v>
      </c>
      <c r="HD68" t="e">
        <f>AND(#REF!,"PC5poT59YdM=")</f>
        <v>#REF!</v>
      </c>
      <c r="HE68" t="e">
        <f>AND(#REF!,"PC5poT59YdQ=")</f>
        <v>#REF!</v>
      </c>
      <c r="HF68" t="e">
        <f>AND(#REF!,"PC5poT59YdU=")</f>
        <v>#REF!</v>
      </c>
      <c r="HG68" t="e">
        <f>AND(#REF!,"PC5poT59YdY=")</f>
        <v>#REF!</v>
      </c>
      <c r="HH68" t="e">
        <f>AND(#REF!,"PC5poT59Ydc=")</f>
        <v>#REF!</v>
      </c>
      <c r="HI68" t="e">
        <f>AND(#REF!,"PC5poT59Ydg=")</f>
        <v>#REF!</v>
      </c>
      <c r="HJ68" t="e">
        <f>AND(#REF!,"PC5poT59Ydk=")</f>
        <v>#REF!</v>
      </c>
      <c r="HK68" t="e">
        <f>AND(#REF!,"PC5poT59Ydo=")</f>
        <v>#REF!</v>
      </c>
      <c r="HL68" t="e">
        <f>AND(#REF!,"PC5poT59Yds=")</f>
        <v>#REF!</v>
      </c>
      <c r="HM68" t="e">
        <f>AND(#REF!,"PC5poT59Ydw=")</f>
        <v>#REF!</v>
      </c>
      <c r="HN68" t="e">
        <f>AND(#REF!,"PC5poT59Yd0=")</f>
        <v>#REF!</v>
      </c>
      <c r="HO68" t="e">
        <f>AND(#REF!,"PC5poT59Yd4=")</f>
        <v>#REF!</v>
      </c>
      <c r="HP68" t="e">
        <f>AND(#REF!,"PC5poT59Yd8=")</f>
        <v>#REF!</v>
      </c>
      <c r="HQ68" t="e">
        <f>AND(#REF!,"PC5poT59YeA=")</f>
        <v>#REF!</v>
      </c>
      <c r="HR68" t="e">
        <f>AND(#REF!,"PC5poT59YeE=")</f>
        <v>#REF!</v>
      </c>
      <c r="HS68" t="e">
        <f>AND(#REF!,"PC5poT59YeI=")</f>
        <v>#REF!</v>
      </c>
      <c r="HT68" t="e">
        <f>AND(#REF!,"PC5poT59YeM=")</f>
        <v>#REF!</v>
      </c>
      <c r="HU68" t="e">
        <f>AND(#REF!,"PC5poT59YeQ=")</f>
        <v>#REF!</v>
      </c>
      <c r="HV68" t="e">
        <f>AND(#REF!,"PC5poT59YeU=")</f>
        <v>#REF!</v>
      </c>
      <c r="HW68" t="e">
        <f>AND(#REF!,"PC5poT59YeY=")</f>
        <v>#REF!</v>
      </c>
      <c r="HX68" t="e">
        <f>AND(#REF!,"PC5poT59Yec=")</f>
        <v>#REF!</v>
      </c>
      <c r="HY68" t="e">
        <f>AND(#REF!,"PC5poT59Yeg=")</f>
        <v>#REF!</v>
      </c>
      <c r="HZ68" t="e">
        <f>AND(#REF!,"PC5poT59Yek=")</f>
        <v>#REF!</v>
      </c>
      <c r="IA68" t="e">
        <f>AND(#REF!,"PC5poT59Yeo=")</f>
        <v>#REF!</v>
      </c>
      <c r="IB68" t="e">
        <f>AND(#REF!,"PC5poT59Yes=")</f>
        <v>#REF!</v>
      </c>
      <c r="IC68" t="e">
        <f>AND(#REF!,"PC5poT59Yew=")</f>
        <v>#REF!</v>
      </c>
      <c r="ID68" t="e">
        <f>AND(#REF!,"PC5poT59Ye0=")</f>
        <v>#REF!</v>
      </c>
      <c r="IE68" t="e">
        <f>AND(#REF!,"PC5poT59Ye4=")</f>
        <v>#REF!</v>
      </c>
      <c r="IF68" t="e">
        <f>AND(#REF!,"PC5poT59Ye8=")</f>
        <v>#REF!</v>
      </c>
      <c r="IG68" t="e">
        <f>AND(#REF!,"PC5poT59YfA=")</f>
        <v>#REF!</v>
      </c>
      <c r="IH68" t="e">
        <f>AND(#REF!,"PC5poT59YfE=")</f>
        <v>#REF!</v>
      </c>
      <c r="II68" t="e">
        <f>AND(#REF!,"PC5poT59YfI=")</f>
        <v>#REF!</v>
      </c>
      <c r="IJ68" t="e">
        <f>AND(#REF!,"PC5poT59YfM=")</f>
        <v>#REF!</v>
      </c>
      <c r="IK68" t="e">
        <f>AND(#REF!,"PC5poT59YfQ=")</f>
        <v>#REF!</v>
      </c>
      <c r="IL68" t="e">
        <f>AND(#REF!,"PC5poT59YfU=")</f>
        <v>#REF!</v>
      </c>
      <c r="IM68" t="e">
        <f>AND(#REF!,"PC5poT59YfY=")</f>
        <v>#REF!</v>
      </c>
      <c r="IN68" t="e">
        <f>AND(#REF!,"PC5poT59Yfc=")</f>
        <v>#REF!</v>
      </c>
      <c r="IO68" t="e">
        <f>AND(#REF!,"PC5poT59Yfg=")</f>
        <v>#REF!</v>
      </c>
      <c r="IP68" t="e">
        <f>AND(#REF!,"PC5poT59Yfk=")</f>
        <v>#REF!</v>
      </c>
      <c r="IQ68" t="e">
        <f>AND(#REF!,"PC5poT59Yfo=")</f>
        <v>#REF!</v>
      </c>
      <c r="IR68" t="e">
        <f>AND(#REF!,"PC5poT59Yfs=")</f>
        <v>#REF!</v>
      </c>
      <c r="IS68" t="e">
        <f>AND(#REF!,"PC5poT59Yfw=")</f>
        <v>#REF!</v>
      </c>
      <c r="IT68" t="e">
        <f>AND(#REF!,"PC5poT59Yf0=")</f>
        <v>#REF!</v>
      </c>
      <c r="IU68" t="e">
        <f>AND(#REF!,"PC5poT59Yf4=")</f>
        <v>#REF!</v>
      </c>
      <c r="IV68" t="e">
        <f>AND(#REF!,"PC5poT59Yf8=")</f>
        <v>#REF!</v>
      </c>
    </row>
    <row r="69" spans="1:256" x14ac:dyDescent="0.2">
      <c r="A69" t="e">
        <f>AND(#REF!,"W0pSRHM0uAA=")</f>
        <v>#REF!</v>
      </c>
      <c r="B69" t="e">
        <f>AND(#REF!,"W0pSRHM0uAE=")</f>
        <v>#REF!</v>
      </c>
      <c r="C69" t="e">
        <f>AND(#REF!,"W0pSRHM0uAI=")</f>
        <v>#REF!</v>
      </c>
      <c r="D69" t="e">
        <f>AND(#REF!,"W0pSRHM0uAM=")</f>
        <v>#REF!</v>
      </c>
      <c r="E69" t="e">
        <f>AND(#REF!,"W0pSRHM0uAQ=")</f>
        <v>#REF!</v>
      </c>
      <c r="F69" t="e">
        <f>AND(#REF!,"W0pSRHM0uAU=")</f>
        <v>#REF!</v>
      </c>
      <c r="G69" t="e">
        <f>AND(#REF!,"W0pSRHM0uAY=")</f>
        <v>#REF!</v>
      </c>
      <c r="H69" t="e">
        <f>AND(#REF!,"W0pSRHM0uAc=")</f>
        <v>#REF!</v>
      </c>
      <c r="I69" t="e">
        <f>AND(#REF!,"W0pSRHM0uAg=")</f>
        <v>#REF!</v>
      </c>
      <c r="J69" t="e">
        <f>AND(#REF!,"W0pSRHM0uAk=")</f>
        <v>#REF!</v>
      </c>
      <c r="K69" t="e">
        <f>AND(#REF!,"W0pSRHM0uAo=")</f>
        <v>#REF!</v>
      </c>
      <c r="L69" t="e">
        <f>AND(#REF!,"W0pSRHM0uAs=")</f>
        <v>#REF!</v>
      </c>
      <c r="M69" t="e">
        <f>AND(#REF!,"W0pSRHM0uAw=")</f>
        <v>#REF!</v>
      </c>
      <c r="N69" t="e">
        <f>AND(#REF!,"W0pSRHM0uA0=")</f>
        <v>#REF!</v>
      </c>
      <c r="O69" t="e">
        <f>AND(#REF!,"W0pSRHM0uA4=")</f>
        <v>#REF!</v>
      </c>
      <c r="P69" t="e">
        <f>AND(#REF!,"W0pSRHM0uA8=")</f>
        <v>#REF!</v>
      </c>
      <c r="Q69" t="e">
        <f>AND(#REF!,"W0pSRHM0uBA=")</f>
        <v>#REF!</v>
      </c>
      <c r="R69" t="e">
        <f>AND(#REF!,"W0pSRHM0uBE=")</f>
        <v>#REF!</v>
      </c>
      <c r="S69" t="e">
        <f>AND(#REF!,"W0pSRHM0uBI=")</f>
        <v>#REF!</v>
      </c>
      <c r="T69" t="e">
        <f>AND(#REF!,"W0pSRHM0uBM=")</f>
        <v>#REF!</v>
      </c>
      <c r="U69" t="e">
        <f>AND(#REF!,"W0pSRHM0uBQ=")</f>
        <v>#REF!</v>
      </c>
      <c r="V69" t="e">
        <f>AND(#REF!,"W0pSRHM0uBU=")</f>
        <v>#REF!</v>
      </c>
      <c r="W69" t="e">
        <f>AND(#REF!,"W0pSRHM0uBY=")</f>
        <v>#REF!</v>
      </c>
      <c r="X69" t="e">
        <f>AND(#REF!,"W0pSRHM0uBc=")</f>
        <v>#REF!</v>
      </c>
      <c r="Y69" t="e">
        <f>AND(#REF!,"W0pSRHM0uBg=")</f>
        <v>#REF!</v>
      </c>
      <c r="Z69" t="e">
        <f>AND(#REF!,"W0pSRHM0uBk=")</f>
        <v>#REF!</v>
      </c>
      <c r="AA69" t="e">
        <f>AND(#REF!,"W0pSRHM0uBo=")</f>
        <v>#REF!</v>
      </c>
      <c r="AB69" t="e">
        <f>AND(#REF!,"W0pSRHM0uBs=")</f>
        <v>#REF!</v>
      </c>
      <c r="AC69" t="e">
        <f>AND(#REF!,"W0pSRHM0uBw=")</f>
        <v>#REF!</v>
      </c>
      <c r="AD69" t="e">
        <f>AND(#REF!,"W0pSRHM0uB0=")</f>
        <v>#REF!</v>
      </c>
      <c r="AE69" t="e">
        <f>AND(#REF!,"W0pSRHM0uB4=")</f>
        <v>#REF!</v>
      </c>
      <c r="AF69" t="e">
        <f>AND(#REF!,"W0pSRHM0uB8=")</f>
        <v>#REF!</v>
      </c>
      <c r="AG69" t="e">
        <f>AND(#REF!,"W0pSRHM0uCA=")</f>
        <v>#REF!</v>
      </c>
      <c r="AH69" t="e">
        <f>AND(#REF!,"W0pSRHM0uCE=")</f>
        <v>#REF!</v>
      </c>
      <c r="AI69" t="e">
        <f>AND(#REF!,"W0pSRHM0uCI=")</f>
        <v>#REF!</v>
      </c>
      <c r="AJ69" t="e">
        <f>AND(#REF!,"W0pSRHM0uCM=")</f>
        <v>#REF!</v>
      </c>
      <c r="AK69" t="e">
        <f>AND(#REF!,"W0pSRHM0uCQ=")</f>
        <v>#REF!</v>
      </c>
      <c r="AL69" t="e">
        <f>AND(#REF!,"W0pSRHM0uCU=")</f>
        <v>#REF!</v>
      </c>
      <c r="AM69" t="e">
        <f>AND(#REF!,"W0pSRHM0uCY=")</f>
        <v>#REF!</v>
      </c>
      <c r="AN69" t="e">
        <f>AND(#REF!,"W0pSRHM0uCc=")</f>
        <v>#REF!</v>
      </c>
      <c r="AO69" t="e">
        <f>AND(#REF!,"W0pSRHM0uCg=")</f>
        <v>#REF!</v>
      </c>
      <c r="AP69" t="e">
        <f>AND(#REF!,"W0pSRHM0uCk=")</f>
        <v>#REF!</v>
      </c>
      <c r="AQ69" t="e">
        <f>AND(#REF!,"W0pSRHM0uCo=")</f>
        <v>#REF!</v>
      </c>
      <c r="AR69" t="e">
        <f>AND(#REF!,"W0pSRHM0uCs=")</f>
        <v>#REF!</v>
      </c>
      <c r="AS69" t="e">
        <f>AND(#REF!,"W0pSRHM0uCw=")</f>
        <v>#REF!</v>
      </c>
      <c r="AT69" t="e">
        <f>AND(#REF!,"W0pSRHM0uC0=")</f>
        <v>#REF!</v>
      </c>
      <c r="AU69" t="e">
        <f>AND(#REF!,"W0pSRHM0uC4=")</f>
        <v>#REF!</v>
      </c>
      <c r="AV69" t="e">
        <f>AND(#REF!,"W0pSRHM0uC8=")</f>
        <v>#REF!</v>
      </c>
      <c r="AW69" t="e">
        <f>AND(#REF!,"W0pSRHM0uDA=")</f>
        <v>#REF!</v>
      </c>
      <c r="AX69" t="e">
        <f>AND(#REF!,"W0pSRHM0uDE=")</f>
        <v>#REF!</v>
      </c>
      <c r="AY69" t="e">
        <f>IF(#REF!,"W0pSRHM0uDI=",0)</f>
        <v>#REF!</v>
      </c>
      <c r="AZ69" t="e">
        <f>AND(#REF!,"W0pSRHM0uDM=")</f>
        <v>#REF!</v>
      </c>
      <c r="BA69" t="e">
        <f>AND(#REF!,"W0pSRHM0uDQ=")</f>
        <v>#REF!</v>
      </c>
      <c r="BB69" t="e">
        <f>AND(#REF!,"W0pSRHM0uDU=")</f>
        <v>#REF!</v>
      </c>
      <c r="BC69" t="e">
        <f>AND(#REF!,"W0pSRHM0uDY=")</f>
        <v>#REF!</v>
      </c>
      <c r="BD69" t="e">
        <f>AND(#REF!,"W0pSRHM0uDc=")</f>
        <v>#REF!</v>
      </c>
      <c r="BE69" t="e">
        <f>AND(#REF!,"W0pSRHM0uDg=")</f>
        <v>#REF!</v>
      </c>
      <c r="BF69" t="e">
        <f>AND(#REF!,"W0pSRHM0uDk=")</f>
        <v>#REF!</v>
      </c>
      <c r="BG69" t="e">
        <f>AND(#REF!,"W0pSRHM0uDo=")</f>
        <v>#REF!</v>
      </c>
      <c r="BH69" t="e">
        <f>AND(#REF!,"W0pSRHM0uDs=")</f>
        <v>#REF!</v>
      </c>
      <c r="BI69" t="e">
        <f>AND(#REF!,"W0pSRHM0uDw=")</f>
        <v>#REF!</v>
      </c>
      <c r="BJ69" t="e">
        <f>AND(#REF!,"W0pSRHM0uD0=")</f>
        <v>#REF!</v>
      </c>
      <c r="BK69" t="e">
        <f>AND(#REF!,"W0pSRHM0uD4=")</f>
        <v>#REF!</v>
      </c>
      <c r="BL69" t="e">
        <f>AND(#REF!,"W0pSRHM0uD8=")</f>
        <v>#REF!</v>
      </c>
      <c r="BM69" t="e">
        <f>AND(#REF!,"W0pSRHM0uEA=")</f>
        <v>#REF!</v>
      </c>
      <c r="BN69" t="e">
        <f>AND(#REF!,"W0pSRHM0uEE=")</f>
        <v>#REF!</v>
      </c>
      <c r="BO69" t="e">
        <f>AND(#REF!,"W0pSRHM0uEI=")</f>
        <v>#REF!</v>
      </c>
      <c r="BP69" t="e">
        <f>AND(#REF!,"W0pSRHM0uEM=")</f>
        <v>#REF!</v>
      </c>
      <c r="BQ69" t="e">
        <f>AND(#REF!,"W0pSRHM0uEQ=")</f>
        <v>#REF!</v>
      </c>
      <c r="BR69" t="e">
        <f>AND(#REF!,"W0pSRHM0uEU=")</f>
        <v>#REF!</v>
      </c>
      <c r="BS69" t="e">
        <f>AND(#REF!,"W0pSRHM0uEY=")</f>
        <v>#REF!</v>
      </c>
      <c r="BT69" t="e">
        <f>AND(#REF!,"W0pSRHM0uEc=")</f>
        <v>#REF!</v>
      </c>
      <c r="BU69" t="e">
        <f>AND(#REF!,"W0pSRHM0uEg=")</f>
        <v>#REF!</v>
      </c>
      <c r="BV69" t="e">
        <f>AND(#REF!,"W0pSRHM0uEk=")</f>
        <v>#REF!</v>
      </c>
      <c r="BW69" t="e">
        <f>AND(#REF!,"W0pSRHM0uEo=")</f>
        <v>#REF!</v>
      </c>
      <c r="BX69" t="e">
        <f>AND(#REF!,"W0pSRHM0uEs=")</f>
        <v>#REF!</v>
      </c>
      <c r="BY69" t="e">
        <f>AND(#REF!,"W0pSRHM0uEw=")</f>
        <v>#REF!</v>
      </c>
      <c r="BZ69" t="e">
        <f>AND(#REF!,"W0pSRHM0uE0=")</f>
        <v>#REF!</v>
      </c>
      <c r="CA69" t="e">
        <f>AND(#REF!,"W0pSRHM0uE4=")</f>
        <v>#REF!</v>
      </c>
      <c r="CB69" t="e">
        <f>AND(#REF!,"W0pSRHM0uE8=")</f>
        <v>#REF!</v>
      </c>
      <c r="CC69" t="e">
        <f>AND(#REF!,"W0pSRHM0uFA=")</f>
        <v>#REF!</v>
      </c>
      <c r="CD69" t="e">
        <f>AND(#REF!,"W0pSRHM0uFE=")</f>
        <v>#REF!</v>
      </c>
      <c r="CE69" t="e">
        <f>AND(#REF!,"W0pSRHM0uFI=")</f>
        <v>#REF!</v>
      </c>
      <c r="CF69" t="e">
        <f>AND(#REF!,"W0pSRHM0uFM=")</f>
        <v>#REF!</v>
      </c>
      <c r="CG69" t="e">
        <f>AND(#REF!,"W0pSRHM0uFQ=")</f>
        <v>#REF!</v>
      </c>
      <c r="CH69" t="e">
        <f>AND(#REF!,"W0pSRHM0uFU=")</f>
        <v>#REF!</v>
      </c>
      <c r="CI69" t="e">
        <f>AND(#REF!,"W0pSRHM0uFY=")</f>
        <v>#REF!</v>
      </c>
      <c r="CJ69" t="e">
        <f>AND(#REF!,"W0pSRHM0uFc=")</f>
        <v>#REF!</v>
      </c>
      <c r="CK69" t="e">
        <f>AND(#REF!,"W0pSRHM0uFg=")</f>
        <v>#REF!</v>
      </c>
      <c r="CL69" t="e">
        <f>AND(#REF!,"W0pSRHM0uFk=")</f>
        <v>#REF!</v>
      </c>
      <c r="CM69" t="e">
        <f>AND(#REF!,"W0pSRHM0uFo=")</f>
        <v>#REF!</v>
      </c>
      <c r="CN69" t="e">
        <f>AND(#REF!,"W0pSRHM0uFs=")</f>
        <v>#REF!</v>
      </c>
      <c r="CO69" t="e">
        <f>AND(#REF!,"W0pSRHM0uFw=")</f>
        <v>#REF!</v>
      </c>
      <c r="CP69" t="e">
        <f>AND(#REF!,"W0pSRHM0uF0=")</f>
        <v>#REF!</v>
      </c>
      <c r="CQ69" t="e">
        <f>AND(#REF!,"W0pSRHM0uF4=")</f>
        <v>#REF!</v>
      </c>
      <c r="CR69" t="e">
        <f>AND(#REF!,"W0pSRHM0uF8=")</f>
        <v>#REF!</v>
      </c>
      <c r="CS69" t="e">
        <f>AND(#REF!,"W0pSRHM0uGA=")</f>
        <v>#REF!</v>
      </c>
      <c r="CT69" t="e">
        <f>AND(#REF!,"W0pSRHM0uGE=")</f>
        <v>#REF!</v>
      </c>
      <c r="CU69" t="e">
        <f>AND(#REF!,"W0pSRHM0uGI=")</f>
        <v>#REF!</v>
      </c>
      <c r="CV69" t="e">
        <f>AND(#REF!,"W0pSRHM0uGM=")</f>
        <v>#REF!</v>
      </c>
      <c r="CW69" t="e">
        <f>AND(#REF!,"W0pSRHM0uGQ=")</f>
        <v>#REF!</v>
      </c>
      <c r="CX69" t="e">
        <f>AND(#REF!,"W0pSRHM0uGU=")</f>
        <v>#REF!</v>
      </c>
      <c r="CY69" t="e">
        <f>AND(#REF!,"W0pSRHM0uGY=")</f>
        <v>#REF!</v>
      </c>
      <c r="CZ69" t="e">
        <f>AND(#REF!,"W0pSRHM0uGc=")</f>
        <v>#REF!</v>
      </c>
      <c r="DA69" t="e">
        <f>AND(#REF!,"W0pSRHM0uGg=")</f>
        <v>#REF!</v>
      </c>
      <c r="DB69" t="e">
        <f>AND(#REF!,"W0pSRHM0uGk=")</f>
        <v>#REF!</v>
      </c>
      <c r="DC69" t="e">
        <f>AND(#REF!,"W0pSRHM0uGo=")</f>
        <v>#REF!</v>
      </c>
      <c r="DD69" t="e">
        <f>AND(#REF!,"W0pSRHM0uGs=")</f>
        <v>#REF!</v>
      </c>
      <c r="DE69" t="e">
        <f>AND(#REF!,"W0pSRHM0uGw=")</f>
        <v>#REF!</v>
      </c>
      <c r="DF69" t="e">
        <f>AND(#REF!,"W0pSRHM0uG0=")</f>
        <v>#REF!</v>
      </c>
      <c r="DG69" t="e">
        <f>AND(#REF!,"W0pSRHM0uG4=")</f>
        <v>#REF!</v>
      </c>
      <c r="DH69" t="e">
        <f>AND(#REF!,"W0pSRHM0uG8=")</f>
        <v>#REF!</v>
      </c>
      <c r="DI69" t="e">
        <f>AND(#REF!,"W0pSRHM0uHA=")</f>
        <v>#REF!</v>
      </c>
      <c r="DJ69" t="e">
        <f>AND(#REF!,"W0pSRHM0uHE=")</f>
        <v>#REF!</v>
      </c>
      <c r="DK69" t="e">
        <f>AND(#REF!,"W0pSRHM0uHI=")</f>
        <v>#REF!</v>
      </c>
      <c r="DL69" t="e">
        <f>AND(#REF!,"W0pSRHM0uHM=")</f>
        <v>#REF!</v>
      </c>
      <c r="DM69" t="e">
        <f>AND(#REF!,"W0pSRHM0uHQ=")</f>
        <v>#REF!</v>
      </c>
      <c r="DN69" t="e">
        <f>AND(#REF!,"W0pSRHM0uHU=")</f>
        <v>#REF!</v>
      </c>
      <c r="DO69" t="e">
        <f>AND(#REF!,"W0pSRHM0uHY=")</f>
        <v>#REF!</v>
      </c>
      <c r="DP69" t="e">
        <f>AND(#REF!,"W0pSRHM0uHc=")</f>
        <v>#REF!</v>
      </c>
      <c r="DQ69" t="e">
        <f>AND(#REF!,"W0pSRHM0uHg=")</f>
        <v>#REF!</v>
      </c>
      <c r="DR69" t="e">
        <f>AND(#REF!,"W0pSRHM0uHk=")</f>
        <v>#REF!</v>
      </c>
      <c r="DS69" t="e">
        <f>AND(#REF!,"W0pSRHM0uHo=")</f>
        <v>#REF!</v>
      </c>
      <c r="DT69" t="e">
        <f>AND(#REF!,"W0pSRHM0uHs=")</f>
        <v>#REF!</v>
      </c>
      <c r="DU69" t="e">
        <f>AND(#REF!,"W0pSRHM0uHw=")</f>
        <v>#REF!</v>
      </c>
      <c r="DV69" t="e">
        <f>AND(#REF!,"W0pSRHM0uH0=")</f>
        <v>#REF!</v>
      </c>
      <c r="DW69" t="e">
        <f>AND(#REF!,"W0pSRHM0uH4=")</f>
        <v>#REF!</v>
      </c>
      <c r="DX69" t="e">
        <f>AND(#REF!,"W0pSRHM0uH8=")</f>
        <v>#REF!</v>
      </c>
      <c r="DY69" t="e">
        <f>AND(#REF!,"W0pSRHM0uIA=")</f>
        <v>#REF!</v>
      </c>
      <c r="DZ69" t="e">
        <f>AND(#REF!,"W0pSRHM0uIE=")</f>
        <v>#REF!</v>
      </c>
      <c r="EA69" t="e">
        <f>AND(#REF!,"W0pSRHM0uII=")</f>
        <v>#REF!</v>
      </c>
      <c r="EB69" t="e">
        <f>AND(#REF!,"W0pSRHM0uIM=")</f>
        <v>#REF!</v>
      </c>
      <c r="EC69" t="e">
        <f>AND(#REF!,"W0pSRHM0uIQ=")</f>
        <v>#REF!</v>
      </c>
      <c r="ED69" t="e">
        <f>AND(#REF!,"W0pSRHM0uIU=")</f>
        <v>#REF!</v>
      </c>
      <c r="EE69" t="e">
        <f>AND(#REF!,"W0pSRHM0uIY=")</f>
        <v>#REF!</v>
      </c>
      <c r="EF69" t="e">
        <f>AND(#REF!,"W0pSRHM0uIc=")</f>
        <v>#REF!</v>
      </c>
      <c r="EG69" t="e">
        <f>AND(#REF!,"W0pSRHM0uIg=")</f>
        <v>#REF!</v>
      </c>
      <c r="EH69" t="e">
        <f>AND(#REF!,"W0pSRHM0uIk=")</f>
        <v>#REF!</v>
      </c>
      <c r="EI69" t="e">
        <f>AND(#REF!,"W0pSRHM0uIo=")</f>
        <v>#REF!</v>
      </c>
      <c r="EJ69" t="e">
        <f>AND(#REF!,"W0pSRHM0uIs=")</f>
        <v>#REF!</v>
      </c>
      <c r="EK69" t="e">
        <f>AND(#REF!,"W0pSRHM0uIw=")</f>
        <v>#REF!</v>
      </c>
      <c r="EL69" t="e">
        <f>AND(#REF!,"W0pSRHM0uI0=")</f>
        <v>#REF!</v>
      </c>
      <c r="EM69" t="e">
        <f>AND(#REF!,"W0pSRHM0uI4=")</f>
        <v>#REF!</v>
      </c>
      <c r="EN69" t="e">
        <f>AND(#REF!,"W0pSRHM0uI8=")</f>
        <v>#REF!</v>
      </c>
      <c r="EO69" t="e">
        <f>AND(#REF!,"W0pSRHM0uJA=")</f>
        <v>#REF!</v>
      </c>
      <c r="EP69" t="e">
        <f>AND(#REF!,"W0pSRHM0uJE=")</f>
        <v>#REF!</v>
      </c>
      <c r="EQ69" t="e">
        <f>AND(#REF!,"W0pSRHM0uJI=")</f>
        <v>#REF!</v>
      </c>
      <c r="ER69" t="e">
        <f>AND(#REF!,"W0pSRHM0uJM=")</f>
        <v>#REF!</v>
      </c>
      <c r="ES69" t="e">
        <f>AND(#REF!,"W0pSRHM0uJQ=")</f>
        <v>#REF!</v>
      </c>
      <c r="ET69" t="e">
        <f>AND(#REF!,"W0pSRHM0uJU=")</f>
        <v>#REF!</v>
      </c>
      <c r="EU69" t="e">
        <f>AND(#REF!,"W0pSRHM0uJY=")</f>
        <v>#REF!</v>
      </c>
      <c r="EV69" t="e">
        <f>AND(#REF!,"W0pSRHM0uJc=")</f>
        <v>#REF!</v>
      </c>
      <c r="EW69" t="e">
        <f>AND(#REF!,"W0pSRHM0uJg=")</f>
        <v>#REF!</v>
      </c>
      <c r="EX69" t="e">
        <f>AND(#REF!,"W0pSRHM0uJk=")</f>
        <v>#REF!</v>
      </c>
      <c r="EY69" t="e">
        <f>AND(#REF!,"W0pSRHM0uJo=")</f>
        <v>#REF!</v>
      </c>
      <c r="EZ69" t="e">
        <f>AND(#REF!,"W0pSRHM0uJs=")</f>
        <v>#REF!</v>
      </c>
      <c r="FA69" t="e">
        <f>AND(#REF!,"W0pSRHM0uJw=")</f>
        <v>#REF!</v>
      </c>
      <c r="FB69" t="e">
        <f>AND(#REF!,"W0pSRHM0uJ0=")</f>
        <v>#REF!</v>
      </c>
      <c r="FC69" t="e">
        <f>AND(#REF!,"W0pSRHM0uJ4=")</f>
        <v>#REF!</v>
      </c>
      <c r="FD69" t="e">
        <f>AND(#REF!,"W0pSRHM0uJ8=")</f>
        <v>#REF!</v>
      </c>
      <c r="FE69" t="e">
        <f>AND(#REF!,"W0pSRHM0uKA=")</f>
        <v>#REF!</v>
      </c>
      <c r="FF69" t="e">
        <f>AND(#REF!,"W0pSRHM0uKE=")</f>
        <v>#REF!</v>
      </c>
      <c r="FG69" t="e">
        <f>AND(#REF!,"W0pSRHM0uKI=")</f>
        <v>#REF!</v>
      </c>
      <c r="FH69" t="e">
        <f>AND(#REF!,"W0pSRHM0uKM=")</f>
        <v>#REF!</v>
      </c>
      <c r="FI69" t="e">
        <f>AND(#REF!,"W0pSRHM0uKQ=")</f>
        <v>#REF!</v>
      </c>
      <c r="FJ69" t="e">
        <f>AND(#REF!,"W0pSRHM0uKU=")</f>
        <v>#REF!</v>
      </c>
      <c r="FK69" t="e">
        <f>AND(#REF!,"W0pSRHM0uKY=")</f>
        <v>#REF!</v>
      </c>
      <c r="FL69" t="e">
        <f>AND(#REF!,"W0pSRHM0uKc=")</f>
        <v>#REF!</v>
      </c>
      <c r="FM69" t="e">
        <f>AND(#REF!,"W0pSRHM0uKg=")</f>
        <v>#REF!</v>
      </c>
      <c r="FN69" t="e">
        <f>AND(#REF!,"W0pSRHM0uKk=")</f>
        <v>#REF!</v>
      </c>
      <c r="FO69" t="e">
        <f>AND(#REF!,"W0pSRHM0uKo=")</f>
        <v>#REF!</v>
      </c>
      <c r="FP69" t="e">
        <f>AND(#REF!,"W0pSRHM0uKs=")</f>
        <v>#REF!</v>
      </c>
      <c r="FQ69" t="e">
        <f>AND(#REF!,"W0pSRHM0uKw=")</f>
        <v>#REF!</v>
      </c>
      <c r="FR69" t="e">
        <f>AND(#REF!,"W0pSRHM0uK0=")</f>
        <v>#REF!</v>
      </c>
      <c r="FS69" t="e">
        <f>AND(#REF!,"W0pSRHM0uK4=")</f>
        <v>#REF!</v>
      </c>
      <c r="FT69" t="e">
        <f>AND(#REF!,"W0pSRHM0uK8=")</f>
        <v>#REF!</v>
      </c>
      <c r="FU69" t="e">
        <f>AND(#REF!,"W0pSRHM0uLA=")</f>
        <v>#REF!</v>
      </c>
      <c r="FV69" t="e">
        <f>AND(#REF!,"W0pSRHM0uLE=")</f>
        <v>#REF!</v>
      </c>
      <c r="FW69" t="e">
        <f>AND(#REF!,"W0pSRHM0uLI=")</f>
        <v>#REF!</v>
      </c>
      <c r="FX69" t="e">
        <f>AND(#REF!,"W0pSRHM0uLM=")</f>
        <v>#REF!</v>
      </c>
      <c r="FY69" t="e">
        <f>AND(#REF!,"W0pSRHM0uLQ=")</f>
        <v>#REF!</v>
      </c>
      <c r="FZ69" t="e">
        <f>AND(#REF!,"W0pSRHM0uLU=")</f>
        <v>#REF!</v>
      </c>
      <c r="GA69" t="e">
        <f>AND(#REF!,"W0pSRHM0uLY=")</f>
        <v>#REF!</v>
      </c>
      <c r="GB69" t="e">
        <f>AND(#REF!,"W0pSRHM0uLc=")</f>
        <v>#REF!</v>
      </c>
      <c r="GC69" t="e">
        <f>AND(#REF!,"W0pSRHM0uLg=")</f>
        <v>#REF!</v>
      </c>
      <c r="GD69" t="e">
        <f>AND(#REF!,"W0pSRHM0uLk=")</f>
        <v>#REF!</v>
      </c>
      <c r="GE69" t="e">
        <f>AND(#REF!,"W0pSRHM0uLo=")</f>
        <v>#REF!</v>
      </c>
      <c r="GF69" t="e">
        <f>AND(#REF!,"W0pSRHM0uLs=")</f>
        <v>#REF!</v>
      </c>
      <c r="GG69" t="e">
        <f>AND(#REF!,"W0pSRHM0uLw=")</f>
        <v>#REF!</v>
      </c>
      <c r="GH69" t="e">
        <f>AND(#REF!,"W0pSRHM0uL0=")</f>
        <v>#REF!</v>
      </c>
      <c r="GI69" t="e">
        <f>AND(#REF!,"W0pSRHM0uL4=")</f>
        <v>#REF!</v>
      </c>
      <c r="GJ69" t="e">
        <f>AND(#REF!,"W0pSRHM0uL8=")</f>
        <v>#REF!</v>
      </c>
      <c r="GK69" t="e">
        <f>AND(#REF!,"W0pSRHM0uMA=")</f>
        <v>#REF!</v>
      </c>
      <c r="GL69" t="e">
        <f>AND(#REF!,"W0pSRHM0uME=")</f>
        <v>#REF!</v>
      </c>
      <c r="GM69" t="e">
        <f>AND(#REF!,"W0pSRHM0uMI=")</f>
        <v>#REF!</v>
      </c>
      <c r="GN69" t="e">
        <f>AND(#REF!,"W0pSRHM0uMM=")</f>
        <v>#REF!</v>
      </c>
      <c r="GO69" t="e">
        <f>AND(#REF!,"W0pSRHM0uMQ=")</f>
        <v>#REF!</v>
      </c>
      <c r="GP69" t="e">
        <f>AND(#REF!,"W0pSRHM0uMU=")</f>
        <v>#REF!</v>
      </c>
      <c r="GQ69" t="e">
        <f>AND(#REF!,"W0pSRHM0uMY=")</f>
        <v>#REF!</v>
      </c>
      <c r="GR69" t="e">
        <f>AND(#REF!,"W0pSRHM0uMc=")</f>
        <v>#REF!</v>
      </c>
      <c r="GS69" t="e">
        <f>AND(#REF!,"W0pSRHM0uMg=")</f>
        <v>#REF!</v>
      </c>
      <c r="GT69" t="e">
        <f>AND(#REF!,"W0pSRHM0uMk=")</f>
        <v>#REF!</v>
      </c>
      <c r="GU69" t="e">
        <f>AND(#REF!,"W0pSRHM0uMo=")</f>
        <v>#REF!</v>
      </c>
      <c r="GV69" t="e">
        <f>AND(#REF!,"W0pSRHM0uMs=")</f>
        <v>#REF!</v>
      </c>
      <c r="GW69" t="e">
        <f>AND(#REF!,"W0pSRHM0uMw=")</f>
        <v>#REF!</v>
      </c>
      <c r="GX69" t="e">
        <f>AND(#REF!,"W0pSRHM0uM0=")</f>
        <v>#REF!</v>
      </c>
      <c r="GY69" t="e">
        <f>AND(#REF!,"W0pSRHM0uM4=")</f>
        <v>#REF!</v>
      </c>
      <c r="GZ69" t="e">
        <f>AND(#REF!,"W0pSRHM0uM8=")</f>
        <v>#REF!</v>
      </c>
      <c r="HA69" t="e">
        <f>AND(#REF!,"W0pSRHM0uNA=")</f>
        <v>#REF!</v>
      </c>
      <c r="HB69" t="e">
        <f>AND(#REF!,"W0pSRHM0uNE=")</f>
        <v>#REF!</v>
      </c>
      <c r="HC69" t="e">
        <f>AND(#REF!,"W0pSRHM0uNI=")</f>
        <v>#REF!</v>
      </c>
      <c r="HD69" t="e">
        <f>AND(#REF!,"W0pSRHM0uNM=")</f>
        <v>#REF!</v>
      </c>
      <c r="HE69" t="e">
        <f>AND(#REF!,"W0pSRHM0uNQ=")</f>
        <v>#REF!</v>
      </c>
      <c r="HF69" t="e">
        <f>AND(#REF!,"W0pSRHM0uNU=")</f>
        <v>#REF!</v>
      </c>
      <c r="HG69" t="e">
        <f>AND(#REF!,"W0pSRHM0uNY=")</f>
        <v>#REF!</v>
      </c>
      <c r="HH69" t="e">
        <f>AND(#REF!,"W0pSRHM0uNc=")</f>
        <v>#REF!</v>
      </c>
      <c r="HI69" t="e">
        <f>AND(#REF!,"W0pSRHM0uNg=")</f>
        <v>#REF!</v>
      </c>
      <c r="HJ69" t="e">
        <f>AND(#REF!,"W0pSRHM0uNk=")</f>
        <v>#REF!</v>
      </c>
      <c r="HK69" t="e">
        <f>AND(#REF!,"W0pSRHM0uNo=")</f>
        <v>#REF!</v>
      </c>
      <c r="HL69" t="e">
        <f>AND(#REF!,"W0pSRHM0uNs=")</f>
        <v>#REF!</v>
      </c>
      <c r="HM69" t="e">
        <f>AND(#REF!,"W0pSRHM0uNw=")</f>
        <v>#REF!</v>
      </c>
      <c r="HN69" t="e">
        <f>AND(#REF!,"W0pSRHM0uN0=")</f>
        <v>#REF!</v>
      </c>
      <c r="HO69" t="e">
        <f>AND(#REF!,"W0pSRHM0uN4=")</f>
        <v>#REF!</v>
      </c>
      <c r="HP69" t="e">
        <f>AND(#REF!,"W0pSRHM0uN8=")</f>
        <v>#REF!</v>
      </c>
      <c r="HQ69" t="e">
        <f>AND(#REF!,"W0pSRHM0uOA=")</f>
        <v>#REF!</v>
      </c>
      <c r="HR69" t="e">
        <f>AND(#REF!,"W0pSRHM0uOE=")</f>
        <v>#REF!</v>
      </c>
      <c r="HS69" t="e">
        <f>AND(#REF!,"W0pSRHM0uOI=")</f>
        <v>#REF!</v>
      </c>
      <c r="HT69" t="e">
        <f>AND(#REF!,"W0pSRHM0uOM=")</f>
        <v>#REF!</v>
      </c>
      <c r="HU69" t="e">
        <f>AND(#REF!,"W0pSRHM0uOQ=")</f>
        <v>#REF!</v>
      </c>
      <c r="HV69" t="e">
        <f>AND(#REF!,"W0pSRHM0uOU=")</f>
        <v>#REF!</v>
      </c>
      <c r="HW69" t="e">
        <f>AND(#REF!,"W0pSRHM0uOY=")</f>
        <v>#REF!</v>
      </c>
      <c r="HX69" t="e">
        <f>AND(#REF!,"W0pSRHM0uOc=")</f>
        <v>#REF!</v>
      </c>
      <c r="HY69" t="e">
        <f>AND(#REF!,"W0pSRHM0uOg=")</f>
        <v>#REF!</v>
      </c>
      <c r="HZ69" t="e">
        <f>AND(#REF!,"W0pSRHM0uOk=")</f>
        <v>#REF!</v>
      </c>
      <c r="IA69" t="e">
        <f>AND(#REF!,"W0pSRHM0uOo=")</f>
        <v>#REF!</v>
      </c>
      <c r="IB69" t="e">
        <f>AND(#REF!,"W0pSRHM0uOs=")</f>
        <v>#REF!</v>
      </c>
      <c r="IC69" t="e">
        <f>AND(#REF!,"W0pSRHM0uOw=")</f>
        <v>#REF!</v>
      </c>
      <c r="ID69" t="e">
        <f>AND(#REF!,"W0pSRHM0uO0=")</f>
        <v>#REF!</v>
      </c>
      <c r="IE69" t="e">
        <f>AND(#REF!,"W0pSRHM0uO4=")</f>
        <v>#REF!</v>
      </c>
      <c r="IF69" t="e">
        <f>AND(#REF!,"W0pSRHM0uO8=")</f>
        <v>#REF!</v>
      </c>
      <c r="IG69" t="e">
        <f>AND(#REF!,"W0pSRHM0uPA=")</f>
        <v>#REF!</v>
      </c>
      <c r="IH69" t="e">
        <f>AND(#REF!,"W0pSRHM0uPE=")</f>
        <v>#REF!</v>
      </c>
      <c r="II69" t="e">
        <f>AND(#REF!,"W0pSRHM0uPI=")</f>
        <v>#REF!</v>
      </c>
      <c r="IJ69" t="e">
        <f>AND(#REF!,"W0pSRHM0uPM=")</f>
        <v>#REF!</v>
      </c>
      <c r="IK69" t="e">
        <f>AND(#REF!,"W0pSRHM0uPQ=")</f>
        <v>#REF!</v>
      </c>
      <c r="IL69" t="e">
        <f>AND(#REF!,"W0pSRHM0uPU=")</f>
        <v>#REF!</v>
      </c>
      <c r="IM69" t="e">
        <f>AND(#REF!,"W0pSRHM0uPY=")</f>
        <v>#REF!</v>
      </c>
      <c r="IN69" t="e">
        <f>AND(#REF!,"W0pSRHM0uPc=")</f>
        <v>#REF!</v>
      </c>
      <c r="IO69" t="e">
        <f>AND(#REF!,"W0pSRHM0uPg=")</f>
        <v>#REF!</v>
      </c>
      <c r="IP69" t="e">
        <f>IF(#REF!,"W0pSRHM0uPk=",0)</f>
        <v>#REF!</v>
      </c>
      <c r="IQ69" t="e">
        <f>AND(#REF!,"W0pSRHM0uPo=")</f>
        <v>#REF!</v>
      </c>
      <c r="IR69" t="e">
        <f>AND(#REF!,"W0pSRHM0uPs=")</f>
        <v>#REF!</v>
      </c>
      <c r="IS69" t="e">
        <f>AND(#REF!,"W0pSRHM0uPw=")</f>
        <v>#REF!</v>
      </c>
      <c r="IT69" t="e">
        <f>AND(#REF!,"W0pSRHM0uP0=")</f>
        <v>#REF!</v>
      </c>
      <c r="IU69" t="e">
        <f>AND(#REF!,"W0pSRHM0uP4=")</f>
        <v>#REF!</v>
      </c>
      <c r="IV69" t="e">
        <f>AND(#REF!,"W0pSRHM0uP8=")</f>
        <v>#REF!</v>
      </c>
    </row>
    <row r="70" spans="1:256" x14ac:dyDescent="0.2">
      <c r="A70" t="e">
        <f>AND(#REF!,"MR4dn3V6tgA=")</f>
        <v>#REF!</v>
      </c>
      <c r="B70" t="e">
        <f>AND(#REF!,"MR4dn3V6tgE=")</f>
        <v>#REF!</v>
      </c>
      <c r="C70" t="e">
        <f>AND(#REF!,"MR4dn3V6tgI=")</f>
        <v>#REF!</v>
      </c>
      <c r="D70" t="e">
        <f>AND(#REF!,"MR4dn3V6tgM=")</f>
        <v>#REF!</v>
      </c>
      <c r="E70" t="e">
        <f>AND(#REF!,"MR4dn3V6tgQ=")</f>
        <v>#REF!</v>
      </c>
      <c r="F70" t="e">
        <f>AND(#REF!,"MR4dn3V6tgU=")</f>
        <v>#REF!</v>
      </c>
      <c r="G70" t="e">
        <f>AND(#REF!,"MR4dn3V6tgY=")</f>
        <v>#REF!</v>
      </c>
      <c r="H70" t="e">
        <f>AND(#REF!,"MR4dn3V6tgc=")</f>
        <v>#REF!</v>
      </c>
      <c r="I70" t="e">
        <f>AND(#REF!,"MR4dn3V6tgg=")</f>
        <v>#REF!</v>
      </c>
      <c r="J70" t="e">
        <f>AND(#REF!,"MR4dn3V6tgk=")</f>
        <v>#REF!</v>
      </c>
      <c r="K70" t="e">
        <f>AND(#REF!,"MR4dn3V6tgo=")</f>
        <v>#REF!</v>
      </c>
      <c r="L70" t="e">
        <f>AND(#REF!,"MR4dn3V6tgs=")</f>
        <v>#REF!</v>
      </c>
      <c r="M70" t="e">
        <f>AND(#REF!,"MR4dn3V6tgw=")</f>
        <v>#REF!</v>
      </c>
      <c r="N70" t="e">
        <f>AND(#REF!,"MR4dn3V6tg0=")</f>
        <v>#REF!</v>
      </c>
      <c r="O70" t="e">
        <f>AND(#REF!,"MR4dn3V6tg4=")</f>
        <v>#REF!</v>
      </c>
      <c r="P70" t="e">
        <f>AND(#REF!,"MR4dn3V6tg8=")</f>
        <v>#REF!</v>
      </c>
      <c r="Q70" t="e">
        <f>AND(#REF!,"MR4dn3V6thA=")</f>
        <v>#REF!</v>
      </c>
      <c r="R70" t="e">
        <f>AND(#REF!,"MR4dn3V6thE=")</f>
        <v>#REF!</v>
      </c>
      <c r="S70" t="e">
        <f>AND(#REF!,"MR4dn3V6thI=")</f>
        <v>#REF!</v>
      </c>
      <c r="T70" t="e">
        <f>AND(#REF!,"MR4dn3V6thM=")</f>
        <v>#REF!</v>
      </c>
      <c r="U70" t="e">
        <f>AND(#REF!,"MR4dn3V6thQ=")</f>
        <v>#REF!</v>
      </c>
      <c r="V70" t="e">
        <f>AND(#REF!,"MR4dn3V6thU=")</f>
        <v>#REF!</v>
      </c>
      <c r="W70" t="e">
        <f>AND(#REF!,"MR4dn3V6thY=")</f>
        <v>#REF!</v>
      </c>
      <c r="X70" t="e">
        <f>AND(#REF!,"MR4dn3V6thc=")</f>
        <v>#REF!</v>
      </c>
      <c r="Y70" t="e">
        <f>AND(#REF!,"MR4dn3V6thg=")</f>
        <v>#REF!</v>
      </c>
      <c r="Z70" t="e">
        <f>AND(#REF!,"MR4dn3V6thk=")</f>
        <v>#REF!</v>
      </c>
      <c r="AA70" t="e">
        <f>AND(#REF!,"MR4dn3V6tho=")</f>
        <v>#REF!</v>
      </c>
      <c r="AB70" t="e">
        <f>AND(#REF!,"MR4dn3V6ths=")</f>
        <v>#REF!</v>
      </c>
      <c r="AC70" t="e">
        <f>AND(#REF!,"MR4dn3V6thw=")</f>
        <v>#REF!</v>
      </c>
      <c r="AD70" t="e">
        <f>AND(#REF!,"MR4dn3V6th0=")</f>
        <v>#REF!</v>
      </c>
      <c r="AE70" t="e">
        <f>AND(#REF!,"MR4dn3V6th4=")</f>
        <v>#REF!</v>
      </c>
      <c r="AF70" t="e">
        <f>AND(#REF!,"MR4dn3V6th8=")</f>
        <v>#REF!</v>
      </c>
      <c r="AG70" t="e">
        <f>AND(#REF!,"MR4dn3V6tiA=")</f>
        <v>#REF!</v>
      </c>
      <c r="AH70" t="e">
        <f>AND(#REF!,"MR4dn3V6tiE=")</f>
        <v>#REF!</v>
      </c>
      <c r="AI70" t="e">
        <f>AND(#REF!,"MR4dn3V6tiI=")</f>
        <v>#REF!</v>
      </c>
      <c r="AJ70" t="e">
        <f>AND(#REF!,"MR4dn3V6tiM=")</f>
        <v>#REF!</v>
      </c>
      <c r="AK70" t="e">
        <f>AND(#REF!,"MR4dn3V6tiQ=")</f>
        <v>#REF!</v>
      </c>
      <c r="AL70" t="e">
        <f>AND(#REF!,"MR4dn3V6tiU=")</f>
        <v>#REF!</v>
      </c>
      <c r="AM70" t="e">
        <f>AND(#REF!,"MR4dn3V6tiY=")</f>
        <v>#REF!</v>
      </c>
      <c r="AN70" t="e">
        <f>AND(#REF!,"MR4dn3V6tic=")</f>
        <v>#REF!</v>
      </c>
      <c r="AO70" t="e">
        <f>AND(#REF!,"MR4dn3V6tig=")</f>
        <v>#REF!</v>
      </c>
      <c r="AP70" t="e">
        <f>AND(#REF!,"MR4dn3V6tik=")</f>
        <v>#REF!</v>
      </c>
      <c r="AQ70" t="e">
        <f>AND(#REF!,"MR4dn3V6tio=")</f>
        <v>#REF!</v>
      </c>
      <c r="AR70" t="e">
        <f>AND(#REF!,"MR4dn3V6tis=")</f>
        <v>#REF!</v>
      </c>
      <c r="AS70" t="e">
        <f>AND(#REF!,"MR4dn3V6tiw=")</f>
        <v>#REF!</v>
      </c>
      <c r="AT70" t="e">
        <f>AND(#REF!,"MR4dn3V6ti0=")</f>
        <v>#REF!</v>
      </c>
      <c r="AU70" t="e">
        <f>AND(#REF!,"MR4dn3V6ti4=")</f>
        <v>#REF!</v>
      </c>
      <c r="AV70" t="e">
        <f>AND(#REF!,"MR4dn3V6ti8=")</f>
        <v>#REF!</v>
      </c>
      <c r="AW70" t="e">
        <f>AND(#REF!,"MR4dn3V6tjA=")</f>
        <v>#REF!</v>
      </c>
      <c r="AX70" t="e">
        <f>AND(#REF!,"MR4dn3V6tjE=")</f>
        <v>#REF!</v>
      </c>
      <c r="AY70" t="e">
        <f>AND(#REF!,"MR4dn3V6tjI=")</f>
        <v>#REF!</v>
      </c>
      <c r="AZ70" t="e">
        <f>AND(#REF!,"MR4dn3V6tjM=")</f>
        <v>#REF!</v>
      </c>
      <c r="BA70" t="e">
        <f>AND(#REF!,"MR4dn3V6tjQ=")</f>
        <v>#REF!</v>
      </c>
      <c r="BB70" t="e">
        <f>AND(#REF!,"MR4dn3V6tjU=")</f>
        <v>#REF!</v>
      </c>
      <c r="BC70" t="e">
        <f>AND(#REF!,"MR4dn3V6tjY=")</f>
        <v>#REF!</v>
      </c>
      <c r="BD70" t="e">
        <f>AND(#REF!,"MR4dn3V6tjc=")</f>
        <v>#REF!</v>
      </c>
      <c r="BE70" t="e">
        <f>AND(#REF!,"MR4dn3V6tjg=")</f>
        <v>#REF!</v>
      </c>
      <c r="BF70" t="e">
        <f>AND(#REF!,"MR4dn3V6tjk=")</f>
        <v>#REF!</v>
      </c>
      <c r="BG70" t="e">
        <f>AND(#REF!,"MR4dn3V6tjo=")</f>
        <v>#REF!</v>
      </c>
      <c r="BH70" t="e">
        <f>AND(#REF!,"MR4dn3V6tjs=")</f>
        <v>#REF!</v>
      </c>
      <c r="BI70" t="e">
        <f>AND(#REF!,"MR4dn3V6tjw=")</f>
        <v>#REF!</v>
      </c>
      <c r="BJ70" t="e">
        <f>AND(#REF!,"MR4dn3V6tj0=")</f>
        <v>#REF!</v>
      </c>
      <c r="BK70" t="e">
        <f>AND(#REF!,"MR4dn3V6tj4=")</f>
        <v>#REF!</v>
      </c>
      <c r="BL70" t="e">
        <f>AND(#REF!,"MR4dn3V6tj8=")</f>
        <v>#REF!</v>
      </c>
      <c r="BM70" t="e">
        <f>AND(#REF!,"MR4dn3V6tkA=")</f>
        <v>#REF!</v>
      </c>
      <c r="BN70" t="e">
        <f>AND(#REF!,"MR4dn3V6tkE=")</f>
        <v>#REF!</v>
      </c>
      <c r="BO70" t="e">
        <f>AND(#REF!,"MR4dn3V6tkI=")</f>
        <v>#REF!</v>
      </c>
      <c r="BP70" t="e">
        <f>AND(#REF!,"MR4dn3V6tkM=")</f>
        <v>#REF!</v>
      </c>
      <c r="BQ70" t="e">
        <f>AND(#REF!,"MR4dn3V6tkQ=")</f>
        <v>#REF!</v>
      </c>
      <c r="BR70" t="e">
        <f>AND(#REF!,"MR4dn3V6tkU=")</f>
        <v>#REF!</v>
      </c>
      <c r="BS70" t="e">
        <f>AND(#REF!,"MR4dn3V6tkY=")</f>
        <v>#REF!</v>
      </c>
      <c r="BT70" t="e">
        <f>AND(#REF!,"MR4dn3V6tkc=")</f>
        <v>#REF!</v>
      </c>
      <c r="BU70" t="e">
        <f>AND(#REF!,"MR4dn3V6tkg=")</f>
        <v>#REF!</v>
      </c>
      <c r="BV70" t="e">
        <f>AND(#REF!,"MR4dn3V6tkk=")</f>
        <v>#REF!</v>
      </c>
      <c r="BW70" t="e">
        <f>AND(#REF!,"MR4dn3V6tko=")</f>
        <v>#REF!</v>
      </c>
      <c r="BX70" t="e">
        <f>AND(#REF!,"MR4dn3V6tks=")</f>
        <v>#REF!</v>
      </c>
      <c r="BY70" t="e">
        <f>AND(#REF!,"MR4dn3V6tkw=")</f>
        <v>#REF!</v>
      </c>
      <c r="BZ70" t="e">
        <f>AND(#REF!,"MR4dn3V6tk0=")</f>
        <v>#REF!</v>
      </c>
      <c r="CA70" t="e">
        <f>AND(#REF!,"MR4dn3V6tk4=")</f>
        <v>#REF!</v>
      </c>
      <c r="CB70" t="e">
        <f>AND(#REF!,"MR4dn3V6tk8=")</f>
        <v>#REF!</v>
      </c>
      <c r="CC70" t="e">
        <f>AND(#REF!,"MR4dn3V6tlA=")</f>
        <v>#REF!</v>
      </c>
      <c r="CD70" t="e">
        <f>AND(#REF!,"MR4dn3V6tlE=")</f>
        <v>#REF!</v>
      </c>
      <c r="CE70" t="e">
        <f>AND(#REF!,"MR4dn3V6tlI=")</f>
        <v>#REF!</v>
      </c>
      <c r="CF70" t="e">
        <f>AND(#REF!,"MR4dn3V6tlM=")</f>
        <v>#REF!</v>
      </c>
      <c r="CG70" t="e">
        <f>AND(#REF!,"MR4dn3V6tlQ=")</f>
        <v>#REF!</v>
      </c>
      <c r="CH70" t="e">
        <f>AND(#REF!,"MR4dn3V6tlU=")</f>
        <v>#REF!</v>
      </c>
      <c r="CI70" t="e">
        <f>AND(#REF!,"MR4dn3V6tlY=")</f>
        <v>#REF!</v>
      </c>
      <c r="CJ70" t="e">
        <f>AND(#REF!,"MR4dn3V6tlc=")</f>
        <v>#REF!</v>
      </c>
      <c r="CK70" t="e">
        <f>AND(#REF!,"MR4dn3V6tlg=")</f>
        <v>#REF!</v>
      </c>
      <c r="CL70" t="e">
        <f>AND(#REF!,"MR4dn3V6tlk=")</f>
        <v>#REF!</v>
      </c>
      <c r="CM70" t="e">
        <f>AND(#REF!,"MR4dn3V6tlo=")</f>
        <v>#REF!</v>
      </c>
      <c r="CN70" t="e">
        <f>AND(#REF!,"MR4dn3V6tls=")</f>
        <v>#REF!</v>
      </c>
      <c r="CO70" t="e">
        <f>AND(#REF!,"MR4dn3V6tlw=")</f>
        <v>#REF!</v>
      </c>
      <c r="CP70" t="e">
        <f>AND(#REF!,"MR4dn3V6tl0=")</f>
        <v>#REF!</v>
      </c>
      <c r="CQ70" t="e">
        <f>AND(#REF!,"MR4dn3V6tl4=")</f>
        <v>#REF!</v>
      </c>
      <c r="CR70" t="e">
        <f>AND(#REF!,"MR4dn3V6tl8=")</f>
        <v>#REF!</v>
      </c>
      <c r="CS70" t="e">
        <f>AND(#REF!,"MR4dn3V6tmA=")</f>
        <v>#REF!</v>
      </c>
      <c r="CT70" t="e">
        <f>AND(#REF!,"MR4dn3V6tmE=")</f>
        <v>#REF!</v>
      </c>
      <c r="CU70" t="e">
        <f>AND(#REF!,"MR4dn3V6tmI=")</f>
        <v>#REF!</v>
      </c>
      <c r="CV70" t="e">
        <f>AND(#REF!,"MR4dn3V6tmM=")</f>
        <v>#REF!</v>
      </c>
      <c r="CW70" t="e">
        <f>AND(#REF!,"MR4dn3V6tmQ=")</f>
        <v>#REF!</v>
      </c>
      <c r="CX70" t="e">
        <f>AND(#REF!,"MR4dn3V6tmU=")</f>
        <v>#REF!</v>
      </c>
      <c r="CY70" t="e">
        <f>AND(#REF!,"MR4dn3V6tmY=")</f>
        <v>#REF!</v>
      </c>
      <c r="CZ70" t="e">
        <f>AND(#REF!,"MR4dn3V6tmc=")</f>
        <v>#REF!</v>
      </c>
      <c r="DA70" t="e">
        <f>AND(#REF!,"MR4dn3V6tmg=")</f>
        <v>#REF!</v>
      </c>
      <c r="DB70" t="e">
        <f>AND(#REF!,"MR4dn3V6tmk=")</f>
        <v>#REF!</v>
      </c>
      <c r="DC70" t="e">
        <f>AND(#REF!,"MR4dn3V6tmo=")</f>
        <v>#REF!</v>
      </c>
      <c r="DD70" t="e">
        <f>AND(#REF!,"MR4dn3V6tms=")</f>
        <v>#REF!</v>
      </c>
      <c r="DE70" t="e">
        <f>AND(#REF!,"MR4dn3V6tmw=")</f>
        <v>#REF!</v>
      </c>
      <c r="DF70" t="e">
        <f>AND(#REF!,"MR4dn3V6tm0=")</f>
        <v>#REF!</v>
      </c>
      <c r="DG70" t="e">
        <f>AND(#REF!,"MR4dn3V6tm4=")</f>
        <v>#REF!</v>
      </c>
      <c r="DH70" t="e">
        <f>AND(#REF!,"MR4dn3V6tm8=")</f>
        <v>#REF!</v>
      </c>
      <c r="DI70" t="e">
        <f>AND(#REF!,"MR4dn3V6tnA=")</f>
        <v>#REF!</v>
      </c>
      <c r="DJ70" t="e">
        <f>AND(#REF!,"MR4dn3V6tnE=")</f>
        <v>#REF!</v>
      </c>
      <c r="DK70" t="e">
        <f>AND(#REF!,"MR4dn3V6tnI=")</f>
        <v>#REF!</v>
      </c>
      <c r="DL70" t="e">
        <f>AND(#REF!,"MR4dn3V6tnM=")</f>
        <v>#REF!</v>
      </c>
      <c r="DM70" t="e">
        <f>AND(#REF!,"MR4dn3V6tnQ=")</f>
        <v>#REF!</v>
      </c>
      <c r="DN70" t="e">
        <f>AND(#REF!,"MR4dn3V6tnU=")</f>
        <v>#REF!</v>
      </c>
      <c r="DO70" t="e">
        <f>AND(#REF!,"MR4dn3V6tnY=")</f>
        <v>#REF!</v>
      </c>
      <c r="DP70" t="e">
        <f>AND(#REF!,"MR4dn3V6tnc=")</f>
        <v>#REF!</v>
      </c>
      <c r="DQ70" t="e">
        <f>AND(#REF!,"MR4dn3V6tng=")</f>
        <v>#REF!</v>
      </c>
      <c r="DR70" t="e">
        <f>AND(#REF!,"MR4dn3V6tnk=")</f>
        <v>#REF!</v>
      </c>
      <c r="DS70" t="e">
        <f>AND(#REF!,"MR4dn3V6tno=")</f>
        <v>#REF!</v>
      </c>
      <c r="DT70" t="e">
        <f>AND(#REF!,"MR4dn3V6tns=")</f>
        <v>#REF!</v>
      </c>
      <c r="DU70" t="e">
        <f>AND(#REF!,"MR4dn3V6tnw=")</f>
        <v>#REF!</v>
      </c>
      <c r="DV70" t="e">
        <f>AND(#REF!,"MR4dn3V6tn0=")</f>
        <v>#REF!</v>
      </c>
      <c r="DW70" t="e">
        <f>AND(#REF!,"MR4dn3V6tn4=")</f>
        <v>#REF!</v>
      </c>
      <c r="DX70" t="e">
        <f>AND(#REF!,"MR4dn3V6tn8=")</f>
        <v>#REF!</v>
      </c>
      <c r="DY70" t="e">
        <f>AND(#REF!,"MR4dn3V6toA=")</f>
        <v>#REF!</v>
      </c>
      <c r="DZ70" t="e">
        <f>AND(#REF!,"MR4dn3V6toE=")</f>
        <v>#REF!</v>
      </c>
      <c r="EA70" t="e">
        <f>AND(#REF!,"MR4dn3V6toI=")</f>
        <v>#REF!</v>
      </c>
      <c r="EB70" t="e">
        <f>AND(#REF!,"MR4dn3V6toM=")</f>
        <v>#REF!</v>
      </c>
      <c r="EC70" t="e">
        <f>AND(#REF!,"MR4dn3V6toQ=")</f>
        <v>#REF!</v>
      </c>
      <c r="ED70" t="e">
        <f>AND(#REF!,"MR4dn3V6toU=")</f>
        <v>#REF!</v>
      </c>
      <c r="EE70" t="e">
        <f>AND(#REF!,"MR4dn3V6toY=")</f>
        <v>#REF!</v>
      </c>
      <c r="EF70" t="e">
        <f>AND(#REF!,"MR4dn3V6toc=")</f>
        <v>#REF!</v>
      </c>
      <c r="EG70" t="e">
        <f>AND(#REF!,"MR4dn3V6tog=")</f>
        <v>#REF!</v>
      </c>
      <c r="EH70" t="e">
        <f>AND(#REF!,"MR4dn3V6tok=")</f>
        <v>#REF!</v>
      </c>
      <c r="EI70" t="e">
        <f>AND(#REF!,"MR4dn3V6too=")</f>
        <v>#REF!</v>
      </c>
      <c r="EJ70" t="e">
        <f>AND(#REF!,"MR4dn3V6tos=")</f>
        <v>#REF!</v>
      </c>
      <c r="EK70" t="e">
        <f>AND(#REF!,"MR4dn3V6tow=")</f>
        <v>#REF!</v>
      </c>
      <c r="EL70" t="e">
        <f>AND(#REF!,"MR4dn3V6to0=")</f>
        <v>#REF!</v>
      </c>
      <c r="EM70" t="e">
        <f>AND(#REF!,"MR4dn3V6to4=")</f>
        <v>#REF!</v>
      </c>
      <c r="EN70" t="e">
        <f>AND(#REF!,"MR4dn3V6to8=")</f>
        <v>#REF!</v>
      </c>
      <c r="EO70" t="e">
        <f>AND(#REF!,"MR4dn3V6tpA=")</f>
        <v>#REF!</v>
      </c>
      <c r="EP70" t="e">
        <f>AND(#REF!,"MR4dn3V6tpE=")</f>
        <v>#REF!</v>
      </c>
      <c r="EQ70" t="e">
        <f>AND(#REF!,"MR4dn3V6tpI=")</f>
        <v>#REF!</v>
      </c>
      <c r="ER70" t="e">
        <f>AND(#REF!,"MR4dn3V6tpM=")</f>
        <v>#REF!</v>
      </c>
      <c r="ES70" t="e">
        <f>AND(#REF!,"MR4dn3V6tpQ=")</f>
        <v>#REF!</v>
      </c>
      <c r="ET70" t="e">
        <f>AND(#REF!,"MR4dn3V6tpU=")</f>
        <v>#REF!</v>
      </c>
      <c r="EU70" t="e">
        <f>AND(#REF!,"MR4dn3V6tpY=")</f>
        <v>#REF!</v>
      </c>
      <c r="EV70" t="e">
        <f>AND(#REF!,"MR4dn3V6tpc=")</f>
        <v>#REF!</v>
      </c>
      <c r="EW70" t="e">
        <f>AND(#REF!,"MR4dn3V6tpg=")</f>
        <v>#REF!</v>
      </c>
      <c r="EX70" t="e">
        <f>AND(#REF!,"MR4dn3V6tpk=")</f>
        <v>#REF!</v>
      </c>
      <c r="EY70" t="e">
        <f>AND(#REF!,"MR4dn3V6tpo=")</f>
        <v>#REF!</v>
      </c>
      <c r="EZ70" t="e">
        <f>AND(#REF!,"MR4dn3V6tps=")</f>
        <v>#REF!</v>
      </c>
      <c r="FA70" t="e">
        <f>AND(#REF!,"MR4dn3V6tpw=")</f>
        <v>#REF!</v>
      </c>
      <c r="FB70" t="e">
        <f>AND(#REF!,"MR4dn3V6tp0=")</f>
        <v>#REF!</v>
      </c>
      <c r="FC70" t="e">
        <f>AND(#REF!,"MR4dn3V6tp4=")</f>
        <v>#REF!</v>
      </c>
      <c r="FD70" t="e">
        <f>AND(#REF!,"MR4dn3V6tp8=")</f>
        <v>#REF!</v>
      </c>
      <c r="FE70" t="e">
        <f>AND(#REF!,"MR4dn3V6tqA=")</f>
        <v>#REF!</v>
      </c>
      <c r="FF70" t="e">
        <f>AND(#REF!,"MR4dn3V6tqE=")</f>
        <v>#REF!</v>
      </c>
      <c r="FG70" t="e">
        <f>AND(#REF!,"MR4dn3V6tqI=")</f>
        <v>#REF!</v>
      </c>
      <c r="FH70" t="e">
        <f>AND(#REF!,"MR4dn3V6tqM=")</f>
        <v>#REF!</v>
      </c>
      <c r="FI70" t="e">
        <f>AND(#REF!,"MR4dn3V6tqQ=")</f>
        <v>#REF!</v>
      </c>
      <c r="FJ70" t="e">
        <f>AND(#REF!,"MR4dn3V6tqU=")</f>
        <v>#REF!</v>
      </c>
      <c r="FK70" t="e">
        <f>AND(#REF!,"MR4dn3V6tqY=")</f>
        <v>#REF!</v>
      </c>
      <c r="FL70" t="e">
        <f>AND(#REF!,"MR4dn3V6tqc=")</f>
        <v>#REF!</v>
      </c>
      <c r="FM70" t="e">
        <f>AND(#REF!,"MR4dn3V6tqg=")</f>
        <v>#REF!</v>
      </c>
      <c r="FN70" t="e">
        <f>AND(#REF!,"MR4dn3V6tqk=")</f>
        <v>#REF!</v>
      </c>
      <c r="FO70" t="e">
        <f>AND(#REF!,"MR4dn3V6tqo=")</f>
        <v>#REF!</v>
      </c>
      <c r="FP70" t="e">
        <f>AND(#REF!,"MR4dn3V6tqs=")</f>
        <v>#REF!</v>
      </c>
      <c r="FQ70" t="e">
        <f>AND(#REF!,"MR4dn3V6tqw=")</f>
        <v>#REF!</v>
      </c>
      <c r="FR70" t="e">
        <f>AND(#REF!,"MR4dn3V6tq0=")</f>
        <v>#REF!</v>
      </c>
      <c r="FS70" t="e">
        <f>AND(#REF!,"MR4dn3V6tq4=")</f>
        <v>#REF!</v>
      </c>
      <c r="FT70" t="e">
        <f>AND(#REF!,"MR4dn3V6tq8=")</f>
        <v>#REF!</v>
      </c>
      <c r="FU70" t="e">
        <f>AND(#REF!,"MR4dn3V6trA=")</f>
        <v>#REF!</v>
      </c>
      <c r="FV70" t="e">
        <f>AND(#REF!,"MR4dn3V6trE=")</f>
        <v>#REF!</v>
      </c>
      <c r="FW70" t="e">
        <f>AND(#REF!,"MR4dn3V6trI=")</f>
        <v>#REF!</v>
      </c>
      <c r="FX70" t="e">
        <f>AND(#REF!,"MR4dn3V6trM=")</f>
        <v>#REF!</v>
      </c>
      <c r="FY70" t="e">
        <f>AND(#REF!,"MR4dn3V6trQ=")</f>
        <v>#REF!</v>
      </c>
      <c r="FZ70" t="e">
        <f>AND(#REF!,"MR4dn3V6trU=")</f>
        <v>#REF!</v>
      </c>
      <c r="GA70" t="e">
        <f>AND(#REF!,"MR4dn3V6trY=")</f>
        <v>#REF!</v>
      </c>
      <c r="GB70" t="e">
        <f>AND(#REF!,"MR4dn3V6trc=")</f>
        <v>#REF!</v>
      </c>
      <c r="GC70" t="e">
        <f>AND(#REF!,"MR4dn3V6trg=")</f>
        <v>#REF!</v>
      </c>
      <c r="GD70" t="e">
        <f>AND(#REF!,"MR4dn3V6trk=")</f>
        <v>#REF!</v>
      </c>
      <c r="GE70" t="e">
        <f>AND(#REF!,"MR4dn3V6tro=")</f>
        <v>#REF!</v>
      </c>
      <c r="GF70" t="e">
        <f>AND(#REF!,"MR4dn3V6trs=")</f>
        <v>#REF!</v>
      </c>
      <c r="GG70" t="e">
        <f>AND(#REF!,"MR4dn3V6trw=")</f>
        <v>#REF!</v>
      </c>
      <c r="GH70" t="e">
        <f>AND(#REF!,"MR4dn3V6tr0=")</f>
        <v>#REF!</v>
      </c>
      <c r="GI70" t="e">
        <f>AND(#REF!,"MR4dn3V6tr4=")</f>
        <v>#REF!</v>
      </c>
      <c r="GJ70" t="e">
        <f>AND(#REF!,"MR4dn3V6tr8=")</f>
        <v>#REF!</v>
      </c>
      <c r="GK70" t="e">
        <f>IF(#REF!,"MR4dn3V6tsA=",0)</f>
        <v>#REF!</v>
      </c>
      <c r="GL70" t="e">
        <f>AND(#REF!,"MR4dn3V6tsE=")</f>
        <v>#REF!</v>
      </c>
      <c r="GM70" t="e">
        <f>AND(#REF!,"MR4dn3V6tsI=")</f>
        <v>#REF!</v>
      </c>
      <c r="GN70" t="e">
        <f>AND(#REF!,"MR4dn3V6tsM=")</f>
        <v>#REF!</v>
      </c>
      <c r="GO70" t="e">
        <f>AND(#REF!,"MR4dn3V6tsQ=")</f>
        <v>#REF!</v>
      </c>
      <c r="GP70" t="e">
        <f>AND(#REF!,"MR4dn3V6tsU=")</f>
        <v>#REF!</v>
      </c>
      <c r="GQ70" t="e">
        <f>AND(#REF!,"MR4dn3V6tsY=")</f>
        <v>#REF!</v>
      </c>
      <c r="GR70" t="e">
        <f>AND(#REF!,"MR4dn3V6tsc=")</f>
        <v>#REF!</v>
      </c>
      <c r="GS70" t="e">
        <f>AND(#REF!,"MR4dn3V6tsg=")</f>
        <v>#REF!</v>
      </c>
      <c r="GT70" t="e">
        <f>AND(#REF!,"MR4dn3V6tsk=")</f>
        <v>#REF!</v>
      </c>
      <c r="GU70" t="e">
        <f>AND(#REF!,"MR4dn3V6tso=")</f>
        <v>#REF!</v>
      </c>
      <c r="GV70" t="e">
        <f>AND(#REF!,"MR4dn3V6tss=")</f>
        <v>#REF!</v>
      </c>
      <c r="GW70" t="e">
        <f>AND(#REF!,"MR4dn3V6tsw=")</f>
        <v>#REF!</v>
      </c>
      <c r="GX70" t="e">
        <f>AND(#REF!,"MR4dn3V6ts0=")</f>
        <v>#REF!</v>
      </c>
      <c r="GY70" t="e">
        <f>AND(#REF!,"MR4dn3V6ts4=")</f>
        <v>#REF!</v>
      </c>
      <c r="GZ70" t="e">
        <f>AND(#REF!,"MR4dn3V6ts8=")</f>
        <v>#REF!</v>
      </c>
      <c r="HA70" t="e">
        <f>AND(#REF!,"MR4dn3V6ttA=")</f>
        <v>#REF!</v>
      </c>
      <c r="HB70" t="e">
        <f>AND(#REF!,"MR4dn3V6ttE=")</f>
        <v>#REF!</v>
      </c>
      <c r="HC70" t="e">
        <f>AND(#REF!,"MR4dn3V6ttI=")</f>
        <v>#REF!</v>
      </c>
      <c r="HD70" t="e">
        <f>AND(#REF!,"MR4dn3V6ttM=")</f>
        <v>#REF!</v>
      </c>
      <c r="HE70" t="e">
        <f>AND(#REF!,"MR4dn3V6ttQ=")</f>
        <v>#REF!</v>
      </c>
      <c r="HF70" t="e">
        <f>AND(#REF!,"MR4dn3V6ttU=")</f>
        <v>#REF!</v>
      </c>
      <c r="HG70" t="e">
        <f>AND(#REF!,"MR4dn3V6ttY=")</f>
        <v>#REF!</v>
      </c>
      <c r="HH70" t="e">
        <f>AND(#REF!,"MR4dn3V6ttc=")</f>
        <v>#REF!</v>
      </c>
      <c r="HI70" t="e">
        <f>AND(#REF!,"MR4dn3V6ttg=")</f>
        <v>#REF!</v>
      </c>
      <c r="HJ70" t="e">
        <f>AND(#REF!,"MR4dn3V6ttk=")</f>
        <v>#REF!</v>
      </c>
      <c r="HK70" t="e">
        <f>AND(#REF!,"MR4dn3V6tto=")</f>
        <v>#REF!</v>
      </c>
      <c r="HL70" t="e">
        <f>AND(#REF!,"MR4dn3V6tts=")</f>
        <v>#REF!</v>
      </c>
      <c r="HM70" t="e">
        <f>AND(#REF!,"MR4dn3V6ttw=")</f>
        <v>#REF!</v>
      </c>
      <c r="HN70" t="e">
        <f>AND(#REF!,"MR4dn3V6tt0=")</f>
        <v>#REF!</v>
      </c>
      <c r="HO70" t="e">
        <f>AND(#REF!,"MR4dn3V6tt4=")</f>
        <v>#REF!</v>
      </c>
      <c r="HP70" t="e">
        <f>AND(#REF!,"MR4dn3V6tt8=")</f>
        <v>#REF!</v>
      </c>
      <c r="HQ70" t="e">
        <f>AND(#REF!,"MR4dn3V6tuA=")</f>
        <v>#REF!</v>
      </c>
      <c r="HR70" t="e">
        <f>AND(#REF!,"MR4dn3V6tuE=")</f>
        <v>#REF!</v>
      </c>
      <c r="HS70" t="e">
        <f>AND(#REF!,"MR4dn3V6tuI=")</f>
        <v>#REF!</v>
      </c>
      <c r="HT70" t="e">
        <f>AND(#REF!,"MR4dn3V6tuM=")</f>
        <v>#REF!</v>
      </c>
      <c r="HU70" t="e">
        <f>AND(#REF!,"MR4dn3V6tuQ=")</f>
        <v>#REF!</v>
      </c>
      <c r="HV70" t="e">
        <f>AND(#REF!,"MR4dn3V6tuU=")</f>
        <v>#REF!</v>
      </c>
      <c r="HW70" t="e">
        <f>AND(#REF!,"MR4dn3V6tuY=")</f>
        <v>#REF!</v>
      </c>
      <c r="HX70" t="e">
        <f>AND(#REF!,"MR4dn3V6tuc=")</f>
        <v>#REF!</v>
      </c>
      <c r="HY70" t="e">
        <f>AND(#REF!,"MR4dn3V6tug=")</f>
        <v>#REF!</v>
      </c>
      <c r="HZ70" t="e">
        <f>AND(#REF!,"MR4dn3V6tuk=")</f>
        <v>#REF!</v>
      </c>
      <c r="IA70" t="e">
        <f>AND(#REF!,"MR4dn3V6tuo=")</f>
        <v>#REF!</v>
      </c>
      <c r="IB70" t="e">
        <f>AND(#REF!,"MR4dn3V6tus=")</f>
        <v>#REF!</v>
      </c>
      <c r="IC70" t="e">
        <f>AND(#REF!,"MR4dn3V6tuw=")</f>
        <v>#REF!</v>
      </c>
      <c r="ID70" t="e">
        <f>AND(#REF!,"MR4dn3V6tu0=")</f>
        <v>#REF!</v>
      </c>
      <c r="IE70" t="e">
        <f>AND(#REF!,"MR4dn3V6tu4=")</f>
        <v>#REF!</v>
      </c>
      <c r="IF70" t="e">
        <f>AND(#REF!,"MR4dn3V6tu8=")</f>
        <v>#REF!</v>
      </c>
      <c r="IG70" t="e">
        <f>AND(#REF!,"MR4dn3V6tvA=")</f>
        <v>#REF!</v>
      </c>
      <c r="IH70" t="e">
        <f>AND(#REF!,"MR4dn3V6tvE=")</f>
        <v>#REF!</v>
      </c>
      <c r="II70" t="e">
        <f>AND(#REF!,"MR4dn3V6tvI=")</f>
        <v>#REF!</v>
      </c>
      <c r="IJ70" t="e">
        <f>AND(#REF!,"MR4dn3V6tvM=")</f>
        <v>#REF!</v>
      </c>
      <c r="IK70" t="e">
        <f>AND(#REF!,"MR4dn3V6tvQ=")</f>
        <v>#REF!</v>
      </c>
      <c r="IL70" t="e">
        <f>AND(#REF!,"MR4dn3V6tvU=")</f>
        <v>#REF!</v>
      </c>
      <c r="IM70" t="e">
        <f>AND(#REF!,"MR4dn3V6tvY=")</f>
        <v>#REF!</v>
      </c>
      <c r="IN70" t="e">
        <f>AND(#REF!,"MR4dn3V6tvc=")</f>
        <v>#REF!</v>
      </c>
      <c r="IO70" t="e">
        <f>AND(#REF!,"MR4dn3V6tvg=")</f>
        <v>#REF!</v>
      </c>
      <c r="IP70" t="e">
        <f>AND(#REF!,"MR4dn3V6tvk=")</f>
        <v>#REF!</v>
      </c>
      <c r="IQ70" t="e">
        <f>AND(#REF!,"MR4dn3V6tvo=")</f>
        <v>#REF!</v>
      </c>
      <c r="IR70" t="e">
        <f>AND(#REF!,"MR4dn3V6tvs=")</f>
        <v>#REF!</v>
      </c>
      <c r="IS70" t="e">
        <f>AND(#REF!,"MR4dn3V6tvw=")</f>
        <v>#REF!</v>
      </c>
      <c r="IT70" t="e">
        <f>AND(#REF!,"MR4dn3V6tv0=")</f>
        <v>#REF!</v>
      </c>
      <c r="IU70" t="e">
        <f>AND(#REF!,"MR4dn3V6tv4=")</f>
        <v>#REF!</v>
      </c>
      <c r="IV70" t="e">
        <f>AND(#REF!,"MR4dn3V6tv8=")</f>
        <v>#REF!</v>
      </c>
    </row>
    <row r="71" spans="1:256" x14ac:dyDescent="0.2">
      <c r="A71" t="e">
        <f>AND(#REF!,"HTc+jB2lEgA=")</f>
        <v>#REF!</v>
      </c>
      <c r="B71" t="e">
        <f>AND(#REF!,"HTc+jB2lEgE=")</f>
        <v>#REF!</v>
      </c>
      <c r="C71" t="e">
        <f>AND(#REF!,"HTc+jB2lEgI=")</f>
        <v>#REF!</v>
      </c>
      <c r="D71" t="e">
        <f>AND(#REF!,"HTc+jB2lEgM=")</f>
        <v>#REF!</v>
      </c>
      <c r="E71" t="e">
        <f>AND(#REF!,"HTc+jB2lEgQ=")</f>
        <v>#REF!</v>
      </c>
      <c r="F71" t="e">
        <f>AND(#REF!,"HTc+jB2lEgU=")</f>
        <v>#REF!</v>
      </c>
      <c r="G71" t="e">
        <f>AND(#REF!,"HTc+jB2lEgY=")</f>
        <v>#REF!</v>
      </c>
      <c r="H71" t="e">
        <f>AND(#REF!,"HTc+jB2lEgc=")</f>
        <v>#REF!</v>
      </c>
      <c r="I71" t="e">
        <f>AND(#REF!,"HTc+jB2lEgg=")</f>
        <v>#REF!</v>
      </c>
      <c r="J71" t="e">
        <f>AND(#REF!,"HTc+jB2lEgk=")</f>
        <v>#REF!</v>
      </c>
      <c r="K71" t="e">
        <f>AND(#REF!,"HTc+jB2lEgo=")</f>
        <v>#REF!</v>
      </c>
      <c r="L71" t="e">
        <f>AND(#REF!,"HTc+jB2lEgs=")</f>
        <v>#REF!</v>
      </c>
      <c r="M71" t="e">
        <f>AND(#REF!,"HTc+jB2lEgw=")</f>
        <v>#REF!</v>
      </c>
      <c r="N71" t="e">
        <f>AND(#REF!,"HTc+jB2lEg0=")</f>
        <v>#REF!</v>
      </c>
      <c r="O71" t="e">
        <f>AND(#REF!,"HTc+jB2lEg4=")</f>
        <v>#REF!</v>
      </c>
      <c r="P71" t="e">
        <f>AND(#REF!,"HTc+jB2lEg8=")</f>
        <v>#REF!</v>
      </c>
      <c r="Q71" t="e">
        <f>AND(#REF!,"HTc+jB2lEhA=")</f>
        <v>#REF!</v>
      </c>
      <c r="R71" t="e">
        <f>AND(#REF!,"HTc+jB2lEhE=")</f>
        <v>#REF!</v>
      </c>
      <c r="S71" t="e">
        <f>AND(#REF!,"HTc+jB2lEhI=")</f>
        <v>#REF!</v>
      </c>
      <c r="T71" t="e">
        <f>AND(#REF!,"HTc+jB2lEhM=")</f>
        <v>#REF!</v>
      </c>
      <c r="U71" t="e">
        <f>AND(#REF!,"HTc+jB2lEhQ=")</f>
        <v>#REF!</v>
      </c>
      <c r="V71" t="e">
        <f>AND(#REF!,"HTc+jB2lEhU=")</f>
        <v>#REF!</v>
      </c>
      <c r="W71" t="e">
        <f>AND(#REF!,"HTc+jB2lEhY=")</f>
        <v>#REF!</v>
      </c>
      <c r="X71" t="e">
        <f>AND(#REF!,"HTc+jB2lEhc=")</f>
        <v>#REF!</v>
      </c>
      <c r="Y71" t="e">
        <f>AND(#REF!,"HTc+jB2lEhg=")</f>
        <v>#REF!</v>
      </c>
      <c r="Z71" t="e">
        <f>AND(#REF!,"HTc+jB2lEhk=")</f>
        <v>#REF!</v>
      </c>
      <c r="AA71" t="e">
        <f>AND(#REF!,"HTc+jB2lEho=")</f>
        <v>#REF!</v>
      </c>
      <c r="AB71" t="e">
        <f>AND(#REF!,"HTc+jB2lEhs=")</f>
        <v>#REF!</v>
      </c>
      <c r="AC71" t="e">
        <f>AND(#REF!,"HTc+jB2lEhw=")</f>
        <v>#REF!</v>
      </c>
      <c r="AD71" t="e">
        <f>AND(#REF!,"HTc+jB2lEh0=")</f>
        <v>#REF!</v>
      </c>
      <c r="AE71" t="e">
        <f>AND(#REF!,"HTc+jB2lEh4=")</f>
        <v>#REF!</v>
      </c>
      <c r="AF71" t="e">
        <f>AND(#REF!,"HTc+jB2lEh8=")</f>
        <v>#REF!</v>
      </c>
      <c r="AG71" t="e">
        <f>AND(#REF!,"HTc+jB2lEiA=")</f>
        <v>#REF!</v>
      </c>
      <c r="AH71" t="e">
        <f>AND(#REF!,"HTc+jB2lEiE=")</f>
        <v>#REF!</v>
      </c>
      <c r="AI71" t="e">
        <f>AND(#REF!,"HTc+jB2lEiI=")</f>
        <v>#REF!</v>
      </c>
      <c r="AJ71" t="e">
        <f>AND(#REF!,"HTc+jB2lEiM=")</f>
        <v>#REF!</v>
      </c>
      <c r="AK71" t="e">
        <f>AND(#REF!,"HTc+jB2lEiQ=")</f>
        <v>#REF!</v>
      </c>
      <c r="AL71" t="e">
        <f>AND(#REF!,"HTc+jB2lEiU=")</f>
        <v>#REF!</v>
      </c>
      <c r="AM71" t="e">
        <f>AND(#REF!,"HTc+jB2lEiY=")</f>
        <v>#REF!</v>
      </c>
      <c r="AN71" t="e">
        <f>AND(#REF!,"HTc+jB2lEic=")</f>
        <v>#REF!</v>
      </c>
      <c r="AO71" t="e">
        <f>AND(#REF!,"HTc+jB2lEig=")</f>
        <v>#REF!</v>
      </c>
      <c r="AP71" t="e">
        <f>AND(#REF!,"HTc+jB2lEik=")</f>
        <v>#REF!</v>
      </c>
      <c r="AQ71" t="e">
        <f>AND(#REF!,"HTc+jB2lEio=")</f>
        <v>#REF!</v>
      </c>
      <c r="AR71" t="e">
        <f>AND(#REF!,"HTc+jB2lEis=")</f>
        <v>#REF!</v>
      </c>
      <c r="AS71" t="e">
        <f>AND(#REF!,"HTc+jB2lEiw=")</f>
        <v>#REF!</v>
      </c>
      <c r="AT71" t="e">
        <f>AND(#REF!,"HTc+jB2lEi0=")</f>
        <v>#REF!</v>
      </c>
      <c r="AU71" t="e">
        <f>AND(#REF!,"HTc+jB2lEi4=")</f>
        <v>#REF!</v>
      </c>
      <c r="AV71" t="e">
        <f>AND(#REF!,"HTc+jB2lEi8=")</f>
        <v>#REF!</v>
      </c>
      <c r="AW71" t="e">
        <f>AND(#REF!,"HTc+jB2lEjA=")</f>
        <v>#REF!</v>
      </c>
      <c r="AX71" t="e">
        <f>AND(#REF!,"HTc+jB2lEjE=")</f>
        <v>#REF!</v>
      </c>
      <c r="AY71" t="e">
        <f>AND(#REF!,"HTc+jB2lEjI=")</f>
        <v>#REF!</v>
      </c>
      <c r="AZ71" t="e">
        <f>AND(#REF!,"HTc+jB2lEjM=")</f>
        <v>#REF!</v>
      </c>
      <c r="BA71" t="e">
        <f>AND(#REF!,"HTc+jB2lEjQ=")</f>
        <v>#REF!</v>
      </c>
      <c r="BB71" t="e">
        <f>AND(#REF!,"HTc+jB2lEjU=")</f>
        <v>#REF!</v>
      </c>
      <c r="BC71" t="e">
        <f>AND(#REF!,"HTc+jB2lEjY=")</f>
        <v>#REF!</v>
      </c>
      <c r="BD71" t="e">
        <f>AND(#REF!,"HTc+jB2lEjc=")</f>
        <v>#REF!</v>
      </c>
      <c r="BE71" t="e">
        <f>AND(#REF!,"HTc+jB2lEjg=")</f>
        <v>#REF!</v>
      </c>
      <c r="BF71" t="e">
        <f>AND(#REF!,"HTc+jB2lEjk=")</f>
        <v>#REF!</v>
      </c>
      <c r="BG71" t="e">
        <f>AND(#REF!,"HTc+jB2lEjo=")</f>
        <v>#REF!</v>
      </c>
      <c r="BH71" t="e">
        <f>AND(#REF!,"HTc+jB2lEjs=")</f>
        <v>#REF!</v>
      </c>
      <c r="BI71" t="e">
        <f>AND(#REF!,"HTc+jB2lEjw=")</f>
        <v>#REF!</v>
      </c>
      <c r="BJ71" t="e">
        <f>AND(#REF!,"HTc+jB2lEj0=")</f>
        <v>#REF!</v>
      </c>
      <c r="BK71" t="e">
        <f>AND(#REF!,"HTc+jB2lEj4=")</f>
        <v>#REF!</v>
      </c>
      <c r="BL71" t="e">
        <f>AND(#REF!,"HTc+jB2lEj8=")</f>
        <v>#REF!</v>
      </c>
      <c r="BM71" t="e">
        <f>AND(#REF!,"HTc+jB2lEkA=")</f>
        <v>#REF!</v>
      </c>
      <c r="BN71" t="e">
        <f>AND(#REF!,"HTc+jB2lEkE=")</f>
        <v>#REF!</v>
      </c>
      <c r="BO71" t="e">
        <f>AND(#REF!,"HTc+jB2lEkI=")</f>
        <v>#REF!</v>
      </c>
      <c r="BP71" t="e">
        <f>AND(#REF!,"HTc+jB2lEkM=")</f>
        <v>#REF!</v>
      </c>
      <c r="BQ71" t="e">
        <f>AND(#REF!,"HTc+jB2lEkQ=")</f>
        <v>#REF!</v>
      </c>
      <c r="BR71" t="e">
        <f>AND(#REF!,"HTc+jB2lEkU=")</f>
        <v>#REF!</v>
      </c>
      <c r="BS71" t="e">
        <f>AND(#REF!,"HTc+jB2lEkY=")</f>
        <v>#REF!</v>
      </c>
      <c r="BT71" t="e">
        <f>AND(#REF!,"HTc+jB2lEkc=")</f>
        <v>#REF!</v>
      </c>
      <c r="BU71" t="e">
        <f>AND(#REF!,"HTc+jB2lEkg=")</f>
        <v>#REF!</v>
      </c>
      <c r="BV71" t="e">
        <f>AND(#REF!,"HTc+jB2lEkk=")</f>
        <v>#REF!</v>
      </c>
      <c r="BW71" t="e">
        <f>AND(#REF!,"HTc+jB2lEko=")</f>
        <v>#REF!</v>
      </c>
      <c r="BX71" t="e">
        <f>AND(#REF!,"HTc+jB2lEks=")</f>
        <v>#REF!</v>
      </c>
      <c r="BY71" t="e">
        <f>AND(#REF!,"HTc+jB2lEkw=")</f>
        <v>#REF!</v>
      </c>
      <c r="BZ71" t="e">
        <f>AND(#REF!,"HTc+jB2lEk0=")</f>
        <v>#REF!</v>
      </c>
      <c r="CA71" t="e">
        <f>AND(#REF!,"HTc+jB2lEk4=")</f>
        <v>#REF!</v>
      </c>
      <c r="CB71" t="e">
        <f>AND(#REF!,"HTc+jB2lEk8=")</f>
        <v>#REF!</v>
      </c>
      <c r="CC71" t="e">
        <f>AND(#REF!,"HTc+jB2lElA=")</f>
        <v>#REF!</v>
      </c>
      <c r="CD71" t="e">
        <f>AND(#REF!,"HTc+jB2lElE=")</f>
        <v>#REF!</v>
      </c>
      <c r="CE71" t="e">
        <f>AND(#REF!,"HTc+jB2lElI=")</f>
        <v>#REF!</v>
      </c>
      <c r="CF71" t="e">
        <f>AND(#REF!,"HTc+jB2lElM=")</f>
        <v>#REF!</v>
      </c>
      <c r="CG71" t="e">
        <f>AND(#REF!,"HTc+jB2lElQ=")</f>
        <v>#REF!</v>
      </c>
      <c r="CH71" t="e">
        <f>AND(#REF!,"HTc+jB2lElU=")</f>
        <v>#REF!</v>
      </c>
      <c r="CI71" t="e">
        <f>AND(#REF!,"HTc+jB2lElY=")</f>
        <v>#REF!</v>
      </c>
      <c r="CJ71" t="e">
        <f>AND(#REF!,"HTc+jB2lElc=")</f>
        <v>#REF!</v>
      </c>
      <c r="CK71" t="e">
        <f>AND(#REF!,"HTc+jB2lElg=")</f>
        <v>#REF!</v>
      </c>
      <c r="CL71" t="e">
        <f>AND(#REF!,"HTc+jB2lElk=")</f>
        <v>#REF!</v>
      </c>
      <c r="CM71" t="e">
        <f>AND(#REF!,"HTc+jB2lElo=")</f>
        <v>#REF!</v>
      </c>
      <c r="CN71" t="e">
        <f>AND(#REF!,"HTc+jB2lEls=")</f>
        <v>#REF!</v>
      </c>
      <c r="CO71" t="e">
        <f>AND(#REF!,"HTc+jB2lElw=")</f>
        <v>#REF!</v>
      </c>
      <c r="CP71" t="e">
        <f>AND(#REF!,"HTc+jB2lEl0=")</f>
        <v>#REF!</v>
      </c>
      <c r="CQ71" t="e">
        <f>AND(#REF!,"HTc+jB2lEl4=")</f>
        <v>#REF!</v>
      </c>
      <c r="CR71" t="e">
        <f>AND(#REF!,"HTc+jB2lEl8=")</f>
        <v>#REF!</v>
      </c>
      <c r="CS71" t="e">
        <f>AND(#REF!,"HTc+jB2lEmA=")</f>
        <v>#REF!</v>
      </c>
      <c r="CT71" t="e">
        <f>AND(#REF!,"HTc+jB2lEmE=")</f>
        <v>#REF!</v>
      </c>
      <c r="CU71" t="e">
        <f>AND(#REF!,"HTc+jB2lEmI=")</f>
        <v>#REF!</v>
      </c>
      <c r="CV71" t="e">
        <f>AND(#REF!,"HTc+jB2lEmM=")</f>
        <v>#REF!</v>
      </c>
      <c r="CW71" t="e">
        <f>AND(#REF!,"HTc+jB2lEmQ=")</f>
        <v>#REF!</v>
      </c>
      <c r="CX71" t="e">
        <f>AND(#REF!,"HTc+jB2lEmU=")</f>
        <v>#REF!</v>
      </c>
      <c r="CY71" t="e">
        <f>AND(#REF!,"HTc+jB2lEmY=")</f>
        <v>#REF!</v>
      </c>
      <c r="CZ71" t="e">
        <f>AND(#REF!,"HTc+jB2lEmc=")</f>
        <v>#REF!</v>
      </c>
      <c r="DA71" t="e">
        <f>AND(#REF!,"HTc+jB2lEmg=")</f>
        <v>#REF!</v>
      </c>
      <c r="DB71" t="e">
        <f>AND(#REF!,"HTc+jB2lEmk=")</f>
        <v>#REF!</v>
      </c>
      <c r="DC71" t="e">
        <f>AND(#REF!,"HTc+jB2lEmo=")</f>
        <v>#REF!</v>
      </c>
      <c r="DD71" t="e">
        <f>AND(#REF!,"HTc+jB2lEms=")</f>
        <v>#REF!</v>
      </c>
      <c r="DE71" t="e">
        <f>AND(#REF!,"HTc+jB2lEmw=")</f>
        <v>#REF!</v>
      </c>
      <c r="DF71" t="e">
        <f>AND(#REF!,"HTc+jB2lEm0=")</f>
        <v>#REF!</v>
      </c>
      <c r="DG71" t="e">
        <f>AND(#REF!,"HTc+jB2lEm4=")</f>
        <v>#REF!</v>
      </c>
      <c r="DH71" t="e">
        <f>AND(#REF!,"HTc+jB2lEm8=")</f>
        <v>#REF!</v>
      </c>
      <c r="DI71" t="e">
        <f>AND(#REF!,"HTc+jB2lEnA=")</f>
        <v>#REF!</v>
      </c>
      <c r="DJ71" t="e">
        <f>AND(#REF!,"HTc+jB2lEnE=")</f>
        <v>#REF!</v>
      </c>
      <c r="DK71" t="e">
        <f>AND(#REF!,"HTc+jB2lEnI=")</f>
        <v>#REF!</v>
      </c>
      <c r="DL71" t="e">
        <f>AND(#REF!,"HTc+jB2lEnM=")</f>
        <v>#REF!</v>
      </c>
      <c r="DM71" t="e">
        <f>AND(#REF!,"HTc+jB2lEnQ=")</f>
        <v>#REF!</v>
      </c>
      <c r="DN71" t="e">
        <f>AND(#REF!,"HTc+jB2lEnU=")</f>
        <v>#REF!</v>
      </c>
      <c r="DO71" t="e">
        <f>AND(#REF!,"HTc+jB2lEnY=")</f>
        <v>#REF!</v>
      </c>
      <c r="DP71" t="e">
        <f>AND(#REF!,"HTc+jB2lEnc=")</f>
        <v>#REF!</v>
      </c>
      <c r="DQ71" t="e">
        <f>AND(#REF!,"HTc+jB2lEng=")</f>
        <v>#REF!</v>
      </c>
      <c r="DR71" t="e">
        <f>AND(#REF!,"HTc+jB2lEnk=")</f>
        <v>#REF!</v>
      </c>
      <c r="DS71" t="e">
        <f>AND(#REF!,"HTc+jB2lEno=")</f>
        <v>#REF!</v>
      </c>
      <c r="DT71" t="e">
        <f>AND(#REF!,"HTc+jB2lEns=")</f>
        <v>#REF!</v>
      </c>
      <c r="DU71" t="e">
        <f>AND(#REF!,"HTc+jB2lEnw=")</f>
        <v>#REF!</v>
      </c>
      <c r="DV71" t="e">
        <f>AND(#REF!,"HTc+jB2lEn0=")</f>
        <v>#REF!</v>
      </c>
      <c r="DW71" t="e">
        <f>AND(#REF!,"HTc+jB2lEn4=")</f>
        <v>#REF!</v>
      </c>
      <c r="DX71" t="e">
        <f>AND(#REF!,"HTc+jB2lEn8=")</f>
        <v>#REF!</v>
      </c>
      <c r="DY71" t="e">
        <f>AND(#REF!,"HTc+jB2lEoA=")</f>
        <v>#REF!</v>
      </c>
      <c r="DZ71" t="e">
        <f>AND(#REF!,"HTc+jB2lEoE=")</f>
        <v>#REF!</v>
      </c>
      <c r="EA71" t="e">
        <f>AND(#REF!,"HTc+jB2lEoI=")</f>
        <v>#REF!</v>
      </c>
      <c r="EB71" t="e">
        <f>AND(#REF!,"HTc+jB2lEoM=")</f>
        <v>#REF!</v>
      </c>
      <c r="EC71" t="e">
        <f>AND(#REF!,"HTc+jB2lEoQ=")</f>
        <v>#REF!</v>
      </c>
      <c r="ED71" t="e">
        <f>AND(#REF!,"HTc+jB2lEoU=")</f>
        <v>#REF!</v>
      </c>
      <c r="EE71" t="e">
        <f>AND(#REF!,"HTc+jB2lEoY=")</f>
        <v>#REF!</v>
      </c>
      <c r="EF71" t="e">
        <f>IF(#REF!,"HTc+jB2lEoc=",0)</f>
        <v>#REF!</v>
      </c>
      <c r="EG71" t="e">
        <f>AND(#REF!,"HTc+jB2lEog=")</f>
        <v>#REF!</v>
      </c>
      <c r="EH71" t="e">
        <f>AND(#REF!,"HTc+jB2lEok=")</f>
        <v>#REF!</v>
      </c>
      <c r="EI71" t="e">
        <f>AND(#REF!,"HTc+jB2lEoo=")</f>
        <v>#REF!</v>
      </c>
      <c r="EJ71" t="e">
        <f>AND(#REF!,"HTc+jB2lEos=")</f>
        <v>#REF!</v>
      </c>
      <c r="EK71" t="e">
        <f>AND(#REF!,"HTc+jB2lEow=")</f>
        <v>#REF!</v>
      </c>
      <c r="EL71" t="e">
        <f>AND(#REF!,"HTc+jB2lEo0=")</f>
        <v>#REF!</v>
      </c>
      <c r="EM71" t="e">
        <f>AND(#REF!,"HTc+jB2lEo4=")</f>
        <v>#REF!</v>
      </c>
      <c r="EN71" t="e">
        <f>AND(#REF!,"HTc+jB2lEo8=")</f>
        <v>#REF!</v>
      </c>
      <c r="EO71" t="e">
        <f>AND(#REF!,"HTc+jB2lEpA=")</f>
        <v>#REF!</v>
      </c>
      <c r="EP71" t="e">
        <f>AND(#REF!,"HTc+jB2lEpE=")</f>
        <v>#REF!</v>
      </c>
      <c r="EQ71" t="e">
        <f>AND(#REF!,"HTc+jB2lEpI=")</f>
        <v>#REF!</v>
      </c>
      <c r="ER71" t="e">
        <f>AND(#REF!,"HTc+jB2lEpM=")</f>
        <v>#REF!</v>
      </c>
      <c r="ES71" t="e">
        <f>AND(#REF!,"HTc+jB2lEpQ=")</f>
        <v>#REF!</v>
      </c>
      <c r="ET71" t="e">
        <f>AND(#REF!,"HTc+jB2lEpU=")</f>
        <v>#REF!</v>
      </c>
      <c r="EU71" t="e">
        <f>AND(#REF!,"HTc+jB2lEpY=")</f>
        <v>#REF!</v>
      </c>
      <c r="EV71" t="e">
        <f>AND(#REF!,"HTc+jB2lEpc=")</f>
        <v>#REF!</v>
      </c>
      <c r="EW71" t="e">
        <f>AND(#REF!,"HTc+jB2lEpg=")</f>
        <v>#REF!</v>
      </c>
      <c r="EX71" t="e">
        <f>AND(#REF!,"HTc+jB2lEpk=")</f>
        <v>#REF!</v>
      </c>
      <c r="EY71" t="e">
        <f>AND(#REF!,"HTc+jB2lEpo=")</f>
        <v>#REF!</v>
      </c>
      <c r="EZ71" t="e">
        <f>AND(#REF!,"HTc+jB2lEps=")</f>
        <v>#REF!</v>
      </c>
      <c r="FA71" t="e">
        <f>AND(#REF!,"HTc+jB2lEpw=")</f>
        <v>#REF!</v>
      </c>
      <c r="FB71" t="e">
        <f>AND(#REF!,"HTc+jB2lEp0=")</f>
        <v>#REF!</v>
      </c>
      <c r="FC71" t="e">
        <f>AND(#REF!,"HTc+jB2lEp4=")</f>
        <v>#REF!</v>
      </c>
      <c r="FD71" t="e">
        <f>AND(#REF!,"HTc+jB2lEp8=")</f>
        <v>#REF!</v>
      </c>
      <c r="FE71" t="e">
        <f>AND(#REF!,"HTc+jB2lEqA=")</f>
        <v>#REF!</v>
      </c>
      <c r="FF71" t="e">
        <f>AND(#REF!,"HTc+jB2lEqE=")</f>
        <v>#REF!</v>
      </c>
      <c r="FG71" t="e">
        <f>AND(#REF!,"HTc+jB2lEqI=")</f>
        <v>#REF!</v>
      </c>
      <c r="FH71" t="e">
        <f>AND(#REF!,"HTc+jB2lEqM=")</f>
        <v>#REF!</v>
      </c>
      <c r="FI71" t="e">
        <f>AND(#REF!,"HTc+jB2lEqQ=")</f>
        <v>#REF!</v>
      </c>
      <c r="FJ71" t="e">
        <f>AND(#REF!,"HTc+jB2lEqU=")</f>
        <v>#REF!</v>
      </c>
      <c r="FK71" t="e">
        <f>AND(#REF!,"HTc+jB2lEqY=")</f>
        <v>#REF!</v>
      </c>
      <c r="FL71" t="e">
        <f>AND(#REF!,"HTc+jB2lEqc=")</f>
        <v>#REF!</v>
      </c>
      <c r="FM71" t="e">
        <f>AND(#REF!,"HTc+jB2lEqg=")</f>
        <v>#REF!</v>
      </c>
      <c r="FN71" t="e">
        <f>AND(#REF!,"HTc+jB2lEqk=")</f>
        <v>#REF!</v>
      </c>
      <c r="FO71" t="e">
        <f>AND(#REF!,"HTc+jB2lEqo=")</f>
        <v>#REF!</v>
      </c>
      <c r="FP71" t="e">
        <f>AND(#REF!,"HTc+jB2lEqs=")</f>
        <v>#REF!</v>
      </c>
      <c r="FQ71" t="e">
        <f>AND(#REF!,"HTc+jB2lEqw=")</f>
        <v>#REF!</v>
      </c>
      <c r="FR71" t="e">
        <f>AND(#REF!,"HTc+jB2lEq0=")</f>
        <v>#REF!</v>
      </c>
      <c r="FS71" t="e">
        <f>AND(#REF!,"HTc+jB2lEq4=")</f>
        <v>#REF!</v>
      </c>
      <c r="FT71" t="e">
        <f>AND(#REF!,"HTc+jB2lEq8=")</f>
        <v>#REF!</v>
      </c>
      <c r="FU71" t="e">
        <f>AND(#REF!,"HTc+jB2lErA=")</f>
        <v>#REF!</v>
      </c>
      <c r="FV71" t="e">
        <f>AND(#REF!,"HTc+jB2lErE=")</f>
        <v>#REF!</v>
      </c>
      <c r="FW71" t="e">
        <f>AND(#REF!,"HTc+jB2lErI=")</f>
        <v>#REF!</v>
      </c>
      <c r="FX71" t="e">
        <f>AND(#REF!,"HTc+jB2lErM=")</f>
        <v>#REF!</v>
      </c>
      <c r="FY71" t="e">
        <f>AND(#REF!,"HTc+jB2lErQ=")</f>
        <v>#REF!</v>
      </c>
      <c r="FZ71" t="e">
        <f>AND(#REF!,"HTc+jB2lErU=")</f>
        <v>#REF!</v>
      </c>
      <c r="GA71" t="e">
        <f>AND(#REF!,"HTc+jB2lErY=")</f>
        <v>#REF!</v>
      </c>
      <c r="GB71" t="e">
        <f>AND(#REF!,"HTc+jB2lErc=")</f>
        <v>#REF!</v>
      </c>
      <c r="GC71" t="e">
        <f>AND(#REF!,"HTc+jB2lErg=")</f>
        <v>#REF!</v>
      </c>
      <c r="GD71" t="e">
        <f>AND(#REF!,"HTc+jB2lErk=")</f>
        <v>#REF!</v>
      </c>
      <c r="GE71" t="e">
        <f>AND(#REF!,"HTc+jB2lEro=")</f>
        <v>#REF!</v>
      </c>
      <c r="GF71" t="e">
        <f>AND(#REF!,"HTc+jB2lErs=")</f>
        <v>#REF!</v>
      </c>
      <c r="GG71" t="e">
        <f>AND(#REF!,"HTc+jB2lErw=")</f>
        <v>#REF!</v>
      </c>
      <c r="GH71" t="e">
        <f>AND(#REF!,"HTc+jB2lEr0=")</f>
        <v>#REF!</v>
      </c>
      <c r="GI71" t="e">
        <f>AND(#REF!,"HTc+jB2lEr4=")</f>
        <v>#REF!</v>
      </c>
      <c r="GJ71" t="e">
        <f>AND(#REF!,"HTc+jB2lEr8=")</f>
        <v>#REF!</v>
      </c>
      <c r="GK71" t="e">
        <f>AND(#REF!,"HTc+jB2lEsA=")</f>
        <v>#REF!</v>
      </c>
      <c r="GL71" t="e">
        <f>AND(#REF!,"HTc+jB2lEsE=")</f>
        <v>#REF!</v>
      </c>
      <c r="GM71" t="e">
        <f>AND(#REF!,"HTc+jB2lEsI=")</f>
        <v>#REF!</v>
      </c>
      <c r="GN71" t="e">
        <f>AND(#REF!,"HTc+jB2lEsM=")</f>
        <v>#REF!</v>
      </c>
      <c r="GO71" t="e">
        <f>AND(#REF!,"HTc+jB2lEsQ=")</f>
        <v>#REF!</v>
      </c>
      <c r="GP71" t="e">
        <f>AND(#REF!,"HTc+jB2lEsU=")</f>
        <v>#REF!</v>
      </c>
      <c r="GQ71" t="e">
        <f>AND(#REF!,"HTc+jB2lEsY=")</f>
        <v>#REF!</v>
      </c>
      <c r="GR71" t="e">
        <f>AND(#REF!,"HTc+jB2lEsc=")</f>
        <v>#REF!</v>
      </c>
      <c r="GS71" t="e">
        <f>AND(#REF!,"HTc+jB2lEsg=")</f>
        <v>#REF!</v>
      </c>
      <c r="GT71" t="e">
        <f>AND(#REF!,"HTc+jB2lEsk=")</f>
        <v>#REF!</v>
      </c>
      <c r="GU71" t="e">
        <f>AND(#REF!,"HTc+jB2lEso=")</f>
        <v>#REF!</v>
      </c>
      <c r="GV71" t="e">
        <f>AND(#REF!,"HTc+jB2lEss=")</f>
        <v>#REF!</v>
      </c>
      <c r="GW71" t="e">
        <f>AND(#REF!,"HTc+jB2lEsw=")</f>
        <v>#REF!</v>
      </c>
      <c r="GX71" t="e">
        <f>AND(#REF!,"HTc+jB2lEs0=")</f>
        <v>#REF!</v>
      </c>
      <c r="GY71" t="e">
        <f>AND(#REF!,"HTc+jB2lEs4=")</f>
        <v>#REF!</v>
      </c>
      <c r="GZ71" t="e">
        <f>AND(#REF!,"HTc+jB2lEs8=")</f>
        <v>#REF!</v>
      </c>
      <c r="HA71" t="e">
        <f>AND(#REF!,"HTc+jB2lEtA=")</f>
        <v>#REF!</v>
      </c>
      <c r="HB71" t="e">
        <f>AND(#REF!,"HTc+jB2lEtE=")</f>
        <v>#REF!</v>
      </c>
      <c r="HC71" t="e">
        <f>AND(#REF!,"HTc+jB2lEtI=")</f>
        <v>#REF!</v>
      </c>
      <c r="HD71" t="e">
        <f>AND(#REF!,"HTc+jB2lEtM=")</f>
        <v>#REF!</v>
      </c>
      <c r="HE71" t="e">
        <f>AND(#REF!,"HTc+jB2lEtQ=")</f>
        <v>#REF!</v>
      </c>
      <c r="HF71" t="e">
        <f>AND(#REF!,"HTc+jB2lEtU=")</f>
        <v>#REF!</v>
      </c>
      <c r="HG71" t="e">
        <f>AND(#REF!,"HTc+jB2lEtY=")</f>
        <v>#REF!</v>
      </c>
      <c r="HH71" t="e">
        <f>AND(#REF!,"HTc+jB2lEtc=")</f>
        <v>#REF!</v>
      </c>
      <c r="HI71" t="e">
        <f>AND(#REF!,"HTc+jB2lEtg=")</f>
        <v>#REF!</v>
      </c>
      <c r="HJ71" t="e">
        <f>AND(#REF!,"HTc+jB2lEtk=")</f>
        <v>#REF!</v>
      </c>
      <c r="HK71" t="e">
        <f>AND(#REF!,"HTc+jB2lEto=")</f>
        <v>#REF!</v>
      </c>
      <c r="HL71" t="e">
        <f>AND(#REF!,"HTc+jB2lEts=")</f>
        <v>#REF!</v>
      </c>
      <c r="HM71" t="e">
        <f>AND(#REF!,"HTc+jB2lEtw=")</f>
        <v>#REF!</v>
      </c>
      <c r="HN71" t="e">
        <f>AND(#REF!,"HTc+jB2lEt0=")</f>
        <v>#REF!</v>
      </c>
      <c r="HO71" t="e">
        <f>AND(#REF!,"HTc+jB2lEt4=")</f>
        <v>#REF!</v>
      </c>
      <c r="HP71" t="e">
        <f>AND(#REF!,"HTc+jB2lEt8=")</f>
        <v>#REF!</v>
      </c>
      <c r="HQ71" t="e">
        <f>AND(#REF!,"HTc+jB2lEuA=")</f>
        <v>#REF!</v>
      </c>
      <c r="HR71" t="e">
        <f>AND(#REF!,"HTc+jB2lEuE=")</f>
        <v>#REF!</v>
      </c>
      <c r="HS71" t="e">
        <f>AND(#REF!,"HTc+jB2lEuI=")</f>
        <v>#REF!</v>
      </c>
      <c r="HT71" t="e">
        <f>AND(#REF!,"HTc+jB2lEuM=")</f>
        <v>#REF!</v>
      </c>
      <c r="HU71" t="e">
        <f>AND(#REF!,"HTc+jB2lEuQ=")</f>
        <v>#REF!</v>
      </c>
      <c r="HV71" t="e">
        <f>AND(#REF!,"HTc+jB2lEuU=")</f>
        <v>#REF!</v>
      </c>
      <c r="HW71" t="e">
        <f>AND(#REF!,"HTc+jB2lEuY=")</f>
        <v>#REF!</v>
      </c>
      <c r="HX71" t="e">
        <f>AND(#REF!,"HTc+jB2lEuc=")</f>
        <v>#REF!</v>
      </c>
      <c r="HY71" t="e">
        <f>AND(#REF!,"HTc+jB2lEug=")</f>
        <v>#REF!</v>
      </c>
      <c r="HZ71" t="e">
        <f>AND(#REF!,"HTc+jB2lEuk=")</f>
        <v>#REF!</v>
      </c>
      <c r="IA71" t="e">
        <f>AND(#REF!,"HTc+jB2lEuo=")</f>
        <v>#REF!</v>
      </c>
      <c r="IB71" t="e">
        <f>AND(#REF!,"HTc+jB2lEus=")</f>
        <v>#REF!</v>
      </c>
      <c r="IC71" t="e">
        <f>AND(#REF!,"HTc+jB2lEuw=")</f>
        <v>#REF!</v>
      </c>
      <c r="ID71" t="e">
        <f>AND(#REF!,"HTc+jB2lEu0=")</f>
        <v>#REF!</v>
      </c>
      <c r="IE71" t="e">
        <f>AND(#REF!,"HTc+jB2lEu4=")</f>
        <v>#REF!</v>
      </c>
      <c r="IF71" t="e">
        <f>AND(#REF!,"HTc+jB2lEu8=")</f>
        <v>#REF!</v>
      </c>
      <c r="IG71" t="e">
        <f>AND(#REF!,"HTc+jB2lEvA=")</f>
        <v>#REF!</v>
      </c>
      <c r="IH71" t="e">
        <f>AND(#REF!,"HTc+jB2lEvE=")</f>
        <v>#REF!</v>
      </c>
      <c r="II71" t="e">
        <f>AND(#REF!,"HTc+jB2lEvI=")</f>
        <v>#REF!</v>
      </c>
      <c r="IJ71" t="e">
        <f>AND(#REF!,"HTc+jB2lEvM=")</f>
        <v>#REF!</v>
      </c>
      <c r="IK71" t="e">
        <f>AND(#REF!,"HTc+jB2lEvQ=")</f>
        <v>#REF!</v>
      </c>
      <c r="IL71" t="e">
        <f>AND(#REF!,"HTc+jB2lEvU=")</f>
        <v>#REF!</v>
      </c>
      <c r="IM71" t="e">
        <f>AND(#REF!,"HTc+jB2lEvY=")</f>
        <v>#REF!</v>
      </c>
      <c r="IN71" t="e">
        <f>AND(#REF!,"HTc+jB2lEvc=")</f>
        <v>#REF!</v>
      </c>
      <c r="IO71" t="e">
        <f>AND(#REF!,"HTc+jB2lEvg=")</f>
        <v>#REF!</v>
      </c>
      <c r="IP71" t="e">
        <f>AND(#REF!,"HTc+jB2lEvk=")</f>
        <v>#REF!</v>
      </c>
      <c r="IQ71" t="e">
        <f>AND(#REF!,"HTc+jB2lEvo=")</f>
        <v>#REF!</v>
      </c>
      <c r="IR71" t="e">
        <f>AND(#REF!,"HTc+jB2lEvs=")</f>
        <v>#REF!</v>
      </c>
      <c r="IS71" t="e">
        <f>AND(#REF!,"HTc+jB2lEvw=")</f>
        <v>#REF!</v>
      </c>
      <c r="IT71" t="e">
        <f>AND(#REF!,"HTc+jB2lEv0=")</f>
        <v>#REF!</v>
      </c>
      <c r="IU71" t="e">
        <f>AND(#REF!,"HTc+jB2lEv4=")</f>
        <v>#REF!</v>
      </c>
      <c r="IV71" t="e">
        <f>AND(#REF!,"HTc+jB2lEv8=")</f>
        <v>#REF!</v>
      </c>
    </row>
    <row r="72" spans="1:256" x14ac:dyDescent="0.2">
      <c r="A72" t="e">
        <f>AND(#REF!,"IXHqEnWH1wA=")</f>
        <v>#REF!</v>
      </c>
      <c r="B72" t="e">
        <f>AND(#REF!,"IXHqEnWH1wE=")</f>
        <v>#REF!</v>
      </c>
      <c r="C72" t="e">
        <f>AND(#REF!,"IXHqEnWH1wI=")</f>
        <v>#REF!</v>
      </c>
      <c r="D72" t="e">
        <f>AND(#REF!,"IXHqEnWH1wM=")</f>
        <v>#REF!</v>
      </c>
      <c r="E72" t="e">
        <f>AND(#REF!,"IXHqEnWH1wQ=")</f>
        <v>#REF!</v>
      </c>
      <c r="F72" t="e">
        <f>AND(#REF!,"IXHqEnWH1wU=")</f>
        <v>#REF!</v>
      </c>
      <c r="G72" t="e">
        <f>AND(#REF!,"IXHqEnWH1wY=")</f>
        <v>#REF!</v>
      </c>
      <c r="H72" t="e">
        <f>AND(#REF!,"IXHqEnWH1wc=")</f>
        <v>#REF!</v>
      </c>
      <c r="I72" t="e">
        <f>AND(#REF!,"IXHqEnWH1wg=")</f>
        <v>#REF!</v>
      </c>
      <c r="J72" t="e">
        <f>AND(#REF!,"IXHqEnWH1wk=")</f>
        <v>#REF!</v>
      </c>
      <c r="K72" t="e">
        <f>AND(#REF!,"IXHqEnWH1wo=")</f>
        <v>#REF!</v>
      </c>
      <c r="L72" t="e">
        <f>AND(#REF!,"IXHqEnWH1ws=")</f>
        <v>#REF!</v>
      </c>
      <c r="M72" t="e">
        <f>AND(#REF!,"IXHqEnWH1ww=")</f>
        <v>#REF!</v>
      </c>
      <c r="N72" t="e">
        <f>AND(#REF!,"IXHqEnWH1w0=")</f>
        <v>#REF!</v>
      </c>
      <c r="O72" t="e">
        <f>AND(#REF!,"IXHqEnWH1w4=")</f>
        <v>#REF!</v>
      </c>
      <c r="P72" t="e">
        <f>AND(#REF!,"IXHqEnWH1w8=")</f>
        <v>#REF!</v>
      </c>
      <c r="Q72" t="e">
        <f>AND(#REF!,"IXHqEnWH1xA=")</f>
        <v>#REF!</v>
      </c>
      <c r="R72" t="e">
        <f>AND(#REF!,"IXHqEnWH1xE=")</f>
        <v>#REF!</v>
      </c>
      <c r="S72" t="e">
        <f>AND(#REF!,"IXHqEnWH1xI=")</f>
        <v>#REF!</v>
      </c>
      <c r="T72" t="e">
        <f>AND(#REF!,"IXHqEnWH1xM=")</f>
        <v>#REF!</v>
      </c>
      <c r="U72" t="e">
        <f>AND(#REF!,"IXHqEnWH1xQ=")</f>
        <v>#REF!</v>
      </c>
      <c r="V72" t="e">
        <f>AND(#REF!,"IXHqEnWH1xU=")</f>
        <v>#REF!</v>
      </c>
      <c r="W72" t="e">
        <f>AND(#REF!,"IXHqEnWH1xY=")</f>
        <v>#REF!</v>
      </c>
      <c r="X72" t="e">
        <f>AND(#REF!,"IXHqEnWH1xc=")</f>
        <v>#REF!</v>
      </c>
      <c r="Y72" t="e">
        <f>AND(#REF!,"IXHqEnWH1xg=")</f>
        <v>#REF!</v>
      </c>
      <c r="Z72" t="e">
        <f>AND(#REF!,"IXHqEnWH1xk=")</f>
        <v>#REF!</v>
      </c>
      <c r="AA72" t="e">
        <f>AND(#REF!,"IXHqEnWH1xo=")</f>
        <v>#REF!</v>
      </c>
      <c r="AB72" t="e">
        <f>AND(#REF!,"IXHqEnWH1xs=")</f>
        <v>#REF!</v>
      </c>
      <c r="AC72" t="e">
        <f>AND(#REF!,"IXHqEnWH1xw=")</f>
        <v>#REF!</v>
      </c>
      <c r="AD72" t="e">
        <f>AND(#REF!,"IXHqEnWH1x0=")</f>
        <v>#REF!</v>
      </c>
      <c r="AE72" t="e">
        <f>AND(#REF!,"IXHqEnWH1x4=")</f>
        <v>#REF!</v>
      </c>
      <c r="AF72" t="e">
        <f>AND(#REF!,"IXHqEnWH1x8=")</f>
        <v>#REF!</v>
      </c>
      <c r="AG72" t="e">
        <f>AND(#REF!,"IXHqEnWH1yA=")</f>
        <v>#REF!</v>
      </c>
      <c r="AH72" t="e">
        <f>AND(#REF!,"IXHqEnWH1yE=")</f>
        <v>#REF!</v>
      </c>
      <c r="AI72" t="e">
        <f>AND(#REF!,"IXHqEnWH1yI=")</f>
        <v>#REF!</v>
      </c>
      <c r="AJ72" t="e">
        <f>AND(#REF!,"IXHqEnWH1yM=")</f>
        <v>#REF!</v>
      </c>
      <c r="AK72" t="e">
        <f>AND(#REF!,"IXHqEnWH1yQ=")</f>
        <v>#REF!</v>
      </c>
      <c r="AL72" t="e">
        <f>AND(#REF!,"IXHqEnWH1yU=")</f>
        <v>#REF!</v>
      </c>
      <c r="AM72" t="e">
        <f>AND(#REF!,"IXHqEnWH1yY=")</f>
        <v>#REF!</v>
      </c>
      <c r="AN72" t="e">
        <f>AND(#REF!,"IXHqEnWH1yc=")</f>
        <v>#REF!</v>
      </c>
      <c r="AO72" t="e">
        <f>AND(#REF!,"IXHqEnWH1yg=")</f>
        <v>#REF!</v>
      </c>
      <c r="AP72" t="e">
        <f>AND(#REF!,"IXHqEnWH1yk=")</f>
        <v>#REF!</v>
      </c>
      <c r="AQ72" t="e">
        <f>AND(#REF!,"IXHqEnWH1yo=")</f>
        <v>#REF!</v>
      </c>
      <c r="AR72" t="e">
        <f>AND(#REF!,"IXHqEnWH1ys=")</f>
        <v>#REF!</v>
      </c>
      <c r="AS72" t="e">
        <f>AND(#REF!,"IXHqEnWH1yw=")</f>
        <v>#REF!</v>
      </c>
      <c r="AT72" t="e">
        <f>AND(#REF!,"IXHqEnWH1y0=")</f>
        <v>#REF!</v>
      </c>
      <c r="AU72" t="e">
        <f>AND(#REF!,"IXHqEnWH1y4=")</f>
        <v>#REF!</v>
      </c>
      <c r="AV72" t="e">
        <f>AND(#REF!,"IXHqEnWH1y8=")</f>
        <v>#REF!</v>
      </c>
      <c r="AW72" t="e">
        <f>AND(#REF!,"IXHqEnWH1zA=")</f>
        <v>#REF!</v>
      </c>
      <c r="AX72" t="e">
        <f>AND(#REF!,"IXHqEnWH1zE=")</f>
        <v>#REF!</v>
      </c>
      <c r="AY72" t="e">
        <f>AND(#REF!,"IXHqEnWH1zI=")</f>
        <v>#REF!</v>
      </c>
      <c r="AZ72" t="e">
        <f>AND(#REF!,"IXHqEnWH1zM=")</f>
        <v>#REF!</v>
      </c>
      <c r="BA72" t="e">
        <f>AND(#REF!,"IXHqEnWH1zQ=")</f>
        <v>#REF!</v>
      </c>
      <c r="BB72" t="e">
        <f>AND(#REF!,"IXHqEnWH1zU=")</f>
        <v>#REF!</v>
      </c>
      <c r="BC72" t="e">
        <f>AND(#REF!,"IXHqEnWH1zY=")</f>
        <v>#REF!</v>
      </c>
      <c r="BD72" t="e">
        <f>AND(#REF!,"IXHqEnWH1zc=")</f>
        <v>#REF!</v>
      </c>
      <c r="BE72" t="e">
        <f>AND(#REF!,"IXHqEnWH1zg=")</f>
        <v>#REF!</v>
      </c>
      <c r="BF72" t="e">
        <f>AND(#REF!,"IXHqEnWH1zk=")</f>
        <v>#REF!</v>
      </c>
      <c r="BG72" t="e">
        <f>AND(#REF!,"IXHqEnWH1zo=")</f>
        <v>#REF!</v>
      </c>
      <c r="BH72" t="e">
        <f>AND(#REF!,"IXHqEnWH1zs=")</f>
        <v>#REF!</v>
      </c>
      <c r="BI72" t="e">
        <f>AND(#REF!,"IXHqEnWH1zw=")</f>
        <v>#REF!</v>
      </c>
      <c r="BJ72" t="e">
        <f>AND(#REF!,"IXHqEnWH1z0=")</f>
        <v>#REF!</v>
      </c>
      <c r="BK72" t="e">
        <f>AND(#REF!,"IXHqEnWH1z4=")</f>
        <v>#REF!</v>
      </c>
      <c r="BL72" t="e">
        <f>AND(#REF!,"IXHqEnWH1z8=")</f>
        <v>#REF!</v>
      </c>
      <c r="BM72" t="e">
        <f>AND(#REF!,"IXHqEnWH10A=")</f>
        <v>#REF!</v>
      </c>
      <c r="BN72" t="e">
        <f>AND(#REF!,"IXHqEnWH10E=")</f>
        <v>#REF!</v>
      </c>
      <c r="BO72" t="e">
        <f>AND(#REF!,"IXHqEnWH10I=")</f>
        <v>#REF!</v>
      </c>
      <c r="BP72" t="e">
        <f>AND(#REF!,"IXHqEnWH10M=")</f>
        <v>#REF!</v>
      </c>
      <c r="BQ72" t="e">
        <f>AND(#REF!,"IXHqEnWH10Q=")</f>
        <v>#REF!</v>
      </c>
      <c r="BR72" t="e">
        <f>AND(#REF!,"IXHqEnWH10U=")</f>
        <v>#REF!</v>
      </c>
      <c r="BS72" t="e">
        <f>AND(#REF!,"IXHqEnWH10Y=")</f>
        <v>#REF!</v>
      </c>
      <c r="BT72" t="e">
        <f>AND(#REF!,"IXHqEnWH10c=")</f>
        <v>#REF!</v>
      </c>
      <c r="BU72" t="e">
        <f>AND(#REF!,"IXHqEnWH10g=")</f>
        <v>#REF!</v>
      </c>
      <c r="BV72" t="e">
        <f>AND(#REF!,"IXHqEnWH10k=")</f>
        <v>#REF!</v>
      </c>
      <c r="BW72" t="e">
        <f>AND(#REF!,"IXHqEnWH10o=")</f>
        <v>#REF!</v>
      </c>
      <c r="BX72" t="e">
        <f>AND(#REF!,"IXHqEnWH10s=")</f>
        <v>#REF!</v>
      </c>
      <c r="BY72" t="e">
        <f>AND(#REF!,"IXHqEnWH10w=")</f>
        <v>#REF!</v>
      </c>
      <c r="BZ72" t="e">
        <f>AND(#REF!,"IXHqEnWH100=")</f>
        <v>#REF!</v>
      </c>
      <c r="CA72" t="e">
        <f>IF(#REF!,"IXHqEnWH104=",0)</f>
        <v>#REF!</v>
      </c>
      <c r="CB72" t="e">
        <f>AND(#REF!,"IXHqEnWH108=")</f>
        <v>#REF!</v>
      </c>
      <c r="CC72" t="e">
        <f>AND(#REF!,"IXHqEnWH11A=")</f>
        <v>#REF!</v>
      </c>
      <c r="CD72" t="e">
        <f>AND(#REF!,"IXHqEnWH11E=")</f>
        <v>#REF!</v>
      </c>
      <c r="CE72" t="e">
        <f>AND(#REF!,"IXHqEnWH11I=")</f>
        <v>#REF!</v>
      </c>
      <c r="CF72" t="e">
        <f>AND(#REF!,"IXHqEnWH11M=")</f>
        <v>#REF!</v>
      </c>
      <c r="CG72" t="e">
        <f>AND(#REF!,"IXHqEnWH11Q=")</f>
        <v>#REF!</v>
      </c>
      <c r="CH72" t="e">
        <f>AND(#REF!,"IXHqEnWH11U=")</f>
        <v>#REF!</v>
      </c>
      <c r="CI72" t="e">
        <f>AND(#REF!,"IXHqEnWH11Y=")</f>
        <v>#REF!</v>
      </c>
      <c r="CJ72" t="e">
        <f>AND(#REF!,"IXHqEnWH11c=")</f>
        <v>#REF!</v>
      </c>
      <c r="CK72" t="e">
        <f>AND(#REF!,"IXHqEnWH11g=")</f>
        <v>#REF!</v>
      </c>
      <c r="CL72" t="e">
        <f>AND(#REF!,"IXHqEnWH11k=")</f>
        <v>#REF!</v>
      </c>
      <c r="CM72" t="e">
        <f>AND(#REF!,"IXHqEnWH11o=")</f>
        <v>#REF!</v>
      </c>
      <c r="CN72" t="e">
        <f>AND(#REF!,"IXHqEnWH11s=")</f>
        <v>#REF!</v>
      </c>
      <c r="CO72" t="e">
        <f>AND(#REF!,"IXHqEnWH11w=")</f>
        <v>#REF!</v>
      </c>
      <c r="CP72" t="e">
        <f>AND(#REF!,"IXHqEnWH110=")</f>
        <v>#REF!</v>
      </c>
      <c r="CQ72" t="e">
        <f>AND(#REF!,"IXHqEnWH114=")</f>
        <v>#REF!</v>
      </c>
      <c r="CR72" t="e">
        <f>AND(#REF!,"IXHqEnWH118=")</f>
        <v>#REF!</v>
      </c>
      <c r="CS72" t="e">
        <f>AND(#REF!,"IXHqEnWH12A=")</f>
        <v>#REF!</v>
      </c>
      <c r="CT72" t="e">
        <f>AND(#REF!,"IXHqEnWH12E=")</f>
        <v>#REF!</v>
      </c>
      <c r="CU72" t="e">
        <f>AND(#REF!,"IXHqEnWH12I=")</f>
        <v>#REF!</v>
      </c>
      <c r="CV72" t="e">
        <f>AND(#REF!,"IXHqEnWH12M=")</f>
        <v>#REF!</v>
      </c>
      <c r="CW72" t="e">
        <f>AND(#REF!,"IXHqEnWH12Q=")</f>
        <v>#REF!</v>
      </c>
      <c r="CX72" t="e">
        <f>AND(#REF!,"IXHqEnWH12U=")</f>
        <v>#REF!</v>
      </c>
      <c r="CY72" t="e">
        <f>AND(#REF!,"IXHqEnWH12Y=")</f>
        <v>#REF!</v>
      </c>
      <c r="CZ72" t="e">
        <f>AND(#REF!,"IXHqEnWH12c=")</f>
        <v>#REF!</v>
      </c>
      <c r="DA72" t="e">
        <f>AND(#REF!,"IXHqEnWH12g=")</f>
        <v>#REF!</v>
      </c>
      <c r="DB72" t="e">
        <f>AND(#REF!,"IXHqEnWH12k=")</f>
        <v>#REF!</v>
      </c>
      <c r="DC72" t="e">
        <f>AND(#REF!,"IXHqEnWH12o=")</f>
        <v>#REF!</v>
      </c>
      <c r="DD72" t="e">
        <f>AND(#REF!,"IXHqEnWH12s=")</f>
        <v>#REF!</v>
      </c>
      <c r="DE72" t="e">
        <f>AND(#REF!,"IXHqEnWH12w=")</f>
        <v>#REF!</v>
      </c>
      <c r="DF72" t="e">
        <f>AND(#REF!,"IXHqEnWH120=")</f>
        <v>#REF!</v>
      </c>
      <c r="DG72" t="e">
        <f>AND(#REF!,"IXHqEnWH124=")</f>
        <v>#REF!</v>
      </c>
      <c r="DH72" t="e">
        <f>AND(#REF!,"IXHqEnWH128=")</f>
        <v>#REF!</v>
      </c>
      <c r="DI72" t="e">
        <f>AND(#REF!,"IXHqEnWH13A=")</f>
        <v>#REF!</v>
      </c>
      <c r="DJ72" t="e">
        <f>AND(#REF!,"IXHqEnWH13E=")</f>
        <v>#REF!</v>
      </c>
      <c r="DK72" t="e">
        <f>AND(#REF!,"IXHqEnWH13I=")</f>
        <v>#REF!</v>
      </c>
      <c r="DL72" t="e">
        <f>AND(#REF!,"IXHqEnWH13M=")</f>
        <v>#REF!</v>
      </c>
      <c r="DM72" t="e">
        <f>AND(#REF!,"IXHqEnWH13Q=")</f>
        <v>#REF!</v>
      </c>
      <c r="DN72" t="e">
        <f>AND(#REF!,"IXHqEnWH13U=")</f>
        <v>#REF!</v>
      </c>
      <c r="DO72" t="e">
        <f>AND(#REF!,"IXHqEnWH13Y=")</f>
        <v>#REF!</v>
      </c>
      <c r="DP72" t="e">
        <f>AND(#REF!,"IXHqEnWH13c=")</f>
        <v>#REF!</v>
      </c>
      <c r="DQ72" t="e">
        <f>AND(#REF!,"IXHqEnWH13g=")</f>
        <v>#REF!</v>
      </c>
      <c r="DR72" t="e">
        <f>AND(#REF!,"IXHqEnWH13k=")</f>
        <v>#REF!</v>
      </c>
      <c r="DS72" t="e">
        <f>AND(#REF!,"IXHqEnWH13o=")</f>
        <v>#REF!</v>
      </c>
      <c r="DT72" t="e">
        <f>AND(#REF!,"IXHqEnWH13s=")</f>
        <v>#REF!</v>
      </c>
      <c r="DU72" t="e">
        <f>AND(#REF!,"IXHqEnWH13w=")</f>
        <v>#REF!</v>
      </c>
      <c r="DV72" t="e">
        <f>AND(#REF!,"IXHqEnWH130=")</f>
        <v>#REF!</v>
      </c>
      <c r="DW72" t="e">
        <f>AND(#REF!,"IXHqEnWH134=")</f>
        <v>#REF!</v>
      </c>
      <c r="DX72" t="e">
        <f>AND(#REF!,"IXHqEnWH138=")</f>
        <v>#REF!</v>
      </c>
      <c r="DY72" t="e">
        <f>AND(#REF!,"IXHqEnWH14A=")</f>
        <v>#REF!</v>
      </c>
      <c r="DZ72" t="e">
        <f>AND(#REF!,"IXHqEnWH14E=")</f>
        <v>#REF!</v>
      </c>
      <c r="EA72" t="e">
        <f>AND(#REF!,"IXHqEnWH14I=")</f>
        <v>#REF!</v>
      </c>
      <c r="EB72" t="e">
        <f>AND(#REF!,"IXHqEnWH14M=")</f>
        <v>#REF!</v>
      </c>
      <c r="EC72" t="e">
        <f>AND(#REF!,"IXHqEnWH14Q=")</f>
        <v>#REF!</v>
      </c>
      <c r="ED72" t="e">
        <f>AND(#REF!,"IXHqEnWH14U=")</f>
        <v>#REF!</v>
      </c>
      <c r="EE72" t="e">
        <f>AND(#REF!,"IXHqEnWH14Y=")</f>
        <v>#REF!</v>
      </c>
      <c r="EF72" t="e">
        <f>AND(#REF!,"IXHqEnWH14c=")</f>
        <v>#REF!</v>
      </c>
      <c r="EG72" t="e">
        <f>AND(#REF!,"IXHqEnWH14g=")</f>
        <v>#REF!</v>
      </c>
      <c r="EH72" t="e">
        <f>AND(#REF!,"IXHqEnWH14k=")</f>
        <v>#REF!</v>
      </c>
      <c r="EI72" t="e">
        <f>AND(#REF!,"IXHqEnWH14o=")</f>
        <v>#REF!</v>
      </c>
      <c r="EJ72" t="e">
        <f>AND(#REF!,"IXHqEnWH14s=")</f>
        <v>#REF!</v>
      </c>
      <c r="EK72" t="e">
        <f>AND(#REF!,"IXHqEnWH14w=")</f>
        <v>#REF!</v>
      </c>
      <c r="EL72" t="e">
        <f>AND(#REF!,"IXHqEnWH140=")</f>
        <v>#REF!</v>
      </c>
      <c r="EM72" t="e">
        <f>AND(#REF!,"IXHqEnWH144=")</f>
        <v>#REF!</v>
      </c>
      <c r="EN72" t="e">
        <f>AND(#REF!,"IXHqEnWH148=")</f>
        <v>#REF!</v>
      </c>
      <c r="EO72" t="e">
        <f>AND(#REF!,"IXHqEnWH15A=")</f>
        <v>#REF!</v>
      </c>
      <c r="EP72" t="e">
        <f>AND(#REF!,"IXHqEnWH15E=")</f>
        <v>#REF!</v>
      </c>
      <c r="EQ72" t="e">
        <f>AND(#REF!,"IXHqEnWH15I=")</f>
        <v>#REF!</v>
      </c>
      <c r="ER72" t="e">
        <f>AND(#REF!,"IXHqEnWH15M=")</f>
        <v>#REF!</v>
      </c>
      <c r="ES72" t="e">
        <f>AND(#REF!,"IXHqEnWH15Q=")</f>
        <v>#REF!</v>
      </c>
      <c r="ET72" t="e">
        <f>AND(#REF!,"IXHqEnWH15U=")</f>
        <v>#REF!</v>
      </c>
      <c r="EU72" t="e">
        <f>AND(#REF!,"IXHqEnWH15Y=")</f>
        <v>#REF!</v>
      </c>
      <c r="EV72" t="e">
        <f>AND(#REF!,"IXHqEnWH15c=")</f>
        <v>#REF!</v>
      </c>
      <c r="EW72" t="e">
        <f>AND(#REF!,"IXHqEnWH15g=")</f>
        <v>#REF!</v>
      </c>
      <c r="EX72" t="e">
        <f>AND(#REF!,"IXHqEnWH15k=")</f>
        <v>#REF!</v>
      </c>
      <c r="EY72" t="e">
        <f>AND(#REF!,"IXHqEnWH15o=")</f>
        <v>#REF!</v>
      </c>
      <c r="EZ72" t="e">
        <f>AND(#REF!,"IXHqEnWH15s=")</f>
        <v>#REF!</v>
      </c>
      <c r="FA72" t="e">
        <f>AND(#REF!,"IXHqEnWH15w=")</f>
        <v>#REF!</v>
      </c>
      <c r="FB72" t="e">
        <f>AND(#REF!,"IXHqEnWH150=")</f>
        <v>#REF!</v>
      </c>
      <c r="FC72" t="e">
        <f>AND(#REF!,"IXHqEnWH154=")</f>
        <v>#REF!</v>
      </c>
      <c r="FD72" t="e">
        <f>AND(#REF!,"IXHqEnWH158=")</f>
        <v>#REF!</v>
      </c>
      <c r="FE72" t="e">
        <f>AND(#REF!,"IXHqEnWH16A=")</f>
        <v>#REF!</v>
      </c>
      <c r="FF72" t="e">
        <f>AND(#REF!,"IXHqEnWH16E=")</f>
        <v>#REF!</v>
      </c>
      <c r="FG72" t="e">
        <f>AND(#REF!,"IXHqEnWH16I=")</f>
        <v>#REF!</v>
      </c>
      <c r="FH72" t="e">
        <f>AND(#REF!,"IXHqEnWH16M=")</f>
        <v>#REF!</v>
      </c>
      <c r="FI72" t="e">
        <f>AND(#REF!,"IXHqEnWH16Q=")</f>
        <v>#REF!</v>
      </c>
      <c r="FJ72" t="e">
        <f>AND(#REF!,"IXHqEnWH16U=")</f>
        <v>#REF!</v>
      </c>
      <c r="FK72" t="e">
        <f>AND(#REF!,"IXHqEnWH16Y=")</f>
        <v>#REF!</v>
      </c>
      <c r="FL72" t="e">
        <f>AND(#REF!,"IXHqEnWH16c=")</f>
        <v>#REF!</v>
      </c>
      <c r="FM72" t="e">
        <f>AND(#REF!,"IXHqEnWH16g=")</f>
        <v>#REF!</v>
      </c>
      <c r="FN72" t="e">
        <f>AND(#REF!,"IXHqEnWH16k=")</f>
        <v>#REF!</v>
      </c>
      <c r="FO72" t="e">
        <f>AND(#REF!,"IXHqEnWH16o=")</f>
        <v>#REF!</v>
      </c>
      <c r="FP72" t="e">
        <f>AND(#REF!,"IXHqEnWH16s=")</f>
        <v>#REF!</v>
      </c>
      <c r="FQ72" t="e">
        <f>AND(#REF!,"IXHqEnWH16w=")</f>
        <v>#REF!</v>
      </c>
      <c r="FR72" t="e">
        <f>AND(#REF!,"IXHqEnWH160=")</f>
        <v>#REF!</v>
      </c>
      <c r="FS72" t="e">
        <f>AND(#REF!,"IXHqEnWH164=")</f>
        <v>#REF!</v>
      </c>
      <c r="FT72" t="e">
        <f>AND(#REF!,"IXHqEnWH168=")</f>
        <v>#REF!</v>
      </c>
      <c r="FU72" t="e">
        <f>AND(#REF!,"IXHqEnWH17A=")</f>
        <v>#REF!</v>
      </c>
      <c r="FV72" t="e">
        <f>AND(#REF!,"IXHqEnWH17E=")</f>
        <v>#REF!</v>
      </c>
      <c r="FW72" t="e">
        <f>AND(#REF!,"IXHqEnWH17I=")</f>
        <v>#REF!</v>
      </c>
      <c r="FX72" t="e">
        <f>AND(#REF!,"IXHqEnWH17M=")</f>
        <v>#REF!</v>
      </c>
      <c r="FY72" t="e">
        <f>AND(#REF!,"IXHqEnWH17Q=")</f>
        <v>#REF!</v>
      </c>
      <c r="FZ72" t="e">
        <f>AND(#REF!,"IXHqEnWH17U=")</f>
        <v>#REF!</v>
      </c>
      <c r="GA72" t="e">
        <f>AND(#REF!,"IXHqEnWH17Y=")</f>
        <v>#REF!</v>
      </c>
      <c r="GB72" t="e">
        <f>AND(#REF!,"IXHqEnWH17c=")</f>
        <v>#REF!</v>
      </c>
      <c r="GC72" t="e">
        <f>AND(#REF!,"IXHqEnWH17g=")</f>
        <v>#REF!</v>
      </c>
      <c r="GD72" t="e">
        <f>AND(#REF!,"IXHqEnWH17k=")</f>
        <v>#REF!</v>
      </c>
      <c r="GE72" t="e">
        <f>AND(#REF!,"IXHqEnWH17o=")</f>
        <v>#REF!</v>
      </c>
      <c r="GF72" t="e">
        <f>AND(#REF!,"IXHqEnWH17s=")</f>
        <v>#REF!</v>
      </c>
      <c r="GG72" t="e">
        <f>AND(#REF!,"IXHqEnWH17w=")</f>
        <v>#REF!</v>
      </c>
      <c r="GH72" t="e">
        <f>AND(#REF!,"IXHqEnWH170=")</f>
        <v>#REF!</v>
      </c>
      <c r="GI72" t="e">
        <f>AND(#REF!,"IXHqEnWH174=")</f>
        <v>#REF!</v>
      </c>
      <c r="GJ72" t="e">
        <f>AND(#REF!,"IXHqEnWH178=")</f>
        <v>#REF!</v>
      </c>
      <c r="GK72" t="e">
        <f>AND(#REF!,"IXHqEnWH18A=")</f>
        <v>#REF!</v>
      </c>
      <c r="GL72" t="e">
        <f>AND(#REF!,"IXHqEnWH18E=")</f>
        <v>#REF!</v>
      </c>
      <c r="GM72" t="e">
        <f>AND(#REF!,"IXHqEnWH18I=")</f>
        <v>#REF!</v>
      </c>
      <c r="GN72" t="e">
        <f>AND(#REF!,"IXHqEnWH18M=")</f>
        <v>#REF!</v>
      </c>
      <c r="GO72" t="e">
        <f>AND(#REF!,"IXHqEnWH18Q=")</f>
        <v>#REF!</v>
      </c>
      <c r="GP72" t="e">
        <f>AND(#REF!,"IXHqEnWH18U=")</f>
        <v>#REF!</v>
      </c>
      <c r="GQ72" t="e">
        <f>AND(#REF!,"IXHqEnWH18Y=")</f>
        <v>#REF!</v>
      </c>
      <c r="GR72" t="e">
        <f>AND(#REF!,"IXHqEnWH18c=")</f>
        <v>#REF!</v>
      </c>
      <c r="GS72" t="e">
        <f>AND(#REF!,"IXHqEnWH18g=")</f>
        <v>#REF!</v>
      </c>
      <c r="GT72" t="e">
        <f>AND(#REF!,"IXHqEnWH18k=")</f>
        <v>#REF!</v>
      </c>
      <c r="GU72" t="e">
        <f>AND(#REF!,"IXHqEnWH18o=")</f>
        <v>#REF!</v>
      </c>
      <c r="GV72" t="e">
        <f>AND(#REF!,"IXHqEnWH18s=")</f>
        <v>#REF!</v>
      </c>
      <c r="GW72" t="e">
        <f>AND(#REF!,"IXHqEnWH18w=")</f>
        <v>#REF!</v>
      </c>
      <c r="GX72" t="e">
        <f>AND(#REF!,"IXHqEnWH180=")</f>
        <v>#REF!</v>
      </c>
      <c r="GY72" t="e">
        <f>AND(#REF!,"IXHqEnWH184=")</f>
        <v>#REF!</v>
      </c>
      <c r="GZ72" t="e">
        <f>AND(#REF!,"IXHqEnWH188=")</f>
        <v>#REF!</v>
      </c>
      <c r="HA72" t="e">
        <f>AND(#REF!,"IXHqEnWH19A=")</f>
        <v>#REF!</v>
      </c>
      <c r="HB72" t="e">
        <f>AND(#REF!,"IXHqEnWH19E=")</f>
        <v>#REF!</v>
      </c>
      <c r="HC72" t="e">
        <f>AND(#REF!,"IXHqEnWH19I=")</f>
        <v>#REF!</v>
      </c>
      <c r="HD72" t="e">
        <f>AND(#REF!,"IXHqEnWH19M=")</f>
        <v>#REF!</v>
      </c>
      <c r="HE72" t="e">
        <f>AND(#REF!,"IXHqEnWH19Q=")</f>
        <v>#REF!</v>
      </c>
      <c r="HF72" t="e">
        <f>AND(#REF!,"IXHqEnWH19U=")</f>
        <v>#REF!</v>
      </c>
      <c r="HG72" t="e">
        <f>AND(#REF!,"IXHqEnWH19Y=")</f>
        <v>#REF!</v>
      </c>
      <c r="HH72" t="e">
        <f>AND(#REF!,"IXHqEnWH19c=")</f>
        <v>#REF!</v>
      </c>
      <c r="HI72" t="e">
        <f>AND(#REF!,"IXHqEnWH19g=")</f>
        <v>#REF!</v>
      </c>
      <c r="HJ72" t="e">
        <f>AND(#REF!,"IXHqEnWH19k=")</f>
        <v>#REF!</v>
      </c>
      <c r="HK72" t="e">
        <f>AND(#REF!,"IXHqEnWH19o=")</f>
        <v>#REF!</v>
      </c>
      <c r="HL72" t="e">
        <f>AND(#REF!,"IXHqEnWH19s=")</f>
        <v>#REF!</v>
      </c>
      <c r="HM72" t="e">
        <f>AND(#REF!,"IXHqEnWH19w=")</f>
        <v>#REF!</v>
      </c>
      <c r="HN72" t="e">
        <f>AND(#REF!,"IXHqEnWH190=")</f>
        <v>#REF!</v>
      </c>
      <c r="HO72" t="e">
        <f>AND(#REF!,"IXHqEnWH194=")</f>
        <v>#REF!</v>
      </c>
      <c r="HP72" t="e">
        <f>AND(#REF!,"IXHqEnWH198=")</f>
        <v>#REF!</v>
      </c>
      <c r="HQ72" t="e">
        <f>AND(#REF!,"IXHqEnWH1+A=")</f>
        <v>#REF!</v>
      </c>
      <c r="HR72" t="e">
        <f>AND(#REF!,"IXHqEnWH1+E=")</f>
        <v>#REF!</v>
      </c>
      <c r="HS72" t="e">
        <f>AND(#REF!,"IXHqEnWH1+I=")</f>
        <v>#REF!</v>
      </c>
      <c r="HT72" t="e">
        <f>AND(#REF!,"IXHqEnWH1+M=")</f>
        <v>#REF!</v>
      </c>
      <c r="HU72" t="e">
        <f>AND(#REF!,"IXHqEnWH1+Q=")</f>
        <v>#REF!</v>
      </c>
      <c r="HV72" t="e">
        <f>AND(#REF!,"IXHqEnWH1+U=")</f>
        <v>#REF!</v>
      </c>
      <c r="HW72" t="e">
        <f>AND(#REF!,"IXHqEnWH1+Y=")</f>
        <v>#REF!</v>
      </c>
      <c r="HX72" t="e">
        <f>AND(#REF!,"IXHqEnWH1+c=")</f>
        <v>#REF!</v>
      </c>
      <c r="HY72" t="e">
        <f>AND(#REF!,"IXHqEnWH1+g=")</f>
        <v>#REF!</v>
      </c>
      <c r="HZ72" t="e">
        <f>AND(#REF!,"IXHqEnWH1+k=")</f>
        <v>#REF!</v>
      </c>
      <c r="IA72" t="e">
        <f>AND(#REF!,"IXHqEnWH1+o=")</f>
        <v>#REF!</v>
      </c>
      <c r="IB72" t="e">
        <f>AND(#REF!,"IXHqEnWH1+s=")</f>
        <v>#REF!</v>
      </c>
      <c r="IC72" t="e">
        <f>AND(#REF!,"IXHqEnWH1+w=")</f>
        <v>#REF!</v>
      </c>
      <c r="ID72" t="e">
        <f>AND(#REF!,"IXHqEnWH1+0=")</f>
        <v>#REF!</v>
      </c>
      <c r="IE72" t="e">
        <f>AND(#REF!,"IXHqEnWH1+4=")</f>
        <v>#REF!</v>
      </c>
      <c r="IF72" t="e">
        <f>AND(#REF!,"IXHqEnWH1+8=")</f>
        <v>#REF!</v>
      </c>
      <c r="IG72" t="e">
        <f>AND(#REF!,"IXHqEnWH1/A=")</f>
        <v>#REF!</v>
      </c>
      <c r="IH72" t="e">
        <f>AND(#REF!,"IXHqEnWH1/E=")</f>
        <v>#REF!</v>
      </c>
      <c r="II72" t="e">
        <f>AND(#REF!,"IXHqEnWH1/I=")</f>
        <v>#REF!</v>
      </c>
      <c r="IJ72" t="e">
        <f>AND(#REF!,"IXHqEnWH1/M=")</f>
        <v>#REF!</v>
      </c>
      <c r="IK72" t="e">
        <f>AND(#REF!,"IXHqEnWH1/Q=")</f>
        <v>#REF!</v>
      </c>
      <c r="IL72" t="e">
        <f>AND(#REF!,"IXHqEnWH1/U=")</f>
        <v>#REF!</v>
      </c>
      <c r="IM72" t="e">
        <f>AND(#REF!,"IXHqEnWH1/Y=")</f>
        <v>#REF!</v>
      </c>
      <c r="IN72" t="e">
        <f>AND(#REF!,"IXHqEnWH1/c=")</f>
        <v>#REF!</v>
      </c>
      <c r="IO72" t="e">
        <f>AND(#REF!,"IXHqEnWH1/g=")</f>
        <v>#REF!</v>
      </c>
      <c r="IP72" t="e">
        <f>AND(#REF!,"IXHqEnWH1/k=")</f>
        <v>#REF!</v>
      </c>
      <c r="IQ72" t="e">
        <f>AND(#REF!,"IXHqEnWH1/o=")</f>
        <v>#REF!</v>
      </c>
      <c r="IR72" t="e">
        <f>AND(#REF!,"IXHqEnWH1/s=")</f>
        <v>#REF!</v>
      </c>
      <c r="IS72" t="e">
        <f>AND(#REF!,"IXHqEnWH1/w=")</f>
        <v>#REF!</v>
      </c>
      <c r="IT72" t="e">
        <f>AND(#REF!,"IXHqEnWH1/0=")</f>
        <v>#REF!</v>
      </c>
      <c r="IU72" t="e">
        <f>AND(#REF!,"IXHqEnWH1/4=")</f>
        <v>#REF!</v>
      </c>
      <c r="IV72" t="e">
        <f>AND(#REF!,"IXHqEnWH1/8=")</f>
        <v>#REF!</v>
      </c>
    </row>
    <row r="73" spans="1:256" x14ac:dyDescent="0.2">
      <c r="A73" t="e">
        <f>AND(#REF!,"CR8GkyjaagA=")</f>
        <v>#REF!</v>
      </c>
      <c r="B73" t="e">
        <f>AND(#REF!,"CR8GkyjaagE=")</f>
        <v>#REF!</v>
      </c>
      <c r="C73" t="e">
        <f>AND(#REF!,"CR8GkyjaagI=")</f>
        <v>#REF!</v>
      </c>
      <c r="D73" t="e">
        <f>AND(#REF!,"CR8GkyjaagM=")</f>
        <v>#REF!</v>
      </c>
      <c r="E73" t="e">
        <f>AND(#REF!,"CR8GkyjaagQ=")</f>
        <v>#REF!</v>
      </c>
      <c r="F73" t="e">
        <f>AND(#REF!,"CR8GkyjaagU=")</f>
        <v>#REF!</v>
      </c>
      <c r="G73" t="e">
        <f>AND(#REF!,"CR8GkyjaagY=")</f>
        <v>#REF!</v>
      </c>
      <c r="H73" t="e">
        <f>AND(#REF!,"CR8Gkyjaagc=")</f>
        <v>#REF!</v>
      </c>
      <c r="I73" t="e">
        <f>AND(#REF!,"CR8Gkyjaagg=")</f>
        <v>#REF!</v>
      </c>
      <c r="J73" t="e">
        <f>AND(#REF!,"CR8Gkyjaagk=")</f>
        <v>#REF!</v>
      </c>
      <c r="K73" t="e">
        <f>AND(#REF!,"CR8Gkyjaago=")</f>
        <v>#REF!</v>
      </c>
      <c r="L73" t="e">
        <f>AND(#REF!,"CR8Gkyjaags=")</f>
        <v>#REF!</v>
      </c>
      <c r="M73" t="e">
        <f>AND(#REF!,"CR8Gkyjaagw=")</f>
        <v>#REF!</v>
      </c>
      <c r="N73" t="e">
        <f>AND(#REF!,"CR8Gkyjaag0=")</f>
        <v>#REF!</v>
      </c>
      <c r="O73" t="e">
        <f>AND(#REF!,"CR8Gkyjaag4=")</f>
        <v>#REF!</v>
      </c>
      <c r="P73" t="e">
        <f>AND(#REF!,"CR8Gkyjaag8=")</f>
        <v>#REF!</v>
      </c>
      <c r="Q73" t="e">
        <f>AND(#REF!,"CR8GkyjaahA=")</f>
        <v>#REF!</v>
      </c>
      <c r="R73" t="e">
        <f>AND(#REF!,"CR8GkyjaahE=")</f>
        <v>#REF!</v>
      </c>
      <c r="S73" t="e">
        <f>AND(#REF!,"CR8GkyjaahI=")</f>
        <v>#REF!</v>
      </c>
      <c r="T73" t="e">
        <f>AND(#REF!,"CR8GkyjaahM=")</f>
        <v>#REF!</v>
      </c>
      <c r="U73" t="e">
        <f>AND(#REF!,"CR8GkyjaahQ=")</f>
        <v>#REF!</v>
      </c>
      <c r="V73" t="e">
        <f>IF(#REF!,"CR8GkyjaahU=",0)</f>
        <v>#REF!</v>
      </c>
      <c r="W73" t="e">
        <f>AND(#REF!,"CR8GkyjaahY=")</f>
        <v>#REF!</v>
      </c>
      <c r="X73" t="e">
        <f>AND(#REF!,"CR8Gkyjaahc=")</f>
        <v>#REF!</v>
      </c>
      <c r="Y73" t="e">
        <f>AND(#REF!,"CR8Gkyjaahg=")</f>
        <v>#REF!</v>
      </c>
      <c r="Z73" t="e">
        <f>AND(#REF!,"CR8Gkyjaahk=")</f>
        <v>#REF!</v>
      </c>
      <c r="AA73" t="e">
        <f>AND(#REF!,"CR8Gkyjaaho=")</f>
        <v>#REF!</v>
      </c>
      <c r="AB73" t="e">
        <f>AND(#REF!,"CR8Gkyjaahs=")</f>
        <v>#REF!</v>
      </c>
      <c r="AC73" t="e">
        <f>AND(#REF!,"CR8Gkyjaahw=")</f>
        <v>#REF!</v>
      </c>
      <c r="AD73" t="e">
        <f>AND(#REF!,"CR8Gkyjaah0=")</f>
        <v>#REF!</v>
      </c>
      <c r="AE73" t="e">
        <f>AND(#REF!,"CR8Gkyjaah4=")</f>
        <v>#REF!</v>
      </c>
      <c r="AF73" t="e">
        <f>AND(#REF!,"CR8Gkyjaah8=")</f>
        <v>#REF!</v>
      </c>
      <c r="AG73" t="e">
        <f>AND(#REF!,"CR8GkyjaaiA=")</f>
        <v>#REF!</v>
      </c>
      <c r="AH73" t="e">
        <f>AND(#REF!,"CR8GkyjaaiE=")</f>
        <v>#REF!</v>
      </c>
      <c r="AI73" t="e">
        <f>AND(#REF!,"CR8GkyjaaiI=")</f>
        <v>#REF!</v>
      </c>
      <c r="AJ73" t="e">
        <f>AND(#REF!,"CR8GkyjaaiM=")</f>
        <v>#REF!</v>
      </c>
      <c r="AK73" t="e">
        <f>AND(#REF!,"CR8GkyjaaiQ=")</f>
        <v>#REF!</v>
      </c>
      <c r="AL73" t="e">
        <f>AND(#REF!,"CR8GkyjaaiU=")</f>
        <v>#REF!</v>
      </c>
      <c r="AM73" t="e">
        <f>AND(#REF!,"CR8GkyjaaiY=")</f>
        <v>#REF!</v>
      </c>
      <c r="AN73" t="e">
        <f>AND(#REF!,"CR8Gkyjaaic=")</f>
        <v>#REF!</v>
      </c>
      <c r="AO73" t="e">
        <f>AND(#REF!,"CR8Gkyjaaig=")</f>
        <v>#REF!</v>
      </c>
      <c r="AP73" t="e">
        <f>AND(#REF!,"CR8Gkyjaaik=")</f>
        <v>#REF!</v>
      </c>
      <c r="AQ73" t="e">
        <f>AND(#REF!,"CR8Gkyjaaio=")</f>
        <v>#REF!</v>
      </c>
      <c r="AR73" t="e">
        <f>AND(#REF!,"CR8Gkyjaais=")</f>
        <v>#REF!</v>
      </c>
      <c r="AS73" t="e">
        <f>AND(#REF!,"CR8Gkyjaaiw=")</f>
        <v>#REF!</v>
      </c>
      <c r="AT73" t="e">
        <f>AND(#REF!,"CR8Gkyjaai0=")</f>
        <v>#REF!</v>
      </c>
      <c r="AU73" t="e">
        <f>AND(#REF!,"CR8Gkyjaai4=")</f>
        <v>#REF!</v>
      </c>
      <c r="AV73" t="e">
        <f>AND(#REF!,"CR8Gkyjaai8=")</f>
        <v>#REF!</v>
      </c>
      <c r="AW73" t="e">
        <f>AND(#REF!,"CR8GkyjaajA=")</f>
        <v>#REF!</v>
      </c>
      <c r="AX73" t="e">
        <f>AND(#REF!,"CR8GkyjaajE=")</f>
        <v>#REF!</v>
      </c>
      <c r="AY73" t="e">
        <f>AND(#REF!,"CR8GkyjaajI=")</f>
        <v>#REF!</v>
      </c>
      <c r="AZ73" t="e">
        <f>AND(#REF!,"CR8GkyjaajM=")</f>
        <v>#REF!</v>
      </c>
      <c r="BA73" t="e">
        <f>AND(#REF!,"CR8GkyjaajQ=")</f>
        <v>#REF!</v>
      </c>
      <c r="BB73" t="e">
        <f>AND(#REF!,"CR8GkyjaajU=")</f>
        <v>#REF!</v>
      </c>
      <c r="BC73" t="e">
        <f>AND(#REF!,"CR8GkyjaajY=")</f>
        <v>#REF!</v>
      </c>
      <c r="BD73" t="e">
        <f>AND(#REF!,"CR8Gkyjaajc=")</f>
        <v>#REF!</v>
      </c>
      <c r="BE73" t="e">
        <f>AND(#REF!,"CR8Gkyjaajg=")</f>
        <v>#REF!</v>
      </c>
      <c r="BF73" t="e">
        <f>AND(#REF!,"CR8Gkyjaajk=")</f>
        <v>#REF!</v>
      </c>
      <c r="BG73" t="e">
        <f>AND(#REF!,"CR8Gkyjaajo=")</f>
        <v>#REF!</v>
      </c>
      <c r="BH73" t="e">
        <f>AND(#REF!,"CR8Gkyjaajs=")</f>
        <v>#REF!</v>
      </c>
      <c r="BI73" t="e">
        <f>AND(#REF!,"CR8Gkyjaajw=")</f>
        <v>#REF!</v>
      </c>
      <c r="BJ73" t="e">
        <f>AND(#REF!,"CR8Gkyjaaj0=")</f>
        <v>#REF!</v>
      </c>
      <c r="BK73" t="e">
        <f>AND(#REF!,"CR8Gkyjaaj4=")</f>
        <v>#REF!</v>
      </c>
      <c r="BL73" t="e">
        <f>AND(#REF!,"CR8Gkyjaaj8=")</f>
        <v>#REF!</v>
      </c>
      <c r="BM73" t="e">
        <f>AND(#REF!,"CR8GkyjaakA=")</f>
        <v>#REF!</v>
      </c>
      <c r="BN73" t="e">
        <f>AND(#REF!,"CR8GkyjaakE=")</f>
        <v>#REF!</v>
      </c>
      <c r="BO73" t="e">
        <f>AND(#REF!,"CR8GkyjaakI=")</f>
        <v>#REF!</v>
      </c>
      <c r="BP73" t="e">
        <f>AND(#REF!,"CR8GkyjaakM=")</f>
        <v>#REF!</v>
      </c>
      <c r="BQ73" t="e">
        <f>AND(#REF!,"CR8GkyjaakQ=")</f>
        <v>#REF!</v>
      </c>
      <c r="BR73" t="e">
        <f>AND(#REF!,"CR8GkyjaakU=")</f>
        <v>#REF!</v>
      </c>
      <c r="BS73" t="e">
        <f>AND(#REF!,"CR8GkyjaakY=")</f>
        <v>#REF!</v>
      </c>
      <c r="BT73" t="e">
        <f>AND(#REF!,"CR8Gkyjaakc=")</f>
        <v>#REF!</v>
      </c>
      <c r="BU73" t="e">
        <f>AND(#REF!,"CR8Gkyjaakg=")</f>
        <v>#REF!</v>
      </c>
      <c r="BV73" t="e">
        <f>AND(#REF!,"CR8Gkyjaakk=")</f>
        <v>#REF!</v>
      </c>
      <c r="BW73" t="e">
        <f>AND(#REF!,"CR8Gkyjaako=")</f>
        <v>#REF!</v>
      </c>
      <c r="BX73" t="e">
        <f>AND(#REF!,"CR8Gkyjaaks=")</f>
        <v>#REF!</v>
      </c>
      <c r="BY73" t="e">
        <f>AND(#REF!,"CR8Gkyjaakw=")</f>
        <v>#REF!</v>
      </c>
      <c r="BZ73" t="e">
        <f>AND(#REF!,"CR8Gkyjaak0=")</f>
        <v>#REF!</v>
      </c>
      <c r="CA73" t="e">
        <f>AND(#REF!,"CR8Gkyjaak4=")</f>
        <v>#REF!</v>
      </c>
      <c r="CB73" t="e">
        <f>AND(#REF!,"CR8Gkyjaak8=")</f>
        <v>#REF!</v>
      </c>
      <c r="CC73" t="e">
        <f>AND(#REF!,"CR8GkyjaalA=")</f>
        <v>#REF!</v>
      </c>
      <c r="CD73" t="e">
        <f>AND(#REF!,"CR8GkyjaalE=")</f>
        <v>#REF!</v>
      </c>
      <c r="CE73" t="e">
        <f>AND(#REF!,"CR8GkyjaalI=")</f>
        <v>#REF!</v>
      </c>
      <c r="CF73" t="e">
        <f>AND(#REF!,"CR8GkyjaalM=")</f>
        <v>#REF!</v>
      </c>
      <c r="CG73" t="e">
        <f>AND(#REF!,"CR8GkyjaalQ=")</f>
        <v>#REF!</v>
      </c>
      <c r="CH73" t="e">
        <f>AND(#REF!,"CR8GkyjaalU=")</f>
        <v>#REF!</v>
      </c>
      <c r="CI73" t="e">
        <f>AND(#REF!,"CR8GkyjaalY=")</f>
        <v>#REF!</v>
      </c>
      <c r="CJ73" t="e">
        <f>AND(#REF!,"CR8Gkyjaalc=")</f>
        <v>#REF!</v>
      </c>
      <c r="CK73" t="e">
        <f>AND(#REF!,"CR8Gkyjaalg=")</f>
        <v>#REF!</v>
      </c>
      <c r="CL73" t="e">
        <f>AND(#REF!,"CR8Gkyjaalk=")</f>
        <v>#REF!</v>
      </c>
      <c r="CM73" t="e">
        <f>AND(#REF!,"CR8Gkyjaalo=")</f>
        <v>#REF!</v>
      </c>
      <c r="CN73" t="e">
        <f>AND(#REF!,"CR8Gkyjaals=")</f>
        <v>#REF!</v>
      </c>
      <c r="CO73" t="e">
        <f>AND(#REF!,"CR8Gkyjaalw=")</f>
        <v>#REF!</v>
      </c>
      <c r="CP73" t="e">
        <f>AND(#REF!,"CR8Gkyjaal0=")</f>
        <v>#REF!</v>
      </c>
      <c r="CQ73" t="e">
        <f>AND(#REF!,"CR8Gkyjaal4=")</f>
        <v>#REF!</v>
      </c>
      <c r="CR73" t="e">
        <f>AND(#REF!,"CR8Gkyjaal8=")</f>
        <v>#REF!</v>
      </c>
      <c r="CS73" t="e">
        <f>AND(#REF!,"CR8GkyjaamA=")</f>
        <v>#REF!</v>
      </c>
      <c r="CT73" t="e">
        <f>AND(#REF!,"CR8GkyjaamE=")</f>
        <v>#REF!</v>
      </c>
      <c r="CU73" t="e">
        <f>AND(#REF!,"CR8GkyjaamI=")</f>
        <v>#REF!</v>
      </c>
      <c r="CV73" t="e">
        <f>AND(#REF!,"CR8GkyjaamM=")</f>
        <v>#REF!</v>
      </c>
      <c r="CW73" t="e">
        <f>AND(#REF!,"CR8GkyjaamQ=")</f>
        <v>#REF!</v>
      </c>
      <c r="CX73" t="e">
        <f>AND(#REF!,"CR8GkyjaamU=")</f>
        <v>#REF!</v>
      </c>
      <c r="CY73" t="e">
        <f>AND(#REF!,"CR8GkyjaamY=")</f>
        <v>#REF!</v>
      </c>
      <c r="CZ73" t="e">
        <f>AND(#REF!,"CR8Gkyjaamc=")</f>
        <v>#REF!</v>
      </c>
      <c r="DA73" t="e">
        <f>AND(#REF!,"CR8Gkyjaamg=")</f>
        <v>#REF!</v>
      </c>
      <c r="DB73" t="e">
        <f>AND(#REF!,"CR8Gkyjaamk=")</f>
        <v>#REF!</v>
      </c>
      <c r="DC73" t="e">
        <f>AND(#REF!,"CR8Gkyjaamo=")</f>
        <v>#REF!</v>
      </c>
      <c r="DD73" t="e">
        <f>AND(#REF!,"CR8Gkyjaams=")</f>
        <v>#REF!</v>
      </c>
      <c r="DE73" t="e">
        <f>AND(#REF!,"CR8Gkyjaamw=")</f>
        <v>#REF!</v>
      </c>
      <c r="DF73" t="e">
        <f>AND(#REF!,"CR8Gkyjaam0=")</f>
        <v>#REF!</v>
      </c>
      <c r="DG73" t="e">
        <f>AND(#REF!,"CR8Gkyjaam4=")</f>
        <v>#REF!</v>
      </c>
      <c r="DH73" t="e">
        <f>AND(#REF!,"CR8Gkyjaam8=")</f>
        <v>#REF!</v>
      </c>
      <c r="DI73" t="e">
        <f>AND(#REF!,"CR8GkyjaanA=")</f>
        <v>#REF!</v>
      </c>
      <c r="DJ73" t="e">
        <f>AND(#REF!,"CR8GkyjaanE=")</f>
        <v>#REF!</v>
      </c>
      <c r="DK73" t="e">
        <f>AND(#REF!,"CR8GkyjaanI=")</f>
        <v>#REF!</v>
      </c>
      <c r="DL73" t="e">
        <f>AND(#REF!,"CR8GkyjaanM=")</f>
        <v>#REF!</v>
      </c>
      <c r="DM73" t="e">
        <f>AND(#REF!,"CR8GkyjaanQ=")</f>
        <v>#REF!</v>
      </c>
      <c r="DN73" t="e">
        <f>AND(#REF!,"CR8GkyjaanU=")</f>
        <v>#REF!</v>
      </c>
      <c r="DO73" t="e">
        <f>AND(#REF!,"CR8GkyjaanY=")</f>
        <v>#REF!</v>
      </c>
      <c r="DP73" t="e">
        <f>AND(#REF!,"CR8Gkyjaanc=")</f>
        <v>#REF!</v>
      </c>
      <c r="DQ73" t="e">
        <f>AND(#REF!,"CR8Gkyjaang=")</f>
        <v>#REF!</v>
      </c>
      <c r="DR73" t="e">
        <f>AND(#REF!,"CR8Gkyjaank=")</f>
        <v>#REF!</v>
      </c>
      <c r="DS73" t="e">
        <f>AND(#REF!,"CR8Gkyjaano=")</f>
        <v>#REF!</v>
      </c>
      <c r="DT73" t="e">
        <f>AND(#REF!,"CR8Gkyjaans=")</f>
        <v>#REF!</v>
      </c>
      <c r="DU73" t="e">
        <f>AND(#REF!,"CR8Gkyjaanw=")</f>
        <v>#REF!</v>
      </c>
      <c r="DV73" t="e">
        <f>AND(#REF!,"CR8Gkyjaan0=")</f>
        <v>#REF!</v>
      </c>
      <c r="DW73" t="e">
        <f>AND(#REF!,"CR8Gkyjaan4=")</f>
        <v>#REF!</v>
      </c>
      <c r="DX73" t="e">
        <f>AND(#REF!,"CR8Gkyjaan8=")</f>
        <v>#REF!</v>
      </c>
      <c r="DY73" t="e">
        <f>AND(#REF!,"CR8GkyjaaoA=")</f>
        <v>#REF!</v>
      </c>
      <c r="DZ73" t="e">
        <f>AND(#REF!,"CR8GkyjaaoE=")</f>
        <v>#REF!</v>
      </c>
      <c r="EA73" t="e">
        <f>AND(#REF!,"CR8GkyjaaoI=")</f>
        <v>#REF!</v>
      </c>
      <c r="EB73" t="e">
        <f>AND(#REF!,"CR8GkyjaaoM=")</f>
        <v>#REF!</v>
      </c>
      <c r="EC73" t="e">
        <f>AND(#REF!,"CR8GkyjaaoQ=")</f>
        <v>#REF!</v>
      </c>
      <c r="ED73" t="e">
        <f>AND(#REF!,"CR8GkyjaaoU=")</f>
        <v>#REF!</v>
      </c>
      <c r="EE73" t="e">
        <f>AND(#REF!,"CR8GkyjaaoY=")</f>
        <v>#REF!</v>
      </c>
      <c r="EF73" t="e">
        <f>AND(#REF!,"CR8Gkyjaaoc=")</f>
        <v>#REF!</v>
      </c>
      <c r="EG73" t="e">
        <f>AND(#REF!,"CR8Gkyjaaog=")</f>
        <v>#REF!</v>
      </c>
      <c r="EH73" t="e">
        <f>AND(#REF!,"CR8Gkyjaaok=")</f>
        <v>#REF!</v>
      </c>
      <c r="EI73" t="e">
        <f>AND(#REF!,"CR8Gkyjaaoo=")</f>
        <v>#REF!</v>
      </c>
      <c r="EJ73" t="e">
        <f>AND(#REF!,"CR8Gkyjaaos=")</f>
        <v>#REF!</v>
      </c>
      <c r="EK73" t="e">
        <f>AND(#REF!,"CR8Gkyjaaow=")</f>
        <v>#REF!</v>
      </c>
      <c r="EL73" t="e">
        <f>AND(#REF!,"CR8Gkyjaao0=")</f>
        <v>#REF!</v>
      </c>
      <c r="EM73" t="e">
        <f>AND(#REF!,"CR8Gkyjaao4=")</f>
        <v>#REF!</v>
      </c>
      <c r="EN73" t="e">
        <f>AND(#REF!,"CR8Gkyjaao8=")</f>
        <v>#REF!</v>
      </c>
      <c r="EO73" t="e">
        <f>AND(#REF!,"CR8GkyjaapA=")</f>
        <v>#REF!</v>
      </c>
      <c r="EP73" t="e">
        <f>AND(#REF!,"CR8GkyjaapE=")</f>
        <v>#REF!</v>
      </c>
      <c r="EQ73" t="e">
        <f>AND(#REF!,"CR8GkyjaapI=")</f>
        <v>#REF!</v>
      </c>
      <c r="ER73" t="e">
        <f>AND(#REF!,"CR8GkyjaapM=")</f>
        <v>#REF!</v>
      </c>
      <c r="ES73" t="e">
        <f>AND(#REF!,"CR8GkyjaapQ=")</f>
        <v>#REF!</v>
      </c>
      <c r="ET73" t="e">
        <f>AND(#REF!,"CR8GkyjaapU=")</f>
        <v>#REF!</v>
      </c>
      <c r="EU73" t="e">
        <f>AND(#REF!,"CR8GkyjaapY=")</f>
        <v>#REF!</v>
      </c>
      <c r="EV73" t="e">
        <f>AND(#REF!,"CR8Gkyjaapc=")</f>
        <v>#REF!</v>
      </c>
      <c r="EW73" t="e">
        <f>AND(#REF!,"CR8Gkyjaapg=")</f>
        <v>#REF!</v>
      </c>
      <c r="EX73" t="e">
        <f>AND(#REF!,"CR8Gkyjaapk=")</f>
        <v>#REF!</v>
      </c>
      <c r="EY73" t="e">
        <f>AND(#REF!,"CR8Gkyjaapo=")</f>
        <v>#REF!</v>
      </c>
      <c r="EZ73" t="e">
        <f>AND(#REF!,"CR8Gkyjaaps=")</f>
        <v>#REF!</v>
      </c>
      <c r="FA73" t="e">
        <f>AND(#REF!,"CR8Gkyjaapw=")</f>
        <v>#REF!</v>
      </c>
      <c r="FB73" t="e">
        <f>AND(#REF!,"CR8Gkyjaap0=")</f>
        <v>#REF!</v>
      </c>
      <c r="FC73" t="e">
        <f>AND(#REF!,"CR8Gkyjaap4=")</f>
        <v>#REF!</v>
      </c>
      <c r="FD73" t="e">
        <f>AND(#REF!,"CR8Gkyjaap8=")</f>
        <v>#REF!</v>
      </c>
      <c r="FE73" t="e">
        <f>AND(#REF!,"CR8GkyjaaqA=")</f>
        <v>#REF!</v>
      </c>
      <c r="FF73" t="e">
        <f>AND(#REF!,"CR8GkyjaaqE=")</f>
        <v>#REF!</v>
      </c>
      <c r="FG73" t="e">
        <f>AND(#REF!,"CR8GkyjaaqI=")</f>
        <v>#REF!</v>
      </c>
      <c r="FH73" t="e">
        <f>AND(#REF!,"CR8GkyjaaqM=")</f>
        <v>#REF!</v>
      </c>
      <c r="FI73" t="e">
        <f>AND(#REF!,"CR8GkyjaaqQ=")</f>
        <v>#REF!</v>
      </c>
      <c r="FJ73" t="e">
        <f>AND(#REF!,"CR8GkyjaaqU=")</f>
        <v>#REF!</v>
      </c>
      <c r="FK73" t="e">
        <f>AND(#REF!,"CR8GkyjaaqY=")</f>
        <v>#REF!</v>
      </c>
      <c r="FL73" t="e">
        <f>AND(#REF!,"CR8Gkyjaaqc=")</f>
        <v>#REF!</v>
      </c>
      <c r="FM73" t="e">
        <f>AND(#REF!,"CR8Gkyjaaqg=")</f>
        <v>#REF!</v>
      </c>
      <c r="FN73" t="e">
        <f>AND(#REF!,"CR8Gkyjaaqk=")</f>
        <v>#REF!</v>
      </c>
      <c r="FO73" t="e">
        <f>AND(#REF!,"CR8Gkyjaaqo=")</f>
        <v>#REF!</v>
      </c>
      <c r="FP73" t="e">
        <f>AND(#REF!,"CR8Gkyjaaqs=")</f>
        <v>#REF!</v>
      </c>
      <c r="FQ73" t="e">
        <f>AND(#REF!,"CR8Gkyjaaqw=")</f>
        <v>#REF!</v>
      </c>
      <c r="FR73" t="e">
        <f>AND(#REF!,"CR8Gkyjaaq0=")</f>
        <v>#REF!</v>
      </c>
      <c r="FS73" t="e">
        <f>AND(#REF!,"CR8Gkyjaaq4=")</f>
        <v>#REF!</v>
      </c>
      <c r="FT73" t="e">
        <f>AND(#REF!,"CR8Gkyjaaq8=")</f>
        <v>#REF!</v>
      </c>
      <c r="FU73" t="e">
        <f>AND(#REF!,"CR8GkyjaarA=")</f>
        <v>#REF!</v>
      </c>
      <c r="FV73" t="e">
        <f>AND(#REF!,"CR8GkyjaarE=")</f>
        <v>#REF!</v>
      </c>
      <c r="FW73" t="e">
        <f>AND(#REF!,"CR8GkyjaarI=")</f>
        <v>#REF!</v>
      </c>
      <c r="FX73" t="e">
        <f>AND(#REF!,"CR8GkyjaarM=")</f>
        <v>#REF!</v>
      </c>
      <c r="FY73" t="e">
        <f>AND(#REF!,"CR8GkyjaarQ=")</f>
        <v>#REF!</v>
      </c>
      <c r="FZ73" t="e">
        <f>AND(#REF!,"CR8GkyjaarU=")</f>
        <v>#REF!</v>
      </c>
      <c r="GA73" t="e">
        <f>AND(#REF!,"CR8GkyjaarY=")</f>
        <v>#REF!</v>
      </c>
      <c r="GB73" t="e">
        <f>AND(#REF!,"CR8Gkyjaarc=")</f>
        <v>#REF!</v>
      </c>
      <c r="GC73" t="e">
        <f>AND(#REF!,"CR8Gkyjaarg=")</f>
        <v>#REF!</v>
      </c>
      <c r="GD73" t="e">
        <f>AND(#REF!,"CR8Gkyjaark=")</f>
        <v>#REF!</v>
      </c>
      <c r="GE73" t="e">
        <f>AND(#REF!,"CR8Gkyjaaro=")</f>
        <v>#REF!</v>
      </c>
      <c r="GF73" t="e">
        <f>AND(#REF!,"CR8Gkyjaars=")</f>
        <v>#REF!</v>
      </c>
      <c r="GG73" t="e">
        <f>AND(#REF!,"CR8Gkyjaarw=")</f>
        <v>#REF!</v>
      </c>
      <c r="GH73" t="e">
        <f>AND(#REF!,"CR8Gkyjaar0=")</f>
        <v>#REF!</v>
      </c>
      <c r="GI73" t="e">
        <f>AND(#REF!,"CR8Gkyjaar4=")</f>
        <v>#REF!</v>
      </c>
      <c r="GJ73" t="e">
        <f>AND(#REF!,"CR8Gkyjaar8=")</f>
        <v>#REF!</v>
      </c>
      <c r="GK73" t="e">
        <f>AND(#REF!,"CR8GkyjaasA=")</f>
        <v>#REF!</v>
      </c>
      <c r="GL73" t="e">
        <f>AND(#REF!,"CR8GkyjaasE=")</f>
        <v>#REF!</v>
      </c>
      <c r="GM73" t="e">
        <f>AND(#REF!,"CR8GkyjaasI=")</f>
        <v>#REF!</v>
      </c>
      <c r="GN73" t="e">
        <f>AND(#REF!,"CR8GkyjaasM=")</f>
        <v>#REF!</v>
      </c>
      <c r="GO73" t="e">
        <f>AND(#REF!,"CR8GkyjaasQ=")</f>
        <v>#REF!</v>
      </c>
      <c r="GP73" t="e">
        <f>AND(#REF!,"CR8GkyjaasU=")</f>
        <v>#REF!</v>
      </c>
      <c r="GQ73" t="e">
        <f>AND(#REF!,"CR8GkyjaasY=")</f>
        <v>#REF!</v>
      </c>
      <c r="GR73" t="e">
        <f>AND(#REF!,"CR8Gkyjaasc=")</f>
        <v>#REF!</v>
      </c>
      <c r="GS73" t="e">
        <f>AND(#REF!,"CR8Gkyjaasg=")</f>
        <v>#REF!</v>
      </c>
      <c r="GT73" t="e">
        <f>AND(#REF!,"CR8Gkyjaask=")</f>
        <v>#REF!</v>
      </c>
      <c r="GU73" t="e">
        <f>AND(#REF!,"CR8Gkyjaaso=")</f>
        <v>#REF!</v>
      </c>
      <c r="GV73" t="e">
        <f>AND(#REF!,"CR8Gkyjaass=")</f>
        <v>#REF!</v>
      </c>
      <c r="GW73" t="e">
        <f>AND(#REF!,"CR8Gkyjaasw=")</f>
        <v>#REF!</v>
      </c>
      <c r="GX73" t="e">
        <f>AND(#REF!,"CR8Gkyjaas0=")</f>
        <v>#REF!</v>
      </c>
      <c r="GY73" t="e">
        <f>AND(#REF!,"CR8Gkyjaas4=")</f>
        <v>#REF!</v>
      </c>
      <c r="GZ73" t="e">
        <f>AND(#REF!,"CR8Gkyjaas8=")</f>
        <v>#REF!</v>
      </c>
      <c r="HA73" t="e">
        <f>AND(#REF!,"CR8GkyjaatA=")</f>
        <v>#REF!</v>
      </c>
      <c r="HB73" t="e">
        <f>AND(#REF!,"CR8GkyjaatE=")</f>
        <v>#REF!</v>
      </c>
      <c r="HC73" t="e">
        <f>AND(#REF!,"CR8GkyjaatI=")</f>
        <v>#REF!</v>
      </c>
      <c r="HD73" t="e">
        <f>AND(#REF!,"CR8GkyjaatM=")</f>
        <v>#REF!</v>
      </c>
      <c r="HE73" t="e">
        <f>AND(#REF!,"CR8GkyjaatQ=")</f>
        <v>#REF!</v>
      </c>
      <c r="HF73" t="e">
        <f>AND(#REF!,"CR8GkyjaatU=")</f>
        <v>#REF!</v>
      </c>
      <c r="HG73" t="e">
        <f>AND(#REF!,"CR8GkyjaatY=")</f>
        <v>#REF!</v>
      </c>
      <c r="HH73" t="e">
        <f>AND(#REF!,"CR8Gkyjaatc=")</f>
        <v>#REF!</v>
      </c>
      <c r="HI73" t="e">
        <f>AND(#REF!,"CR8Gkyjaatg=")</f>
        <v>#REF!</v>
      </c>
      <c r="HJ73" t="e">
        <f>AND(#REF!,"CR8Gkyjaatk=")</f>
        <v>#REF!</v>
      </c>
      <c r="HK73" t="e">
        <f>AND(#REF!,"CR8Gkyjaato=")</f>
        <v>#REF!</v>
      </c>
      <c r="HL73" t="e">
        <f>AND(#REF!,"CR8Gkyjaats=")</f>
        <v>#REF!</v>
      </c>
      <c r="HM73" t="e">
        <f>IF(#REF!,"CR8Gkyjaatw=",0)</f>
        <v>#REF!</v>
      </c>
      <c r="HN73" t="e">
        <f>AND(#REF!,"CR8Gkyjaat0=")</f>
        <v>#REF!</v>
      </c>
      <c r="HO73" t="e">
        <f>AND(#REF!,"CR8Gkyjaat4=")</f>
        <v>#REF!</v>
      </c>
      <c r="HP73" t="e">
        <f>AND(#REF!,"CR8Gkyjaat8=")</f>
        <v>#REF!</v>
      </c>
      <c r="HQ73" t="e">
        <f>AND(#REF!,"CR8GkyjaauA=")</f>
        <v>#REF!</v>
      </c>
      <c r="HR73" t="e">
        <f>AND(#REF!,"CR8GkyjaauE=")</f>
        <v>#REF!</v>
      </c>
      <c r="HS73" t="e">
        <f>AND(#REF!,"CR8GkyjaauI=")</f>
        <v>#REF!</v>
      </c>
      <c r="HT73" t="e">
        <f>AND(#REF!,"CR8GkyjaauM=")</f>
        <v>#REF!</v>
      </c>
      <c r="HU73" t="e">
        <f>AND(#REF!,"CR8GkyjaauQ=")</f>
        <v>#REF!</v>
      </c>
      <c r="HV73" t="e">
        <f>AND(#REF!,"CR8GkyjaauU=")</f>
        <v>#REF!</v>
      </c>
      <c r="HW73" t="e">
        <f>AND(#REF!,"CR8GkyjaauY=")</f>
        <v>#REF!</v>
      </c>
      <c r="HX73" t="e">
        <f>AND(#REF!,"CR8Gkyjaauc=")</f>
        <v>#REF!</v>
      </c>
      <c r="HY73" t="e">
        <f>AND(#REF!,"CR8Gkyjaaug=")</f>
        <v>#REF!</v>
      </c>
      <c r="HZ73" t="e">
        <f>AND(#REF!,"CR8Gkyjaauk=")</f>
        <v>#REF!</v>
      </c>
      <c r="IA73" t="e">
        <f>AND(#REF!,"CR8Gkyjaauo=")</f>
        <v>#REF!</v>
      </c>
      <c r="IB73" t="e">
        <f>AND(#REF!,"CR8Gkyjaaus=")</f>
        <v>#REF!</v>
      </c>
      <c r="IC73" t="e">
        <f>AND(#REF!,"CR8Gkyjaauw=")</f>
        <v>#REF!</v>
      </c>
      <c r="ID73" t="e">
        <f>AND(#REF!,"CR8Gkyjaau0=")</f>
        <v>#REF!</v>
      </c>
      <c r="IE73" t="e">
        <f>AND(#REF!,"CR8Gkyjaau4=")</f>
        <v>#REF!</v>
      </c>
      <c r="IF73" t="e">
        <f>AND(#REF!,"CR8Gkyjaau8=")</f>
        <v>#REF!</v>
      </c>
      <c r="IG73" t="e">
        <f>AND(#REF!,"CR8GkyjaavA=")</f>
        <v>#REF!</v>
      </c>
      <c r="IH73" t="e">
        <f>AND(#REF!,"CR8GkyjaavE=")</f>
        <v>#REF!</v>
      </c>
      <c r="II73" t="e">
        <f>AND(#REF!,"CR8GkyjaavI=")</f>
        <v>#REF!</v>
      </c>
      <c r="IJ73" t="e">
        <f>AND(#REF!,"CR8GkyjaavM=")</f>
        <v>#REF!</v>
      </c>
      <c r="IK73" t="e">
        <f>AND(#REF!,"CR8GkyjaavQ=")</f>
        <v>#REF!</v>
      </c>
      <c r="IL73" t="e">
        <f>AND(#REF!,"CR8GkyjaavU=")</f>
        <v>#REF!</v>
      </c>
      <c r="IM73" t="e">
        <f>AND(#REF!,"CR8GkyjaavY=")</f>
        <v>#REF!</v>
      </c>
      <c r="IN73" t="e">
        <f>AND(#REF!,"CR8Gkyjaavc=")</f>
        <v>#REF!</v>
      </c>
      <c r="IO73" t="e">
        <f>AND(#REF!,"CR8Gkyjaavg=")</f>
        <v>#REF!</v>
      </c>
      <c r="IP73" t="e">
        <f>AND(#REF!,"CR8Gkyjaavk=")</f>
        <v>#REF!</v>
      </c>
      <c r="IQ73" t="e">
        <f>AND(#REF!,"CR8Gkyjaavo=")</f>
        <v>#REF!</v>
      </c>
      <c r="IR73" t="e">
        <f>AND(#REF!,"CR8Gkyjaavs=")</f>
        <v>#REF!</v>
      </c>
      <c r="IS73" t="e">
        <f>AND(#REF!,"CR8Gkyjaavw=")</f>
        <v>#REF!</v>
      </c>
      <c r="IT73" t="e">
        <f>AND(#REF!,"CR8Gkyjaav0=")</f>
        <v>#REF!</v>
      </c>
      <c r="IU73" t="e">
        <f>AND(#REF!,"CR8Gkyjaav4=")</f>
        <v>#REF!</v>
      </c>
      <c r="IV73" t="e">
        <f>AND(#REF!,"CR8Gkyjaav8=")</f>
        <v>#REF!</v>
      </c>
    </row>
    <row r="74" spans="1:256" x14ac:dyDescent="0.2">
      <c r="A74" t="e">
        <f>AND(#REF!,"A2C4NFGQxgA=")</f>
        <v>#REF!</v>
      </c>
      <c r="B74" t="e">
        <f>AND(#REF!,"A2C4NFGQxgE=")</f>
        <v>#REF!</v>
      </c>
      <c r="C74" t="e">
        <f>AND(#REF!,"A2C4NFGQxgI=")</f>
        <v>#REF!</v>
      </c>
      <c r="D74" t="e">
        <f>AND(#REF!,"A2C4NFGQxgM=")</f>
        <v>#REF!</v>
      </c>
      <c r="E74" t="e">
        <f>AND(#REF!,"A2C4NFGQxgQ=")</f>
        <v>#REF!</v>
      </c>
      <c r="F74" t="e">
        <f>AND(#REF!,"A2C4NFGQxgU=")</f>
        <v>#REF!</v>
      </c>
      <c r="G74" t="e">
        <f>AND(#REF!,"A2C4NFGQxgY=")</f>
        <v>#REF!</v>
      </c>
      <c r="H74" t="e">
        <f>AND(#REF!,"A2C4NFGQxgc=")</f>
        <v>#REF!</v>
      </c>
      <c r="I74" t="e">
        <f>AND(#REF!,"A2C4NFGQxgg=")</f>
        <v>#REF!</v>
      </c>
      <c r="J74" t="e">
        <f>AND(#REF!,"A2C4NFGQxgk=")</f>
        <v>#REF!</v>
      </c>
      <c r="K74" t="e">
        <f>AND(#REF!,"A2C4NFGQxgo=")</f>
        <v>#REF!</v>
      </c>
      <c r="L74" t="e">
        <f>AND(#REF!,"A2C4NFGQxgs=")</f>
        <v>#REF!</v>
      </c>
      <c r="M74" t="e">
        <f>AND(#REF!,"A2C4NFGQxgw=")</f>
        <v>#REF!</v>
      </c>
      <c r="N74" t="e">
        <f>AND(#REF!,"A2C4NFGQxg0=")</f>
        <v>#REF!</v>
      </c>
      <c r="O74" t="e">
        <f>AND(#REF!,"A2C4NFGQxg4=")</f>
        <v>#REF!</v>
      </c>
      <c r="P74" t="e">
        <f>AND(#REF!,"A2C4NFGQxg8=")</f>
        <v>#REF!</v>
      </c>
      <c r="Q74" t="e">
        <f>AND(#REF!,"A2C4NFGQxhA=")</f>
        <v>#REF!</v>
      </c>
      <c r="R74" t="e">
        <f>AND(#REF!,"A2C4NFGQxhE=")</f>
        <v>#REF!</v>
      </c>
      <c r="S74" t="e">
        <f>AND(#REF!,"A2C4NFGQxhI=")</f>
        <v>#REF!</v>
      </c>
      <c r="T74" t="e">
        <f>AND(#REF!,"A2C4NFGQxhM=")</f>
        <v>#REF!</v>
      </c>
      <c r="U74" t="e">
        <f>AND(#REF!,"A2C4NFGQxhQ=")</f>
        <v>#REF!</v>
      </c>
      <c r="V74" t="e">
        <f>AND(#REF!,"A2C4NFGQxhU=")</f>
        <v>#REF!</v>
      </c>
      <c r="W74" t="e">
        <f>AND(#REF!,"A2C4NFGQxhY=")</f>
        <v>#REF!</v>
      </c>
      <c r="X74" t="e">
        <f>AND(#REF!,"A2C4NFGQxhc=")</f>
        <v>#REF!</v>
      </c>
      <c r="Y74" t="e">
        <f>AND(#REF!,"A2C4NFGQxhg=")</f>
        <v>#REF!</v>
      </c>
      <c r="Z74" t="e">
        <f>AND(#REF!,"A2C4NFGQxhk=")</f>
        <v>#REF!</v>
      </c>
      <c r="AA74" t="e">
        <f>AND(#REF!,"A2C4NFGQxho=")</f>
        <v>#REF!</v>
      </c>
      <c r="AB74" t="e">
        <f>AND(#REF!,"A2C4NFGQxhs=")</f>
        <v>#REF!</v>
      </c>
      <c r="AC74" t="e">
        <f>AND(#REF!,"A2C4NFGQxhw=")</f>
        <v>#REF!</v>
      </c>
      <c r="AD74" t="e">
        <f>AND(#REF!,"A2C4NFGQxh0=")</f>
        <v>#REF!</v>
      </c>
      <c r="AE74" t="e">
        <f>AND(#REF!,"A2C4NFGQxh4=")</f>
        <v>#REF!</v>
      </c>
      <c r="AF74" t="e">
        <f>AND(#REF!,"A2C4NFGQxh8=")</f>
        <v>#REF!</v>
      </c>
      <c r="AG74" t="e">
        <f>AND(#REF!,"A2C4NFGQxiA=")</f>
        <v>#REF!</v>
      </c>
      <c r="AH74" t="e">
        <f>AND(#REF!,"A2C4NFGQxiE=")</f>
        <v>#REF!</v>
      </c>
      <c r="AI74" t="e">
        <f>AND(#REF!,"A2C4NFGQxiI=")</f>
        <v>#REF!</v>
      </c>
      <c r="AJ74" t="e">
        <f>AND(#REF!,"A2C4NFGQxiM=")</f>
        <v>#REF!</v>
      </c>
      <c r="AK74" t="e">
        <f>AND(#REF!,"A2C4NFGQxiQ=")</f>
        <v>#REF!</v>
      </c>
      <c r="AL74" t="e">
        <f>AND(#REF!,"A2C4NFGQxiU=")</f>
        <v>#REF!</v>
      </c>
      <c r="AM74" t="e">
        <f>AND(#REF!,"A2C4NFGQxiY=")</f>
        <v>#REF!</v>
      </c>
      <c r="AN74" t="e">
        <f>AND(#REF!,"A2C4NFGQxic=")</f>
        <v>#REF!</v>
      </c>
      <c r="AO74" t="e">
        <f>AND(#REF!,"A2C4NFGQxig=")</f>
        <v>#REF!</v>
      </c>
      <c r="AP74" t="e">
        <f>AND(#REF!,"A2C4NFGQxik=")</f>
        <v>#REF!</v>
      </c>
      <c r="AQ74" t="e">
        <f>AND(#REF!,"A2C4NFGQxio=")</f>
        <v>#REF!</v>
      </c>
      <c r="AR74" t="e">
        <f>AND(#REF!,"A2C4NFGQxis=")</f>
        <v>#REF!</v>
      </c>
      <c r="AS74" t="e">
        <f>AND(#REF!,"A2C4NFGQxiw=")</f>
        <v>#REF!</v>
      </c>
      <c r="AT74" t="e">
        <f>AND(#REF!,"A2C4NFGQxi0=")</f>
        <v>#REF!</v>
      </c>
      <c r="AU74" t="e">
        <f>AND(#REF!,"A2C4NFGQxi4=")</f>
        <v>#REF!</v>
      </c>
      <c r="AV74" t="e">
        <f>AND(#REF!,"A2C4NFGQxi8=")</f>
        <v>#REF!</v>
      </c>
      <c r="AW74" t="e">
        <f>AND(#REF!,"A2C4NFGQxjA=")</f>
        <v>#REF!</v>
      </c>
      <c r="AX74" t="e">
        <f>AND(#REF!,"A2C4NFGQxjE=")</f>
        <v>#REF!</v>
      </c>
      <c r="AY74" t="e">
        <f>AND(#REF!,"A2C4NFGQxjI=")</f>
        <v>#REF!</v>
      </c>
      <c r="AZ74" t="e">
        <f>AND(#REF!,"A2C4NFGQxjM=")</f>
        <v>#REF!</v>
      </c>
      <c r="BA74" t="e">
        <f>AND(#REF!,"A2C4NFGQxjQ=")</f>
        <v>#REF!</v>
      </c>
      <c r="BB74" t="e">
        <f>AND(#REF!,"A2C4NFGQxjU=")</f>
        <v>#REF!</v>
      </c>
      <c r="BC74" t="e">
        <f>AND(#REF!,"A2C4NFGQxjY=")</f>
        <v>#REF!</v>
      </c>
      <c r="BD74" t="e">
        <f>AND(#REF!,"A2C4NFGQxjc=")</f>
        <v>#REF!</v>
      </c>
      <c r="BE74" t="e">
        <f>AND(#REF!,"A2C4NFGQxjg=")</f>
        <v>#REF!</v>
      </c>
      <c r="BF74" t="e">
        <f>AND(#REF!,"A2C4NFGQxjk=")</f>
        <v>#REF!</v>
      </c>
      <c r="BG74" t="e">
        <f>AND(#REF!,"A2C4NFGQxjo=")</f>
        <v>#REF!</v>
      </c>
      <c r="BH74" t="e">
        <f>AND(#REF!,"A2C4NFGQxjs=")</f>
        <v>#REF!</v>
      </c>
      <c r="BI74" t="e">
        <f>AND(#REF!,"A2C4NFGQxjw=")</f>
        <v>#REF!</v>
      </c>
      <c r="BJ74" t="e">
        <f>AND(#REF!,"A2C4NFGQxj0=")</f>
        <v>#REF!</v>
      </c>
      <c r="BK74" t="e">
        <f>AND(#REF!,"A2C4NFGQxj4=")</f>
        <v>#REF!</v>
      </c>
      <c r="BL74" t="e">
        <f>AND(#REF!,"A2C4NFGQxj8=")</f>
        <v>#REF!</v>
      </c>
      <c r="BM74" t="e">
        <f>AND(#REF!,"A2C4NFGQxkA=")</f>
        <v>#REF!</v>
      </c>
      <c r="BN74" t="e">
        <f>AND(#REF!,"A2C4NFGQxkE=")</f>
        <v>#REF!</v>
      </c>
      <c r="BO74" t="e">
        <f>AND(#REF!,"A2C4NFGQxkI=")</f>
        <v>#REF!</v>
      </c>
      <c r="BP74" t="e">
        <f>AND(#REF!,"A2C4NFGQxkM=")</f>
        <v>#REF!</v>
      </c>
      <c r="BQ74" t="e">
        <f>AND(#REF!,"A2C4NFGQxkQ=")</f>
        <v>#REF!</v>
      </c>
      <c r="BR74" t="e">
        <f>AND(#REF!,"A2C4NFGQxkU=")</f>
        <v>#REF!</v>
      </c>
      <c r="BS74" t="e">
        <f>AND(#REF!,"A2C4NFGQxkY=")</f>
        <v>#REF!</v>
      </c>
      <c r="BT74" t="e">
        <f>AND(#REF!,"A2C4NFGQxkc=")</f>
        <v>#REF!</v>
      </c>
      <c r="BU74" t="e">
        <f>AND(#REF!,"A2C4NFGQxkg=")</f>
        <v>#REF!</v>
      </c>
      <c r="BV74" t="e">
        <f>AND(#REF!,"A2C4NFGQxkk=")</f>
        <v>#REF!</v>
      </c>
      <c r="BW74" t="e">
        <f>AND(#REF!,"A2C4NFGQxko=")</f>
        <v>#REF!</v>
      </c>
      <c r="BX74" t="e">
        <f>AND(#REF!,"A2C4NFGQxks=")</f>
        <v>#REF!</v>
      </c>
      <c r="BY74" t="e">
        <f>AND(#REF!,"A2C4NFGQxkw=")</f>
        <v>#REF!</v>
      </c>
      <c r="BZ74" t="e">
        <f>AND(#REF!,"A2C4NFGQxk0=")</f>
        <v>#REF!</v>
      </c>
      <c r="CA74" t="e">
        <f>AND(#REF!,"A2C4NFGQxk4=")</f>
        <v>#REF!</v>
      </c>
      <c r="CB74" t="e">
        <f>AND(#REF!,"A2C4NFGQxk8=")</f>
        <v>#REF!</v>
      </c>
      <c r="CC74" t="e">
        <f>AND(#REF!,"A2C4NFGQxlA=")</f>
        <v>#REF!</v>
      </c>
      <c r="CD74" t="e">
        <f>AND(#REF!,"A2C4NFGQxlE=")</f>
        <v>#REF!</v>
      </c>
      <c r="CE74" t="e">
        <f>AND(#REF!,"A2C4NFGQxlI=")</f>
        <v>#REF!</v>
      </c>
      <c r="CF74" t="e">
        <f>AND(#REF!,"A2C4NFGQxlM=")</f>
        <v>#REF!</v>
      </c>
      <c r="CG74" t="e">
        <f>AND(#REF!,"A2C4NFGQxlQ=")</f>
        <v>#REF!</v>
      </c>
      <c r="CH74" t="e">
        <f>AND(#REF!,"A2C4NFGQxlU=")</f>
        <v>#REF!</v>
      </c>
      <c r="CI74" t="e">
        <f>AND(#REF!,"A2C4NFGQxlY=")</f>
        <v>#REF!</v>
      </c>
      <c r="CJ74" t="e">
        <f>AND(#REF!,"A2C4NFGQxlc=")</f>
        <v>#REF!</v>
      </c>
      <c r="CK74" t="e">
        <f>AND(#REF!,"A2C4NFGQxlg=")</f>
        <v>#REF!</v>
      </c>
      <c r="CL74" t="e">
        <f>AND(#REF!,"A2C4NFGQxlk=")</f>
        <v>#REF!</v>
      </c>
      <c r="CM74" t="e">
        <f>AND(#REF!,"A2C4NFGQxlo=")</f>
        <v>#REF!</v>
      </c>
      <c r="CN74" t="e">
        <f>AND(#REF!,"A2C4NFGQxls=")</f>
        <v>#REF!</v>
      </c>
      <c r="CO74" t="e">
        <f>AND(#REF!,"A2C4NFGQxlw=")</f>
        <v>#REF!</v>
      </c>
      <c r="CP74" t="e">
        <f>AND(#REF!,"A2C4NFGQxl0=")</f>
        <v>#REF!</v>
      </c>
      <c r="CQ74" t="e">
        <f>AND(#REF!,"A2C4NFGQxl4=")</f>
        <v>#REF!</v>
      </c>
      <c r="CR74" t="e">
        <f>AND(#REF!,"A2C4NFGQxl8=")</f>
        <v>#REF!</v>
      </c>
      <c r="CS74" t="e">
        <f>AND(#REF!,"A2C4NFGQxmA=")</f>
        <v>#REF!</v>
      </c>
      <c r="CT74" t="e">
        <f>AND(#REF!,"A2C4NFGQxmE=")</f>
        <v>#REF!</v>
      </c>
      <c r="CU74" t="e">
        <f>AND(#REF!,"A2C4NFGQxmI=")</f>
        <v>#REF!</v>
      </c>
      <c r="CV74" t="e">
        <f>AND(#REF!,"A2C4NFGQxmM=")</f>
        <v>#REF!</v>
      </c>
      <c r="CW74" t="e">
        <f>AND(#REF!,"A2C4NFGQxmQ=")</f>
        <v>#REF!</v>
      </c>
      <c r="CX74" t="e">
        <f>AND(#REF!,"A2C4NFGQxmU=")</f>
        <v>#REF!</v>
      </c>
      <c r="CY74" t="e">
        <f>AND(#REF!,"A2C4NFGQxmY=")</f>
        <v>#REF!</v>
      </c>
      <c r="CZ74" t="e">
        <f>AND(#REF!,"A2C4NFGQxmc=")</f>
        <v>#REF!</v>
      </c>
      <c r="DA74" t="e">
        <f>AND(#REF!,"A2C4NFGQxmg=")</f>
        <v>#REF!</v>
      </c>
      <c r="DB74" t="e">
        <f>AND(#REF!,"A2C4NFGQxmk=")</f>
        <v>#REF!</v>
      </c>
      <c r="DC74" t="e">
        <f>AND(#REF!,"A2C4NFGQxmo=")</f>
        <v>#REF!</v>
      </c>
      <c r="DD74" t="e">
        <f>AND(#REF!,"A2C4NFGQxms=")</f>
        <v>#REF!</v>
      </c>
      <c r="DE74" t="e">
        <f>AND(#REF!,"A2C4NFGQxmw=")</f>
        <v>#REF!</v>
      </c>
      <c r="DF74" t="e">
        <f>AND(#REF!,"A2C4NFGQxm0=")</f>
        <v>#REF!</v>
      </c>
      <c r="DG74" t="e">
        <f>AND(#REF!,"A2C4NFGQxm4=")</f>
        <v>#REF!</v>
      </c>
      <c r="DH74" t="e">
        <f>AND(#REF!,"A2C4NFGQxm8=")</f>
        <v>#REF!</v>
      </c>
      <c r="DI74" t="e">
        <f>AND(#REF!,"A2C4NFGQxnA=")</f>
        <v>#REF!</v>
      </c>
      <c r="DJ74" t="e">
        <f>AND(#REF!,"A2C4NFGQxnE=")</f>
        <v>#REF!</v>
      </c>
      <c r="DK74" t="e">
        <f>AND(#REF!,"A2C4NFGQxnI=")</f>
        <v>#REF!</v>
      </c>
      <c r="DL74" t="e">
        <f>AND(#REF!,"A2C4NFGQxnM=")</f>
        <v>#REF!</v>
      </c>
      <c r="DM74" t="e">
        <f>AND(#REF!,"A2C4NFGQxnQ=")</f>
        <v>#REF!</v>
      </c>
      <c r="DN74" t="e">
        <f>AND(#REF!,"A2C4NFGQxnU=")</f>
        <v>#REF!</v>
      </c>
      <c r="DO74" t="e">
        <f>AND(#REF!,"A2C4NFGQxnY=")</f>
        <v>#REF!</v>
      </c>
      <c r="DP74" t="e">
        <f>AND(#REF!,"A2C4NFGQxnc=")</f>
        <v>#REF!</v>
      </c>
      <c r="DQ74" t="e">
        <f>AND(#REF!,"A2C4NFGQxng=")</f>
        <v>#REF!</v>
      </c>
      <c r="DR74" t="e">
        <f>AND(#REF!,"A2C4NFGQxnk=")</f>
        <v>#REF!</v>
      </c>
      <c r="DS74" t="e">
        <f>AND(#REF!,"A2C4NFGQxno=")</f>
        <v>#REF!</v>
      </c>
      <c r="DT74" t="e">
        <f>AND(#REF!,"A2C4NFGQxns=")</f>
        <v>#REF!</v>
      </c>
      <c r="DU74" t="e">
        <f>AND(#REF!,"A2C4NFGQxnw=")</f>
        <v>#REF!</v>
      </c>
      <c r="DV74" t="e">
        <f>AND(#REF!,"A2C4NFGQxn0=")</f>
        <v>#REF!</v>
      </c>
      <c r="DW74" t="e">
        <f>AND(#REF!,"A2C4NFGQxn4=")</f>
        <v>#REF!</v>
      </c>
      <c r="DX74" t="e">
        <f>AND(#REF!,"A2C4NFGQxn8=")</f>
        <v>#REF!</v>
      </c>
      <c r="DY74" t="e">
        <f>AND(#REF!,"A2C4NFGQxoA=")</f>
        <v>#REF!</v>
      </c>
      <c r="DZ74" t="e">
        <f>AND(#REF!,"A2C4NFGQxoE=")</f>
        <v>#REF!</v>
      </c>
      <c r="EA74" t="e">
        <f>AND(#REF!,"A2C4NFGQxoI=")</f>
        <v>#REF!</v>
      </c>
      <c r="EB74" t="e">
        <f>AND(#REF!,"A2C4NFGQxoM=")</f>
        <v>#REF!</v>
      </c>
      <c r="EC74" t="e">
        <f>AND(#REF!,"A2C4NFGQxoQ=")</f>
        <v>#REF!</v>
      </c>
      <c r="ED74" t="e">
        <f>AND(#REF!,"A2C4NFGQxoU=")</f>
        <v>#REF!</v>
      </c>
      <c r="EE74" t="e">
        <f>AND(#REF!,"A2C4NFGQxoY=")</f>
        <v>#REF!</v>
      </c>
      <c r="EF74" t="e">
        <f>AND(#REF!,"A2C4NFGQxoc=")</f>
        <v>#REF!</v>
      </c>
      <c r="EG74" t="e">
        <f>AND(#REF!,"A2C4NFGQxog=")</f>
        <v>#REF!</v>
      </c>
      <c r="EH74" t="e">
        <f>AND(#REF!,"A2C4NFGQxok=")</f>
        <v>#REF!</v>
      </c>
      <c r="EI74" t="e">
        <f>AND(#REF!,"A2C4NFGQxoo=")</f>
        <v>#REF!</v>
      </c>
      <c r="EJ74" t="e">
        <f>AND(#REF!,"A2C4NFGQxos=")</f>
        <v>#REF!</v>
      </c>
      <c r="EK74" t="e">
        <f>AND(#REF!,"A2C4NFGQxow=")</f>
        <v>#REF!</v>
      </c>
      <c r="EL74" t="e">
        <f>AND(#REF!,"A2C4NFGQxo0=")</f>
        <v>#REF!</v>
      </c>
      <c r="EM74" t="e">
        <f>AND(#REF!,"A2C4NFGQxo4=")</f>
        <v>#REF!</v>
      </c>
      <c r="EN74" t="e">
        <f>AND(#REF!,"A2C4NFGQxo8=")</f>
        <v>#REF!</v>
      </c>
      <c r="EO74" t="e">
        <f>AND(#REF!,"A2C4NFGQxpA=")</f>
        <v>#REF!</v>
      </c>
      <c r="EP74" t="e">
        <f>AND(#REF!,"A2C4NFGQxpE=")</f>
        <v>#REF!</v>
      </c>
      <c r="EQ74" t="e">
        <f>AND(#REF!,"A2C4NFGQxpI=")</f>
        <v>#REF!</v>
      </c>
      <c r="ER74" t="e">
        <f>AND(#REF!,"A2C4NFGQxpM=")</f>
        <v>#REF!</v>
      </c>
      <c r="ES74" t="e">
        <f>AND(#REF!,"A2C4NFGQxpQ=")</f>
        <v>#REF!</v>
      </c>
      <c r="ET74" t="e">
        <f>AND(#REF!,"A2C4NFGQxpU=")</f>
        <v>#REF!</v>
      </c>
      <c r="EU74" t="e">
        <f>AND(#REF!,"A2C4NFGQxpY=")</f>
        <v>#REF!</v>
      </c>
      <c r="EV74" t="e">
        <f>AND(#REF!,"A2C4NFGQxpc=")</f>
        <v>#REF!</v>
      </c>
      <c r="EW74" t="e">
        <f>AND(#REF!,"A2C4NFGQxpg=")</f>
        <v>#REF!</v>
      </c>
      <c r="EX74" t="e">
        <f>AND(#REF!,"A2C4NFGQxpk=")</f>
        <v>#REF!</v>
      </c>
      <c r="EY74" t="e">
        <f>AND(#REF!,"A2C4NFGQxpo=")</f>
        <v>#REF!</v>
      </c>
      <c r="EZ74" t="e">
        <f>AND(#REF!,"A2C4NFGQxps=")</f>
        <v>#REF!</v>
      </c>
      <c r="FA74" t="e">
        <f>AND(#REF!,"A2C4NFGQxpw=")</f>
        <v>#REF!</v>
      </c>
      <c r="FB74" t="e">
        <f>AND(#REF!,"A2C4NFGQxp0=")</f>
        <v>#REF!</v>
      </c>
      <c r="FC74" t="e">
        <f>AND(#REF!,"A2C4NFGQxp4=")</f>
        <v>#REF!</v>
      </c>
      <c r="FD74" t="e">
        <f>AND(#REF!,"A2C4NFGQxp8=")</f>
        <v>#REF!</v>
      </c>
      <c r="FE74" t="e">
        <f>AND(#REF!,"A2C4NFGQxqA=")</f>
        <v>#REF!</v>
      </c>
      <c r="FF74" t="e">
        <f>AND(#REF!,"A2C4NFGQxqE=")</f>
        <v>#REF!</v>
      </c>
      <c r="FG74" t="e">
        <f>AND(#REF!,"A2C4NFGQxqI=")</f>
        <v>#REF!</v>
      </c>
      <c r="FH74" t="e">
        <f>IF(#REF!,"A2C4NFGQxqM=",0)</f>
        <v>#REF!</v>
      </c>
      <c r="FI74" t="e">
        <f>AND(#REF!,"A2C4NFGQxqQ=")</f>
        <v>#REF!</v>
      </c>
      <c r="FJ74" t="e">
        <f>AND(#REF!,"A2C4NFGQxqU=")</f>
        <v>#REF!</v>
      </c>
      <c r="FK74" t="e">
        <f>AND(#REF!,"A2C4NFGQxqY=")</f>
        <v>#REF!</v>
      </c>
      <c r="FL74" t="e">
        <f>AND(#REF!,"A2C4NFGQxqc=")</f>
        <v>#REF!</v>
      </c>
      <c r="FM74" t="e">
        <f>AND(#REF!,"A2C4NFGQxqg=")</f>
        <v>#REF!</v>
      </c>
      <c r="FN74" t="e">
        <f>AND(#REF!,"A2C4NFGQxqk=")</f>
        <v>#REF!</v>
      </c>
      <c r="FO74" t="e">
        <f>AND(#REF!,"A2C4NFGQxqo=")</f>
        <v>#REF!</v>
      </c>
      <c r="FP74" t="e">
        <f>AND(#REF!,"A2C4NFGQxqs=")</f>
        <v>#REF!</v>
      </c>
      <c r="FQ74" t="e">
        <f>AND(#REF!,"A2C4NFGQxqw=")</f>
        <v>#REF!</v>
      </c>
      <c r="FR74" t="e">
        <f>AND(#REF!,"A2C4NFGQxq0=")</f>
        <v>#REF!</v>
      </c>
      <c r="FS74" t="e">
        <f>AND(#REF!,"A2C4NFGQxq4=")</f>
        <v>#REF!</v>
      </c>
      <c r="FT74" t="e">
        <f>AND(#REF!,"A2C4NFGQxq8=")</f>
        <v>#REF!</v>
      </c>
      <c r="FU74" t="e">
        <f>AND(#REF!,"A2C4NFGQxrA=")</f>
        <v>#REF!</v>
      </c>
      <c r="FV74" t="e">
        <f>AND(#REF!,"A2C4NFGQxrE=")</f>
        <v>#REF!</v>
      </c>
      <c r="FW74" t="e">
        <f>AND(#REF!,"A2C4NFGQxrI=")</f>
        <v>#REF!</v>
      </c>
      <c r="FX74" t="e">
        <f>AND(#REF!,"A2C4NFGQxrM=")</f>
        <v>#REF!</v>
      </c>
      <c r="FY74" t="e">
        <f>AND(#REF!,"A2C4NFGQxrQ=")</f>
        <v>#REF!</v>
      </c>
      <c r="FZ74" t="e">
        <f>AND(#REF!,"A2C4NFGQxrU=")</f>
        <v>#REF!</v>
      </c>
      <c r="GA74" t="e">
        <f>AND(#REF!,"A2C4NFGQxrY=")</f>
        <v>#REF!</v>
      </c>
      <c r="GB74" t="e">
        <f>AND(#REF!,"A2C4NFGQxrc=")</f>
        <v>#REF!</v>
      </c>
      <c r="GC74" t="e">
        <f>AND(#REF!,"A2C4NFGQxrg=")</f>
        <v>#REF!</v>
      </c>
      <c r="GD74" t="e">
        <f>AND(#REF!,"A2C4NFGQxrk=")</f>
        <v>#REF!</v>
      </c>
      <c r="GE74" t="e">
        <f>AND(#REF!,"A2C4NFGQxro=")</f>
        <v>#REF!</v>
      </c>
      <c r="GF74" t="e">
        <f>AND(#REF!,"A2C4NFGQxrs=")</f>
        <v>#REF!</v>
      </c>
      <c r="GG74" t="e">
        <f>AND(#REF!,"A2C4NFGQxrw=")</f>
        <v>#REF!</v>
      </c>
      <c r="GH74" t="e">
        <f>AND(#REF!,"A2C4NFGQxr0=")</f>
        <v>#REF!</v>
      </c>
      <c r="GI74" t="e">
        <f>AND(#REF!,"A2C4NFGQxr4=")</f>
        <v>#REF!</v>
      </c>
      <c r="GJ74" t="e">
        <f>AND(#REF!,"A2C4NFGQxr8=")</f>
        <v>#REF!</v>
      </c>
      <c r="GK74" t="e">
        <f>AND(#REF!,"A2C4NFGQxsA=")</f>
        <v>#REF!</v>
      </c>
      <c r="GL74" t="e">
        <f>AND(#REF!,"A2C4NFGQxsE=")</f>
        <v>#REF!</v>
      </c>
      <c r="GM74" t="e">
        <f>AND(#REF!,"A2C4NFGQxsI=")</f>
        <v>#REF!</v>
      </c>
      <c r="GN74" t="e">
        <f>AND(#REF!,"A2C4NFGQxsM=")</f>
        <v>#REF!</v>
      </c>
      <c r="GO74" t="e">
        <f>AND(#REF!,"A2C4NFGQxsQ=")</f>
        <v>#REF!</v>
      </c>
      <c r="GP74" t="e">
        <f>AND(#REF!,"A2C4NFGQxsU=")</f>
        <v>#REF!</v>
      </c>
      <c r="GQ74" t="e">
        <f>AND(#REF!,"A2C4NFGQxsY=")</f>
        <v>#REF!</v>
      </c>
      <c r="GR74" t="e">
        <f>AND(#REF!,"A2C4NFGQxsc=")</f>
        <v>#REF!</v>
      </c>
      <c r="GS74" t="e">
        <f>AND(#REF!,"A2C4NFGQxsg=")</f>
        <v>#REF!</v>
      </c>
      <c r="GT74" t="e">
        <f>AND(#REF!,"A2C4NFGQxsk=")</f>
        <v>#REF!</v>
      </c>
      <c r="GU74" t="e">
        <f>AND(#REF!,"A2C4NFGQxso=")</f>
        <v>#REF!</v>
      </c>
      <c r="GV74" t="e">
        <f>AND(#REF!,"A2C4NFGQxss=")</f>
        <v>#REF!</v>
      </c>
      <c r="GW74" t="e">
        <f>AND(#REF!,"A2C4NFGQxsw=")</f>
        <v>#REF!</v>
      </c>
      <c r="GX74" t="e">
        <f>AND(#REF!,"A2C4NFGQxs0=")</f>
        <v>#REF!</v>
      </c>
      <c r="GY74" t="e">
        <f>AND(#REF!,"A2C4NFGQxs4=")</f>
        <v>#REF!</v>
      </c>
      <c r="GZ74" t="e">
        <f>AND(#REF!,"A2C4NFGQxs8=")</f>
        <v>#REF!</v>
      </c>
      <c r="HA74" t="e">
        <f>AND(#REF!,"A2C4NFGQxtA=")</f>
        <v>#REF!</v>
      </c>
      <c r="HB74" t="e">
        <f>AND(#REF!,"A2C4NFGQxtE=")</f>
        <v>#REF!</v>
      </c>
      <c r="HC74" t="e">
        <f>AND(#REF!,"A2C4NFGQxtI=")</f>
        <v>#REF!</v>
      </c>
      <c r="HD74" t="e">
        <f>AND(#REF!,"A2C4NFGQxtM=")</f>
        <v>#REF!</v>
      </c>
      <c r="HE74" t="e">
        <f>AND(#REF!,"A2C4NFGQxtQ=")</f>
        <v>#REF!</v>
      </c>
      <c r="HF74" t="e">
        <f>AND(#REF!,"A2C4NFGQxtU=")</f>
        <v>#REF!</v>
      </c>
      <c r="HG74" t="e">
        <f>AND(#REF!,"A2C4NFGQxtY=")</f>
        <v>#REF!</v>
      </c>
      <c r="HH74" t="e">
        <f>AND(#REF!,"A2C4NFGQxtc=")</f>
        <v>#REF!</v>
      </c>
      <c r="HI74" t="e">
        <f>AND(#REF!,"A2C4NFGQxtg=")</f>
        <v>#REF!</v>
      </c>
      <c r="HJ74" t="e">
        <f>AND(#REF!,"A2C4NFGQxtk=")</f>
        <v>#REF!</v>
      </c>
      <c r="HK74" t="e">
        <f>AND(#REF!,"A2C4NFGQxto=")</f>
        <v>#REF!</v>
      </c>
      <c r="HL74" t="e">
        <f>AND(#REF!,"A2C4NFGQxts=")</f>
        <v>#REF!</v>
      </c>
      <c r="HM74" t="e">
        <f>AND(#REF!,"A2C4NFGQxtw=")</f>
        <v>#REF!</v>
      </c>
      <c r="HN74" t="e">
        <f>AND(#REF!,"A2C4NFGQxt0=")</f>
        <v>#REF!</v>
      </c>
      <c r="HO74" t="e">
        <f>AND(#REF!,"A2C4NFGQxt4=")</f>
        <v>#REF!</v>
      </c>
      <c r="HP74" t="e">
        <f>AND(#REF!,"A2C4NFGQxt8=")</f>
        <v>#REF!</v>
      </c>
      <c r="HQ74" t="e">
        <f>AND(#REF!,"A2C4NFGQxuA=")</f>
        <v>#REF!</v>
      </c>
      <c r="HR74" t="e">
        <f>AND(#REF!,"A2C4NFGQxuE=")</f>
        <v>#REF!</v>
      </c>
      <c r="HS74" t="e">
        <f>AND(#REF!,"A2C4NFGQxuI=")</f>
        <v>#REF!</v>
      </c>
      <c r="HT74" t="e">
        <f>AND(#REF!,"A2C4NFGQxuM=")</f>
        <v>#REF!</v>
      </c>
      <c r="HU74" t="e">
        <f>AND(#REF!,"A2C4NFGQxuQ=")</f>
        <v>#REF!</v>
      </c>
      <c r="HV74" t="e">
        <f>AND(#REF!,"A2C4NFGQxuU=")</f>
        <v>#REF!</v>
      </c>
      <c r="HW74" t="e">
        <f>AND(#REF!,"A2C4NFGQxuY=")</f>
        <v>#REF!</v>
      </c>
      <c r="HX74" t="e">
        <f>AND(#REF!,"A2C4NFGQxuc=")</f>
        <v>#REF!</v>
      </c>
      <c r="HY74" t="e">
        <f>AND(#REF!,"A2C4NFGQxug=")</f>
        <v>#REF!</v>
      </c>
      <c r="HZ74" t="e">
        <f>AND(#REF!,"A2C4NFGQxuk=")</f>
        <v>#REF!</v>
      </c>
      <c r="IA74" t="e">
        <f>AND(#REF!,"A2C4NFGQxuo=")</f>
        <v>#REF!</v>
      </c>
      <c r="IB74" t="e">
        <f>AND(#REF!,"A2C4NFGQxus=")</f>
        <v>#REF!</v>
      </c>
      <c r="IC74" t="e">
        <f>AND(#REF!,"A2C4NFGQxuw=")</f>
        <v>#REF!</v>
      </c>
      <c r="ID74" t="e">
        <f>AND(#REF!,"A2C4NFGQxu0=")</f>
        <v>#REF!</v>
      </c>
      <c r="IE74" t="e">
        <f>AND(#REF!,"A2C4NFGQxu4=")</f>
        <v>#REF!</v>
      </c>
      <c r="IF74" t="e">
        <f>AND(#REF!,"A2C4NFGQxu8=")</f>
        <v>#REF!</v>
      </c>
      <c r="IG74" t="e">
        <f>AND(#REF!,"A2C4NFGQxvA=")</f>
        <v>#REF!</v>
      </c>
      <c r="IH74" t="e">
        <f>AND(#REF!,"A2C4NFGQxvE=")</f>
        <v>#REF!</v>
      </c>
      <c r="II74" t="e">
        <f>AND(#REF!,"A2C4NFGQxvI=")</f>
        <v>#REF!</v>
      </c>
      <c r="IJ74" t="e">
        <f>AND(#REF!,"A2C4NFGQxvM=")</f>
        <v>#REF!</v>
      </c>
      <c r="IK74" t="e">
        <f>AND(#REF!,"A2C4NFGQxvQ=")</f>
        <v>#REF!</v>
      </c>
      <c r="IL74" t="e">
        <f>AND(#REF!,"A2C4NFGQxvU=")</f>
        <v>#REF!</v>
      </c>
      <c r="IM74" t="e">
        <f>AND(#REF!,"A2C4NFGQxvY=")</f>
        <v>#REF!</v>
      </c>
      <c r="IN74" t="e">
        <f>AND(#REF!,"A2C4NFGQxvc=")</f>
        <v>#REF!</v>
      </c>
      <c r="IO74" t="e">
        <f>AND(#REF!,"A2C4NFGQxvg=")</f>
        <v>#REF!</v>
      </c>
      <c r="IP74" t="e">
        <f>AND(#REF!,"A2C4NFGQxvk=")</f>
        <v>#REF!</v>
      </c>
      <c r="IQ74" t="e">
        <f>AND(#REF!,"A2C4NFGQxvo=")</f>
        <v>#REF!</v>
      </c>
      <c r="IR74" t="e">
        <f>AND(#REF!,"A2C4NFGQxvs=")</f>
        <v>#REF!</v>
      </c>
      <c r="IS74" t="e">
        <f>AND(#REF!,"A2C4NFGQxvw=")</f>
        <v>#REF!</v>
      </c>
      <c r="IT74" t="e">
        <f>AND(#REF!,"A2C4NFGQxv0=")</f>
        <v>#REF!</v>
      </c>
      <c r="IU74" t="e">
        <f>AND(#REF!,"A2C4NFGQxv4=")</f>
        <v>#REF!</v>
      </c>
      <c r="IV74" t="e">
        <f>AND(#REF!,"A2C4NFGQxv8=")</f>
        <v>#REF!</v>
      </c>
    </row>
    <row r="75" spans="1:256" x14ac:dyDescent="0.2">
      <c r="A75" t="e">
        <f>AND(#REF!,"N/VRgDbj0QA=")</f>
        <v>#REF!</v>
      </c>
      <c r="B75" t="e">
        <f>AND(#REF!,"N/VRgDbj0QE=")</f>
        <v>#REF!</v>
      </c>
      <c r="C75" t="e">
        <f>AND(#REF!,"N/VRgDbj0QI=")</f>
        <v>#REF!</v>
      </c>
      <c r="D75" t="e">
        <f>AND(#REF!,"N/VRgDbj0QM=")</f>
        <v>#REF!</v>
      </c>
      <c r="E75" t="e">
        <f>AND(#REF!,"N/VRgDbj0QQ=")</f>
        <v>#REF!</v>
      </c>
      <c r="F75" t="e">
        <f>AND(#REF!,"N/VRgDbj0QU=")</f>
        <v>#REF!</v>
      </c>
      <c r="G75" t="e">
        <f>AND(#REF!,"N/VRgDbj0QY=")</f>
        <v>#REF!</v>
      </c>
      <c r="H75" t="e">
        <f>AND(#REF!,"N/VRgDbj0Qc=")</f>
        <v>#REF!</v>
      </c>
      <c r="I75" t="e">
        <f>AND(#REF!,"N/VRgDbj0Qg=")</f>
        <v>#REF!</v>
      </c>
      <c r="J75" t="e">
        <f>AND(#REF!,"N/VRgDbj0Qk=")</f>
        <v>#REF!</v>
      </c>
      <c r="K75" t="e">
        <f>AND(#REF!,"N/VRgDbj0Qo=")</f>
        <v>#REF!</v>
      </c>
      <c r="L75" t="e">
        <f>AND(#REF!,"N/VRgDbj0Qs=")</f>
        <v>#REF!</v>
      </c>
      <c r="M75" t="e">
        <f>AND(#REF!,"N/VRgDbj0Qw=")</f>
        <v>#REF!</v>
      </c>
      <c r="N75" t="e">
        <f>AND(#REF!,"N/VRgDbj0Q0=")</f>
        <v>#REF!</v>
      </c>
      <c r="O75" t="e">
        <f>AND(#REF!,"N/VRgDbj0Q4=")</f>
        <v>#REF!</v>
      </c>
      <c r="P75" t="e">
        <f>AND(#REF!,"N/VRgDbj0Q8=")</f>
        <v>#REF!</v>
      </c>
      <c r="Q75" t="e">
        <f>AND(#REF!,"N/VRgDbj0RA=")</f>
        <v>#REF!</v>
      </c>
      <c r="R75" t="e">
        <f>AND(#REF!,"N/VRgDbj0RE=")</f>
        <v>#REF!</v>
      </c>
      <c r="S75" t="e">
        <f>AND(#REF!,"N/VRgDbj0RI=")</f>
        <v>#REF!</v>
      </c>
      <c r="T75" t="e">
        <f>AND(#REF!,"N/VRgDbj0RM=")</f>
        <v>#REF!</v>
      </c>
      <c r="U75" t="e">
        <f>AND(#REF!,"N/VRgDbj0RQ=")</f>
        <v>#REF!</v>
      </c>
      <c r="V75" t="e">
        <f>AND(#REF!,"N/VRgDbj0RU=")</f>
        <v>#REF!</v>
      </c>
      <c r="W75" t="e">
        <f>AND(#REF!,"N/VRgDbj0RY=")</f>
        <v>#REF!</v>
      </c>
      <c r="X75" t="e">
        <f>AND(#REF!,"N/VRgDbj0Rc=")</f>
        <v>#REF!</v>
      </c>
      <c r="Y75" t="e">
        <f>AND(#REF!,"N/VRgDbj0Rg=")</f>
        <v>#REF!</v>
      </c>
      <c r="Z75" t="e">
        <f>AND(#REF!,"N/VRgDbj0Rk=")</f>
        <v>#REF!</v>
      </c>
      <c r="AA75" t="e">
        <f>AND(#REF!,"N/VRgDbj0Ro=")</f>
        <v>#REF!</v>
      </c>
      <c r="AB75" t="e">
        <f>AND(#REF!,"N/VRgDbj0Rs=")</f>
        <v>#REF!</v>
      </c>
      <c r="AC75" t="e">
        <f>AND(#REF!,"N/VRgDbj0Rw=")</f>
        <v>#REF!</v>
      </c>
      <c r="AD75" t="e">
        <f>AND(#REF!,"N/VRgDbj0R0=")</f>
        <v>#REF!</v>
      </c>
      <c r="AE75" t="e">
        <f>AND(#REF!,"N/VRgDbj0R4=")</f>
        <v>#REF!</v>
      </c>
      <c r="AF75" t="e">
        <f>AND(#REF!,"N/VRgDbj0R8=")</f>
        <v>#REF!</v>
      </c>
      <c r="AG75" t="e">
        <f>AND(#REF!,"N/VRgDbj0SA=")</f>
        <v>#REF!</v>
      </c>
      <c r="AH75" t="e">
        <f>AND(#REF!,"N/VRgDbj0SE=")</f>
        <v>#REF!</v>
      </c>
      <c r="AI75" t="e">
        <f>AND(#REF!,"N/VRgDbj0SI=")</f>
        <v>#REF!</v>
      </c>
      <c r="AJ75" t="e">
        <f>AND(#REF!,"N/VRgDbj0SM=")</f>
        <v>#REF!</v>
      </c>
      <c r="AK75" t="e">
        <f>AND(#REF!,"N/VRgDbj0SQ=")</f>
        <v>#REF!</v>
      </c>
      <c r="AL75" t="e">
        <f>AND(#REF!,"N/VRgDbj0SU=")</f>
        <v>#REF!</v>
      </c>
      <c r="AM75" t="e">
        <f>AND(#REF!,"N/VRgDbj0SY=")</f>
        <v>#REF!</v>
      </c>
      <c r="AN75" t="e">
        <f>AND(#REF!,"N/VRgDbj0Sc=")</f>
        <v>#REF!</v>
      </c>
      <c r="AO75" t="e">
        <f>AND(#REF!,"N/VRgDbj0Sg=")</f>
        <v>#REF!</v>
      </c>
      <c r="AP75" t="e">
        <f>AND(#REF!,"N/VRgDbj0Sk=")</f>
        <v>#REF!</v>
      </c>
      <c r="AQ75" t="e">
        <f>AND(#REF!,"N/VRgDbj0So=")</f>
        <v>#REF!</v>
      </c>
      <c r="AR75" t="e">
        <f>AND(#REF!,"N/VRgDbj0Ss=")</f>
        <v>#REF!</v>
      </c>
      <c r="AS75" t="e">
        <f>AND(#REF!,"N/VRgDbj0Sw=")</f>
        <v>#REF!</v>
      </c>
      <c r="AT75" t="e">
        <f>AND(#REF!,"N/VRgDbj0S0=")</f>
        <v>#REF!</v>
      </c>
      <c r="AU75" t="e">
        <f>AND(#REF!,"N/VRgDbj0S4=")</f>
        <v>#REF!</v>
      </c>
      <c r="AV75" t="e">
        <f>AND(#REF!,"N/VRgDbj0S8=")</f>
        <v>#REF!</v>
      </c>
      <c r="AW75" t="e">
        <f>AND(#REF!,"N/VRgDbj0TA=")</f>
        <v>#REF!</v>
      </c>
      <c r="AX75" t="e">
        <f>AND(#REF!,"N/VRgDbj0TE=")</f>
        <v>#REF!</v>
      </c>
      <c r="AY75" t="e">
        <f>AND(#REF!,"N/VRgDbj0TI=")</f>
        <v>#REF!</v>
      </c>
      <c r="AZ75" t="e">
        <f>AND(#REF!,"N/VRgDbj0TM=")</f>
        <v>#REF!</v>
      </c>
      <c r="BA75" t="e">
        <f>AND(#REF!,"N/VRgDbj0TQ=")</f>
        <v>#REF!</v>
      </c>
      <c r="BB75" t="e">
        <f>AND(#REF!,"N/VRgDbj0TU=")</f>
        <v>#REF!</v>
      </c>
      <c r="BC75" t="e">
        <f>AND(#REF!,"N/VRgDbj0TY=")</f>
        <v>#REF!</v>
      </c>
      <c r="BD75" t="e">
        <f>AND(#REF!,"N/VRgDbj0Tc=")</f>
        <v>#REF!</v>
      </c>
      <c r="BE75" t="e">
        <f>AND(#REF!,"N/VRgDbj0Tg=")</f>
        <v>#REF!</v>
      </c>
      <c r="BF75" t="e">
        <f>AND(#REF!,"N/VRgDbj0Tk=")</f>
        <v>#REF!</v>
      </c>
      <c r="BG75" t="e">
        <f>AND(#REF!,"N/VRgDbj0To=")</f>
        <v>#REF!</v>
      </c>
      <c r="BH75" t="e">
        <f>AND(#REF!,"N/VRgDbj0Ts=")</f>
        <v>#REF!</v>
      </c>
      <c r="BI75" t="e">
        <f>AND(#REF!,"N/VRgDbj0Tw=")</f>
        <v>#REF!</v>
      </c>
      <c r="BJ75" t="e">
        <f>AND(#REF!,"N/VRgDbj0T0=")</f>
        <v>#REF!</v>
      </c>
      <c r="BK75" t="e">
        <f>AND(#REF!,"N/VRgDbj0T4=")</f>
        <v>#REF!</v>
      </c>
      <c r="BL75" t="e">
        <f>AND(#REF!,"N/VRgDbj0T8=")</f>
        <v>#REF!</v>
      </c>
      <c r="BM75" t="e">
        <f>AND(#REF!,"N/VRgDbj0UA=")</f>
        <v>#REF!</v>
      </c>
      <c r="BN75" t="e">
        <f>AND(#REF!,"N/VRgDbj0UE=")</f>
        <v>#REF!</v>
      </c>
      <c r="BO75" t="e">
        <f>AND(#REF!,"N/VRgDbj0UI=")</f>
        <v>#REF!</v>
      </c>
      <c r="BP75" t="e">
        <f>AND(#REF!,"N/VRgDbj0UM=")</f>
        <v>#REF!</v>
      </c>
      <c r="BQ75" t="e">
        <f>AND(#REF!,"N/VRgDbj0UQ=")</f>
        <v>#REF!</v>
      </c>
      <c r="BR75" t="e">
        <f>AND(#REF!,"N/VRgDbj0UU=")</f>
        <v>#REF!</v>
      </c>
      <c r="BS75" t="e">
        <f>AND(#REF!,"N/VRgDbj0UY=")</f>
        <v>#REF!</v>
      </c>
      <c r="BT75" t="e">
        <f>AND(#REF!,"N/VRgDbj0Uc=")</f>
        <v>#REF!</v>
      </c>
      <c r="BU75" t="e">
        <f>AND(#REF!,"N/VRgDbj0Ug=")</f>
        <v>#REF!</v>
      </c>
      <c r="BV75" t="e">
        <f>AND(#REF!,"N/VRgDbj0Uk=")</f>
        <v>#REF!</v>
      </c>
      <c r="BW75" t="e">
        <f>AND(#REF!,"N/VRgDbj0Uo=")</f>
        <v>#REF!</v>
      </c>
      <c r="BX75" t="e">
        <f>AND(#REF!,"N/VRgDbj0Us=")</f>
        <v>#REF!</v>
      </c>
      <c r="BY75" t="e">
        <f>AND(#REF!,"N/VRgDbj0Uw=")</f>
        <v>#REF!</v>
      </c>
      <c r="BZ75" t="e">
        <f>AND(#REF!,"N/VRgDbj0U0=")</f>
        <v>#REF!</v>
      </c>
      <c r="CA75" t="e">
        <f>AND(#REF!,"N/VRgDbj0U4=")</f>
        <v>#REF!</v>
      </c>
      <c r="CB75" t="e">
        <f>AND(#REF!,"N/VRgDbj0U8=")</f>
        <v>#REF!</v>
      </c>
      <c r="CC75" t="e">
        <f>AND(#REF!,"N/VRgDbj0VA=")</f>
        <v>#REF!</v>
      </c>
      <c r="CD75" t="e">
        <f>AND(#REF!,"N/VRgDbj0VE=")</f>
        <v>#REF!</v>
      </c>
      <c r="CE75" t="e">
        <f>AND(#REF!,"N/VRgDbj0VI=")</f>
        <v>#REF!</v>
      </c>
      <c r="CF75" t="e">
        <f>AND(#REF!,"N/VRgDbj0VM=")</f>
        <v>#REF!</v>
      </c>
      <c r="CG75" t="e">
        <f>AND(#REF!,"N/VRgDbj0VQ=")</f>
        <v>#REF!</v>
      </c>
      <c r="CH75" t="e">
        <f>AND(#REF!,"N/VRgDbj0VU=")</f>
        <v>#REF!</v>
      </c>
      <c r="CI75" t="e">
        <f>AND(#REF!,"N/VRgDbj0VY=")</f>
        <v>#REF!</v>
      </c>
      <c r="CJ75" t="e">
        <f>AND(#REF!,"N/VRgDbj0Vc=")</f>
        <v>#REF!</v>
      </c>
      <c r="CK75" t="e">
        <f>AND(#REF!,"N/VRgDbj0Vg=")</f>
        <v>#REF!</v>
      </c>
      <c r="CL75" t="e">
        <f>AND(#REF!,"N/VRgDbj0Vk=")</f>
        <v>#REF!</v>
      </c>
      <c r="CM75" t="e">
        <f>AND(#REF!,"N/VRgDbj0Vo=")</f>
        <v>#REF!</v>
      </c>
      <c r="CN75" t="e">
        <f>AND(#REF!,"N/VRgDbj0Vs=")</f>
        <v>#REF!</v>
      </c>
      <c r="CO75" t="e">
        <f>AND(#REF!,"N/VRgDbj0Vw=")</f>
        <v>#REF!</v>
      </c>
      <c r="CP75" t="e">
        <f>AND(#REF!,"N/VRgDbj0V0=")</f>
        <v>#REF!</v>
      </c>
      <c r="CQ75" t="e">
        <f>AND(#REF!,"N/VRgDbj0V4=")</f>
        <v>#REF!</v>
      </c>
      <c r="CR75" t="e">
        <f>AND(#REF!,"N/VRgDbj0V8=")</f>
        <v>#REF!</v>
      </c>
      <c r="CS75" t="e">
        <f>AND(#REF!,"N/VRgDbj0WA=")</f>
        <v>#REF!</v>
      </c>
      <c r="CT75" t="e">
        <f>AND(#REF!,"N/VRgDbj0WE=")</f>
        <v>#REF!</v>
      </c>
      <c r="CU75" t="e">
        <f>AND(#REF!,"N/VRgDbj0WI=")</f>
        <v>#REF!</v>
      </c>
      <c r="CV75" t="e">
        <f>AND(#REF!,"N/VRgDbj0WM=")</f>
        <v>#REF!</v>
      </c>
      <c r="CW75" t="e">
        <f>AND(#REF!,"N/VRgDbj0WQ=")</f>
        <v>#REF!</v>
      </c>
      <c r="CX75" t="e">
        <f>AND(#REF!,"N/VRgDbj0WU=")</f>
        <v>#REF!</v>
      </c>
      <c r="CY75" t="e">
        <f>AND(#REF!,"N/VRgDbj0WY=")</f>
        <v>#REF!</v>
      </c>
      <c r="CZ75" t="e">
        <f>AND(#REF!,"N/VRgDbj0Wc=")</f>
        <v>#REF!</v>
      </c>
      <c r="DA75" t="e">
        <f>AND(#REF!,"N/VRgDbj0Wg=")</f>
        <v>#REF!</v>
      </c>
      <c r="DB75" t="e">
        <f>AND(#REF!,"N/VRgDbj0Wk=")</f>
        <v>#REF!</v>
      </c>
      <c r="DC75" t="e">
        <f>IF(#REF!,"N/VRgDbj0Wo=",0)</f>
        <v>#REF!</v>
      </c>
      <c r="DD75" t="e">
        <f>AND(#REF!,"N/VRgDbj0Ws=")</f>
        <v>#REF!</v>
      </c>
      <c r="DE75" t="e">
        <f>AND(#REF!,"N/VRgDbj0Ww=")</f>
        <v>#REF!</v>
      </c>
      <c r="DF75" t="e">
        <f>AND(#REF!,"N/VRgDbj0W0=")</f>
        <v>#REF!</v>
      </c>
      <c r="DG75" t="e">
        <f>AND(#REF!,"N/VRgDbj0W4=")</f>
        <v>#REF!</v>
      </c>
      <c r="DH75" t="e">
        <f>AND(#REF!,"N/VRgDbj0W8=")</f>
        <v>#REF!</v>
      </c>
      <c r="DI75" t="e">
        <f>AND(#REF!,"N/VRgDbj0XA=")</f>
        <v>#REF!</v>
      </c>
      <c r="DJ75" t="e">
        <f>AND(#REF!,"N/VRgDbj0XE=")</f>
        <v>#REF!</v>
      </c>
      <c r="DK75" t="e">
        <f>AND(#REF!,"N/VRgDbj0XI=")</f>
        <v>#REF!</v>
      </c>
      <c r="DL75" t="e">
        <f>AND(#REF!,"N/VRgDbj0XM=")</f>
        <v>#REF!</v>
      </c>
      <c r="DM75" t="e">
        <f>AND(#REF!,"N/VRgDbj0XQ=")</f>
        <v>#REF!</v>
      </c>
      <c r="DN75" t="e">
        <f>AND(#REF!,"N/VRgDbj0XU=")</f>
        <v>#REF!</v>
      </c>
      <c r="DO75" t="e">
        <f>AND(#REF!,"N/VRgDbj0XY=")</f>
        <v>#REF!</v>
      </c>
      <c r="DP75" t="e">
        <f>AND(#REF!,"N/VRgDbj0Xc=")</f>
        <v>#REF!</v>
      </c>
      <c r="DQ75" t="e">
        <f>AND(#REF!,"N/VRgDbj0Xg=")</f>
        <v>#REF!</v>
      </c>
      <c r="DR75" t="e">
        <f>AND(#REF!,"N/VRgDbj0Xk=")</f>
        <v>#REF!</v>
      </c>
      <c r="DS75" t="e">
        <f>AND(#REF!,"N/VRgDbj0Xo=")</f>
        <v>#REF!</v>
      </c>
      <c r="DT75" t="e">
        <f>AND(#REF!,"N/VRgDbj0Xs=")</f>
        <v>#REF!</v>
      </c>
      <c r="DU75" t="e">
        <f>AND(#REF!,"N/VRgDbj0Xw=")</f>
        <v>#REF!</v>
      </c>
      <c r="DV75" t="e">
        <f>AND(#REF!,"N/VRgDbj0X0=")</f>
        <v>#REF!</v>
      </c>
      <c r="DW75" t="e">
        <f>AND(#REF!,"N/VRgDbj0X4=")</f>
        <v>#REF!</v>
      </c>
      <c r="DX75" t="e">
        <f>AND(#REF!,"N/VRgDbj0X8=")</f>
        <v>#REF!</v>
      </c>
      <c r="DY75" t="e">
        <f>AND(#REF!,"N/VRgDbj0YA=")</f>
        <v>#REF!</v>
      </c>
      <c r="DZ75" t="e">
        <f>AND(#REF!,"N/VRgDbj0YE=")</f>
        <v>#REF!</v>
      </c>
      <c r="EA75" t="e">
        <f>AND(#REF!,"N/VRgDbj0YI=")</f>
        <v>#REF!</v>
      </c>
      <c r="EB75" t="e">
        <f>AND(#REF!,"N/VRgDbj0YM=")</f>
        <v>#REF!</v>
      </c>
      <c r="EC75" t="e">
        <f>AND(#REF!,"N/VRgDbj0YQ=")</f>
        <v>#REF!</v>
      </c>
      <c r="ED75" t="e">
        <f>AND(#REF!,"N/VRgDbj0YU=")</f>
        <v>#REF!</v>
      </c>
      <c r="EE75" t="e">
        <f>AND(#REF!,"N/VRgDbj0YY=")</f>
        <v>#REF!</v>
      </c>
      <c r="EF75" t="e">
        <f>AND(#REF!,"N/VRgDbj0Yc=")</f>
        <v>#REF!</v>
      </c>
      <c r="EG75" t="e">
        <f>AND(#REF!,"N/VRgDbj0Yg=")</f>
        <v>#REF!</v>
      </c>
      <c r="EH75" t="e">
        <f>AND(#REF!,"N/VRgDbj0Yk=")</f>
        <v>#REF!</v>
      </c>
      <c r="EI75" t="e">
        <f>AND(#REF!,"N/VRgDbj0Yo=")</f>
        <v>#REF!</v>
      </c>
      <c r="EJ75" t="e">
        <f>AND(#REF!,"N/VRgDbj0Ys=")</f>
        <v>#REF!</v>
      </c>
      <c r="EK75" t="e">
        <f>AND(#REF!,"N/VRgDbj0Yw=")</f>
        <v>#REF!</v>
      </c>
      <c r="EL75" t="e">
        <f>AND(#REF!,"N/VRgDbj0Y0=")</f>
        <v>#REF!</v>
      </c>
      <c r="EM75" t="e">
        <f>AND(#REF!,"N/VRgDbj0Y4=")</f>
        <v>#REF!</v>
      </c>
      <c r="EN75" t="e">
        <f>AND(#REF!,"N/VRgDbj0Y8=")</f>
        <v>#REF!</v>
      </c>
      <c r="EO75" t="e">
        <f>AND(#REF!,"N/VRgDbj0ZA=")</f>
        <v>#REF!</v>
      </c>
      <c r="EP75" t="e">
        <f>AND(#REF!,"N/VRgDbj0ZE=")</f>
        <v>#REF!</v>
      </c>
      <c r="EQ75" t="e">
        <f>AND(#REF!,"N/VRgDbj0ZI=")</f>
        <v>#REF!</v>
      </c>
      <c r="ER75" t="e">
        <f>AND(#REF!,"N/VRgDbj0ZM=")</f>
        <v>#REF!</v>
      </c>
      <c r="ES75" t="e">
        <f>AND(#REF!,"N/VRgDbj0ZQ=")</f>
        <v>#REF!</v>
      </c>
      <c r="ET75" t="e">
        <f>AND(#REF!,"N/VRgDbj0ZU=")</f>
        <v>#REF!</v>
      </c>
      <c r="EU75" t="e">
        <f>AND(#REF!,"N/VRgDbj0ZY=")</f>
        <v>#REF!</v>
      </c>
      <c r="EV75" t="e">
        <f>AND(#REF!,"N/VRgDbj0Zc=")</f>
        <v>#REF!</v>
      </c>
      <c r="EW75" t="e">
        <f>AND(#REF!,"N/VRgDbj0Zg=")</f>
        <v>#REF!</v>
      </c>
      <c r="EX75" t="e">
        <f>AND(#REF!,"N/VRgDbj0Zk=")</f>
        <v>#REF!</v>
      </c>
      <c r="EY75" t="e">
        <f>AND(#REF!,"N/VRgDbj0Zo=")</f>
        <v>#REF!</v>
      </c>
      <c r="EZ75" t="e">
        <f>AND(#REF!,"N/VRgDbj0Zs=")</f>
        <v>#REF!</v>
      </c>
      <c r="FA75" t="e">
        <f>AND(#REF!,"N/VRgDbj0Zw=")</f>
        <v>#REF!</v>
      </c>
      <c r="FB75" t="e">
        <f>AND(#REF!,"N/VRgDbj0Z0=")</f>
        <v>#REF!</v>
      </c>
      <c r="FC75" t="e">
        <f>AND(#REF!,"N/VRgDbj0Z4=")</f>
        <v>#REF!</v>
      </c>
      <c r="FD75" t="e">
        <f>AND(#REF!,"N/VRgDbj0Z8=")</f>
        <v>#REF!</v>
      </c>
      <c r="FE75" t="e">
        <f>AND(#REF!,"N/VRgDbj0aA=")</f>
        <v>#REF!</v>
      </c>
      <c r="FF75" t="e">
        <f>AND(#REF!,"N/VRgDbj0aE=")</f>
        <v>#REF!</v>
      </c>
      <c r="FG75" t="e">
        <f>AND(#REF!,"N/VRgDbj0aI=")</f>
        <v>#REF!</v>
      </c>
      <c r="FH75" t="e">
        <f>AND(#REF!,"N/VRgDbj0aM=")</f>
        <v>#REF!</v>
      </c>
      <c r="FI75" t="e">
        <f>AND(#REF!,"N/VRgDbj0aQ=")</f>
        <v>#REF!</v>
      </c>
      <c r="FJ75" t="e">
        <f>AND(#REF!,"N/VRgDbj0aU=")</f>
        <v>#REF!</v>
      </c>
      <c r="FK75" t="e">
        <f>AND(#REF!,"N/VRgDbj0aY=")</f>
        <v>#REF!</v>
      </c>
      <c r="FL75" t="e">
        <f>AND(#REF!,"N/VRgDbj0ac=")</f>
        <v>#REF!</v>
      </c>
      <c r="FM75" t="e">
        <f>AND(#REF!,"N/VRgDbj0ag=")</f>
        <v>#REF!</v>
      </c>
      <c r="FN75" t="e">
        <f>AND(#REF!,"N/VRgDbj0ak=")</f>
        <v>#REF!</v>
      </c>
      <c r="FO75" t="e">
        <f>AND(#REF!,"N/VRgDbj0ao=")</f>
        <v>#REF!</v>
      </c>
      <c r="FP75" t="e">
        <f>AND(#REF!,"N/VRgDbj0as=")</f>
        <v>#REF!</v>
      </c>
      <c r="FQ75" t="e">
        <f>AND(#REF!,"N/VRgDbj0aw=")</f>
        <v>#REF!</v>
      </c>
      <c r="FR75" t="e">
        <f>AND(#REF!,"N/VRgDbj0a0=")</f>
        <v>#REF!</v>
      </c>
      <c r="FS75" t="e">
        <f>AND(#REF!,"N/VRgDbj0a4=")</f>
        <v>#REF!</v>
      </c>
      <c r="FT75" t="e">
        <f>AND(#REF!,"N/VRgDbj0a8=")</f>
        <v>#REF!</v>
      </c>
      <c r="FU75" t="e">
        <f>AND(#REF!,"N/VRgDbj0bA=")</f>
        <v>#REF!</v>
      </c>
      <c r="FV75" t="e">
        <f>AND(#REF!,"N/VRgDbj0bE=")</f>
        <v>#REF!</v>
      </c>
      <c r="FW75" t="e">
        <f>AND(#REF!,"N/VRgDbj0bI=")</f>
        <v>#REF!</v>
      </c>
      <c r="FX75" t="e">
        <f>AND(#REF!,"N/VRgDbj0bM=")</f>
        <v>#REF!</v>
      </c>
      <c r="FY75" t="e">
        <f>AND(#REF!,"N/VRgDbj0bQ=")</f>
        <v>#REF!</v>
      </c>
      <c r="FZ75" t="e">
        <f>AND(#REF!,"N/VRgDbj0bU=")</f>
        <v>#REF!</v>
      </c>
      <c r="GA75" t="e">
        <f>AND(#REF!,"N/VRgDbj0bY=")</f>
        <v>#REF!</v>
      </c>
      <c r="GB75" t="e">
        <f>AND(#REF!,"N/VRgDbj0bc=")</f>
        <v>#REF!</v>
      </c>
      <c r="GC75" t="e">
        <f>AND(#REF!,"N/VRgDbj0bg=")</f>
        <v>#REF!</v>
      </c>
      <c r="GD75" t="e">
        <f>AND(#REF!,"N/VRgDbj0bk=")</f>
        <v>#REF!</v>
      </c>
      <c r="GE75" t="e">
        <f>AND(#REF!,"N/VRgDbj0bo=")</f>
        <v>#REF!</v>
      </c>
      <c r="GF75" t="e">
        <f>AND(#REF!,"N/VRgDbj0bs=")</f>
        <v>#REF!</v>
      </c>
      <c r="GG75" t="e">
        <f>AND(#REF!,"N/VRgDbj0bw=")</f>
        <v>#REF!</v>
      </c>
      <c r="GH75" t="e">
        <f>AND(#REF!,"N/VRgDbj0b0=")</f>
        <v>#REF!</v>
      </c>
      <c r="GI75" t="e">
        <f>AND(#REF!,"N/VRgDbj0b4=")</f>
        <v>#REF!</v>
      </c>
      <c r="GJ75" t="e">
        <f>AND(#REF!,"N/VRgDbj0b8=")</f>
        <v>#REF!</v>
      </c>
      <c r="GK75" t="e">
        <f>AND(#REF!,"N/VRgDbj0cA=")</f>
        <v>#REF!</v>
      </c>
      <c r="GL75" t="e">
        <f>AND(#REF!,"N/VRgDbj0cE=")</f>
        <v>#REF!</v>
      </c>
      <c r="GM75" t="e">
        <f>AND(#REF!,"N/VRgDbj0cI=")</f>
        <v>#REF!</v>
      </c>
      <c r="GN75" t="e">
        <f>AND(#REF!,"N/VRgDbj0cM=")</f>
        <v>#REF!</v>
      </c>
      <c r="GO75" t="e">
        <f>AND(#REF!,"N/VRgDbj0cQ=")</f>
        <v>#REF!</v>
      </c>
      <c r="GP75" t="e">
        <f>AND(#REF!,"N/VRgDbj0cU=")</f>
        <v>#REF!</v>
      </c>
      <c r="GQ75" t="e">
        <f>AND(#REF!,"N/VRgDbj0cY=")</f>
        <v>#REF!</v>
      </c>
      <c r="GR75" t="e">
        <f>AND(#REF!,"N/VRgDbj0cc=")</f>
        <v>#REF!</v>
      </c>
      <c r="GS75" t="e">
        <f>AND(#REF!,"N/VRgDbj0cg=")</f>
        <v>#REF!</v>
      </c>
      <c r="GT75" t="e">
        <f>AND(#REF!,"N/VRgDbj0ck=")</f>
        <v>#REF!</v>
      </c>
      <c r="GU75" t="e">
        <f>AND(#REF!,"N/VRgDbj0co=")</f>
        <v>#REF!</v>
      </c>
      <c r="GV75" t="e">
        <f>AND(#REF!,"N/VRgDbj0cs=")</f>
        <v>#REF!</v>
      </c>
      <c r="GW75" t="e">
        <f>AND(#REF!,"N/VRgDbj0cw=")</f>
        <v>#REF!</v>
      </c>
      <c r="GX75" t="e">
        <f>AND(#REF!,"N/VRgDbj0c0=")</f>
        <v>#REF!</v>
      </c>
      <c r="GY75" t="e">
        <f>AND(#REF!,"N/VRgDbj0c4=")</f>
        <v>#REF!</v>
      </c>
      <c r="GZ75" t="e">
        <f>AND(#REF!,"N/VRgDbj0c8=")</f>
        <v>#REF!</v>
      </c>
      <c r="HA75" t="e">
        <f>AND(#REF!,"N/VRgDbj0dA=")</f>
        <v>#REF!</v>
      </c>
      <c r="HB75" t="e">
        <f>AND(#REF!,"N/VRgDbj0dE=")</f>
        <v>#REF!</v>
      </c>
      <c r="HC75" t="e">
        <f>AND(#REF!,"N/VRgDbj0dI=")</f>
        <v>#REF!</v>
      </c>
      <c r="HD75" t="e">
        <f>AND(#REF!,"N/VRgDbj0dM=")</f>
        <v>#REF!</v>
      </c>
      <c r="HE75" t="e">
        <f>AND(#REF!,"N/VRgDbj0dQ=")</f>
        <v>#REF!</v>
      </c>
      <c r="HF75" t="e">
        <f>AND(#REF!,"N/VRgDbj0dU=")</f>
        <v>#REF!</v>
      </c>
      <c r="HG75" t="e">
        <f>AND(#REF!,"N/VRgDbj0dY=")</f>
        <v>#REF!</v>
      </c>
      <c r="HH75" t="e">
        <f>AND(#REF!,"N/VRgDbj0dc=")</f>
        <v>#REF!</v>
      </c>
      <c r="HI75" t="e">
        <f>AND(#REF!,"N/VRgDbj0dg=")</f>
        <v>#REF!</v>
      </c>
      <c r="HJ75" t="e">
        <f>AND(#REF!,"N/VRgDbj0dk=")</f>
        <v>#REF!</v>
      </c>
      <c r="HK75" t="e">
        <f>AND(#REF!,"N/VRgDbj0do=")</f>
        <v>#REF!</v>
      </c>
      <c r="HL75" t="e">
        <f>AND(#REF!,"N/VRgDbj0ds=")</f>
        <v>#REF!</v>
      </c>
      <c r="HM75" t="e">
        <f>AND(#REF!,"N/VRgDbj0dw=")</f>
        <v>#REF!</v>
      </c>
      <c r="HN75" t="e">
        <f>AND(#REF!,"N/VRgDbj0d0=")</f>
        <v>#REF!</v>
      </c>
      <c r="HO75" t="e">
        <f>AND(#REF!,"N/VRgDbj0d4=")</f>
        <v>#REF!</v>
      </c>
      <c r="HP75" t="e">
        <f>AND(#REF!,"N/VRgDbj0d8=")</f>
        <v>#REF!</v>
      </c>
      <c r="HQ75" t="e">
        <f>AND(#REF!,"N/VRgDbj0eA=")</f>
        <v>#REF!</v>
      </c>
      <c r="HR75" t="e">
        <f>AND(#REF!,"N/VRgDbj0eE=")</f>
        <v>#REF!</v>
      </c>
      <c r="HS75" t="e">
        <f>AND(#REF!,"N/VRgDbj0eI=")</f>
        <v>#REF!</v>
      </c>
      <c r="HT75" t="e">
        <f>AND(#REF!,"N/VRgDbj0eM=")</f>
        <v>#REF!</v>
      </c>
      <c r="HU75" t="e">
        <f>AND(#REF!,"N/VRgDbj0eQ=")</f>
        <v>#REF!</v>
      </c>
      <c r="HV75" t="e">
        <f>AND(#REF!,"N/VRgDbj0eU=")</f>
        <v>#REF!</v>
      </c>
      <c r="HW75" t="e">
        <f>AND(#REF!,"N/VRgDbj0eY=")</f>
        <v>#REF!</v>
      </c>
      <c r="HX75" t="e">
        <f>AND(#REF!,"N/VRgDbj0ec=")</f>
        <v>#REF!</v>
      </c>
      <c r="HY75" t="e">
        <f>AND(#REF!,"N/VRgDbj0eg=")</f>
        <v>#REF!</v>
      </c>
      <c r="HZ75" t="e">
        <f>AND(#REF!,"N/VRgDbj0ek=")</f>
        <v>#REF!</v>
      </c>
      <c r="IA75" t="e">
        <f>AND(#REF!,"N/VRgDbj0eo=")</f>
        <v>#REF!</v>
      </c>
      <c r="IB75" t="e">
        <f>AND(#REF!,"N/VRgDbj0es=")</f>
        <v>#REF!</v>
      </c>
      <c r="IC75" t="e">
        <f>AND(#REF!,"N/VRgDbj0ew=")</f>
        <v>#REF!</v>
      </c>
      <c r="ID75" t="e">
        <f>AND(#REF!,"N/VRgDbj0e0=")</f>
        <v>#REF!</v>
      </c>
      <c r="IE75" t="e">
        <f>AND(#REF!,"N/VRgDbj0e4=")</f>
        <v>#REF!</v>
      </c>
      <c r="IF75" t="e">
        <f>AND(#REF!,"N/VRgDbj0e8=")</f>
        <v>#REF!</v>
      </c>
      <c r="IG75" t="e">
        <f>AND(#REF!,"N/VRgDbj0fA=")</f>
        <v>#REF!</v>
      </c>
      <c r="IH75" t="e">
        <f>AND(#REF!,"N/VRgDbj0fE=")</f>
        <v>#REF!</v>
      </c>
      <c r="II75" t="e">
        <f>AND(#REF!,"N/VRgDbj0fI=")</f>
        <v>#REF!</v>
      </c>
      <c r="IJ75" t="e">
        <f>AND(#REF!,"N/VRgDbj0fM=")</f>
        <v>#REF!</v>
      </c>
      <c r="IK75" t="e">
        <f>AND(#REF!,"N/VRgDbj0fQ=")</f>
        <v>#REF!</v>
      </c>
      <c r="IL75" t="e">
        <f>AND(#REF!,"N/VRgDbj0fU=")</f>
        <v>#REF!</v>
      </c>
      <c r="IM75" t="e">
        <f>AND(#REF!,"N/VRgDbj0fY=")</f>
        <v>#REF!</v>
      </c>
      <c r="IN75" t="e">
        <f>AND(#REF!,"N/VRgDbj0fc=")</f>
        <v>#REF!</v>
      </c>
      <c r="IO75" t="e">
        <f>AND(#REF!,"N/VRgDbj0fg=")</f>
        <v>#REF!</v>
      </c>
      <c r="IP75" t="e">
        <f>AND(#REF!,"N/VRgDbj0fk=")</f>
        <v>#REF!</v>
      </c>
      <c r="IQ75" t="e">
        <f>AND(#REF!,"N/VRgDbj0fo=")</f>
        <v>#REF!</v>
      </c>
      <c r="IR75" t="e">
        <f>AND(#REF!,"N/VRgDbj0fs=")</f>
        <v>#REF!</v>
      </c>
      <c r="IS75" t="e">
        <f>AND(#REF!,"N/VRgDbj0fw=")</f>
        <v>#REF!</v>
      </c>
      <c r="IT75" t="e">
        <f>AND(#REF!,"N/VRgDbj0f0=")</f>
        <v>#REF!</v>
      </c>
      <c r="IU75" t="e">
        <f>AND(#REF!,"N/VRgDbj0f4=")</f>
        <v>#REF!</v>
      </c>
      <c r="IV75" t="e">
        <f>AND(#REF!,"N/VRgDbj0f8=")</f>
        <v>#REF!</v>
      </c>
    </row>
    <row r="76" spans="1:256" x14ac:dyDescent="0.2">
      <c r="A76" t="e">
        <f>AND(#REF!,"dD9jSF3NqQA=")</f>
        <v>#REF!</v>
      </c>
      <c r="B76" t="e">
        <f>AND(#REF!,"dD9jSF3NqQE=")</f>
        <v>#REF!</v>
      </c>
      <c r="C76" t="e">
        <f>AND(#REF!,"dD9jSF3NqQI=")</f>
        <v>#REF!</v>
      </c>
      <c r="D76" t="e">
        <f>AND(#REF!,"dD9jSF3NqQM=")</f>
        <v>#REF!</v>
      </c>
      <c r="E76" t="e">
        <f>AND(#REF!,"dD9jSF3NqQQ=")</f>
        <v>#REF!</v>
      </c>
      <c r="F76" t="e">
        <f>AND(#REF!,"dD9jSF3NqQU=")</f>
        <v>#REF!</v>
      </c>
      <c r="G76" t="e">
        <f>AND(#REF!,"dD9jSF3NqQY=")</f>
        <v>#REF!</v>
      </c>
      <c r="H76" t="e">
        <f>AND(#REF!,"dD9jSF3NqQc=")</f>
        <v>#REF!</v>
      </c>
      <c r="I76" t="e">
        <f>AND(#REF!,"dD9jSF3NqQg=")</f>
        <v>#REF!</v>
      </c>
      <c r="J76" t="e">
        <f>AND(#REF!,"dD9jSF3NqQk=")</f>
        <v>#REF!</v>
      </c>
      <c r="K76" t="e">
        <f>AND(#REF!,"dD9jSF3NqQo=")</f>
        <v>#REF!</v>
      </c>
      <c r="L76" t="e">
        <f>AND(#REF!,"dD9jSF3NqQs=")</f>
        <v>#REF!</v>
      </c>
      <c r="M76" t="e">
        <f>AND(#REF!,"dD9jSF3NqQw=")</f>
        <v>#REF!</v>
      </c>
      <c r="N76" t="e">
        <f>AND(#REF!,"dD9jSF3NqQ0=")</f>
        <v>#REF!</v>
      </c>
      <c r="O76" t="e">
        <f>AND(#REF!,"dD9jSF3NqQ4=")</f>
        <v>#REF!</v>
      </c>
      <c r="P76" t="e">
        <f>AND(#REF!,"dD9jSF3NqQ8=")</f>
        <v>#REF!</v>
      </c>
      <c r="Q76" t="e">
        <f>AND(#REF!,"dD9jSF3NqRA=")</f>
        <v>#REF!</v>
      </c>
      <c r="R76" t="e">
        <f>AND(#REF!,"dD9jSF3NqRE=")</f>
        <v>#REF!</v>
      </c>
      <c r="S76" t="e">
        <f>AND(#REF!,"dD9jSF3NqRI=")</f>
        <v>#REF!</v>
      </c>
      <c r="T76" t="e">
        <f>AND(#REF!,"dD9jSF3NqRM=")</f>
        <v>#REF!</v>
      </c>
      <c r="U76" t="e">
        <f>AND(#REF!,"dD9jSF3NqRQ=")</f>
        <v>#REF!</v>
      </c>
      <c r="V76" t="e">
        <f>AND(#REF!,"dD9jSF3NqRU=")</f>
        <v>#REF!</v>
      </c>
      <c r="W76" t="e">
        <f>AND(#REF!,"dD9jSF3NqRY=")</f>
        <v>#REF!</v>
      </c>
      <c r="X76" t="e">
        <f>AND(#REF!,"dD9jSF3NqRc=")</f>
        <v>#REF!</v>
      </c>
      <c r="Y76" t="e">
        <f>AND(#REF!,"dD9jSF3NqRg=")</f>
        <v>#REF!</v>
      </c>
      <c r="Z76" t="e">
        <f>AND(#REF!,"dD9jSF3NqRk=")</f>
        <v>#REF!</v>
      </c>
      <c r="AA76" t="e">
        <f>AND(#REF!,"dD9jSF3NqRo=")</f>
        <v>#REF!</v>
      </c>
      <c r="AB76" t="e">
        <f>AND(#REF!,"dD9jSF3NqRs=")</f>
        <v>#REF!</v>
      </c>
      <c r="AC76" t="e">
        <f>AND(#REF!,"dD9jSF3NqRw=")</f>
        <v>#REF!</v>
      </c>
      <c r="AD76" t="e">
        <f>AND(#REF!,"dD9jSF3NqR0=")</f>
        <v>#REF!</v>
      </c>
      <c r="AE76" t="e">
        <f>AND(#REF!,"dD9jSF3NqR4=")</f>
        <v>#REF!</v>
      </c>
      <c r="AF76" t="e">
        <f>AND(#REF!,"dD9jSF3NqR8=")</f>
        <v>#REF!</v>
      </c>
      <c r="AG76" t="e">
        <f>AND(#REF!,"dD9jSF3NqSA=")</f>
        <v>#REF!</v>
      </c>
      <c r="AH76" t="e">
        <f>AND(#REF!,"dD9jSF3NqSE=")</f>
        <v>#REF!</v>
      </c>
      <c r="AI76" t="e">
        <f>AND(#REF!,"dD9jSF3NqSI=")</f>
        <v>#REF!</v>
      </c>
      <c r="AJ76" t="e">
        <f>AND(#REF!,"dD9jSF3NqSM=")</f>
        <v>#REF!</v>
      </c>
      <c r="AK76" t="e">
        <f>AND(#REF!,"dD9jSF3NqSQ=")</f>
        <v>#REF!</v>
      </c>
      <c r="AL76" t="e">
        <f>AND(#REF!,"dD9jSF3NqSU=")</f>
        <v>#REF!</v>
      </c>
      <c r="AM76" t="e">
        <f>AND(#REF!,"dD9jSF3NqSY=")</f>
        <v>#REF!</v>
      </c>
      <c r="AN76" t="e">
        <f>AND(#REF!,"dD9jSF3NqSc=")</f>
        <v>#REF!</v>
      </c>
      <c r="AO76" t="e">
        <f>AND(#REF!,"dD9jSF3NqSg=")</f>
        <v>#REF!</v>
      </c>
      <c r="AP76" t="e">
        <f>AND(#REF!,"dD9jSF3NqSk=")</f>
        <v>#REF!</v>
      </c>
      <c r="AQ76" t="e">
        <f>AND(#REF!,"dD9jSF3NqSo=")</f>
        <v>#REF!</v>
      </c>
      <c r="AR76" t="e">
        <f>AND(#REF!,"dD9jSF3NqSs=")</f>
        <v>#REF!</v>
      </c>
      <c r="AS76" t="e">
        <f>AND(#REF!,"dD9jSF3NqSw=")</f>
        <v>#REF!</v>
      </c>
      <c r="AT76" t="e">
        <f>AND(#REF!,"dD9jSF3NqS0=")</f>
        <v>#REF!</v>
      </c>
      <c r="AU76" t="e">
        <f>AND(#REF!,"dD9jSF3NqS4=")</f>
        <v>#REF!</v>
      </c>
      <c r="AV76" t="e">
        <f>AND(#REF!,"dD9jSF3NqS8=")</f>
        <v>#REF!</v>
      </c>
      <c r="AW76" t="e">
        <f>AND(#REF!,"dD9jSF3NqTA=")</f>
        <v>#REF!</v>
      </c>
      <c r="AX76" t="e">
        <f>IF(#REF!,"dD9jSF3NqTE=",0)</f>
        <v>#REF!</v>
      </c>
      <c r="AY76" t="e">
        <f>AND(#REF!,"dD9jSF3NqTI=")</f>
        <v>#REF!</v>
      </c>
      <c r="AZ76" t="e">
        <f>AND(#REF!,"dD9jSF3NqTM=")</f>
        <v>#REF!</v>
      </c>
      <c r="BA76" t="e">
        <f>AND(#REF!,"dD9jSF3NqTQ=")</f>
        <v>#REF!</v>
      </c>
      <c r="BB76" t="e">
        <f>AND(#REF!,"dD9jSF3NqTU=")</f>
        <v>#REF!</v>
      </c>
      <c r="BC76" t="e">
        <f>AND(#REF!,"dD9jSF3NqTY=")</f>
        <v>#REF!</v>
      </c>
      <c r="BD76" t="e">
        <f>AND(#REF!,"dD9jSF3NqTc=")</f>
        <v>#REF!</v>
      </c>
      <c r="BE76" t="e">
        <f>AND(#REF!,"dD9jSF3NqTg=")</f>
        <v>#REF!</v>
      </c>
      <c r="BF76" t="e">
        <f>AND(#REF!,"dD9jSF3NqTk=")</f>
        <v>#REF!</v>
      </c>
      <c r="BG76" t="e">
        <f>AND(#REF!,"dD9jSF3NqTo=")</f>
        <v>#REF!</v>
      </c>
      <c r="BH76" t="e">
        <f>AND(#REF!,"dD9jSF3NqTs=")</f>
        <v>#REF!</v>
      </c>
      <c r="BI76" t="e">
        <f>AND(#REF!,"dD9jSF3NqTw=")</f>
        <v>#REF!</v>
      </c>
      <c r="BJ76" t="e">
        <f>AND(#REF!,"dD9jSF3NqT0=")</f>
        <v>#REF!</v>
      </c>
      <c r="BK76" t="e">
        <f>AND(#REF!,"dD9jSF3NqT4=")</f>
        <v>#REF!</v>
      </c>
      <c r="BL76" t="e">
        <f>AND(#REF!,"dD9jSF3NqT8=")</f>
        <v>#REF!</v>
      </c>
      <c r="BM76" t="e">
        <f>AND(#REF!,"dD9jSF3NqUA=")</f>
        <v>#REF!</v>
      </c>
      <c r="BN76" t="e">
        <f>AND(#REF!,"dD9jSF3NqUE=")</f>
        <v>#REF!</v>
      </c>
      <c r="BO76" t="e">
        <f>AND(#REF!,"dD9jSF3NqUI=")</f>
        <v>#REF!</v>
      </c>
      <c r="BP76" t="e">
        <f>AND(#REF!,"dD9jSF3NqUM=")</f>
        <v>#REF!</v>
      </c>
      <c r="BQ76" t="e">
        <f>AND(#REF!,"dD9jSF3NqUQ=")</f>
        <v>#REF!</v>
      </c>
      <c r="BR76" t="e">
        <f>AND(#REF!,"dD9jSF3NqUU=")</f>
        <v>#REF!</v>
      </c>
      <c r="BS76" t="e">
        <f>AND(#REF!,"dD9jSF3NqUY=")</f>
        <v>#REF!</v>
      </c>
      <c r="BT76" t="e">
        <f>AND(#REF!,"dD9jSF3NqUc=")</f>
        <v>#REF!</v>
      </c>
      <c r="BU76" t="e">
        <f>AND(#REF!,"dD9jSF3NqUg=")</f>
        <v>#REF!</v>
      </c>
      <c r="BV76" t="e">
        <f>AND(#REF!,"dD9jSF3NqUk=")</f>
        <v>#REF!</v>
      </c>
      <c r="BW76" t="e">
        <f>AND(#REF!,"dD9jSF3NqUo=")</f>
        <v>#REF!</v>
      </c>
      <c r="BX76" t="e">
        <f>AND(#REF!,"dD9jSF3NqUs=")</f>
        <v>#REF!</v>
      </c>
      <c r="BY76" t="e">
        <f>AND(#REF!,"dD9jSF3NqUw=")</f>
        <v>#REF!</v>
      </c>
      <c r="BZ76" t="e">
        <f>AND(#REF!,"dD9jSF3NqU0=")</f>
        <v>#REF!</v>
      </c>
      <c r="CA76" t="e">
        <f>AND(#REF!,"dD9jSF3NqU4=")</f>
        <v>#REF!</v>
      </c>
      <c r="CB76" t="e">
        <f>AND(#REF!,"dD9jSF3NqU8=")</f>
        <v>#REF!</v>
      </c>
      <c r="CC76" t="e">
        <f>AND(#REF!,"dD9jSF3NqVA=")</f>
        <v>#REF!</v>
      </c>
      <c r="CD76" t="e">
        <f>AND(#REF!,"dD9jSF3NqVE=")</f>
        <v>#REF!</v>
      </c>
      <c r="CE76" t="e">
        <f>AND(#REF!,"dD9jSF3NqVI=")</f>
        <v>#REF!</v>
      </c>
      <c r="CF76" t="e">
        <f>AND(#REF!,"dD9jSF3NqVM=")</f>
        <v>#REF!</v>
      </c>
      <c r="CG76" t="e">
        <f>AND(#REF!,"dD9jSF3NqVQ=")</f>
        <v>#REF!</v>
      </c>
      <c r="CH76" t="e">
        <f>AND(#REF!,"dD9jSF3NqVU=")</f>
        <v>#REF!</v>
      </c>
      <c r="CI76" t="e">
        <f>AND(#REF!,"dD9jSF3NqVY=")</f>
        <v>#REF!</v>
      </c>
      <c r="CJ76" t="e">
        <f>AND(#REF!,"dD9jSF3NqVc=")</f>
        <v>#REF!</v>
      </c>
      <c r="CK76" t="e">
        <f>AND(#REF!,"dD9jSF3NqVg=")</f>
        <v>#REF!</v>
      </c>
      <c r="CL76" t="e">
        <f>AND(#REF!,"dD9jSF3NqVk=")</f>
        <v>#REF!</v>
      </c>
      <c r="CM76" t="e">
        <f>AND(#REF!,"dD9jSF3NqVo=")</f>
        <v>#REF!</v>
      </c>
      <c r="CN76" t="e">
        <f>AND(#REF!,"dD9jSF3NqVs=")</f>
        <v>#REF!</v>
      </c>
      <c r="CO76" t="e">
        <f>AND(#REF!,"dD9jSF3NqVw=")</f>
        <v>#REF!</v>
      </c>
      <c r="CP76" t="e">
        <f>AND(#REF!,"dD9jSF3NqV0=")</f>
        <v>#REF!</v>
      </c>
      <c r="CQ76" t="e">
        <f>AND(#REF!,"dD9jSF3NqV4=")</f>
        <v>#REF!</v>
      </c>
      <c r="CR76" t="e">
        <f>AND(#REF!,"dD9jSF3NqV8=")</f>
        <v>#REF!</v>
      </c>
      <c r="CS76" t="e">
        <f>AND(#REF!,"dD9jSF3NqWA=")</f>
        <v>#REF!</v>
      </c>
      <c r="CT76" t="e">
        <f>AND(#REF!,"dD9jSF3NqWE=")</f>
        <v>#REF!</v>
      </c>
      <c r="CU76" t="e">
        <f>AND(#REF!,"dD9jSF3NqWI=")</f>
        <v>#REF!</v>
      </c>
      <c r="CV76" t="e">
        <f>AND(#REF!,"dD9jSF3NqWM=")</f>
        <v>#REF!</v>
      </c>
      <c r="CW76" t="e">
        <f>AND(#REF!,"dD9jSF3NqWQ=")</f>
        <v>#REF!</v>
      </c>
      <c r="CX76" t="e">
        <f>AND(#REF!,"dD9jSF3NqWU=")</f>
        <v>#REF!</v>
      </c>
      <c r="CY76" t="e">
        <f>AND(#REF!,"dD9jSF3NqWY=")</f>
        <v>#REF!</v>
      </c>
      <c r="CZ76" t="e">
        <f>AND(#REF!,"dD9jSF3NqWc=")</f>
        <v>#REF!</v>
      </c>
      <c r="DA76" t="e">
        <f>AND(#REF!,"dD9jSF3NqWg=")</f>
        <v>#REF!</v>
      </c>
      <c r="DB76" t="e">
        <f>AND(#REF!,"dD9jSF3NqWk=")</f>
        <v>#REF!</v>
      </c>
      <c r="DC76" t="e">
        <f>AND(#REF!,"dD9jSF3NqWo=")</f>
        <v>#REF!</v>
      </c>
      <c r="DD76" t="e">
        <f>AND(#REF!,"dD9jSF3NqWs=")</f>
        <v>#REF!</v>
      </c>
      <c r="DE76" t="e">
        <f>AND(#REF!,"dD9jSF3NqWw=")</f>
        <v>#REF!</v>
      </c>
      <c r="DF76" t="e">
        <f>AND(#REF!,"dD9jSF3NqW0=")</f>
        <v>#REF!</v>
      </c>
      <c r="DG76" t="e">
        <f>AND(#REF!,"dD9jSF3NqW4=")</f>
        <v>#REF!</v>
      </c>
      <c r="DH76" t="e">
        <f>AND(#REF!,"dD9jSF3NqW8=")</f>
        <v>#REF!</v>
      </c>
      <c r="DI76" t="e">
        <f>AND(#REF!,"dD9jSF3NqXA=")</f>
        <v>#REF!</v>
      </c>
      <c r="DJ76" t="e">
        <f>AND(#REF!,"dD9jSF3NqXE=")</f>
        <v>#REF!</v>
      </c>
      <c r="DK76" t="e">
        <f>AND(#REF!,"dD9jSF3NqXI=")</f>
        <v>#REF!</v>
      </c>
      <c r="DL76" t="e">
        <f>AND(#REF!,"dD9jSF3NqXM=")</f>
        <v>#REF!</v>
      </c>
      <c r="DM76" t="e">
        <f>AND(#REF!,"dD9jSF3NqXQ=")</f>
        <v>#REF!</v>
      </c>
      <c r="DN76" t="e">
        <f>AND(#REF!,"dD9jSF3NqXU=")</f>
        <v>#REF!</v>
      </c>
      <c r="DO76" t="e">
        <f>AND(#REF!,"dD9jSF3NqXY=")</f>
        <v>#REF!</v>
      </c>
      <c r="DP76" t="e">
        <f>AND(#REF!,"dD9jSF3NqXc=")</f>
        <v>#REF!</v>
      </c>
      <c r="DQ76" t="e">
        <f>AND(#REF!,"dD9jSF3NqXg=")</f>
        <v>#REF!</v>
      </c>
      <c r="DR76" t="e">
        <f>AND(#REF!,"dD9jSF3NqXk=")</f>
        <v>#REF!</v>
      </c>
      <c r="DS76" t="e">
        <f>AND(#REF!,"dD9jSF3NqXo=")</f>
        <v>#REF!</v>
      </c>
      <c r="DT76" t="e">
        <f>AND(#REF!,"dD9jSF3NqXs=")</f>
        <v>#REF!</v>
      </c>
      <c r="DU76" t="e">
        <f>AND(#REF!,"dD9jSF3NqXw=")</f>
        <v>#REF!</v>
      </c>
      <c r="DV76" t="e">
        <f>AND(#REF!,"dD9jSF3NqX0=")</f>
        <v>#REF!</v>
      </c>
      <c r="DW76" t="e">
        <f>AND(#REF!,"dD9jSF3NqX4=")</f>
        <v>#REF!</v>
      </c>
      <c r="DX76" t="e">
        <f>AND(#REF!,"dD9jSF3NqX8=")</f>
        <v>#REF!</v>
      </c>
      <c r="DY76" t="e">
        <f>AND(#REF!,"dD9jSF3NqYA=")</f>
        <v>#REF!</v>
      </c>
      <c r="DZ76" t="e">
        <f>AND(#REF!,"dD9jSF3NqYE=")</f>
        <v>#REF!</v>
      </c>
      <c r="EA76" t="e">
        <f>AND(#REF!,"dD9jSF3NqYI=")</f>
        <v>#REF!</v>
      </c>
      <c r="EB76" t="e">
        <f>AND(#REF!,"dD9jSF3NqYM=")</f>
        <v>#REF!</v>
      </c>
      <c r="EC76" t="e">
        <f>AND(#REF!,"dD9jSF3NqYQ=")</f>
        <v>#REF!</v>
      </c>
      <c r="ED76" t="e">
        <f>AND(#REF!,"dD9jSF3NqYU=")</f>
        <v>#REF!</v>
      </c>
      <c r="EE76" t="e">
        <f>AND(#REF!,"dD9jSF3NqYY=")</f>
        <v>#REF!</v>
      </c>
      <c r="EF76" t="e">
        <f>AND(#REF!,"dD9jSF3NqYc=")</f>
        <v>#REF!</v>
      </c>
      <c r="EG76" t="e">
        <f>AND(#REF!,"dD9jSF3NqYg=")</f>
        <v>#REF!</v>
      </c>
      <c r="EH76" t="e">
        <f>AND(#REF!,"dD9jSF3NqYk=")</f>
        <v>#REF!</v>
      </c>
      <c r="EI76" t="e">
        <f>AND(#REF!,"dD9jSF3NqYo=")</f>
        <v>#REF!</v>
      </c>
      <c r="EJ76" t="e">
        <f>AND(#REF!,"dD9jSF3NqYs=")</f>
        <v>#REF!</v>
      </c>
      <c r="EK76" t="e">
        <f>AND(#REF!,"dD9jSF3NqYw=")</f>
        <v>#REF!</v>
      </c>
      <c r="EL76" t="e">
        <f>AND(#REF!,"dD9jSF3NqY0=")</f>
        <v>#REF!</v>
      </c>
      <c r="EM76" t="e">
        <f>AND(#REF!,"dD9jSF3NqY4=")</f>
        <v>#REF!</v>
      </c>
      <c r="EN76" t="e">
        <f>AND(#REF!,"dD9jSF3NqY8=")</f>
        <v>#REF!</v>
      </c>
      <c r="EO76" t="e">
        <f>AND(#REF!,"dD9jSF3NqZA=")</f>
        <v>#REF!</v>
      </c>
      <c r="EP76" t="e">
        <f>AND(#REF!,"dD9jSF3NqZE=")</f>
        <v>#REF!</v>
      </c>
      <c r="EQ76" t="e">
        <f>AND(#REF!,"dD9jSF3NqZI=")</f>
        <v>#REF!</v>
      </c>
      <c r="ER76" t="e">
        <f>AND(#REF!,"dD9jSF3NqZM=")</f>
        <v>#REF!</v>
      </c>
      <c r="ES76" t="e">
        <f>AND(#REF!,"dD9jSF3NqZQ=")</f>
        <v>#REF!</v>
      </c>
      <c r="ET76" t="e">
        <f>AND(#REF!,"dD9jSF3NqZU=")</f>
        <v>#REF!</v>
      </c>
      <c r="EU76" t="e">
        <f>AND(#REF!,"dD9jSF3NqZY=")</f>
        <v>#REF!</v>
      </c>
      <c r="EV76" t="e">
        <f>AND(#REF!,"dD9jSF3NqZc=")</f>
        <v>#REF!</v>
      </c>
      <c r="EW76" t="e">
        <f>AND(#REF!,"dD9jSF3NqZg=")</f>
        <v>#REF!</v>
      </c>
      <c r="EX76" t="e">
        <f>AND(#REF!,"dD9jSF3NqZk=")</f>
        <v>#REF!</v>
      </c>
      <c r="EY76" t="e">
        <f>AND(#REF!,"dD9jSF3NqZo=")</f>
        <v>#REF!</v>
      </c>
      <c r="EZ76" t="e">
        <f>AND(#REF!,"dD9jSF3NqZs=")</f>
        <v>#REF!</v>
      </c>
      <c r="FA76" t="e">
        <f>AND(#REF!,"dD9jSF3NqZw=")</f>
        <v>#REF!</v>
      </c>
      <c r="FB76" t="e">
        <f>AND(#REF!,"dD9jSF3NqZ0=")</f>
        <v>#REF!</v>
      </c>
      <c r="FC76" t="e">
        <f>AND(#REF!,"dD9jSF3NqZ4=")</f>
        <v>#REF!</v>
      </c>
      <c r="FD76" t="e">
        <f>AND(#REF!,"dD9jSF3NqZ8=")</f>
        <v>#REF!</v>
      </c>
      <c r="FE76" t="e">
        <f>AND(#REF!,"dD9jSF3NqaA=")</f>
        <v>#REF!</v>
      </c>
      <c r="FF76" t="e">
        <f>AND(#REF!,"dD9jSF3NqaE=")</f>
        <v>#REF!</v>
      </c>
      <c r="FG76" t="e">
        <f>AND(#REF!,"dD9jSF3NqaI=")</f>
        <v>#REF!</v>
      </c>
      <c r="FH76" t="e">
        <f>AND(#REF!,"dD9jSF3NqaM=")</f>
        <v>#REF!</v>
      </c>
      <c r="FI76" t="e">
        <f>AND(#REF!,"dD9jSF3NqaQ=")</f>
        <v>#REF!</v>
      </c>
      <c r="FJ76" t="e">
        <f>AND(#REF!,"dD9jSF3NqaU=")</f>
        <v>#REF!</v>
      </c>
      <c r="FK76" t="e">
        <f>AND(#REF!,"dD9jSF3NqaY=")</f>
        <v>#REF!</v>
      </c>
      <c r="FL76" t="e">
        <f>AND(#REF!,"dD9jSF3Nqac=")</f>
        <v>#REF!</v>
      </c>
      <c r="FM76" t="e">
        <f>AND(#REF!,"dD9jSF3Nqag=")</f>
        <v>#REF!</v>
      </c>
      <c r="FN76" t="e">
        <f>AND(#REF!,"dD9jSF3Nqak=")</f>
        <v>#REF!</v>
      </c>
      <c r="FO76" t="e">
        <f>AND(#REF!,"dD9jSF3Nqao=")</f>
        <v>#REF!</v>
      </c>
      <c r="FP76" t="e">
        <f>AND(#REF!,"dD9jSF3Nqas=")</f>
        <v>#REF!</v>
      </c>
      <c r="FQ76" t="e">
        <f>AND(#REF!,"dD9jSF3Nqaw=")</f>
        <v>#REF!</v>
      </c>
      <c r="FR76" t="e">
        <f>AND(#REF!,"dD9jSF3Nqa0=")</f>
        <v>#REF!</v>
      </c>
      <c r="FS76" t="e">
        <f>AND(#REF!,"dD9jSF3Nqa4=")</f>
        <v>#REF!</v>
      </c>
      <c r="FT76" t="e">
        <f>AND(#REF!,"dD9jSF3Nqa8=")</f>
        <v>#REF!</v>
      </c>
      <c r="FU76" t="e">
        <f>AND(#REF!,"dD9jSF3NqbA=")</f>
        <v>#REF!</v>
      </c>
      <c r="FV76" t="e">
        <f>AND(#REF!,"dD9jSF3NqbE=")</f>
        <v>#REF!</v>
      </c>
      <c r="FW76" t="e">
        <f>AND(#REF!,"dD9jSF3NqbI=")</f>
        <v>#REF!</v>
      </c>
      <c r="FX76" t="e">
        <f>AND(#REF!,"dD9jSF3NqbM=")</f>
        <v>#REF!</v>
      </c>
      <c r="FY76" t="e">
        <f>AND(#REF!,"dD9jSF3NqbQ=")</f>
        <v>#REF!</v>
      </c>
      <c r="FZ76" t="e">
        <f>AND(#REF!,"dD9jSF3NqbU=")</f>
        <v>#REF!</v>
      </c>
      <c r="GA76" t="e">
        <f>AND(#REF!,"dD9jSF3NqbY=")</f>
        <v>#REF!</v>
      </c>
      <c r="GB76" t="e">
        <f>AND(#REF!,"dD9jSF3Nqbc=")</f>
        <v>#REF!</v>
      </c>
      <c r="GC76" t="e">
        <f>AND(#REF!,"dD9jSF3Nqbg=")</f>
        <v>#REF!</v>
      </c>
      <c r="GD76" t="e">
        <f>AND(#REF!,"dD9jSF3Nqbk=")</f>
        <v>#REF!</v>
      </c>
      <c r="GE76" t="e">
        <f>AND(#REF!,"dD9jSF3Nqbo=")</f>
        <v>#REF!</v>
      </c>
      <c r="GF76" t="e">
        <f>AND(#REF!,"dD9jSF3Nqbs=")</f>
        <v>#REF!</v>
      </c>
      <c r="GG76" t="e">
        <f>AND(#REF!,"dD9jSF3Nqbw=")</f>
        <v>#REF!</v>
      </c>
      <c r="GH76" t="e">
        <f>AND(#REF!,"dD9jSF3Nqb0=")</f>
        <v>#REF!</v>
      </c>
      <c r="GI76" t="e">
        <f>AND(#REF!,"dD9jSF3Nqb4=")</f>
        <v>#REF!</v>
      </c>
      <c r="GJ76" t="e">
        <f>AND(#REF!,"dD9jSF3Nqb8=")</f>
        <v>#REF!</v>
      </c>
      <c r="GK76" t="e">
        <f>AND(#REF!,"dD9jSF3NqcA=")</f>
        <v>#REF!</v>
      </c>
      <c r="GL76" t="e">
        <f>AND(#REF!,"dD9jSF3NqcE=")</f>
        <v>#REF!</v>
      </c>
      <c r="GM76" t="e">
        <f>AND(#REF!,"dD9jSF3NqcI=")</f>
        <v>#REF!</v>
      </c>
      <c r="GN76" t="e">
        <f>AND(#REF!,"dD9jSF3NqcM=")</f>
        <v>#REF!</v>
      </c>
      <c r="GO76" t="e">
        <f>AND(#REF!,"dD9jSF3NqcQ=")</f>
        <v>#REF!</v>
      </c>
      <c r="GP76" t="e">
        <f>AND(#REF!,"dD9jSF3NqcU=")</f>
        <v>#REF!</v>
      </c>
      <c r="GQ76" t="e">
        <f>AND(#REF!,"dD9jSF3NqcY=")</f>
        <v>#REF!</v>
      </c>
      <c r="GR76" t="e">
        <f>AND(#REF!,"dD9jSF3Nqcc=")</f>
        <v>#REF!</v>
      </c>
      <c r="GS76" t="e">
        <f>AND(#REF!,"dD9jSF3Nqcg=")</f>
        <v>#REF!</v>
      </c>
      <c r="GT76" t="e">
        <f>AND(#REF!,"dD9jSF3Nqck=")</f>
        <v>#REF!</v>
      </c>
      <c r="GU76" t="e">
        <f>AND(#REF!,"dD9jSF3Nqco=")</f>
        <v>#REF!</v>
      </c>
      <c r="GV76" t="e">
        <f>AND(#REF!,"dD9jSF3Nqcs=")</f>
        <v>#REF!</v>
      </c>
      <c r="GW76" t="e">
        <f>AND(#REF!,"dD9jSF3Nqcw=")</f>
        <v>#REF!</v>
      </c>
      <c r="GX76" t="e">
        <f>AND(#REF!,"dD9jSF3Nqc0=")</f>
        <v>#REF!</v>
      </c>
      <c r="GY76" t="e">
        <f>AND(#REF!,"dD9jSF3Nqc4=")</f>
        <v>#REF!</v>
      </c>
      <c r="GZ76" t="e">
        <f>AND(#REF!,"dD9jSF3Nqc8=")</f>
        <v>#REF!</v>
      </c>
      <c r="HA76" t="e">
        <f>AND(#REF!,"dD9jSF3NqdA=")</f>
        <v>#REF!</v>
      </c>
      <c r="HB76" t="e">
        <f>AND(#REF!,"dD9jSF3NqdE=")</f>
        <v>#REF!</v>
      </c>
      <c r="HC76" t="e">
        <f>AND(#REF!,"dD9jSF3NqdI=")</f>
        <v>#REF!</v>
      </c>
      <c r="HD76" t="e">
        <f>AND(#REF!,"dD9jSF3NqdM=")</f>
        <v>#REF!</v>
      </c>
      <c r="HE76" t="e">
        <f>AND(#REF!,"dD9jSF3NqdQ=")</f>
        <v>#REF!</v>
      </c>
      <c r="HF76" t="e">
        <f>AND(#REF!,"dD9jSF3NqdU=")</f>
        <v>#REF!</v>
      </c>
      <c r="HG76" t="e">
        <f>AND(#REF!,"dD9jSF3NqdY=")</f>
        <v>#REF!</v>
      </c>
      <c r="HH76" t="e">
        <f>AND(#REF!,"dD9jSF3Nqdc=")</f>
        <v>#REF!</v>
      </c>
      <c r="HI76" t="e">
        <f>AND(#REF!,"dD9jSF3Nqdg=")</f>
        <v>#REF!</v>
      </c>
      <c r="HJ76" t="e">
        <f>AND(#REF!,"dD9jSF3Nqdk=")</f>
        <v>#REF!</v>
      </c>
      <c r="HK76" t="e">
        <f>AND(#REF!,"dD9jSF3Nqdo=")</f>
        <v>#REF!</v>
      </c>
      <c r="HL76" t="e">
        <f>AND(#REF!,"dD9jSF3Nqds=")</f>
        <v>#REF!</v>
      </c>
      <c r="HM76" t="e">
        <f>AND(#REF!,"dD9jSF3Nqdw=")</f>
        <v>#REF!</v>
      </c>
      <c r="HN76" t="e">
        <f>AND(#REF!,"dD9jSF3Nqd0=")</f>
        <v>#REF!</v>
      </c>
      <c r="HO76" t="e">
        <f>AND(#REF!,"dD9jSF3Nqd4=")</f>
        <v>#REF!</v>
      </c>
      <c r="HP76" t="e">
        <f>AND(#REF!,"dD9jSF3Nqd8=")</f>
        <v>#REF!</v>
      </c>
      <c r="HQ76" t="e">
        <f>AND(#REF!,"dD9jSF3NqeA=")</f>
        <v>#REF!</v>
      </c>
      <c r="HR76" t="e">
        <f>AND(#REF!,"dD9jSF3NqeE=")</f>
        <v>#REF!</v>
      </c>
      <c r="HS76" t="e">
        <f>AND(#REF!,"dD9jSF3NqeI=")</f>
        <v>#REF!</v>
      </c>
      <c r="HT76" t="e">
        <f>AND(#REF!,"dD9jSF3NqeM=")</f>
        <v>#REF!</v>
      </c>
      <c r="HU76" t="e">
        <f>AND(#REF!,"dD9jSF3NqeQ=")</f>
        <v>#REF!</v>
      </c>
      <c r="HV76" t="e">
        <f>AND(#REF!,"dD9jSF3NqeU=")</f>
        <v>#REF!</v>
      </c>
      <c r="HW76" t="e">
        <f>AND(#REF!,"dD9jSF3NqeY=")</f>
        <v>#REF!</v>
      </c>
      <c r="HX76" t="e">
        <f>AND(#REF!,"dD9jSF3Nqec=")</f>
        <v>#REF!</v>
      </c>
      <c r="HY76" t="e">
        <f>AND(#REF!,"dD9jSF3Nqeg=")</f>
        <v>#REF!</v>
      </c>
      <c r="HZ76" t="e">
        <f>AND(#REF!,"dD9jSF3Nqek=")</f>
        <v>#REF!</v>
      </c>
      <c r="IA76" t="e">
        <f>AND(#REF!,"dD9jSF3Nqeo=")</f>
        <v>#REF!</v>
      </c>
      <c r="IB76" t="e">
        <f>AND(#REF!,"dD9jSF3Nqes=")</f>
        <v>#REF!</v>
      </c>
      <c r="IC76" t="e">
        <f>AND(#REF!,"dD9jSF3Nqew=")</f>
        <v>#REF!</v>
      </c>
      <c r="ID76" t="e">
        <f>AND(#REF!,"dD9jSF3Nqe0=")</f>
        <v>#REF!</v>
      </c>
      <c r="IE76" t="e">
        <f>AND(#REF!,"dD9jSF3Nqe4=")</f>
        <v>#REF!</v>
      </c>
      <c r="IF76" t="e">
        <f>AND(#REF!,"dD9jSF3Nqe8=")</f>
        <v>#REF!</v>
      </c>
      <c r="IG76" t="e">
        <f>AND(#REF!,"dD9jSF3NqfA=")</f>
        <v>#REF!</v>
      </c>
      <c r="IH76" t="e">
        <f>AND(#REF!,"dD9jSF3NqfE=")</f>
        <v>#REF!</v>
      </c>
      <c r="II76" t="e">
        <f>AND(#REF!,"dD9jSF3NqfI=")</f>
        <v>#REF!</v>
      </c>
      <c r="IJ76" t="e">
        <f>AND(#REF!,"dD9jSF3NqfM=")</f>
        <v>#REF!</v>
      </c>
      <c r="IK76" t="e">
        <f>AND(#REF!,"dD9jSF3NqfQ=")</f>
        <v>#REF!</v>
      </c>
      <c r="IL76" t="e">
        <f>AND(#REF!,"dD9jSF3NqfU=")</f>
        <v>#REF!</v>
      </c>
      <c r="IM76" t="e">
        <f>AND(#REF!,"dD9jSF3NqfY=")</f>
        <v>#REF!</v>
      </c>
      <c r="IN76" t="e">
        <f>AND(#REF!,"dD9jSF3Nqfc=")</f>
        <v>#REF!</v>
      </c>
      <c r="IO76" t="e">
        <f>IF(#REF!,"dD9jSF3Nqfg=",0)</f>
        <v>#REF!</v>
      </c>
      <c r="IP76" t="e">
        <f>AND(#REF!,"dD9jSF3Nqfk=")</f>
        <v>#REF!</v>
      </c>
      <c r="IQ76" t="e">
        <f>AND(#REF!,"dD9jSF3Nqfo=")</f>
        <v>#REF!</v>
      </c>
      <c r="IR76" t="e">
        <f>AND(#REF!,"dD9jSF3Nqfs=")</f>
        <v>#REF!</v>
      </c>
      <c r="IS76" t="e">
        <f>AND(#REF!,"dD9jSF3Nqfw=")</f>
        <v>#REF!</v>
      </c>
      <c r="IT76" t="e">
        <f>AND(#REF!,"dD9jSF3Nqf0=")</f>
        <v>#REF!</v>
      </c>
      <c r="IU76" t="e">
        <f>AND(#REF!,"dD9jSF3Nqf4=")</f>
        <v>#REF!</v>
      </c>
      <c r="IV76" t="e">
        <f>AND(#REF!,"dD9jSF3Nqf8=")</f>
        <v>#REF!</v>
      </c>
    </row>
    <row r="77" spans="1:256" x14ac:dyDescent="0.2">
      <c r="A77" t="e">
        <f>AND(#REF!,"ZSxGBytu2gA=")</f>
        <v>#REF!</v>
      </c>
      <c r="B77" t="e">
        <f>AND(#REF!,"ZSxGBytu2gE=")</f>
        <v>#REF!</v>
      </c>
      <c r="C77" t="e">
        <f>AND(#REF!,"ZSxGBytu2gI=")</f>
        <v>#REF!</v>
      </c>
      <c r="D77" t="e">
        <f>AND(#REF!,"ZSxGBytu2gM=")</f>
        <v>#REF!</v>
      </c>
      <c r="E77" t="e">
        <f>AND(#REF!,"ZSxGBytu2gQ=")</f>
        <v>#REF!</v>
      </c>
      <c r="F77" t="e">
        <f>AND(#REF!,"ZSxGBytu2gU=")</f>
        <v>#REF!</v>
      </c>
      <c r="G77" t="e">
        <f>AND(#REF!,"ZSxGBytu2gY=")</f>
        <v>#REF!</v>
      </c>
      <c r="H77" t="e">
        <f>AND(#REF!,"ZSxGBytu2gc=")</f>
        <v>#REF!</v>
      </c>
      <c r="I77" t="e">
        <f>AND(#REF!,"ZSxGBytu2gg=")</f>
        <v>#REF!</v>
      </c>
      <c r="J77" t="e">
        <f>AND(#REF!,"ZSxGBytu2gk=")</f>
        <v>#REF!</v>
      </c>
      <c r="K77" t="e">
        <f>AND(#REF!,"ZSxGBytu2go=")</f>
        <v>#REF!</v>
      </c>
      <c r="L77" t="e">
        <f>AND(#REF!,"ZSxGBytu2gs=")</f>
        <v>#REF!</v>
      </c>
      <c r="M77" t="e">
        <f>AND(#REF!,"ZSxGBytu2gw=")</f>
        <v>#REF!</v>
      </c>
      <c r="N77" t="e">
        <f>AND(#REF!,"ZSxGBytu2g0=")</f>
        <v>#REF!</v>
      </c>
      <c r="O77" t="e">
        <f>AND(#REF!,"ZSxGBytu2g4=")</f>
        <v>#REF!</v>
      </c>
      <c r="P77" t="e">
        <f>AND(#REF!,"ZSxGBytu2g8=")</f>
        <v>#REF!</v>
      </c>
      <c r="Q77" t="e">
        <f>AND(#REF!,"ZSxGBytu2hA=")</f>
        <v>#REF!</v>
      </c>
      <c r="R77" t="e">
        <f>AND(#REF!,"ZSxGBytu2hE=")</f>
        <v>#REF!</v>
      </c>
      <c r="S77" t="e">
        <f>AND(#REF!,"ZSxGBytu2hI=")</f>
        <v>#REF!</v>
      </c>
      <c r="T77" t="e">
        <f>AND(#REF!,"ZSxGBytu2hM=")</f>
        <v>#REF!</v>
      </c>
      <c r="U77" t="e">
        <f>AND(#REF!,"ZSxGBytu2hQ=")</f>
        <v>#REF!</v>
      </c>
      <c r="V77" t="e">
        <f>AND(#REF!,"ZSxGBytu2hU=")</f>
        <v>#REF!</v>
      </c>
      <c r="W77" t="e">
        <f>AND(#REF!,"ZSxGBytu2hY=")</f>
        <v>#REF!</v>
      </c>
      <c r="X77" t="e">
        <f>AND(#REF!,"ZSxGBytu2hc=")</f>
        <v>#REF!</v>
      </c>
      <c r="Y77" t="e">
        <f>AND(#REF!,"ZSxGBytu2hg=")</f>
        <v>#REF!</v>
      </c>
      <c r="Z77" t="e">
        <f>AND(#REF!,"ZSxGBytu2hk=")</f>
        <v>#REF!</v>
      </c>
      <c r="AA77" t="e">
        <f>AND(#REF!,"ZSxGBytu2ho=")</f>
        <v>#REF!</v>
      </c>
      <c r="AB77" t="e">
        <f>AND(#REF!,"ZSxGBytu2hs=")</f>
        <v>#REF!</v>
      </c>
      <c r="AC77" t="e">
        <f>AND(#REF!,"ZSxGBytu2hw=")</f>
        <v>#REF!</v>
      </c>
      <c r="AD77" t="e">
        <f>AND(#REF!,"ZSxGBytu2h0=")</f>
        <v>#REF!</v>
      </c>
      <c r="AE77" t="e">
        <f>AND(#REF!,"ZSxGBytu2h4=")</f>
        <v>#REF!</v>
      </c>
      <c r="AF77" t="e">
        <f>AND(#REF!,"ZSxGBytu2h8=")</f>
        <v>#REF!</v>
      </c>
      <c r="AG77" t="e">
        <f>AND(#REF!,"ZSxGBytu2iA=")</f>
        <v>#REF!</v>
      </c>
      <c r="AH77" t="e">
        <f>AND(#REF!,"ZSxGBytu2iE=")</f>
        <v>#REF!</v>
      </c>
      <c r="AI77" t="e">
        <f>AND(#REF!,"ZSxGBytu2iI=")</f>
        <v>#REF!</v>
      </c>
      <c r="AJ77" t="e">
        <f>AND(#REF!,"ZSxGBytu2iM=")</f>
        <v>#REF!</v>
      </c>
      <c r="AK77" t="e">
        <f>AND(#REF!,"ZSxGBytu2iQ=")</f>
        <v>#REF!</v>
      </c>
      <c r="AL77" t="e">
        <f>AND(#REF!,"ZSxGBytu2iU=")</f>
        <v>#REF!</v>
      </c>
      <c r="AM77" t="e">
        <f>AND(#REF!,"ZSxGBytu2iY=")</f>
        <v>#REF!</v>
      </c>
      <c r="AN77" t="e">
        <f>AND(#REF!,"ZSxGBytu2ic=")</f>
        <v>#REF!</v>
      </c>
      <c r="AO77" t="e">
        <f>AND(#REF!,"ZSxGBytu2ig=")</f>
        <v>#REF!</v>
      </c>
      <c r="AP77" t="e">
        <f>AND(#REF!,"ZSxGBytu2ik=")</f>
        <v>#REF!</v>
      </c>
      <c r="AQ77" t="e">
        <f>AND(#REF!,"ZSxGBytu2io=")</f>
        <v>#REF!</v>
      </c>
      <c r="AR77" t="e">
        <f>AND(#REF!,"ZSxGBytu2is=")</f>
        <v>#REF!</v>
      </c>
      <c r="AS77" t="e">
        <f>AND(#REF!,"ZSxGBytu2iw=")</f>
        <v>#REF!</v>
      </c>
      <c r="AT77" t="e">
        <f>AND(#REF!,"ZSxGBytu2i0=")</f>
        <v>#REF!</v>
      </c>
      <c r="AU77" t="e">
        <f>AND(#REF!,"ZSxGBytu2i4=")</f>
        <v>#REF!</v>
      </c>
      <c r="AV77" t="e">
        <f>AND(#REF!,"ZSxGBytu2i8=")</f>
        <v>#REF!</v>
      </c>
      <c r="AW77" t="e">
        <f>AND(#REF!,"ZSxGBytu2jA=")</f>
        <v>#REF!</v>
      </c>
      <c r="AX77" t="e">
        <f>AND(#REF!,"ZSxGBytu2jE=")</f>
        <v>#REF!</v>
      </c>
      <c r="AY77" t="e">
        <f>AND(#REF!,"ZSxGBytu2jI=")</f>
        <v>#REF!</v>
      </c>
      <c r="AZ77" t="e">
        <f>AND(#REF!,"ZSxGBytu2jM=")</f>
        <v>#REF!</v>
      </c>
      <c r="BA77" t="e">
        <f>AND(#REF!,"ZSxGBytu2jQ=")</f>
        <v>#REF!</v>
      </c>
      <c r="BB77" t="e">
        <f>AND(#REF!,"ZSxGBytu2jU=")</f>
        <v>#REF!</v>
      </c>
      <c r="BC77" t="e">
        <f>AND(#REF!,"ZSxGBytu2jY=")</f>
        <v>#REF!</v>
      </c>
      <c r="BD77" t="e">
        <f>AND(#REF!,"ZSxGBytu2jc=")</f>
        <v>#REF!</v>
      </c>
      <c r="BE77" t="e">
        <f>AND(#REF!,"ZSxGBytu2jg=")</f>
        <v>#REF!</v>
      </c>
      <c r="BF77" t="e">
        <f>AND(#REF!,"ZSxGBytu2jk=")</f>
        <v>#REF!</v>
      </c>
      <c r="BG77" t="e">
        <f>AND(#REF!,"ZSxGBytu2jo=")</f>
        <v>#REF!</v>
      </c>
      <c r="BH77" t="e">
        <f>AND(#REF!,"ZSxGBytu2js=")</f>
        <v>#REF!</v>
      </c>
      <c r="BI77" t="e">
        <f>AND(#REF!,"ZSxGBytu2jw=")</f>
        <v>#REF!</v>
      </c>
      <c r="BJ77" t="e">
        <f>AND(#REF!,"ZSxGBytu2j0=")</f>
        <v>#REF!</v>
      </c>
      <c r="BK77" t="e">
        <f>AND(#REF!,"ZSxGBytu2j4=")</f>
        <v>#REF!</v>
      </c>
      <c r="BL77" t="e">
        <f>AND(#REF!,"ZSxGBytu2j8=")</f>
        <v>#REF!</v>
      </c>
      <c r="BM77" t="e">
        <f>AND(#REF!,"ZSxGBytu2kA=")</f>
        <v>#REF!</v>
      </c>
      <c r="BN77" t="e">
        <f>AND(#REF!,"ZSxGBytu2kE=")</f>
        <v>#REF!</v>
      </c>
      <c r="BO77" t="e">
        <f>AND(#REF!,"ZSxGBytu2kI=")</f>
        <v>#REF!</v>
      </c>
      <c r="BP77" t="e">
        <f>AND(#REF!,"ZSxGBytu2kM=")</f>
        <v>#REF!</v>
      </c>
      <c r="BQ77" t="e">
        <f>AND(#REF!,"ZSxGBytu2kQ=")</f>
        <v>#REF!</v>
      </c>
      <c r="BR77" t="e">
        <f>AND(#REF!,"ZSxGBytu2kU=")</f>
        <v>#REF!</v>
      </c>
      <c r="BS77" t="e">
        <f>AND(#REF!,"ZSxGBytu2kY=")</f>
        <v>#REF!</v>
      </c>
      <c r="BT77" t="e">
        <f>AND(#REF!,"ZSxGBytu2kc=")</f>
        <v>#REF!</v>
      </c>
      <c r="BU77" t="e">
        <f>AND(#REF!,"ZSxGBytu2kg=")</f>
        <v>#REF!</v>
      </c>
      <c r="BV77" t="e">
        <f>AND(#REF!,"ZSxGBytu2kk=")</f>
        <v>#REF!</v>
      </c>
      <c r="BW77" t="e">
        <f>AND(#REF!,"ZSxGBytu2ko=")</f>
        <v>#REF!</v>
      </c>
      <c r="BX77" t="e">
        <f>AND(#REF!,"ZSxGBytu2ks=")</f>
        <v>#REF!</v>
      </c>
      <c r="BY77" t="e">
        <f>AND(#REF!,"ZSxGBytu2kw=")</f>
        <v>#REF!</v>
      </c>
      <c r="BZ77" t="e">
        <f>AND(#REF!,"ZSxGBytu2k0=")</f>
        <v>#REF!</v>
      </c>
      <c r="CA77" t="e">
        <f>AND(#REF!,"ZSxGBytu2k4=")</f>
        <v>#REF!</v>
      </c>
      <c r="CB77" t="e">
        <f>AND(#REF!,"ZSxGBytu2k8=")</f>
        <v>#REF!</v>
      </c>
      <c r="CC77" t="e">
        <f>AND(#REF!,"ZSxGBytu2lA=")</f>
        <v>#REF!</v>
      </c>
      <c r="CD77" t="e">
        <f>AND(#REF!,"ZSxGBytu2lE=")</f>
        <v>#REF!</v>
      </c>
      <c r="CE77" t="e">
        <f>AND(#REF!,"ZSxGBytu2lI=")</f>
        <v>#REF!</v>
      </c>
      <c r="CF77" t="e">
        <f>AND(#REF!,"ZSxGBytu2lM=")</f>
        <v>#REF!</v>
      </c>
      <c r="CG77" t="e">
        <f>AND(#REF!,"ZSxGBytu2lQ=")</f>
        <v>#REF!</v>
      </c>
      <c r="CH77" t="e">
        <f>AND(#REF!,"ZSxGBytu2lU=")</f>
        <v>#REF!</v>
      </c>
      <c r="CI77" t="e">
        <f>AND(#REF!,"ZSxGBytu2lY=")</f>
        <v>#REF!</v>
      </c>
      <c r="CJ77" t="e">
        <f>AND(#REF!,"ZSxGBytu2lc=")</f>
        <v>#REF!</v>
      </c>
      <c r="CK77" t="e">
        <f>AND(#REF!,"ZSxGBytu2lg=")</f>
        <v>#REF!</v>
      </c>
      <c r="CL77" t="e">
        <f>AND(#REF!,"ZSxGBytu2lk=")</f>
        <v>#REF!</v>
      </c>
      <c r="CM77" t="e">
        <f>AND(#REF!,"ZSxGBytu2lo=")</f>
        <v>#REF!</v>
      </c>
      <c r="CN77" t="e">
        <f>AND(#REF!,"ZSxGBytu2ls=")</f>
        <v>#REF!</v>
      </c>
      <c r="CO77" t="e">
        <f>AND(#REF!,"ZSxGBytu2lw=")</f>
        <v>#REF!</v>
      </c>
      <c r="CP77" t="e">
        <f>AND(#REF!,"ZSxGBytu2l0=")</f>
        <v>#REF!</v>
      </c>
      <c r="CQ77" t="e">
        <f>AND(#REF!,"ZSxGBytu2l4=")</f>
        <v>#REF!</v>
      </c>
      <c r="CR77" t="e">
        <f>AND(#REF!,"ZSxGBytu2l8=")</f>
        <v>#REF!</v>
      </c>
      <c r="CS77" t="e">
        <f>AND(#REF!,"ZSxGBytu2mA=")</f>
        <v>#REF!</v>
      </c>
      <c r="CT77" t="e">
        <f>AND(#REF!,"ZSxGBytu2mE=")</f>
        <v>#REF!</v>
      </c>
      <c r="CU77" t="e">
        <f>AND(#REF!,"ZSxGBytu2mI=")</f>
        <v>#REF!</v>
      </c>
      <c r="CV77" t="e">
        <f>AND(#REF!,"ZSxGBytu2mM=")</f>
        <v>#REF!</v>
      </c>
      <c r="CW77" t="e">
        <f>AND(#REF!,"ZSxGBytu2mQ=")</f>
        <v>#REF!</v>
      </c>
      <c r="CX77" t="e">
        <f>AND(#REF!,"ZSxGBytu2mU=")</f>
        <v>#REF!</v>
      </c>
      <c r="CY77" t="e">
        <f>AND(#REF!,"ZSxGBytu2mY=")</f>
        <v>#REF!</v>
      </c>
      <c r="CZ77" t="e">
        <f>AND(#REF!,"ZSxGBytu2mc=")</f>
        <v>#REF!</v>
      </c>
      <c r="DA77" t="e">
        <f>AND(#REF!,"ZSxGBytu2mg=")</f>
        <v>#REF!</v>
      </c>
      <c r="DB77" t="e">
        <f>AND(#REF!,"ZSxGBytu2mk=")</f>
        <v>#REF!</v>
      </c>
      <c r="DC77" t="e">
        <f>AND(#REF!,"ZSxGBytu2mo=")</f>
        <v>#REF!</v>
      </c>
      <c r="DD77" t="e">
        <f>AND(#REF!,"ZSxGBytu2ms=")</f>
        <v>#REF!</v>
      </c>
      <c r="DE77" t="e">
        <f>AND(#REF!,"ZSxGBytu2mw=")</f>
        <v>#REF!</v>
      </c>
      <c r="DF77" t="e">
        <f>AND(#REF!,"ZSxGBytu2m0=")</f>
        <v>#REF!</v>
      </c>
      <c r="DG77" t="e">
        <f>AND(#REF!,"ZSxGBytu2m4=")</f>
        <v>#REF!</v>
      </c>
      <c r="DH77" t="e">
        <f>AND(#REF!,"ZSxGBytu2m8=")</f>
        <v>#REF!</v>
      </c>
      <c r="DI77" t="e">
        <f>AND(#REF!,"ZSxGBytu2nA=")</f>
        <v>#REF!</v>
      </c>
      <c r="DJ77" t="e">
        <f>AND(#REF!,"ZSxGBytu2nE=")</f>
        <v>#REF!</v>
      </c>
      <c r="DK77" t="e">
        <f>AND(#REF!,"ZSxGBytu2nI=")</f>
        <v>#REF!</v>
      </c>
      <c r="DL77" t="e">
        <f>AND(#REF!,"ZSxGBytu2nM=")</f>
        <v>#REF!</v>
      </c>
      <c r="DM77" t="e">
        <f>AND(#REF!,"ZSxGBytu2nQ=")</f>
        <v>#REF!</v>
      </c>
      <c r="DN77" t="e">
        <f>AND(#REF!,"ZSxGBytu2nU=")</f>
        <v>#REF!</v>
      </c>
      <c r="DO77" t="e">
        <f>AND(#REF!,"ZSxGBytu2nY=")</f>
        <v>#REF!</v>
      </c>
      <c r="DP77" t="e">
        <f>AND(#REF!,"ZSxGBytu2nc=")</f>
        <v>#REF!</v>
      </c>
      <c r="DQ77" t="e">
        <f>AND(#REF!,"ZSxGBytu2ng=")</f>
        <v>#REF!</v>
      </c>
      <c r="DR77" t="e">
        <f>AND(#REF!,"ZSxGBytu2nk=")</f>
        <v>#REF!</v>
      </c>
      <c r="DS77" t="e">
        <f>AND(#REF!,"ZSxGBytu2no=")</f>
        <v>#REF!</v>
      </c>
      <c r="DT77" t="e">
        <f>AND(#REF!,"ZSxGBytu2ns=")</f>
        <v>#REF!</v>
      </c>
      <c r="DU77" t="e">
        <f>AND(#REF!,"ZSxGBytu2nw=")</f>
        <v>#REF!</v>
      </c>
      <c r="DV77" t="e">
        <f>AND(#REF!,"ZSxGBytu2n0=")</f>
        <v>#REF!</v>
      </c>
      <c r="DW77" t="e">
        <f>AND(#REF!,"ZSxGBytu2n4=")</f>
        <v>#REF!</v>
      </c>
      <c r="DX77" t="e">
        <f>AND(#REF!,"ZSxGBytu2n8=")</f>
        <v>#REF!</v>
      </c>
      <c r="DY77" t="e">
        <f>AND(#REF!,"ZSxGBytu2oA=")</f>
        <v>#REF!</v>
      </c>
      <c r="DZ77" t="e">
        <f>AND(#REF!,"ZSxGBytu2oE=")</f>
        <v>#REF!</v>
      </c>
      <c r="EA77" t="e">
        <f>AND(#REF!,"ZSxGBytu2oI=")</f>
        <v>#REF!</v>
      </c>
      <c r="EB77" t="e">
        <f>AND(#REF!,"ZSxGBytu2oM=")</f>
        <v>#REF!</v>
      </c>
      <c r="EC77" t="e">
        <f>AND(#REF!,"ZSxGBytu2oQ=")</f>
        <v>#REF!</v>
      </c>
      <c r="ED77" t="e">
        <f>AND(#REF!,"ZSxGBytu2oU=")</f>
        <v>#REF!</v>
      </c>
      <c r="EE77" t="e">
        <f>AND(#REF!,"ZSxGBytu2oY=")</f>
        <v>#REF!</v>
      </c>
      <c r="EF77" t="e">
        <f>AND(#REF!,"ZSxGBytu2oc=")</f>
        <v>#REF!</v>
      </c>
      <c r="EG77" t="e">
        <f>AND(#REF!,"ZSxGBytu2og=")</f>
        <v>#REF!</v>
      </c>
      <c r="EH77" t="e">
        <f>AND(#REF!,"ZSxGBytu2ok=")</f>
        <v>#REF!</v>
      </c>
      <c r="EI77" t="e">
        <f>AND(#REF!,"ZSxGBytu2oo=")</f>
        <v>#REF!</v>
      </c>
      <c r="EJ77" t="e">
        <f>AND(#REF!,"ZSxGBytu2os=")</f>
        <v>#REF!</v>
      </c>
      <c r="EK77" t="e">
        <f>AND(#REF!,"ZSxGBytu2ow=")</f>
        <v>#REF!</v>
      </c>
      <c r="EL77" t="e">
        <f>AND(#REF!,"ZSxGBytu2o0=")</f>
        <v>#REF!</v>
      </c>
      <c r="EM77" t="e">
        <f>AND(#REF!,"ZSxGBytu2o4=")</f>
        <v>#REF!</v>
      </c>
      <c r="EN77" t="e">
        <f>AND(#REF!,"ZSxGBytu2o8=")</f>
        <v>#REF!</v>
      </c>
      <c r="EO77" t="e">
        <f>AND(#REF!,"ZSxGBytu2pA=")</f>
        <v>#REF!</v>
      </c>
      <c r="EP77" t="e">
        <f>AND(#REF!,"ZSxGBytu2pE=")</f>
        <v>#REF!</v>
      </c>
      <c r="EQ77" t="e">
        <f>AND(#REF!,"ZSxGBytu2pI=")</f>
        <v>#REF!</v>
      </c>
      <c r="ER77" t="e">
        <f>AND(#REF!,"ZSxGBytu2pM=")</f>
        <v>#REF!</v>
      </c>
      <c r="ES77" t="e">
        <f>AND(#REF!,"ZSxGBytu2pQ=")</f>
        <v>#REF!</v>
      </c>
      <c r="ET77" t="e">
        <f>AND(#REF!,"ZSxGBytu2pU=")</f>
        <v>#REF!</v>
      </c>
      <c r="EU77" t="e">
        <f>AND(#REF!,"ZSxGBytu2pY=")</f>
        <v>#REF!</v>
      </c>
      <c r="EV77" t="e">
        <f>AND(#REF!,"ZSxGBytu2pc=")</f>
        <v>#REF!</v>
      </c>
      <c r="EW77" t="e">
        <f>AND(#REF!,"ZSxGBytu2pg=")</f>
        <v>#REF!</v>
      </c>
      <c r="EX77" t="e">
        <f>AND(#REF!,"ZSxGBytu2pk=")</f>
        <v>#REF!</v>
      </c>
      <c r="EY77" t="e">
        <f>AND(#REF!,"ZSxGBytu2po=")</f>
        <v>#REF!</v>
      </c>
      <c r="EZ77" t="e">
        <f>AND(#REF!,"ZSxGBytu2ps=")</f>
        <v>#REF!</v>
      </c>
      <c r="FA77" t="e">
        <f>AND(#REF!,"ZSxGBytu2pw=")</f>
        <v>#REF!</v>
      </c>
      <c r="FB77" t="e">
        <f>AND(#REF!,"ZSxGBytu2p0=")</f>
        <v>#REF!</v>
      </c>
      <c r="FC77" t="e">
        <f>AND(#REF!,"ZSxGBytu2p4=")</f>
        <v>#REF!</v>
      </c>
      <c r="FD77" t="e">
        <f>AND(#REF!,"ZSxGBytu2p8=")</f>
        <v>#REF!</v>
      </c>
      <c r="FE77" t="e">
        <f>AND(#REF!,"ZSxGBytu2qA=")</f>
        <v>#REF!</v>
      </c>
      <c r="FF77" t="e">
        <f>AND(#REF!,"ZSxGBytu2qE=")</f>
        <v>#REF!</v>
      </c>
      <c r="FG77" t="e">
        <f>AND(#REF!,"ZSxGBytu2qI=")</f>
        <v>#REF!</v>
      </c>
      <c r="FH77" t="e">
        <f>AND(#REF!,"ZSxGBytu2qM=")</f>
        <v>#REF!</v>
      </c>
      <c r="FI77" t="e">
        <f>AND(#REF!,"ZSxGBytu2qQ=")</f>
        <v>#REF!</v>
      </c>
      <c r="FJ77" t="e">
        <f>AND(#REF!,"ZSxGBytu2qU=")</f>
        <v>#REF!</v>
      </c>
      <c r="FK77" t="e">
        <f>AND(#REF!,"ZSxGBytu2qY=")</f>
        <v>#REF!</v>
      </c>
      <c r="FL77" t="e">
        <f>AND(#REF!,"ZSxGBytu2qc=")</f>
        <v>#REF!</v>
      </c>
      <c r="FM77" t="e">
        <f>AND(#REF!,"ZSxGBytu2qg=")</f>
        <v>#REF!</v>
      </c>
      <c r="FN77" t="e">
        <f>AND(#REF!,"ZSxGBytu2qk=")</f>
        <v>#REF!</v>
      </c>
      <c r="FO77" t="e">
        <f>AND(#REF!,"ZSxGBytu2qo=")</f>
        <v>#REF!</v>
      </c>
      <c r="FP77" t="e">
        <f>AND(#REF!,"ZSxGBytu2qs=")</f>
        <v>#REF!</v>
      </c>
      <c r="FQ77" t="e">
        <f>AND(#REF!,"ZSxGBytu2qw=")</f>
        <v>#REF!</v>
      </c>
      <c r="FR77" t="e">
        <f>AND(#REF!,"ZSxGBytu2q0=")</f>
        <v>#REF!</v>
      </c>
      <c r="FS77" t="e">
        <f>AND(#REF!,"ZSxGBytu2q4=")</f>
        <v>#REF!</v>
      </c>
      <c r="FT77" t="e">
        <f>AND(#REF!,"ZSxGBytu2q8=")</f>
        <v>#REF!</v>
      </c>
      <c r="FU77" t="e">
        <f>AND(#REF!,"ZSxGBytu2rA=")</f>
        <v>#REF!</v>
      </c>
      <c r="FV77" t="e">
        <f>AND(#REF!,"ZSxGBytu2rE=")</f>
        <v>#REF!</v>
      </c>
      <c r="FW77" t="e">
        <f>AND(#REF!,"ZSxGBytu2rI=")</f>
        <v>#REF!</v>
      </c>
      <c r="FX77" t="e">
        <f>AND(#REF!,"ZSxGBytu2rM=")</f>
        <v>#REF!</v>
      </c>
      <c r="FY77" t="e">
        <f>AND(#REF!,"ZSxGBytu2rQ=")</f>
        <v>#REF!</v>
      </c>
      <c r="FZ77" t="e">
        <f>AND(#REF!,"ZSxGBytu2rU=")</f>
        <v>#REF!</v>
      </c>
      <c r="GA77" t="e">
        <f>AND(#REF!,"ZSxGBytu2rY=")</f>
        <v>#REF!</v>
      </c>
      <c r="GB77" t="e">
        <f>AND(#REF!,"ZSxGBytu2rc=")</f>
        <v>#REF!</v>
      </c>
      <c r="GC77" t="e">
        <f>AND(#REF!,"ZSxGBytu2rg=")</f>
        <v>#REF!</v>
      </c>
      <c r="GD77" t="e">
        <f>AND(#REF!,"ZSxGBytu2rk=")</f>
        <v>#REF!</v>
      </c>
      <c r="GE77" t="e">
        <f>AND(#REF!,"ZSxGBytu2ro=")</f>
        <v>#REF!</v>
      </c>
      <c r="GF77" t="e">
        <f>AND(#REF!,"ZSxGBytu2rs=")</f>
        <v>#REF!</v>
      </c>
      <c r="GG77" t="e">
        <f>AND(#REF!,"ZSxGBytu2rw=")</f>
        <v>#REF!</v>
      </c>
      <c r="GH77" t="e">
        <f>AND(#REF!,"ZSxGBytu2r0=")</f>
        <v>#REF!</v>
      </c>
      <c r="GI77" t="e">
        <f>AND(#REF!,"ZSxGBytu2r4=")</f>
        <v>#REF!</v>
      </c>
      <c r="GJ77" t="e">
        <f>IF(#REF!,"ZSxGBytu2r8=",0)</f>
        <v>#REF!</v>
      </c>
      <c r="GK77" t="e">
        <f>AND(#REF!,"ZSxGBytu2sA=")</f>
        <v>#REF!</v>
      </c>
      <c r="GL77" t="e">
        <f>AND(#REF!,"ZSxGBytu2sE=")</f>
        <v>#REF!</v>
      </c>
      <c r="GM77" t="e">
        <f>AND(#REF!,"ZSxGBytu2sI=")</f>
        <v>#REF!</v>
      </c>
      <c r="GN77" t="e">
        <f>AND(#REF!,"ZSxGBytu2sM=")</f>
        <v>#REF!</v>
      </c>
      <c r="GO77" t="e">
        <f>AND(#REF!,"ZSxGBytu2sQ=")</f>
        <v>#REF!</v>
      </c>
      <c r="GP77" t="e">
        <f>AND(#REF!,"ZSxGBytu2sU=")</f>
        <v>#REF!</v>
      </c>
      <c r="GQ77" t="e">
        <f>AND(#REF!,"ZSxGBytu2sY=")</f>
        <v>#REF!</v>
      </c>
      <c r="GR77" t="e">
        <f>AND(#REF!,"ZSxGBytu2sc=")</f>
        <v>#REF!</v>
      </c>
      <c r="GS77" t="e">
        <f>AND(#REF!,"ZSxGBytu2sg=")</f>
        <v>#REF!</v>
      </c>
      <c r="GT77" t="e">
        <f>AND(#REF!,"ZSxGBytu2sk=")</f>
        <v>#REF!</v>
      </c>
      <c r="GU77" t="e">
        <f>AND(#REF!,"ZSxGBytu2so=")</f>
        <v>#REF!</v>
      </c>
      <c r="GV77" t="e">
        <f>AND(#REF!,"ZSxGBytu2ss=")</f>
        <v>#REF!</v>
      </c>
      <c r="GW77" t="e">
        <f>AND(#REF!,"ZSxGBytu2sw=")</f>
        <v>#REF!</v>
      </c>
      <c r="GX77" t="e">
        <f>AND(#REF!,"ZSxGBytu2s0=")</f>
        <v>#REF!</v>
      </c>
      <c r="GY77" t="e">
        <f>AND(#REF!,"ZSxGBytu2s4=")</f>
        <v>#REF!</v>
      </c>
      <c r="GZ77" t="e">
        <f>AND(#REF!,"ZSxGBytu2s8=")</f>
        <v>#REF!</v>
      </c>
      <c r="HA77" t="e">
        <f>AND(#REF!,"ZSxGBytu2tA=")</f>
        <v>#REF!</v>
      </c>
      <c r="HB77" t="e">
        <f>AND(#REF!,"ZSxGBytu2tE=")</f>
        <v>#REF!</v>
      </c>
      <c r="HC77" t="e">
        <f>AND(#REF!,"ZSxGBytu2tI=")</f>
        <v>#REF!</v>
      </c>
      <c r="HD77" t="e">
        <f>AND(#REF!,"ZSxGBytu2tM=")</f>
        <v>#REF!</v>
      </c>
      <c r="HE77" t="e">
        <f>AND(#REF!,"ZSxGBytu2tQ=")</f>
        <v>#REF!</v>
      </c>
      <c r="HF77" t="e">
        <f>AND(#REF!,"ZSxGBytu2tU=")</f>
        <v>#REF!</v>
      </c>
      <c r="HG77" t="e">
        <f>AND(#REF!,"ZSxGBytu2tY=")</f>
        <v>#REF!</v>
      </c>
      <c r="HH77" t="e">
        <f>AND(#REF!,"ZSxGBytu2tc=")</f>
        <v>#REF!</v>
      </c>
      <c r="HI77" t="e">
        <f>AND(#REF!,"ZSxGBytu2tg=")</f>
        <v>#REF!</v>
      </c>
      <c r="HJ77" t="e">
        <f>AND(#REF!,"ZSxGBytu2tk=")</f>
        <v>#REF!</v>
      </c>
      <c r="HK77" t="e">
        <f>AND(#REF!,"ZSxGBytu2to=")</f>
        <v>#REF!</v>
      </c>
      <c r="HL77" t="e">
        <f>AND(#REF!,"ZSxGBytu2ts=")</f>
        <v>#REF!</v>
      </c>
      <c r="HM77" t="e">
        <f>AND(#REF!,"ZSxGBytu2tw=")</f>
        <v>#REF!</v>
      </c>
      <c r="HN77" t="e">
        <f>AND(#REF!,"ZSxGBytu2t0=")</f>
        <v>#REF!</v>
      </c>
      <c r="HO77" t="e">
        <f>AND(#REF!,"ZSxGBytu2t4=")</f>
        <v>#REF!</v>
      </c>
      <c r="HP77" t="e">
        <f>AND(#REF!,"ZSxGBytu2t8=")</f>
        <v>#REF!</v>
      </c>
      <c r="HQ77" t="e">
        <f>AND(#REF!,"ZSxGBytu2uA=")</f>
        <v>#REF!</v>
      </c>
      <c r="HR77" t="e">
        <f>AND(#REF!,"ZSxGBytu2uE=")</f>
        <v>#REF!</v>
      </c>
      <c r="HS77" t="e">
        <f>AND(#REF!,"ZSxGBytu2uI=")</f>
        <v>#REF!</v>
      </c>
      <c r="HT77" t="e">
        <f>AND(#REF!,"ZSxGBytu2uM=")</f>
        <v>#REF!</v>
      </c>
      <c r="HU77" t="e">
        <f>AND(#REF!,"ZSxGBytu2uQ=")</f>
        <v>#REF!</v>
      </c>
      <c r="HV77" t="e">
        <f>AND(#REF!,"ZSxGBytu2uU=")</f>
        <v>#REF!</v>
      </c>
      <c r="HW77" t="e">
        <f>AND(#REF!,"ZSxGBytu2uY=")</f>
        <v>#REF!</v>
      </c>
      <c r="HX77" t="e">
        <f>AND(#REF!,"ZSxGBytu2uc=")</f>
        <v>#REF!</v>
      </c>
      <c r="HY77" t="e">
        <f>AND(#REF!,"ZSxGBytu2ug=")</f>
        <v>#REF!</v>
      </c>
      <c r="HZ77" t="e">
        <f>AND(#REF!,"ZSxGBytu2uk=")</f>
        <v>#REF!</v>
      </c>
      <c r="IA77" t="e">
        <f>AND(#REF!,"ZSxGBytu2uo=")</f>
        <v>#REF!</v>
      </c>
      <c r="IB77" t="e">
        <f>AND(#REF!,"ZSxGBytu2us=")</f>
        <v>#REF!</v>
      </c>
      <c r="IC77" t="e">
        <f>AND(#REF!,"ZSxGBytu2uw=")</f>
        <v>#REF!</v>
      </c>
      <c r="ID77" t="e">
        <f>AND(#REF!,"ZSxGBytu2u0=")</f>
        <v>#REF!</v>
      </c>
      <c r="IE77" t="e">
        <f>AND(#REF!,"ZSxGBytu2u4=")</f>
        <v>#REF!</v>
      </c>
      <c r="IF77" t="e">
        <f>AND(#REF!,"ZSxGBytu2u8=")</f>
        <v>#REF!</v>
      </c>
      <c r="IG77" t="e">
        <f>AND(#REF!,"ZSxGBytu2vA=")</f>
        <v>#REF!</v>
      </c>
      <c r="IH77" t="e">
        <f>AND(#REF!,"ZSxGBytu2vE=")</f>
        <v>#REF!</v>
      </c>
      <c r="II77" t="e">
        <f>AND(#REF!,"ZSxGBytu2vI=")</f>
        <v>#REF!</v>
      </c>
      <c r="IJ77" t="e">
        <f>AND(#REF!,"ZSxGBytu2vM=")</f>
        <v>#REF!</v>
      </c>
      <c r="IK77" t="e">
        <f>AND(#REF!,"ZSxGBytu2vQ=")</f>
        <v>#REF!</v>
      </c>
      <c r="IL77" t="e">
        <f>AND(#REF!,"ZSxGBytu2vU=")</f>
        <v>#REF!</v>
      </c>
      <c r="IM77" t="e">
        <f>AND(#REF!,"ZSxGBytu2vY=")</f>
        <v>#REF!</v>
      </c>
      <c r="IN77" t="e">
        <f>AND(#REF!,"ZSxGBytu2vc=")</f>
        <v>#REF!</v>
      </c>
      <c r="IO77" t="e">
        <f>AND(#REF!,"ZSxGBytu2vg=")</f>
        <v>#REF!</v>
      </c>
      <c r="IP77" t="e">
        <f>AND(#REF!,"ZSxGBytu2vk=")</f>
        <v>#REF!</v>
      </c>
      <c r="IQ77" t="e">
        <f>AND(#REF!,"ZSxGBytu2vo=")</f>
        <v>#REF!</v>
      </c>
      <c r="IR77" t="e">
        <f>AND(#REF!,"ZSxGBytu2vs=")</f>
        <v>#REF!</v>
      </c>
      <c r="IS77" t="e">
        <f>AND(#REF!,"ZSxGBytu2vw=")</f>
        <v>#REF!</v>
      </c>
      <c r="IT77" t="e">
        <f>AND(#REF!,"ZSxGBytu2v0=")</f>
        <v>#REF!</v>
      </c>
      <c r="IU77" t="e">
        <f>AND(#REF!,"ZSxGBytu2v4=")</f>
        <v>#REF!</v>
      </c>
      <c r="IV77" t="e">
        <f>AND(#REF!,"ZSxGBytu2v8=")</f>
        <v>#REF!</v>
      </c>
    </row>
    <row r="78" spans="1:256" x14ac:dyDescent="0.2">
      <c r="A78" t="e">
        <f>AND(#REF!,"NoH0n2iN3wA=")</f>
        <v>#REF!</v>
      </c>
      <c r="B78" t="e">
        <f>AND(#REF!,"NoH0n2iN3wE=")</f>
        <v>#REF!</v>
      </c>
      <c r="C78" t="e">
        <f>AND(#REF!,"NoH0n2iN3wI=")</f>
        <v>#REF!</v>
      </c>
      <c r="D78" t="e">
        <f>AND(#REF!,"NoH0n2iN3wM=")</f>
        <v>#REF!</v>
      </c>
      <c r="E78" t="e">
        <f>AND(#REF!,"NoH0n2iN3wQ=")</f>
        <v>#REF!</v>
      </c>
      <c r="F78" t="e">
        <f>AND(#REF!,"NoH0n2iN3wU=")</f>
        <v>#REF!</v>
      </c>
      <c r="G78" t="e">
        <f>AND(#REF!,"NoH0n2iN3wY=")</f>
        <v>#REF!</v>
      </c>
      <c r="H78" t="e">
        <f>AND(#REF!,"NoH0n2iN3wc=")</f>
        <v>#REF!</v>
      </c>
      <c r="I78" t="e">
        <f>AND(#REF!,"NoH0n2iN3wg=")</f>
        <v>#REF!</v>
      </c>
      <c r="J78" t="e">
        <f>AND(#REF!,"NoH0n2iN3wk=")</f>
        <v>#REF!</v>
      </c>
      <c r="K78" t="e">
        <f>AND(#REF!,"NoH0n2iN3wo=")</f>
        <v>#REF!</v>
      </c>
      <c r="L78" t="e">
        <f>AND(#REF!,"NoH0n2iN3ws=")</f>
        <v>#REF!</v>
      </c>
      <c r="M78" t="e">
        <f>AND(#REF!,"NoH0n2iN3ww=")</f>
        <v>#REF!</v>
      </c>
      <c r="N78" t="e">
        <f>AND(#REF!,"NoH0n2iN3w0=")</f>
        <v>#REF!</v>
      </c>
      <c r="O78" t="e">
        <f>AND(#REF!,"NoH0n2iN3w4=")</f>
        <v>#REF!</v>
      </c>
      <c r="P78" t="e">
        <f>AND(#REF!,"NoH0n2iN3w8=")</f>
        <v>#REF!</v>
      </c>
      <c r="Q78" t="e">
        <f>AND(#REF!,"NoH0n2iN3xA=")</f>
        <v>#REF!</v>
      </c>
      <c r="R78" t="e">
        <f>AND(#REF!,"NoH0n2iN3xE=")</f>
        <v>#REF!</v>
      </c>
      <c r="S78" t="e">
        <f>AND(#REF!,"NoH0n2iN3xI=")</f>
        <v>#REF!</v>
      </c>
      <c r="T78" t="e">
        <f>AND(#REF!,"NoH0n2iN3xM=")</f>
        <v>#REF!</v>
      </c>
      <c r="U78" t="e">
        <f>AND(#REF!,"NoH0n2iN3xQ=")</f>
        <v>#REF!</v>
      </c>
      <c r="V78" t="e">
        <f>AND(#REF!,"NoH0n2iN3xU=")</f>
        <v>#REF!</v>
      </c>
      <c r="W78" t="e">
        <f>AND(#REF!,"NoH0n2iN3xY=")</f>
        <v>#REF!</v>
      </c>
      <c r="X78" t="e">
        <f>AND(#REF!,"NoH0n2iN3xc=")</f>
        <v>#REF!</v>
      </c>
      <c r="Y78" t="e">
        <f>AND(#REF!,"NoH0n2iN3xg=")</f>
        <v>#REF!</v>
      </c>
      <c r="Z78" t="e">
        <f>AND(#REF!,"NoH0n2iN3xk=")</f>
        <v>#REF!</v>
      </c>
      <c r="AA78" t="e">
        <f>AND(#REF!,"NoH0n2iN3xo=")</f>
        <v>#REF!</v>
      </c>
      <c r="AB78" t="e">
        <f>AND(#REF!,"NoH0n2iN3xs=")</f>
        <v>#REF!</v>
      </c>
      <c r="AC78" t="e">
        <f>AND(#REF!,"NoH0n2iN3xw=")</f>
        <v>#REF!</v>
      </c>
      <c r="AD78" t="e">
        <f>AND(#REF!,"NoH0n2iN3x0=")</f>
        <v>#REF!</v>
      </c>
      <c r="AE78" t="e">
        <f>AND(#REF!,"NoH0n2iN3x4=")</f>
        <v>#REF!</v>
      </c>
      <c r="AF78" t="e">
        <f>AND(#REF!,"NoH0n2iN3x8=")</f>
        <v>#REF!</v>
      </c>
      <c r="AG78" t="e">
        <f>AND(#REF!,"NoH0n2iN3yA=")</f>
        <v>#REF!</v>
      </c>
      <c r="AH78" t="e">
        <f>AND(#REF!,"NoH0n2iN3yE=")</f>
        <v>#REF!</v>
      </c>
      <c r="AI78" t="e">
        <f>AND(#REF!,"NoH0n2iN3yI=")</f>
        <v>#REF!</v>
      </c>
      <c r="AJ78" t="e">
        <f>AND(#REF!,"NoH0n2iN3yM=")</f>
        <v>#REF!</v>
      </c>
      <c r="AK78" t="e">
        <f>AND(#REF!,"NoH0n2iN3yQ=")</f>
        <v>#REF!</v>
      </c>
      <c r="AL78" t="e">
        <f>AND(#REF!,"NoH0n2iN3yU=")</f>
        <v>#REF!</v>
      </c>
      <c r="AM78" t="e">
        <f>AND(#REF!,"NoH0n2iN3yY=")</f>
        <v>#REF!</v>
      </c>
      <c r="AN78" t="e">
        <f>AND(#REF!,"NoH0n2iN3yc=")</f>
        <v>#REF!</v>
      </c>
      <c r="AO78" t="e">
        <f>AND(#REF!,"NoH0n2iN3yg=")</f>
        <v>#REF!</v>
      </c>
      <c r="AP78" t="e">
        <f>AND(#REF!,"NoH0n2iN3yk=")</f>
        <v>#REF!</v>
      </c>
      <c r="AQ78" t="e">
        <f>AND(#REF!,"NoH0n2iN3yo=")</f>
        <v>#REF!</v>
      </c>
      <c r="AR78" t="e">
        <f>AND(#REF!,"NoH0n2iN3ys=")</f>
        <v>#REF!</v>
      </c>
      <c r="AS78" t="e">
        <f>AND(#REF!,"NoH0n2iN3yw=")</f>
        <v>#REF!</v>
      </c>
      <c r="AT78" t="e">
        <f>AND(#REF!,"NoH0n2iN3y0=")</f>
        <v>#REF!</v>
      </c>
      <c r="AU78" t="e">
        <f>AND(#REF!,"NoH0n2iN3y4=")</f>
        <v>#REF!</v>
      </c>
      <c r="AV78" t="e">
        <f>AND(#REF!,"NoH0n2iN3y8=")</f>
        <v>#REF!</v>
      </c>
      <c r="AW78" t="e">
        <f>AND(#REF!,"NoH0n2iN3zA=")</f>
        <v>#REF!</v>
      </c>
      <c r="AX78" t="e">
        <f>AND(#REF!,"NoH0n2iN3zE=")</f>
        <v>#REF!</v>
      </c>
      <c r="AY78" t="e">
        <f>AND(#REF!,"NoH0n2iN3zI=")</f>
        <v>#REF!</v>
      </c>
      <c r="AZ78" t="e">
        <f>AND(#REF!,"NoH0n2iN3zM=")</f>
        <v>#REF!</v>
      </c>
      <c r="BA78" t="e">
        <f>AND(#REF!,"NoH0n2iN3zQ=")</f>
        <v>#REF!</v>
      </c>
      <c r="BB78" t="e">
        <f>AND(#REF!,"NoH0n2iN3zU=")</f>
        <v>#REF!</v>
      </c>
      <c r="BC78" t="e">
        <f>AND(#REF!,"NoH0n2iN3zY=")</f>
        <v>#REF!</v>
      </c>
      <c r="BD78" t="e">
        <f>AND(#REF!,"NoH0n2iN3zc=")</f>
        <v>#REF!</v>
      </c>
      <c r="BE78" t="e">
        <f>AND(#REF!,"NoH0n2iN3zg=")</f>
        <v>#REF!</v>
      </c>
      <c r="BF78" t="e">
        <f>AND(#REF!,"NoH0n2iN3zk=")</f>
        <v>#REF!</v>
      </c>
      <c r="BG78" t="e">
        <f>AND(#REF!,"NoH0n2iN3zo=")</f>
        <v>#REF!</v>
      </c>
      <c r="BH78" t="e">
        <f>AND(#REF!,"NoH0n2iN3zs=")</f>
        <v>#REF!</v>
      </c>
      <c r="BI78" t="e">
        <f>AND(#REF!,"NoH0n2iN3zw=")</f>
        <v>#REF!</v>
      </c>
      <c r="BJ78" t="e">
        <f>AND(#REF!,"NoH0n2iN3z0=")</f>
        <v>#REF!</v>
      </c>
      <c r="BK78" t="e">
        <f>AND(#REF!,"NoH0n2iN3z4=")</f>
        <v>#REF!</v>
      </c>
      <c r="BL78" t="e">
        <f>AND(#REF!,"NoH0n2iN3z8=")</f>
        <v>#REF!</v>
      </c>
      <c r="BM78" t="e">
        <f>AND(#REF!,"NoH0n2iN30A=")</f>
        <v>#REF!</v>
      </c>
      <c r="BN78" t="e">
        <f>AND(#REF!,"NoH0n2iN30E=")</f>
        <v>#REF!</v>
      </c>
      <c r="BO78" t="e">
        <f>AND(#REF!,"NoH0n2iN30I=")</f>
        <v>#REF!</v>
      </c>
      <c r="BP78" t="e">
        <f>AND(#REF!,"NoH0n2iN30M=")</f>
        <v>#REF!</v>
      </c>
      <c r="BQ78" t="e">
        <f>AND(#REF!,"NoH0n2iN30Q=")</f>
        <v>#REF!</v>
      </c>
      <c r="BR78" t="e">
        <f>AND(#REF!,"NoH0n2iN30U=")</f>
        <v>#REF!</v>
      </c>
      <c r="BS78" t="e">
        <f>AND(#REF!,"NoH0n2iN30Y=")</f>
        <v>#REF!</v>
      </c>
      <c r="BT78" t="e">
        <f>AND(#REF!,"NoH0n2iN30c=")</f>
        <v>#REF!</v>
      </c>
      <c r="BU78" t="e">
        <f>AND(#REF!,"NoH0n2iN30g=")</f>
        <v>#REF!</v>
      </c>
      <c r="BV78" t="e">
        <f>AND(#REF!,"NoH0n2iN30k=")</f>
        <v>#REF!</v>
      </c>
      <c r="BW78" t="e">
        <f>AND(#REF!,"NoH0n2iN30o=")</f>
        <v>#REF!</v>
      </c>
      <c r="BX78" t="e">
        <f>AND(#REF!,"NoH0n2iN30s=")</f>
        <v>#REF!</v>
      </c>
      <c r="BY78" t="e">
        <f>AND(#REF!,"NoH0n2iN30w=")</f>
        <v>#REF!</v>
      </c>
      <c r="BZ78" t="e">
        <f>AND(#REF!,"NoH0n2iN300=")</f>
        <v>#REF!</v>
      </c>
      <c r="CA78" t="e">
        <f>AND(#REF!,"NoH0n2iN304=")</f>
        <v>#REF!</v>
      </c>
      <c r="CB78" t="e">
        <f>AND(#REF!,"NoH0n2iN308=")</f>
        <v>#REF!</v>
      </c>
      <c r="CC78" t="e">
        <f>AND(#REF!,"NoH0n2iN31A=")</f>
        <v>#REF!</v>
      </c>
      <c r="CD78" t="e">
        <f>AND(#REF!,"NoH0n2iN31E=")</f>
        <v>#REF!</v>
      </c>
      <c r="CE78" t="e">
        <f>AND(#REF!,"NoH0n2iN31I=")</f>
        <v>#REF!</v>
      </c>
      <c r="CF78" t="e">
        <f>AND(#REF!,"NoH0n2iN31M=")</f>
        <v>#REF!</v>
      </c>
      <c r="CG78" t="e">
        <f>AND(#REF!,"NoH0n2iN31Q=")</f>
        <v>#REF!</v>
      </c>
      <c r="CH78" t="e">
        <f>AND(#REF!,"NoH0n2iN31U=")</f>
        <v>#REF!</v>
      </c>
      <c r="CI78" t="e">
        <f>AND(#REF!,"NoH0n2iN31Y=")</f>
        <v>#REF!</v>
      </c>
      <c r="CJ78" t="e">
        <f>AND(#REF!,"NoH0n2iN31c=")</f>
        <v>#REF!</v>
      </c>
      <c r="CK78" t="e">
        <f>AND(#REF!,"NoH0n2iN31g=")</f>
        <v>#REF!</v>
      </c>
      <c r="CL78" t="e">
        <f>AND(#REF!,"NoH0n2iN31k=")</f>
        <v>#REF!</v>
      </c>
      <c r="CM78" t="e">
        <f>AND(#REF!,"NoH0n2iN31o=")</f>
        <v>#REF!</v>
      </c>
      <c r="CN78" t="e">
        <f>AND(#REF!,"NoH0n2iN31s=")</f>
        <v>#REF!</v>
      </c>
      <c r="CO78" t="e">
        <f>AND(#REF!,"NoH0n2iN31w=")</f>
        <v>#REF!</v>
      </c>
      <c r="CP78" t="e">
        <f>AND(#REF!,"NoH0n2iN310=")</f>
        <v>#REF!</v>
      </c>
      <c r="CQ78" t="e">
        <f>AND(#REF!,"NoH0n2iN314=")</f>
        <v>#REF!</v>
      </c>
      <c r="CR78" t="e">
        <f>AND(#REF!,"NoH0n2iN318=")</f>
        <v>#REF!</v>
      </c>
      <c r="CS78" t="e">
        <f>AND(#REF!,"NoH0n2iN32A=")</f>
        <v>#REF!</v>
      </c>
      <c r="CT78" t="e">
        <f>AND(#REF!,"NoH0n2iN32E=")</f>
        <v>#REF!</v>
      </c>
      <c r="CU78" t="e">
        <f>AND(#REF!,"NoH0n2iN32I=")</f>
        <v>#REF!</v>
      </c>
      <c r="CV78" t="e">
        <f>AND(#REF!,"NoH0n2iN32M=")</f>
        <v>#REF!</v>
      </c>
      <c r="CW78" t="e">
        <f>AND(#REF!,"NoH0n2iN32Q=")</f>
        <v>#REF!</v>
      </c>
      <c r="CX78" t="e">
        <f>AND(#REF!,"NoH0n2iN32U=")</f>
        <v>#REF!</v>
      </c>
      <c r="CY78" t="e">
        <f>AND(#REF!,"NoH0n2iN32Y=")</f>
        <v>#REF!</v>
      </c>
      <c r="CZ78" t="e">
        <f>AND(#REF!,"NoH0n2iN32c=")</f>
        <v>#REF!</v>
      </c>
      <c r="DA78" t="e">
        <f>AND(#REF!,"NoH0n2iN32g=")</f>
        <v>#REF!</v>
      </c>
      <c r="DB78" t="e">
        <f>AND(#REF!,"NoH0n2iN32k=")</f>
        <v>#REF!</v>
      </c>
      <c r="DC78" t="e">
        <f>AND(#REF!,"NoH0n2iN32o=")</f>
        <v>#REF!</v>
      </c>
      <c r="DD78" t="e">
        <f>AND(#REF!,"NoH0n2iN32s=")</f>
        <v>#REF!</v>
      </c>
      <c r="DE78" t="e">
        <f>AND(#REF!,"NoH0n2iN32w=")</f>
        <v>#REF!</v>
      </c>
      <c r="DF78" t="e">
        <f>AND(#REF!,"NoH0n2iN320=")</f>
        <v>#REF!</v>
      </c>
      <c r="DG78" t="e">
        <f>AND(#REF!,"NoH0n2iN324=")</f>
        <v>#REF!</v>
      </c>
      <c r="DH78" t="e">
        <f>AND(#REF!,"NoH0n2iN328=")</f>
        <v>#REF!</v>
      </c>
      <c r="DI78" t="e">
        <f>AND(#REF!,"NoH0n2iN33A=")</f>
        <v>#REF!</v>
      </c>
      <c r="DJ78" t="e">
        <f>AND(#REF!,"NoH0n2iN33E=")</f>
        <v>#REF!</v>
      </c>
      <c r="DK78" t="e">
        <f>AND(#REF!,"NoH0n2iN33I=")</f>
        <v>#REF!</v>
      </c>
      <c r="DL78" t="e">
        <f>AND(#REF!,"NoH0n2iN33M=")</f>
        <v>#REF!</v>
      </c>
      <c r="DM78" t="e">
        <f>AND(#REF!,"NoH0n2iN33Q=")</f>
        <v>#REF!</v>
      </c>
      <c r="DN78" t="e">
        <f>AND(#REF!,"NoH0n2iN33U=")</f>
        <v>#REF!</v>
      </c>
      <c r="DO78" t="e">
        <f>AND(#REF!,"NoH0n2iN33Y=")</f>
        <v>#REF!</v>
      </c>
      <c r="DP78" t="e">
        <f>AND(#REF!,"NoH0n2iN33c=")</f>
        <v>#REF!</v>
      </c>
      <c r="DQ78" t="e">
        <f>AND(#REF!,"NoH0n2iN33g=")</f>
        <v>#REF!</v>
      </c>
      <c r="DR78" t="e">
        <f>AND(#REF!,"NoH0n2iN33k=")</f>
        <v>#REF!</v>
      </c>
      <c r="DS78" t="e">
        <f>AND(#REF!,"NoH0n2iN33o=")</f>
        <v>#REF!</v>
      </c>
      <c r="DT78" t="e">
        <f>AND(#REF!,"NoH0n2iN33s=")</f>
        <v>#REF!</v>
      </c>
      <c r="DU78" t="e">
        <f>AND(#REF!,"NoH0n2iN33w=")</f>
        <v>#REF!</v>
      </c>
      <c r="DV78" t="e">
        <f>AND(#REF!,"NoH0n2iN330=")</f>
        <v>#REF!</v>
      </c>
      <c r="DW78" t="e">
        <f>AND(#REF!,"NoH0n2iN334=")</f>
        <v>#REF!</v>
      </c>
      <c r="DX78" t="e">
        <f>AND(#REF!,"NoH0n2iN338=")</f>
        <v>#REF!</v>
      </c>
      <c r="DY78" t="e">
        <f>AND(#REF!,"NoH0n2iN34A=")</f>
        <v>#REF!</v>
      </c>
      <c r="DZ78" t="e">
        <f>AND(#REF!,"NoH0n2iN34E=")</f>
        <v>#REF!</v>
      </c>
      <c r="EA78" t="e">
        <f>AND(#REF!,"NoH0n2iN34I=")</f>
        <v>#REF!</v>
      </c>
      <c r="EB78" t="e">
        <f>AND(#REF!,"NoH0n2iN34M=")</f>
        <v>#REF!</v>
      </c>
      <c r="EC78" t="e">
        <f>AND(#REF!,"NoH0n2iN34Q=")</f>
        <v>#REF!</v>
      </c>
      <c r="ED78" t="e">
        <f>AND(#REF!,"NoH0n2iN34U=")</f>
        <v>#REF!</v>
      </c>
      <c r="EE78" t="e">
        <f>IF(#REF!,"NoH0n2iN34Y=",0)</f>
        <v>#REF!</v>
      </c>
      <c r="EF78" t="e">
        <f>AND(#REF!,"NoH0n2iN34c=")</f>
        <v>#REF!</v>
      </c>
      <c r="EG78" t="e">
        <f>AND(#REF!,"NoH0n2iN34g=")</f>
        <v>#REF!</v>
      </c>
      <c r="EH78" t="e">
        <f>AND(#REF!,"NoH0n2iN34k=")</f>
        <v>#REF!</v>
      </c>
      <c r="EI78" t="e">
        <f>AND(#REF!,"NoH0n2iN34o=")</f>
        <v>#REF!</v>
      </c>
      <c r="EJ78" t="e">
        <f>AND(#REF!,"NoH0n2iN34s=")</f>
        <v>#REF!</v>
      </c>
      <c r="EK78" t="e">
        <f>AND(#REF!,"NoH0n2iN34w=")</f>
        <v>#REF!</v>
      </c>
      <c r="EL78" t="e">
        <f>AND(#REF!,"NoH0n2iN340=")</f>
        <v>#REF!</v>
      </c>
      <c r="EM78" t="e">
        <f>AND(#REF!,"NoH0n2iN344=")</f>
        <v>#REF!</v>
      </c>
      <c r="EN78" t="e">
        <f>AND(#REF!,"NoH0n2iN348=")</f>
        <v>#REF!</v>
      </c>
      <c r="EO78" t="e">
        <f>AND(#REF!,"NoH0n2iN35A=")</f>
        <v>#REF!</v>
      </c>
      <c r="EP78" t="e">
        <f>AND(#REF!,"NoH0n2iN35E=")</f>
        <v>#REF!</v>
      </c>
      <c r="EQ78" t="e">
        <f>AND(#REF!,"NoH0n2iN35I=")</f>
        <v>#REF!</v>
      </c>
      <c r="ER78" t="e">
        <f>AND(#REF!,"NoH0n2iN35M=")</f>
        <v>#REF!</v>
      </c>
      <c r="ES78" t="e">
        <f>AND(#REF!,"NoH0n2iN35Q=")</f>
        <v>#REF!</v>
      </c>
      <c r="ET78" t="e">
        <f>AND(#REF!,"NoH0n2iN35U=")</f>
        <v>#REF!</v>
      </c>
      <c r="EU78" t="e">
        <f>AND(#REF!,"NoH0n2iN35Y=")</f>
        <v>#REF!</v>
      </c>
      <c r="EV78" t="e">
        <f>AND(#REF!,"NoH0n2iN35c=")</f>
        <v>#REF!</v>
      </c>
      <c r="EW78" t="e">
        <f>AND(#REF!,"NoH0n2iN35g=")</f>
        <v>#REF!</v>
      </c>
      <c r="EX78" t="e">
        <f>AND(#REF!,"NoH0n2iN35k=")</f>
        <v>#REF!</v>
      </c>
      <c r="EY78" t="e">
        <f>AND(#REF!,"NoH0n2iN35o=")</f>
        <v>#REF!</v>
      </c>
      <c r="EZ78" t="e">
        <f>AND(#REF!,"NoH0n2iN35s=")</f>
        <v>#REF!</v>
      </c>
      <c r="FA78" t="e">
        <f>AND(#REF!,"NoH0n2iN35w=")</f>
        <v>#REF!</v>
      </c>
      <c r="FB78" t="e">
        <f>AND(#REF!,"NoH0n2iN350=")</f>
        <v>#REF!</v>
      </c>
      <c r="FC78" t="e">
        <f>AND(#REF!,"NoH0n2iN354=")</f>
        <v>#REF!</v>
      </c>
      <c r="FD78" t="e">
        <f>AND(#REF!,"NoH0n2iN358=")</f>
        <v>#REF!</v>
      </c>
      <c r="FE78" t="e">
        <f>AND(#REF!,"NoH0n2iN36A=")</f>
        <v>#REF!</v>
      </c>
      <c r="FF78" t="e">
        <f>AND(#REF!,"NoH0n2iN36E=")</f>
        <v>#REF!</v>
      </c>
      <c r="FG78" t="e">
        <f>AND(#REF!,"NoH0n2iN36I=")</f>
        <v>#REF!</v>
      </c>
      <c r="FH78" t="e">
        <f>AND(#REF!,"NoH0n2iN36M=")</f>
        <v>#REF!</v>
      </c>
      <c r="FI78" t="e">
        <f>AND(#REF!,"NoH0n2iN36Q=")</f>
        <v>#REF!</v>
      </c>
      <c r="FJ78" t="e">
        <f>AND(#REF!,"NoH0n2iN36U=")</f>
        <v>#REF!</v>
      </c>
      <c r="FK78" t="e">
        <f>AND(#REF!,"NoH0n2iN36Y=")</f>
        <v>#REF!</v>
      </c>
      <c r="FL78" t="e">
        <f>AND(#REF!,"NoH0n2iN36c=")</f>
        <v>#REF!</v>
      </c>
      <c r="FM78" t="e">
        <f>AND(#REF!,"NoH0n2iN36g=")</f>
        <v>#REF!</v>
      </c>
      <c r="FN78" t="e">
        <f>AND(#REF!,"NoH0n2iN36k=")</f>
        <v>#REF!</v>
      </c>
      <c r="FO78" t="e">
        <f>AND(#REF!,"NoH0n2iN36o=")</f>
        <v>#REF!</v>
      </c>
      <c r="FP78" t="e">
        <f>AND(#REF!,"NoH0n2iN36s=")</f>
        <v>#REF!</v>
      </c>
      <c r="FQ78" t="e">
        <f>AND(#REF!,"NoH0n2iN36w=")</f>
        <v>#REF!</v>
      </c>
      <c r="FR78" t="e">
        <f>AND(#REF!,"NoH0n2iN360=")</f>
        <v>#REF!</v>
      </c>
      <c r="FS78" t="e">
        <f>AND(#REF!,"NoH0n2iN364=")</f>
        <v>#REF!</v>
      </c>
      <c r="FT78" t="e">
        <f>AND(#REF!,"NoH0n2iN368=")</f>
        <v>#REF!</v>
      </c>
      <c r="FU78" t="e">
        <f>AND(#REF!,"NoH0n2iN37A=")</f>
        <v>#REF!</v>
      </c>
      <c r="FV78" t="e">
        <f>AND(#REF!,"NoH0n2iN37E=")</f>
        <v>#REF!</v>
      </c>
      <c r="FW78" t="e">
        <f>AND(#REF!,"NoH0n2iN37I=")</f>
        <v>#REF!</v>
      </c>
      <c r="FX78" t="e">
        <f>AND(#REF!,"NoH0n2iN37M=")</f>
        <v>#REF!</v>
      </c>
      <c r="FY78" t="e">
        <f>AND(#REF!,"NoH0n2iN37Q=")</f>
        <v>#REF!</v>
      </c>
      <c r="FZ78" t="e">
        <f>AND(#REF!,"NoH0n2iN37U=")</f>
        <v>#REF!</v>
      </c>
      <c r="GA78" t="e">
        <f>AND(#REF!,"NoH0n2iN37Y=")</f>
        <v>#REF!</v>
      </c>
      <c r="GB78" t="e">
        <f>AND(#REF!,"NoH0n2iN37c=")</f>
        <v>#REF!</v>
      </c>
      <c r="GC78" t="e">
        <f>AND(#REF!,"NoH0n2iN37g=")</f>
        <v>#REF!</v>
      </c>
      <c r="GD78" t="e">
        <f>AND(#REF!,"NoH0n2iN37k=")</f>
        <v>#REF!</v>
      </c>
      <c r="GE78" t="e">
        <f>AND(#REF!,"NoH0n2iN37o=")</f>
        <v>#REF!</v>
      </c>
      <c r="GF78" t="e">
        <f>AND(#REF!,"NoH0n2iN37s=")</f>
        <v>#REF!</v>
      </c>
      <c r="GG78" t="e">
        <f>AND(#REF!,"NoH0n2iN37w=")</f>
        <v>#REF!</v>
      </c>
      <c r="GH78" t="e">
        <f>AND(#REF!,"NoH0n2iN370=")</f>
        <v>#REF!</v>
      </c>
      <c r="GI78" t="e">
        <f>AND(#REF!,"NoH0n2iN374=")</f>
        <v>#REF!</v>
      </c>
      <c r="GJ78" t="e">
        <f>AND(#REF!,"NoH0n2iN378=")</f>
        <v>#REF!</v>
      </c>
      <c r="GK78" t="e">
        <f>AND(#REF!,"NoH0n2iN38A=")</f>
        <v>#REF!</v>
      </c>
      <c r="GL78" t="e">
        <f>AND(#REF!,"NoH0n2iN38E=")</f>
        <v>#REF!</v>
      </c>
      <c r="GM78" t="e">
        <f>AND(#REF!,"NoH0n2iN38I=")</f>
        <v>#REF!</v>
      </c>
      <c r="GN78" t="e">
        <f>AND(#REF!,"NoH0n2iN38M=")</f>
        <v>#REF!</v>
      </c>
      <c r="GO78" t="e">
        <f>AND(#REF!,"NoH0n2iN38Q=")</f>
        <v>#REF!</v>
      </c>
      <c r="GP78" t="e">
        <f>AND(#REF!,"NoH0n2iN38U=")</f>
        <v>#REF!</v>
      </c>
      <c r="GQ78" t="e">
        <f>AND(#REF!,"NoH0n2iN38Y=")</f>
        <v>#REF!</v>
      </c>
      <c r="GR78" t="e">
        <f>AND(#REF!,"NoH0n2iN38c=")</f>
        <v>#REF!</v>
      </c>
      <c r="GS78" t="e">
        <f>AND(#REF!,"NoH0n2iN38g=")</f>
        <v>#REF!</v>
      </c>
      <c r="GT78" t="e">
        <f>AND(#REF!,"NoH0n2iN38k=")</f>
        <v>#REF!</v>
      </c>
      <c r="GU78" t="e">
        <f>AND(#REF!,"NoH0n2iN38o=")</f>
        <v>#REF!</v>
      </c>
      <c r="GV78" t="e">
        <f>AND(#REF!,"NoH0n2iN38s=")</f>
        <v>#REF!</v>
      </c>
      <c r="GW78" t="e">
        <f>AND(#REF!,"NoH0n2iN38w=")</f>
        <v>#REF!</v>
      </c>
      <c r="GX78" t="e">
        <f>AND(#REF!,"NoH0n2iN380=")</f>
        <v>#REF!</v>
      </c>
      <c r="GY78" t="e">
        <f>AND(#REF!,"NoH0n2iN384=")</f>
        <v>#REF!</v>
      </c>
      <c r="GZ78" t="e">
        <f>AND(#REF!,"NoH0n2iN388=")</f>
        <v>#REF!</v>
      </c>
      <c r="HA78" t="e">
        <f>AND(#REF!,"NoH0n2iN39A=")</f>
        <v>#REF!</v>
      </c>
      <c r="HB78" t="e">
        <f>AND(#REF!,"NoH0n2iN39E=")</f>
        <v>#REF!</v>
      </c>
      <c r="HC78" t="e">
        <f>AND(#REF!,"NoH0n2iN39I=")</f>
        <v>#REF!</v>
      </c>
      <c r="HD78" t="e">
        <f>AND(#REF!,"NoH0n2iN39M=")</f>
        <v>#REF!</v>
      </c>
      <c r="HE78" t="e">
        <f>AND(#REF!,"NoH0n2iN39Q=")</f>
        <v>#REF!</v>
      </c>
      <c r="HF78" t="e">
        <f>AND(#REF!,"NoH0n2iN39U=")</f>
        <v>#REF!</v>
      </c>
      <c r="HG78" t="e">
        <f>AND(#REF!,"NoH0n2iN39Y=")</f>
        <v>#REF!</v>
      </c>
      <c r="HH78" t="e">
        <f>AND(#REF!,"NoH0n2iN39c=")</f>
        <v>#REF!</v>
      </c>
      <c r="HI78" t="e">
        <f>AND(#REF!,"NoH0n2iN39g=")</f>
        <v>#REF!</v>
      </c>
      <c r="HJ78" t="e">
        <f>AND(#REF!,"NoH0n2iN39k=")</f>
        <v>#REF!</v>
      </c>
      <c r="HK78" t="e">
        <f>AND(#REF!,"NoH0n2iN39o=")</f>
        <v>#REF!</v>
      </c>
      <c r="HL78" t="e">
        <f>AND(#REF!,"NoH0n2iN39s=")</f>
        <v>#REF!</v>
      </c>
      <c r="HM78" t="e">
        <f>AND(#REF!,"NoH0n2iN39w=")</f>
        <v>#REF!</v>
      </c>
      <c r="HN78" t="e">
        <f>AND(#REF!,"NoH0n2iN390=")</f>
        <v>#REF!</v>
      </c>
      <c r="HO78" t="e">
        <f>AND(#REF!,"NoH0n2iN394=")</f>
        <v>#REF!</v>
      </c>
      <c r="HP78" t="e">
        <f>AND(#REF!,"NoH0n2iN398=")</f>
        <v>#REF!</v>
      </c>
      <c r="HQ78" t="e">
        <f>AND(#REF!,"NoH0n2iN3+A=")</f>
        <v>#REF!</v>
      </c>
      <c r="HR78" t="e">
        <f>AND(#REF!,"NoH0n2iN3+E=")</f>
        <v>#REF!</v>
      </c>
      <c r="HS78" t="e">
        <f>AND(#REF!,"NoH0n2iN3+I=")</f>
        <v>#REF!</v>
      </c>
      <c r="HT78" t="e">
        <f>AND(#REF!,"NoH0n2iN3+M=")</f>
        <v>#REF!</v>
      </c>
      <c r="HU78" t="e">
        <f>AND(#REF!,"NoH0n2iN3+Q=")</f>
        <v>#REF!</v>
      </c>
      <c r="HV78" t="e">
        <f>AND(#REF!,"NoH0n2iN3+U=")</f>
        <v>#REF!</v>
      </c>
      <c r="HW78" t="e">
        <f>AND(#REF!,"NoH0n2iN3+Y=")</f>
        <v>#REF!</v>
      </c>
      <c r="HX78" t="e">
        <f>AND(#REF!,"NoH0n2iN3+c=")</f>
        <v>#REF!</v>
      </c>
      <c r="HY78" t="e">
        <f>AND(#REF!,"NoH0n2iN3+g=")</f>
        <v>#REF!</v>
      </c>
      <c r="HZ78" t="e">
        <f>AND(#REF!,"NoH0n2iN3+k=")</f>
        <v>#REF!</v>
      </c>
      <c r="IA78" t="e">
        <f>AND(#REF!,"NoH0n2iN3+o=")</f>
        <v>#REF!</v>
      </c>
      <c r="IB78" t="e">
        <f>AND(#REF!,"NoH0n2iN3+s=")</f>
        <v>#REF!</v>
      </c>
      <c r="IC78" t="e">
        <f>AND(#REF!,"NoH0n2iN3+w=")</f>
        <v>#REF!</v>
      </c>
      <c r="ID78" t="e">
        <f>AND(#REF!,"NoH0n2iN3+0=")</f>
        <v>#REF!</v>
      </c>
      <c r="IE78" t="e">
        <f>AND(#REF!,"NoH0n2iN3+4=")</f>
        <v>#REF!</v>
      </c>
      <c r="IF78" t="e">
        <f>AND(#REF!,"NoH0n2iN3+8=")</f>
        <v>#REF!</v>
      </c>
      <c r="IG78" t="e">
        <f>AND(#REF!,"NoH0n2iN3/A=")</f>
        <v>#REF!</v>
      </c>
      <c r="IH78" t="e">
        <f>AND(#REF!,"NoH0n2iN3/E=")</f>
        <v>#REF!</v>
      </c>
      <c r="II78" t="e">
        <f>AND(#REF!,"NoH0n2iN3/I=")</f>
        <v>#REF!</v>
      </c>
      <c r="IJ78" t="e">
        <f>AND(#REF!,"NoH0n2iN3/M=")</f>
        <v>#REF!</v>
      </c>
      <c r="IK78" t="e">
        <f>AND(#REF!,"NoH0n2iN3/Q=")</f>
        <v>#REF!</v>
      </c>
      <c r="IL78" t="e">
        <f>AND(#REF!,"NoH0n2iN3/U=")</f>
        <v>#REF!</v>
      </c>
      <c r="IM78" t="e">
        <f>AND(#REF!,"NoH0n2iN3/Y=")</f>
        <v>#REF!</v>
      </c>
      <c r="IN78" t="e">
        <f>AND(#REF!,"NoH0n2iN3/c=")</f>
        <v>#REF!</v>
      </c>
      <c r="IO78" t="e">
        <f>AND(#REF!,"NoH0n2iN3/g=")</f>
        <v>#REF!</v>
      </c>
      <c r="IP78" t="e">
        <f>AND(#REF!,"NoH0n2iN3/k=")</f>
        <v>#REF!</v>
      </c>
      <c r="IQ78" t="e">
        <f>AND(#REF!,"NoH0n2iN3/o=")</f>
        <v>#REF!</v>
      </c>
      <c r="IR78" t="e">
        <f>AND(#REF!,"NoH0n2iN3/s=")</f>
        <v>#REF!</v>
      </c>
      <c r="IS78" t="e">
        <f>AND(#REF!,"NoH0n2iN3/w=")</f>
        <v>#REF!</v>
      </c>
      <c r="IT78" t="e">
        <f>AND(#REF!,"NoH0n2iN3/0=")</f>
        <v>#REF!</v>
      </c>
      <c r="IU78" t="e">
        <f>AND(#REF!,"NoH0n2iN3/4=")</f>
        <v>#REF!</v>
      </c>
      <c r="IV78" t="e">
        <f>AND(#REF!,"NoH0n2iN3/8=")</f>
        <v>#REF!</v>
      </c>
    </row>
    <row r="79" spans="1:256" x14ac:dyDescent="0.2">
      <c r="A79" t="e">
        <f>AND(#REF!,"B2FuOAexlgA=")</f>
        <v>#REF!</v>
      </c>
      <c r="B79" t="e">
        <f>AND(#REF!,"B2FuOAexlgE=")</f>
        <v>#REF!</v>
      </c>
      <c r="C79" t="e">
        <f>AND(#REF!,"B2FuOAexlgI=")</f>
        <v>#REF!</v>
      </c>
      <c r="D79" t="e">
        <f>AND(#REF!,"B2FuOAexlgM=")</f>
        <v>#REF!</v>
      </c>
      <c r="E79" t="e">
        <f>AND(#REF!,"B2FuOAexlgQ=")</f>
        <v>#REF!</v>
      </c>
      <c r="F79" t="e">
        <f>AND(#REF!,"B2FuOAexlgU=")</f>
        <v>#REF!</v>
      </c>
      <c r="G79" t="e">
        <f>AND(#REF!,"B2FuOAexlgY=")</f>
        <v>#REF!</v>
      </c>
      <c r="H79" t="e">
        <f>AND(#REF!,"B2FuOAexlgc=")</f>
        <v>#REF!</v>
      </c>
      <c r="I79" t="e">
        <f>AND(#REF!,"B2FuOAexlgg=")</f>
        <v>#REF!</v>
      </c>
      <c r="J79" t="e">
        <f>AND(#REF!,"B2FuOAexlgk=")</f>
        <v>#REF!</v>
      </c>
      <c r="K79" t="e">
        <f>AND(#REF!,"B2FuOAexlgo=")</f>
        <v>#REF!</v>
      </c>
      <c r="L79" t="e">
        <f>AND(#REF!,"B2FuOAexlgs=")</f>
        <v>#REF!</v>
      </c>
      <c r="M79" t="e">
        <f>AND(#REF!,"B2FuOAexlgw=")</f>
        <v>#REF!</v>
      </c>
      <c r="N79" t="e">
        <f>AND(#REF!,"B2FuOAexlg0=")</f>
        <v>#REF!</v>
      </c>
      <c r="O79" t="e">
        <f>AND(#REF!,"B2FuOAexlg4=")</f>
        <v>#REF!</v>
      </c>
      <c r="P79" t="e">
        <f>AND(#REF!,"B2FuOAexlg8=")</f>
        <v>#REF!</v>
      </c>
      <c r="Q79" t="e">
        <f>AND(#REF!,"B2FuOAexlhA=")</f>
        <v>#REF!</v>
      </c>
      <c r="R79" t="e">
        <f>AND(#REF!,"B2FuOAexlhE=")</f>
        <v>#REF!</v>
      </c>
      <c r="S79" t="e">
        <f>AND(#REF!,"B2FuOAexlhI=")</f>
        <v>#REF!</v>
      </c>
      <c r="T79" t="e">
        <f>AND(#REF!,"B2FuOAexlhM=")</f>
        <v>#REF!</v>
      </c>
      <c r="U79" t="e">
        <f>AND(#REF!,"B2FuOAexlhQ=")</f>
        <v>#REF!</v>
      </c>
      <c r="V79" t="e">
        <f>AND(#REF!,"B2FuOAexlhU=")</f>
        <v>#REF!</v>
      </c>
      <c r="W79" t="e">
        <f>AND(#REF!,"B2FuOAexlhY=")</f>
        <v>#REF!</v>
      </c>
      <c r="X79" t="e">
        <f>AND(#REF!,"B2FuOAexlhc=")</f>
        <v>#REF!</v>
      </c>
      <c r="Y79" t="e">
        <f>AND(#REF!,"B2FuOAexlhg=")</f>
        <v>#REF!</v>
      </c>
      <c r="Z79" t="e">
        <f>AND(#REF!,"B2FuOAexlhk=")</f>
        <v>#REF!</v>
      </c>
      <c r="AA79" t="e">
        <f>AND(#REF!,"B2FuOAexlho=")</f>
        <v>#REF!</v>
      </c>
      <c r="AB79" t="e">
        <f>AND(#REF!,"B2FuOAexlhs=")</f>
        <v>#REF!</v>
      </c>
      <c r="AC79" t="e">
        <f>AND(#REF!,"B2FuOAexlhw=")</f>
        <v>#REF!</v>
      </c>
      <c r="AD79" t="e">
        <f>AND(#REF!,"B2FuOAexlh0=")</f>
        <v>#REF!</v>
      </c>
      <c r="AE79" t="e">
        <f>AND(#REF!,"B2FuOAexlh4=")</f>
        <v>#REF!</v>
      </c>
      <c r="AF79" t="e">
        <f>AND(#REF!,"B2FuOAexlh8=")</f>
        <v>#REF!</v>
      </c>
      <c r="AG79" t="e">
        <f>AND(#REF!,"B2FuOAexliA=")</f>
        <v>#REF!</v>
      </c>
      <c r="AH79" t="e">
        <f>AND(#REF!,"B2FuOAexliE=")</f>
        <v>#REF!</v>
      </c>
      <c r="AI79" t="e">
        <f>AND(#REF!,"B2FuOAexliI=")</f>
        <v>#REF!</v>
      </c>
      <c r="AJ79" t="e">
        <f>AND(#REF!,"B2FuOAexliM=")</f>
        <v>#REF!</v>
      </c>
      <c r="AK79" t="e">
        <f>AND(#REF!,"B2FuOAexliQ=")</f>
        <v>#REF!</v>
      </c>
      <c r="AL79" t="e">
        <f>AND(#REF!,"B2FuOAexliU=")</f>
        <v>#REF!</v>
      </c>
      <c r="AM79" t="e">
        <f>AND(#REF!,"B2FuOAexliY=")</f>
        <v>#REF!</v>
      </c>
      <c r="AN79" t="e">
        <f>AND(#REF!,"B2FuOAexlic=")</f>
        <v>#REF!</v>
      </c>
      <c r="AO79" t="e">
        <f>AND(#REF!,"B2FuOAexlig=")</f>
        <v>#REF!</v>
      </c>
      <c r="AP79" t="e">
        <f>AND(#REF!,"B2FuOAexlik=")</f>
        <v>#REF!</v>
      </c>
      <c r="AQ79" t="e">
        <f>AND(#REF!,"B2FuOAexlio=")</f>
        <v>#REF!</v>
      </c>
      <c r="AR79" t="e">
        <f>AND(#REF!,"B2FuOAexlis=")</f>
        <v>#REF!</v>
      </c>
      <c r="AS79" t="e">
        <f>AND(#REF!,"B2FuOAexliw=")</f>
        <v>#REF!</v>
      </c>
      <c r="AT79" t="e">
        <f>AND(#REF!,"B2FuOAexli0=")</f>
        <v>#REF!</v>
      </c>
      <c r="AU79" t="e">
        <f>AND(#REF!,"B2FuOAexli4=")</f>
        <v>#REF!</v>
      </c>
      <c r="AV79" t="e">
        <f>AND(#REF!,"B2FuOAexli8=")</f>
        <v>#REF!</v>
      </c>
      <c r="AW79" t="e">
        <f>AND(#REF!,"B2FuOAexljA=")</f>
        <v>#REF!</v>
      </c>
      <c r="AX79" t="e">
        <f>AND(#REF!,"B2FuOAexljE=")</f>
        <v>#REF!</v>
      </c>
      <c r="AY79" t="e">
        <f>AND(#REF!,"B2FuOAexljI=")</f>
        <v>#REF!</v>
      </c>
      <c r="AZ79" t="e">
        <f>AND(#REF!,"B2FuOAexljM=")</f>
        <v>#REF!</v>
      </c>
      <c r="BA79" t="e">
        <f>AND(#REF!,"B2FuOAexljQ=")</f>
        <v>#REF!</v>
      </c>
      <c r="BB79" t="e">
        <f>AND(#REF!,"B2FuOAexljU=")</f>
        <v>#REF!</v>
      </c>
      <c r="BC79" t="e">
        <f>AND(#REF!,"B2FuOAexljY=")</f>
        <v>#REF!</v>
      </c>
      <c r="BD79" t="e">
        <f>AND(#REF!,"B2FuOAexljc=")</f>
        <v>#REF!</v>
      </c>
      <c r="BE79" t="e">
        <f>AND(#REF!,"B2FuOAexljg=")</f>
        <v>#REF!</v>
      </c>
      <c r="BF79" t="e">
        <f>AND(#REF!,"B2FuOAexljk=")</f>
        <v>#REF!</v>
      </c>
      <c r="BG79" t="e">
        <f>AND(#REF!,"B2FuOAexljo=")</f>
        <v>#REF!</v>
      </c>
      <c r="BH79" t="e">
        <f>AND(#REF!,"B2FuOAexljs=")</f>
        <v>#REF!</v>
      </c>
      <c r="BI79" t="e">
        <f>AND(#REF!,"B2FuOAexljw=")</f>
        <v>#REF!</v>
      </c>
      <c r="BJ79" t="e">
        <f>AND(#REF!,"B2FuOAexlj0=")</f>
        <v>#REF!</v>
      </c>
      <c r="BK79" t="e">
        <f>AND(#REF!,"B2FuOAexlj4=")</f>
        <v>#REF!</v>
      </c>
      <c r="BL79" t="e">
        <f>AND(#REF!,"B2FuOAexlj8=")</f>
        <v>#REF!</v>
      </c>
      <c r="BM79" t="e">
        <f>AND(#REF!,"B2FuOAexlkA=")</f>
        <v>#REF!</v>
      </c>
      <c r="BN79" t="e">
        <f>AND(#REF!,"B2FuOAexlkE=")</f>
        <v>#REF!</v>
      </c>
      <c r="BO79" t="e">
        <f>AND(#REF!,"B2FuOAexlkI=")</f>
        <v>#REF!</v>
      </c>
      <c r="BP79" t="e">
        <f>AND(#REF!,"B2FuOAexlkM=")</f>
        <v>#REF!</v>
      </c>
      <c r="BQ79" t="e">
        <f>AND(#REF!,"B2FuOAexlkQ=")</f>
        <v>#REF!</v>
      </c>
      <c r="BR79" t="e">
        <f>AND(#REF!,"B2FuOAexlkU=")</f>
        <v>#REF!</v>
      </c>
      <c r="BS79" t="e">
        <f>AND(#REF!,"B2FuOAexlkY=")</f>
        <v>#REF!</v>
      </c>
      <c r="BT79" t="e">
        <f>AND(#REF!,"B2FuOAexlkc=")</f>
        <v>#REF!</v>
      </c>
      <c r="BU79" t="e">
        <f>AND(#REF!,"B2FuOAexlkg=")</f>
        <v>#REF!</v>
      </c>
      <c r="BV79" t="e">
        <f>AND(#REF!,"B2FuOAexlkk=")</f>
        <v>#REF!</v>
      </c>
      <c r="BW79" t="e">
        <f>AND(#REF!,"B2FuOAexlko=")</f>
        <v>#REF!</v>
      </c>
      <c r="BX79" t="e">
        <f>AND(#REF!,"B2FuOAexlks=")</f>
        <v>#REF!</v>
      </c>
      <c r="BY79" t="e">
        <f>AND(#REF!,"B2FuOAexlkw=")</f>
        <v>#REF!</v>
      </c>
      <c r="BZ79" t="e">
        <f>IF(#REF!,"B2FuOAexlk0=",0)</f>
        <v>#REF!</v>
      </c>
      <c r="CA79" t="e">
        <f>AND(#REF!,"B2FuOAexlk4=")</f>
        <v>#REF!</v>
      </c>
      <c r="CB79" t="e">
        <f>AND(#REF!,"B2FuOAexlk8=")</f>
        <v>#REF!</v>
      </c>
      <c r="CC79" t="e">
        <f>AND(#REF!,"B2FuOAexllA=")</f>
        <v>#REF!</v>
      </c>
      <c r="CD79" t="e">
        <f>AND(#REF!,"B2FuOAexllE=")</f>
        <v>#REF!</v>
      </c>
      <c r="CE79" t="e">
        <f>AND(#REF!,"B2FuOAexllI=")</f>
        <v>#REF!</v>
      </c>
      <c r="CF79" t="e">
        <f>AND(#REF!,"B2FuOAexllM=")</f>
        <v>#REF!</v>
      </c>
      <c r="CG79" t="e">
        <f>AND(#REF!,"B2FuOAexllQ=")</f>
        <v>#REF!</v>
      </c>
      <c r="CH79" t="e">
        <f>AND(#REF!,"B2FuOAexllU=")</f>
        <v>#REF!</v>
      </c>
      <c r="CI79" t="e">
        <f>AND(#REF!,"B2FuOAexllY=")</f>
        <v>#REF!</v>
      </c>
      <c r="CJ79" t="e">
        <f>AND(#REF!,"B2FuOAexllc=")</f>
        <v>#REF!</v>
      </c>
      <c r="CK79" t="e">
        <f>AND(#REF!,"B2FuOAexllg=")</f>
        <v>#REF!</v>
      </c>
      <c r="CL79" t="e">
        <f>AND(#REF!,"B2FuOAexllk=")</f>
        <v>#REF!</v>
      </c>
      <c r="CM79" t="e">
        <f>AND(#REF!,"B2FuOAexllo=")</f>
        <v>#REF!</v>
      </c>
      <c r="CN79" t="e">
        <f>AND(#REF!,"B2FuOAexlls=")</f>
        <v>#REF!</v>
      </c>
      <c r="CO79" t="e">
        <f>AND(#REF!,"B2FuOAexllw=")</f>
        <v>#REF!</v>
      </c>
      <c r="CP79" t="e">
        <f>AND(#REF!,"B2FuOAexll0=")</f>
        <v>#REF!</v>
      </c>
      <c r="CQ79" t="e">
        <f>AND(#REF!,"B2FuOAexll4=")</f>
        <v>#REF!</v>
      </c>
      <c r="CR79" t="e">
        <f>AND(#REF!,"B2FuOAexll8=")</f>
        <v>#REF!</v>
      </c>
      <c r="CS79" t="e">
        <f>AND(#REF!,"B2FuOAexlmA=")</f>
        <v>#REF!</v>
      </c>
      <c r="CT79" t="e">
        <f>AND(#REF!,"B2FuOAexlmE=")</f>
        <v>#REF!</v>
      </c>
      <c r="CU79" t="e">
        <f>AND(#REF!,"B2FuOAexlmI=")</f>
        <v>#REF!</v>
      </c>
      <c r="CV79" t="e">
        <f>AND(#REF!,"B2FuOAexlmM=")</f>
        <v>#REF!</v>
      </c>
      <c r="CW79" t="e">
        <f>AND(#REF!,"B2FuOAexlmQ=")</f>
        <v>#REF!</v>
      </c>
      <c r="CX79" t="e">
        <f>AND(#REF!,"B2FuOAexlmU=")</f>
        <v>#REF!</v>
      </c>
      <c r="CY79" t="e">
        <f>AND(#REF!,"B2FuOAexlmY=")</f>
        <v>#REF!</v>
      </c>
      <c r="CZ79" t="e">
        <f>AND(#REF!,"B2FuOAexlmc=")</f>
        <v>#REF!</v>
      </c>
      <c r="DA79" t="e">
        <f>AND(#REF!,"B2FuOAexlmg=")</f>
        <v>#REF!</v>
      </c>
      <c r="DB79" t="e">
        <f>AND(#REF!,"B2FuOAexlmk=")</f>
        <v>#REF!</v>
      </c>
      <c r="DC79" t="e">
        <f>AND(#REF!,"B2FuOAexlmo=")</f>
        <v>#REF!</v>
      </c>
      <c r="DD79" t="e">
        <f>AND(#REF!,"B2FuOAexlms=")</f>
        <v>#REF!</v>
      </c>
      <c r="DE79" t="e">
        <f>AND(#REF!,"B2FuOAexlmw=")</f>
        <v>#REF!</v>
      </c>
      <c r="DF79" t="e">
        <f>AND(#REF!,"B2FuOAexlm0=")</f>
        <v>#REF!</v>
      </c>
      <c r="DG79" t="e">
        <f>AND(#REF!,"B2FuOAexlm4=")</f>
        <v>#REF!</v>
      </c>
      <c r="DH79" t="e">
        <f>AND(#REF!,"B2FuOAexlm8=")</f>
        <v>#REF!</v>
      </c>
      <c r="DI79" t="e">
        <f>AND(#REF!,"B2FuOAexlnA=")</f>
        <v>#REF!</v>
      </c>
      <c r="DJ79" t="e">
        <f>AND(#REF!,"B2FuOAexlnE=")</f>
        <v>#REF!</v>
      </c>
      <c r="DK79" t="e">
        <f>AND(#REF!,"B2FuOAexlnI=")</f>
        <v>#REF!</v>
      </c>
      <c r="DL79" t="e">
        <f>AND(#REF!,"B2FuOAexlnM=")</f>
        <v>#REF!</v>
      </c>
      <c r="DM79" t="e">
        <f>AND(#REF!,"B2FuOAexlnQ=")</f>
        <v>#REF!</v>
      </c>
      <c r="DN79" t="e">
        <f>AND(#REF!,"B2FuOAexlnU=")</f>
        <v>#REF!</v>
      </c>
      <c r="DO79" t="e">
        <f>AND(#REF!,"B2FuOAexlnY=")</f>
        <v>#REF!</v>
      </c>
      <c r="DP79" t="e">
        <f>AND(#REF!,"B2FuOAexlnc=")</f>
        <v>#REF!</v>
      </c>
      <c r="DQ79" t="e">
        <f>AND(#REF!,"B2FuOAexlng=")</f>
        <v>#REF!</v>
      </c>
      <c r="DR79" t="e">
        <f>AND(#REF!,"B2FuOAexlnk=")</f>
        <v>#REF!</v>
      </c>
      <c r="DS79" t="e">
        <f>AND(#REF!,"B2FuOAexlno=")</f>
        <v>#REF!</v>
      </c>
      <c r="DT79" t="e">
        <f>AND(#REF!,"B2FuOAexlns=")</f>
        <v>#REF!</v>
      </c>
      <c r="DU79" t="e">
        <f>AND(#REF!,"B2FuOAexlnw=")</f>
        <v>#REF!</v>
      </c>
      <c r="DV79" t="e">
        <f>AND(#REF!,"B2FuOAexln0=")</f>
        <v>#REF!</v>
      </c>
      <c r="DW79" t="e">
        <f>AND(#REF!,"B2FuOAexln4=")</f>
        <v>#REF!</v>
      </c>
      <c r="DX79" t="e">
        <f>AND(#REF!,"B2FuOAexln8=")</f>
        <v>#REF!</v>
      </c>
      <c r="DY79" t="e">
        <f>AND(#REF!,"B2FuOAexloA=")</f>
        <v>#REF!</v>
      </c>
      <c r="DZ79" t="e">
        <f>AND(#REF!,"B2FuOAexloE=")</f>
        <v>#REF!</v>
      </c>
      <c r="EA79" t="e">
        <f>AND(#REF!,"B2FuOAexloI=")</f>
        <v>#REF!</v>
      </c>
      <c r="EB79" t="e">
        <f>AND(#REF!,"B2FuOAexloM=")</f>
        <v>#REF!</v>
      </c>
      <c r="EC79" t="e">
        <f>AND(#REF!,"B2FuOAexloQ=")</f>
        <v>#REF!</v>
      </c>
      <c r="ED79" t="e">
        <f>AND(#REF!,"B2FuOAexloU=")</f>
        <v>#REF!</v>
      </c>
      <c r="EE79" t="e">
        <f>AND(#REF!,"B2FuOAexloY=")</f>
        <v>#REF!</v>
      </c>
      <c r="EF79" t="e">
        <f>AND(#REF!,"B2FuOAexloc=")</f>
        <v>#REF!</v>
      </c>
      <c r="EG79" t="e">
        <f>AND(#REF!,"B2FuOAexlog=")</f>
        <v>#REF!</v>
      </c>
      <c r="EH79" t="e">
        <f>AND(#REF!,"B2FuOAexlok=")</f>
        <v>#REF!</v>
      </c>
      <c r="EI79" t="e">
        <f>AND(#REF!,"B2FuOAexloo=")</f>
        <v>#REF!</v>
      </c>
      <c r="EJ79" t="e">
        <f>AND(#REF!,"B2FuOAexlos=")</f>
        <v>#REF!</v>
      </c>
      <c r="EK79" t="e">
        <f>AND(#REF!,"B2FuOAexlow=")</f>
        <v>#REF!</v>
      </c>
      <c r="EL79" t="e">
        <f>AND(#REF!,"B2FuOAexlo0=")</f>
        <v>#REF!</v>
      </c>
      <c r="EM79" t="e">
        <f>AND(#REF!,"B2FuOAexlo4=")</f>
        <v>#REF!</v>
      </c>
      <c r="EN79" t="e">
        <f>AND(#REF!,"B2FuOAexlo8=")</f>
        <v>#REF!</v>
      </c>
      <c r="EO79" t="e">
        <f>AND(#REF!,"B2FuOAexlpA=")</f>
        <v>#REF!</v>
      </c>
      <c r="EP79" t="e">
        <f>AND(#REF!,"B2FuOAexlpE=")</f>
        <v>#REF!</v>
      </c>
      <c r="EQ79" t="e">
        <f>AND(#REF!,"B2FuOAexlpI=")</f>
        <v>#REF!</v>
      </c>
      <c r="ER79" t="e">
        <f>AND(#REF!,"B2FuOAexlpM=")</f>
        <v>#REF!</v>
      </c>
      <c r="ES79" t="e">
        <f>AND(#REF!,"B2FuOAexlpQ=")</f>
        <v>#REF!</v>
      </c>
      <c r="ET79" t="e">
        <f>AND(#REF!,"B2FuOAexlpU=")</f>
        <v>#REF!</v>
      </c>
      <c r="EU79" t="e">
        <f>AND(#REF!,"B2FuOAexlpY=")</f>
        <v>#REF!</v>
      </c>
      <c r="EV79" t="e">
        <f>AND(#REF!,"B2FuOAexlpc=")</f>
        <v>#REF!</v>
      </c>
      <c r="EW79" t="e">
        <f>AND(#REF!,"B2FuOAexlpg=")</f>
        <v>#REF!</v>
      </c>
      <c r="EX79" t="e">
        <f>AND(#REF!,"B2FuOAexlpk=")</f>
        <v>#REF!</v>
      </c>
      <c r="EY79" t="e">
        <f>AND(#REF!,"B2FuOAexlpo=")</f>
        <v>#REF!</v>
      </c>
      <c r="EZ79" t="e">
        <f>AND(#REF!,"B2FuOAexlps=")</f>
        <v>#REF!</v>
      </c>
      <c r="FA79" t="e">
        <f>AND(#REF!,"B2FuOAexlpw=")</f>
        <v>#REF!</v>
      </c>
      <c r="FB79" t="e">
        <f>AND(#REF!,"B2FuOAexlp0=")</f>
        <v>#REF!</v>
      </c>
      <c r="FC79" t="e">
        <f>AND(#REF!,"B2FuOAexlp4=")</f>
        <v>#REF!</v>
      </c>
      <c r="FD79" t="e">
        <f>AND(#REF!,"B2FuOAexlp8=")</f>
        <v>#REF!</v>
      </c>
      <c r="FE79" t="e">
        <f>AND(#REF!,"B2FuOAexlqA=")</f>
        <v>#REF!</v>
      </c>
      <c r="FF79" t="e">
        <f>AND(#REF!,"B2FuOAexlqE=")</f>
        <v>#REF!</v>
      </c>
      <c r="FG79" t="e">
        <f>AND(#REF!,"B2FuOAexlqI=")</f>
        <v>#REF!</v>
      </c>
      <c r="FH79" t="e">
        <f>AND(#REF!,"B2FuOAexlqM=")</f>
        <v>#REF!</v>
      </c>
      <c r="FI79" t="e">
        <f>AND(#REF!,"B2FuOAexlqQ=")</f>
        <v>#REF!</v>
      </c>
      <c r="FJ79" t="e">
        <f>AND(#REF!,"B2FuOAexlqU=")</f>
        <v>#REF!</v>
      </c>
      <c r="FK79" t="e">
        <f>AND(#REF!,"B2FuOAexlqY=")</f>
        <v>#REF!</v>
      </c>
      <c r="FL79" t="e">
        <f>AND(#REF!,"B2FuOAexlqc=")</f>
        <v>#REF!</v>
      </c>
      <c r="FM79" t="e">
        <f>AND(#REF!,"B2FuOAexlqg=")</f>
        <v>#REF!</v>
      </c>
      <c r="FN79" t="e">
        <f>AND(#REF!,"B2FuOAexlqk=")</f>
        <v>#REF!</v>
      </c>
      <c r="FO79" t="e">
        <f>AND(#REF!,"B2FuOAexlqo=")</f>
        <v>#REF!</v>
      </c>
      <c r="FP79" t="e">
        <f>AND(#REF!,"B2FuOAexlqs=")</f>
        <v>#REF!</v>
      </c>
      <c r="FQ79" t="e">
        <f>AND(#REF!,"B2FuOAexlqw=")</f>
        <v>#REF!</v>
      </c>
      <c r="FR79" t="e">
        <f>AND(#REF!,"B2FuOAexlq0=")</f>
        <v>#REF!</v>
      </c>
      <c r="FS79" t="e">
        <f>AND(#REF!,"B2FuOAexlq4=")</f>
        <v>#REF!</v>
      </c>
      <c r="FT79" t="e">
        <f>AND(#REF!,"B2FuOAexlq8=")</f>
        <v>#REF!</v>
      </c>
      <c r="FU79" t="e">
        <f>AND(#REF!,"B2FuOAexlrA=")</f>
        <v>#REF!</v>
      </c>
      <c r="FV79" t="e">
        <f>AND(#REF!,"B2FuOAexlrE=")</f>
        <v>#REF!</v>
      </c>
      <c r="FW79" t="e">
        <f>AND(#REF!,"B2FuOAexlrI=")</f>
        <v>#REF!</v>
      </c>
      <c r="FX79" t="e">
        <f>AND(#REF!,"B2FuOAexlrM=")</f>
        <v>#REF!</v>
      </c>
      <c r="FY79" t="e">
        <f>AND(#REF!,"B2FuOAexlrQ=")</f>
        <v>#REF!</v>
      </c>
      <c r="FZ79" t="e">
        <f>AND(#REF!,"B2FuOAexlrU=")</f>
        <v>#REF!</v>
      </c>
      <c r="GA79" t="e">
        <f>AND(#REF!,"B2FuOAexlrY=")</f>
        <v>#REF!</v>
      </c>
      <c r="GB79" t="e">
        <f>AND(#REF!,"B2FuOAexlrc=")</f>
        <v>#REF!</v>
      </c>
      <c r="GC79" t="e">
        <f>AND(#REF!,"B2FuOAexlrg=")</f>
        <v>#REF!</v>
      </c>
      <c r="GD79" t="e">
        <f>AND(#REF!,"B2FuOAexlrk=")</f>
        <v>#REF!</v>
      </c>
      <c r="GE79" t="e">
        <f>AND(#REF!,"B2FuOAexlro=")</f>
        <v>#REF!</v>
      </c>
      <c r="GF79" t="e">
        <f>AND(#REF!,"B2FuOAexlrs=")</f>
        <v>#REF!</v>
      </c>
      <c r="GG79" t="e">
        <f>AND(#REF!,"B2FuOAexlrw=")</f>
        <v>#REF!</v>
      </c>
      <c r="GH79" t="e">
        <f>AND(#REF!,"B2FuOAexlr0=")</f>
        <v>#REF!</v>
      </c>
      <c r="GI79" t="e">
        <f>AND(#REF!,"B2FuOAexlr4=")</f>
        <v>#REF!</v>
      </c>
      <c r="GJ79" t="e">
        <f>AND(#REF!,"B2FuOAexlr8=")</f>
        <v>#REF!</v>
      </c>
      <c r="GK79" t="e">
        <f>AND(#REF!,"B2FuOAexlsA=")</f>
        <v>#REF!</v>
      </c>
      <c r="GL79" t="e">
        <f>AND(#REF!,"B2FuOAexlsE=")</f>
        <v>#REF!</v>
      </c>
      <c r="GM79" t="e">
        <f>AND(#REF!,"B2FuOAexlsI=")</f>
        <v>#REF!</v>
      </c>
      <c r="GN79" t="e">
        <f>AND(#REF!,"B2FuOAexlsM=")</f>
        <v>#REF!</v>
      </c>
      <c r="GO79" t="e">
        <f>AND(#REF!,"B2FuOAexlsQ=")</f>
        <v>#REF!</v>
      </c>
      <c r="GP79" t="e">
        <f>AND(#REF!,"B2FuOAexlsU=")</f>
        <v>#REF!</v>
      </c>
      <c r="GQ79" t="e">
        <f>AND(#REF!,"B2FuOAexlsY=")</f>
        <v>#REF!</v>
      </c>
      <c r="GR79" t="e">
        <f>AND(#REF!,"B2FuOAexlsc=")</f>
        <v>#REF!</v>
      </c>
      <c r="GS79" t="e">
        <f>AND(#REF!,"B2FuOAexlsg=")</f>
        <v>#REF!</v>
      </c>
      <c r="GT79" t="e">
        <f>AND(#REF!,"B2FuOAexlsk=")</f>
        <v>#REF!</v>
      </c>
      <c r="GU79" t="e">
        <f>AND(#REF!,"B2FuOAexlso=")</f>
        <v>#REF!</v>
      </c>
      <c r="GV79" t="e">
        <f>AND(#REF!,"B2FuOAexlss=")</f>
        <v>#REF!</v>
      </c>
      <c r="GW79" t="e">
        <f>AND(#REF!,"B2FuOAexlsw=")</f>
        <v>#REF!</v>
      </c>
      <c r="GX79" t="e">
        <f>AND(#REF!,"B2FuOAexls0=")</f>
        <v>#REF!</v>
      </c>
      <c r="GY79" t="e">
        <f>AND(#REF!,"B2FuOAexls4=")</f>
        <v>#REF!</v>
      </c>
      <c r="GZ79" t="e">
        <f>AND(#REF!,"B2FuOAexls8=")</f>
        <v>#REF!</v>
      </c>
      <c r="HA79" t="e">
        <f>AND(#REF!,"B2FuOAexltA=")</f>
        <v>#REF!</v>
      </c>
      <c r="HB79" t="e">
        <f>AND(#REF!,"B2FuOAexltE=")</f>
        <v>#REF!</v>
      </c>
      <c r="HC79" t="e">
        <f>AND(#REF!,"B2FuOAexltI=")</f>
        <v>#REF!</v>
      </c>
      <c r="HD79" t="e">
        <f>AND(#REF!,"B2FuOAexltM=")</f>
        <v>#REF!</v>
      </c>
      <c r="HE79" t="e">
        <f>AND(#REF!,"B2FuOAexltQ=")</f>
        <v>#REF!</v>
      </c>
      <c r="HF79" t="e">
        <f>AND(#REF!,"B2FuOAexltU=")</f>
        <v>#REF!</v>
      </c>
      <c r="HG79" t="e">
        <f>AND(#REF!,"B2FuOAexltY=")</f>
        <v>#REF!</v>
      </c>
      <c r="HH79" t="e">
        <f>AND(#REF!,"B2FuOAexltc=")</f>
        <v>#REF!</v>
      </c>
      <c r="HI79" t="e">
        <f>AND(#REF!,"B2FuOAexltg=")</f>
        <v>#REF!</v>
      </c>
      <c r="HJ79" t="e">
        <f>AND(#REF!,"B2FuOAexltk=")</f>
        <v>#REF!</v>
      </c>
      <c r="HK79" t="e">
        <f>AND(#REF!,"B2FuOAexlto=")</f>
        <v>#REF!</v>
      </c>
      <c r="HL79" t="e">
        <f>AND(#REF!,"B2FuOAexlts=")</f>
        <v>#REF!</v>
      </c>
      <c r="HM79" t="e">
        <f>AND(#REF!,"B2FuOAexltw=")</f>
        <v>#REF!</v>
      </c>
      <c r="HN79" t="e">
        <f>AND(#REF!,"B2FuOAexlt0=")</f>
        <v>#REF!</v>
      </c>
      <c r="HO79" t="e">
        <f>AND(#REF!,"B2FuOAexlt4=")</f>
        <v>#REF!</v>
      </c>
      <c r="HP79" t="e">
        <f>AND(#REF!,"B2FuOAexlt8=")</f>
        <v>#REF!</v>
      </c>
      <c r="HQ79" t="e">
        <f>AND(#REF!,"B2FuOAexluA=")</f>
        <v>#REF!</v>
      </c>
      <c r="HR79" t="e">
        <f>AND(#REF!,"B2FuOAexluE=")</f>
        <v>#REF!</v>
      </c>
      <c r="HS79" t="e">
        <f>AND(#REF!,"B2FuOAexluI=")</f>
        <v>#REF!</v>
      </c>
      <c r="HT79" t="e">
        <f>AND(#REF!,"B2FuOAexluM=")</f>
        <v>#REF!</v>
      </c>
      <c r="HU79" t="e">
        <f>AND(#REF!,"B2FuOAexluQ=")</f>
        <v>#REF!</v>
      </c>
      <c r="HV79" t="e">
        <f>AND(#REF!,"B2FuOAexluU=")</f>
        <v>#REF!</v>
      </c>
      <c r="HW79" t="e">
        <f>AND(#REF!,"B2FuOAexluY=")</f>
        <v>#REF!</v>
      </c>
      <c r="HX79" t="e">
        <f>AND(#REF!,"B2FuOAexluc=")</f>
        <v>#REF!</v>
      </c>
      <c r="HY79" t="e">
        <f>AND(#REF!,"B2FuOAexlug=")</f>
        <v>#REF!</v>
      </c>
      <c r="HZ79" t="e">
        <f>AND(#REF!,"B2FuOAexluk=")</f>
        <v>#REF!</v>
      </c>
      <c r="IA79" t="e">
        <f>AND(#REF!,"B2FuOAexluo=")</f>
        <v>#REF!</v>
      </c>
      <c r="IB79" t="e">
        <f>AND(#REF!,"B2FuOAexlus=")</f>
        <v>#REF!</v>
      </c>
      <c r="IC79" t="e">
        <f>AND(#REF!,"B2FuOAexluw=")</f>
        <v>#REF!</v>
      </c>
      <c r="ID79" t="e">
        <f>AND(#REF!,"B2FuOAexlu0=")</f>
        <v>#REF!</v>
      </c>
      <c r="IE79" t="e">
        <f>AND(#REF!,"B2FuOAexlu4=")</f>
        <v>#REF!</v>
      </c>
      <c r="IF79" t="e">
        <f>AND(#REF!,"B2FuOAexlu8=")</f>
        <v>#REF!</v>
      </c>
      <c r="IG79" t="e">
        <f>AND(#REF!,"B2FuOAexlvA=")</f>
        <v>#REF!</v>
      </c>
      <c r="IH79" t="e">
        <f>AND(#REF!,"B2FuOAexlvE=")</f>
        <v>#REF!</v>
      </c>
      <c r="II79" t="e">
        <f>AND(#REF!,"B2FuOAexlvI=")</f>
        <v>#REF!</v>
      </c>
      <c r="IJ79" t="e">
        <f>AND(#REF!,"B2FuOAexlvM=")</f>
        <v>#REF!</v>
      </c>
      <c r="IK79" t="e">
        <f>AND(#REF!,"B2FuOAexlvQ=")</f>
        <v>#REF!</v>
      </c>
      <c r="IL79" t="e">
        <f>AND(#REF!,"B2FuOAexlvU=")</f>
        <v>#REF!</v>
      </c>
      <c r="IM79" t="e">
        <f>AND(#REF!,"B2FuOAexlvY=")</f>
        <v>#REF!</v>
      </c>
      <c r="IN79" t="e">
        <f>AND(#REF!,"B2FuOAexlvc=")</f>
        <v>#REF!</v>
      </c>
      <c r="IO79" t="e">
        <f>AND(#REF!,"B2FuOAexlvg=")</f>
        <v>#REF!</v>
      </c>
      <c r="IP79" t="e">
        <f>AND(#REF!,"B2FuOAexlvk=")</f>
        <v>#REF!</v>
      </c>
      <c r="IQ79" t="e">
        <f>AND(#REF!,"B2FuOAexlvo=")</f>
        <v>#REF!</v>
      </c>
      <c r="IR79" t="e">
        <f>AND(#REF!,"B2FuOAexlvs=")</f>
        <v>#REF!</v>
      </c>
      <c r="IS79" t="e">
        <f>AND(#REF!,"B2FuOAexlvw=")</f>
        <v>#REF!</v>
      </c>
      <c r="IT79" t="e">
        <f>AND(#REF!,"B2FuOAexlv0=")</f>
        <v>#REF!</v>
      </c>
      <c r="IU79" t="e">
        <f>AND(#REF!,"B2FuOAexlv4=")</f>
        <v>#REF!</v>
      </c>
      <c r="IV79" t="e">
        <f>AND(#REF!,"B2FuOAexlv8=")</f>
        <v>#REF!</v>
      </c>
    </row>
    <row r="80" spans="1:256" x14ac:dyDescent="0.2">
      <c r="A80" t="e">
        <f>AND(#REF!,"dID0agDMtQA=")</f>
        <v>#REF!</v>
      </c>
      <c r="B80" t="e">
        <f>AND(#REF!,"dID0agDMtQE=")</f>
        <v>#REF!</v>
      </c>
      <c r="C80" t="e">
        <f>AND(#REF!,"dID0agDMtQI=")</f>
        <v>#REF!</v>
      </c>
      <c r="D80" t="e">
        <f>AND(#REF!,"dID0agDMtQM=")</f>
        <v>#REF!</v>
      </c>
      <c r="E80" t="e">
        <f>AND(#REF!,"dID0agDMtQQ=")</f>
        <v>#REF!</v>
      </c>
      <c r="F80" t="e">
        <f>AND(#REF!,"dID0agDMtQU=")</f>
        <v>#REF!</v>
      </c>
      <c r="G80" t="e">
        <f>AND(#REF!,"dID0agDMtQY=")</f>
        <v>#REF!</v>
      </c>
      <c r="H80" t="e">
        <f>AND(#REF!,"dID0agDMtQc=")</f>
        <v>#REF!</v>
      </c>
      <c r="I80" t="e">
        <f>AND(#REF!,"dID0agDMtQg=")</f>
        <v>#REF!</v>
      </c>
      <c r="J80" t="e">
        <f>AND(#REF!,"dID0agDMtQk=")</f>
        <v>#REF!</v>
      </c>
      <c r="K80" t="e">
        <f>AND(#REF!,"dID0agDMtQo=")</f>
        <v>#REF!</v>
      </c>
      <c r="L80" t="e">
        <f>AND(#REF!,"dID0agDMtQs=")</f>
        <v>#REF!</v>
      </c>
      <c r="M80" t="e">
        <f>AND(#REF!,"dID0agDMtQw=")</f>
        <v>#REF!</v>
      </c>
      <c r="N80" t="e">
        <f>AND(#REF!,"dID0agDMtQ0=")</f>
        <v>#REF!</v>
      </c>
      <c r="O80" t="e">
        <f>AND(#REF!,"dID0agDMtQ4=")</f>
        <v>#REF!</v>
      </c>
      <c r="P80" t="e">
        <f>AND(#REF!,"dID0agDMtQ8=")</f>
        <v>#REF!</v>
      </c>
      <c r="Q80" t="e">
        <f>AND(#REF!,"dID0agDMtRA=")</f>
        <v>#REF!</v>
      </c>
      <c r="R80" t="e">
        <f>AND(#REF!,"dID0agDMtRE=")</f>
        <v>#REF!</v>
      </c>
      <c r="S80" t="e">
        <f>AND(#REF!,"dID0agDMtRI=")</f>
        <v>#REF!</v>
      </c>
      <c r="T80" t="e">
        <f>AND(#REF!,"dID0agDMtRM=")</f>
        <v>#REF!</v>
      </c>
      <c r="U80" t="e">
        <f>IF(#REF!,"dID0agDMtRQ=",0)</f>
        <v>#REF!</v>
      </c>
      <c r="V80" t="e">
        <f>AND(#REF!,"dID0agDMtRU=")</f>
        <v>#REF!</v>
      </c>
      <c r="W80" t="e">
        <f>AND(#REF!,"dID0agDMtRY=")</f>
        <v>#REF!</v>
      </c>
      <c r="X80" t="e">
        <f>AND(#REF!,"dID0agDMtRc=")</f>
        <v>#REF!</v>
      </c>
      <c r="Y80" t="e">
        <f>AND(#REF!,"dID0agDMtRg=")</f>
        <v>#REF!</v>
      </c>
      <c r="Z80" t="e">
        <f>AND(#REF!,"dID0agDMtRk=")</f>
        <v>#REF!</v>
      </c>
      <c r="AA80" t="e">
        <f>AND(#REF!,"dID0agDMtRo=")</f>
        <v>#REF!</v>
      </c>
      <c r="AB80" t="e">
        <f>AND(#REF!,"dID0agDMtRs=")</f>
        <v>#REF!</v>
      </c>
      <c r="AC80" t="e">
        <f>AND(#REF!,"dID0agDMtRw=")</f>
        <v>#REF!</v>
      </c>
      <c r="AD80" t="e">
        <f>AND(#REF!,"dID0agDMtR0=")</f>
        <v>#REF!</v>
      </c>
      <c r="AE80" t="e">
        <f>AND(#REF!,"dID0agDMtR4=")</f>
        <v>#REF!</v>
      </c>
      <c r="AF80" t="e">
        <f>AND(#REF!,"dID0agDMtR8=")</f>
        <v>#REF!</v>
      </c>
      <c r="AG80" t="e">
        <f>AND(#REF!,"dID0agDMtSA=")</f>
        <v>#REF!</v>
      </c>
      <c r="AH80" t="e">
        <f>AND(#REF!,"dID0agDMtSE=")</f>
        <v>#REF!</v>
      </c>
      <c r="AI80" t="e">
        <f>AND(#REF!,"dID0agDMtSI=")</f>
        <v>#REF!</v>
      </c>
      <c r="AJ80" t="e">
        <f>AND(#REF!,"dID0agDMtSM=")</f>
        <v>#REF!</v>
      </c>
      <c r="AK80" t="e">
        <f>AND(#REF!,"dID0agDMtSQ=")</f>
        <v>#REF!</v>
      </c>
      <c r="AL80" t="e">
        <f>AND(#REF!,"dID0agDMtSU=")</f>
        <v>#REF!</v>
      </c>
      <c r="AM80" t="e">
        <f>AND(#REF!,"dID0agDMtSY=")</f>
        <v>#REF!</v>
      </c>
      <c r="AN80" t="e">
        <f>AND(#REF!,"dID0agDMtSc=")</f>
        <v>#REF!</v>
      </c>
      <c r="AO80" t="e">
        <f>AND(#REF!,"dID0agDMtSg=")</f>
        <v>#REF!</v>
      </c>
      <c r="AP80" t="e">
        <f>AND(#REF!,"dID0agDMtSk=")</f>
        <v>#REF!</v>
      </c>
      <c r="AQ80" t="e">
        <f>AND(#REF!,"dID0agDMtSo=")</f>
        <v>#REF!</v>
      </c>
      <c r="AR80" t="e">
        <f>AND(#REF!,"dID0agDMtSs=")</f>
        <v>#REF!</v>
      </c>
      <c r="AS80" t="e">
        <f>AND(#REF!,"dID0agDMtSw=")</f>
        <v>#REF!</v>
      </c>
      <c r="AT80" t="e">
        <f>AND(#REF!,"dID0agDMtS0=")</f>
        <v>#REF!</v>
      </c>
      <c r="AU80" t="e">
        <f>AND(#REF!,"dID0agDMtS4=")</f>
        <v>#REF!</v>
      </c>
      <c r="AV80" t="e">
        <f>AND(#REF!,"dID0agDMtS8=")</f>
        <v>#REF!</v>
      </c>
      <c r="AW80" t="e">
        <f>AND(#REF!,"dID0agDMtTA=")</f>
        <v>#REF!</v>
      </c>
      <c r="AX80" t="e">
        <f>AND(#REF!,"dID0agDMtTE=")</f>
        <v>#REF!</v>
      </c>
      <c r="AY80" t="e">
        <f>AND(#REF!,"dID0agDMtTI=")</f>
        <v>#REF!</v>
      </c>
      <c r="AZ80" t="e">
        <f>AND(#REF!,"dID0agDMtTM=")</f>
        <v>#REF!</v>
      </c>
      <c r="BA80" t="e">
        <f>AND(#REF!,"dID0agDMtTQ=")</f>
        <v>#REF!</v>
      </c>
      <c r="BB80" t="e">
        <f>AND(#REF!,"dID0agDMtTU=")</f>
        <v>#REF!</v>
      </c>
      <c r="BC80" t="e">
        <f>AND(#REF!,"dID0agDMtTY=")</f>
        <v>#REF!</v>
      </c>
      <c r="BD80" t="e">
        <f>AND(#REF!,"dID0agDMtTc=")</f>
        <v>#REF!</v>
      </c>
      <c r="BE80" t="e">
        <f>AND(#REF!,"dID0agDMtTg=")</f>
        <v>#REF!</v>
      </c>
      <c r="BF80" t="e">
        <f>AND(#REF!,"dID0agDMtTk=")</f>
        <v>#REF!</v>
      </c>
      <c r="BG80" t="e">
        <f>AND(#REF!,"dID0agDMtTo=")</f>
        <v>#REF!</v>
      </c>
      <c r="BH80" t="e">
        <f>AND(#REF!,"dID0agDMtTs=")</f>
        <v>#REF!</v>
      </c>
      <c r="BI80" t="e">
        <f>AND(#REF!,"dID0agDMtTw=")</f>
        <v>#REF!</v>
      </c>
      <c r="BJ80" t="e">
        <f>AND(#REF!,"dID0agDMtT0=")</f>
        <v>#REF!</v>
      </c>
      <c r="BK80" t="e">
        <f>AND(#REF!,"dID0agDMtT4=")</f>
        <v>#REF!</v>
      </c>
      <c r="BL80" t="e">
        <f>AND(#REF!,"dID0agDMtT8=")</f>
        <v>#REF!</v>
      </c>
      <c r="BM80" t="e">
        <f>AND(#REF!,"dID0agDMtUA=")</f>
        <v>#REF!</v>
      </c>
      <c r="BN80" t="e">
        <f>AND(#REF!,"dID0agDMtUE=")</f>
        <v>#REF!</v>
      </c>
      <c r="BO80" t="e">
        <f>AND(#REF!,"dID0agDMtUI=")</f>
        <v>#REF!</v>
      </c>
      <c r="BP80" t="e">
        <f>AND(#REF!,"dID0agDMtUM=")</f>
        <v>#REF!</v>
      </c>
      <c r="BQ80" t="e">
        <f>AND(#REF!,"dID0agDMtUQ=")</f>
        <v>#REF!</v>
      </c>
      <c r="BR80" t="e">
        <f>AND(#REF!,"dID0agDMtUU=")</f>
        <v>#REF!</v>
      </c>
      <c r="BS80" t="e">
        <f>AND(#REF!,"dID0agDMtUY=")</f>
        <v>#REF!</v>
      </c>
      <c r="BT80" t="e">
        <f>AND(#REF!,"dID0agDMtUc=")</f>
        <v>#REF!</v>
      </c>
      <c r="BU80" t="e">
        <f>AND(#REF!,"dID0agDMtUg=")</f>
        <v>#REF!</v>
      </c>
      <c r="BV80" t="e">
        <f>AND(#REF!,"dID0agDMtUk=")</f>
        <v>#REF!</v>
      </c>
      <c r="BW80" t="e">
        <f>AND(#REF!,"dID0agDMtUo=")</f>
        <v>#REF!</v>
      </c>
      <c r="BX80" t="e">
        <f>AND(#REF!,"dID0agDMtUs=")</f>
        <v>#REF!</v>
      </c>
      <c r="BY80" t="e">
        <f>AND(#REF!,"dID0agDMtUw=")</f>
        <v>#REF!</v>
      </c>
      <c r="BZ80" t="e">
        <f>AND(#REF!,"dID0agDMtU0=")</f>
        <v>#REF!</v>
      </c>
      <c r="CA80" t="e">
        <f>AND(#REF!,"dID0agDMtU4=")</f>
        <v>#REF!</v>
      </c>
      <c r="CB80" t="e">
        <f>AND(#REF!,"dID0agDMtU8=")</f>
        <v>#REF!</v>
      </c>
      <c r="CC80" t="e">
        <f>AND(#REF!,"dID0agDMtVA=")</f>
        <v>#REF!</v>
      </c>
      <c r="CD80" t="e">
        <f>AND(#REF!,"dID0agDMtVE=")</f>
        <v>#REF!</v>
      </c>
      <c r="CE80" t="e">
        <f>AND(#REF!,"dID0agDMtVI=")</f>
        <v>#REF!</v>
      </c>
      <c r="CF80" t="e">
        <f>AND(#REF!,"dID0agDMtVM=")</f>
        <v>#REF!</v>
      </c>
      <c r="CG80" t="e">
        <f>AND(#REF!,"dID0agDMtVQ=")</f>
        <v>#REF!</v>
      </c>
      <c r="CH80" t="e">
        <f>AND(#REF!,"dID0agDMtVU=")</f>
        <v>#REF!</v>
      </c>
      <c r="CI80" t="e">
        <f>AND(#REF!,"dID0agDMtVY=")</f>
        <v>#REF!</v>
      </c>
      <c r="CJ80" t="e">
        <f>AND(#REF!,"dID0agDMtVc=")</f>
        <v>#REF!</v>
      </c>
      <c r="CK80" t="e">
        <f>AND(#REF!,"dID0agDMtVg=")</f>
        <v>#REF!</v>
      </c>
      <c r="CL80" t="e">
        <f>AND(#REF!,"dID0agDMtVk=")</f>
        <v>#REF!</v>
      </c>
      <c r="CM80" t="e">
        <f>AND(#REF!,"dID0agDMtVo=")</f>
        <v>#REF!</v>
      </c>
      <c r="CN80" t="e">
        <f>AND(#REF!,"dID0agDMtVs=")</f>
        <v>#REF!</v>
      </c>
      <c r="CO80" t="e">
        <f>AND(#REF!,"dID0agDMtVw=")</f>
        <v>#REF!</v>
      </c>
      <c r="CP80" t="e">
        <f>AND(#REF!,"dID0agDMtV0=")</f>
        <v>#REF!</v>
      </c>
      <c r="CQ80" t="e">
        <f>AND(#REF!,"dID0agDMtV4=")</f>
        <v>#REF!</v>
      </c>
      <c r="CR80" t="e">
        <f>AND(#REF!,"dID0agDMtV8=")</f>
        <v>#REF!</v>
      </c>
      <c r="CS80" t="e">
        <f>AND(#REF!,"dID0agDMtWA=")</f>
        <v>#REF!</v>
      </c>
      <c r="CT80" t="e">
        <f>AND(#REF!,"dID0agDMtWE=")</f>
        <v>#REF!</v>
      </c>
      <c r="CU80" t="e">
        <f>AND(#REF!,"dID0agDMtWI=")</f>
        <v>#REF!</v>
      </c>
      <c r="CV80" t="e">
        <f>AND(#REF!,"dID0agDMtWM=")</f>
        <v>#REF!</v>
      </c>
      <c r="CW80" t="e">
        <f>AND(#REF!,"dID0agDMtWQ=")</f>
        <v>#REF!</v>
      </c>
      <c r="CX80" t="e">
        <f>AND(#REF!,"dID0agDMtWU=")</f>
        <v>#REF!</v>
      </c>
      <c r="CY80" t="e">
        <f>AND(#REF!,"dID0agDMtWY=")</f>
        <v>#REF!</v>
      </c>
      <c r="CZ80" t="e">
        <f>AND(#REF!,"dID0agDMtWc=")</f>
        <v>#REF!</v>
      </c>
      <c r="DA80" t="e">
        <f>AND(#REF!,"dID0agDMtWg=")</f>
        <v>#REF!</v>
      </c>
      <c r="DB80" t="e">
        <f>AND(#REF!,"dID0agDMtWk=")</f>
        <v>#REF!</v>
      </c>
      <c r="DC80" t="e">
        <f>AND(#REF!,"dID0agDMtWo=")</f>
        <v>#REF!</v>
      </c>
      <c r="DD80" t="e">
        <f>AND(#REF!,"dID0agDMtWs=")</f>
        <v>#REF!</v>
      </c>
      <c r="DE80" t="e">
        <f>AND(#REF!,"dID0agDMtWw=")</f>
        <v>#REF!</v>
      </c>
      <c r="DF80" t="e">
        <f>AND(#REF!,"dID0agDMtW0=")</f>
        <v>#REF!</v>
      </c>
      <c r="DG80" t="e">
        <f>AND(#REF!,"dID0agDMtW4=")</f>
        <v>#REF!</v>
      </c>
      <c r="DH80" t="e">
        <f>AND(#REF!,"dID0agDMtW8=")</f>
        <v>#REF!</v>
      </c>
      <c r="DI80" t="e">
        <f>AND(#REF!,"dID0agDMtXA=")</f>
        <v>#REF!</v>
      </c>
      <c r="DJ80" t="e">
        <f>AND(#REF!,"dID0agDMtXE=")</f>
        <v>#REF!</v>
      </c>
      <c r="DK80" t="e">
        <f>AND(#REF!,"dID0agDMtXI=")</f>
        <v>#REF!</v>
      </c>
      <c r="DL80" t="e">
        <f>AND(#REF!,"dID0agDMtXM=")</f>
        <v>#REF!</v>
      </c>
      <c r="DM80" t="e">
        <f>AND(#REF!,"dID0agDMtXQ=")</f>
        <v>#REF!</v>
      </c>
      <c r="DN80" t="e">
        <f>AND(#REF!,"dID0agDMtXU=")</f>
        <v>#REF!</v>
      </c>
      <c r="DO80" t="e">
        <f>AND(#REF!,"dID0agDMtXY=")</f>
        <v>#REF!</v>
      </c>
      <c r="DP80" t="e">
        <f>AND(#REF!,"dID0agDMtXc=")</f>
        <v>#REF!</v>
      </c>
      <c r="DQ80" t="e">
        <f>AND(#REF!,"dID0agDMtXg=")</f>
        <v>#REF!</v>
      </c>
      <c r="DR80" t="e">
        <f>AND(#REF!,"dID0agDMtXk=")</f>
        <v>#REF!</v>
      </c>
      <c r="DS80" t="e">
        <f>AND(#REF!,"dID0agDMtXo=")</f>
        <v>#REF!</v>
      </c>
      <c r="DT80" t="e">
        <f>AND(#REF!,"dID0agDMtXs=")</f>
        <v>#REF!</v>
      </c>
      <c r="DU80" t="e">
        <f>AND(#REF!,"dID0agDMtXw=")</f>
        <v>#REF!</v>
      </c>
      <c r="DV80" t="e">
        <f>AND(#REF!,"dID0agDMtX0=")</f>
        <v>#REF!</v>
      </c>
      <c r="DW80" t="e">
        <f>AND(#REF!,"dID0agDMtX4=")</f>
        <v>#REF!</v>
      </c>
      <c r="DX80" t="e">
        <f>AND(#REF!,"dID0agDMtX8=")</f>
        <v>#REF!</v>
      </c>
      <c r="DY80" t="e">
        <f>AND(#REF!,"dID0agDMtYA=")</f>
        <v>#REF!</v>
      </c>
      <c r="DZ80" t="e">
        <f>AND(#REF!,"dID0agDMtYE=")</f>
        <v>#REF!</v>
      </c>
      <c r="EA80" t="e">
        <f>AND(#REF!,"dID0agDMtYI=")</f>
        <v>#REF!</v>
      </c>
      <c r="EB80" t="e">
        <f>AND(#REF!,"dID0agDMtYM=")</f>
        <v>#REF!</v>
      </c>
      <c r="EC80" t="e">
        <f>AND(#REF!,"dID0agDMtYQ=")</f>
        <v>#REF!</v>
      </c>
      <c r="ED80" t="e">
        <f>AND(#REF!,"dID0agDMtYU=")</f>
        <v>#REF!</v>
      </c>
      <c r="EE80" t="e">
        <f>AND(#REF!,"dID0agDMtYY=")</f>
        <v>#REF!</v>
      </c>
      <c r="EF80" t="e">
        <f>AND(#REF!,"dID0agDMtYc=")</f>
        <v>#REF!</v>
      </c>
      <c r="EG80" t="e">
        <f>AND(#REF!,"dID0agDMtYg=")</f>
        <v>#REF!</v>
      </c>
      <c r="EH80" t="e">
        <f>AND(#REF!,"dID0agDMtYk=")</f>
        <v>#REF!</v>
      </c>
      <c r="EI80" t="e">
        <f>AND(#REF!,"dID0agDMtYo=")</f>
        <v>#REF!</v>
      </c>
      <c r="EJ80" t="e">
        <f>AND(#REF!,"dID0agDMtYs=")</f>
        <v>#REF!</v>
      </c>
      <c r="EK80" t="e">
        <f>AND(#REF!,"dID0agDMtYw=")</f>
        <v>#REF!</v>
      </c>
      <c r="EL80" t="e">
        <f>AND(#REF!,"dID0agDMtY0=")</f>
        <v>#REF!</v>
      </c>
      <c r="EM80" t="e">
        <f>AND(#REF!,"dID0agDMtY4=")</f>
        <v>#REF!</v>
      </c>
      <c r="EN80" t="e">
        <f>AND(#REF!,"dID0agDMtY8=")</f>
        <v>#REF!</v>
      </c>
      <c r="EO80" t="e">
        <f>AND(#REF!,"dID0agDMtZA=")</f>
        <v>#REF!</v>
      </c>
      <c r="EP80" t="e">
        <f>AND(#REF!,"dID0agDMtZE=")</f>
        <v>#REF!</v>
      </c>
      <c r="EQ80" t="e">
        <f>AND(#REF!,"dID0agDMtZI=")</f>
        <v>#REF!</v>
      </c>
      <c r="ER80" t="e">
        <f>AND(#REF!,"dID0agDMtZM=")</f>
        <v>#REF!</v>
      </c>
      <c r="ES80" t="e">
        <f>AND(#REF!,"dID0agDMtZQ=")</f>
        <v>#REF!</v>
      </c>
      <c r="ET80" t="e">
        <f>AND(#REF!,"dID0agDMtZU=")</f>
        <v>#REF!</v>
      </c>
      <c r="EU80" t="e">
        <f>AND(#REF!,"dID0agDMtZY=")</f>
        <v>#REF!</v>
      </c>
      <c r="EV80" t="e">
        <f>AND(#REF!,"dID0agDMtZc=")</f>
        <v>#REF!</v>
      </c>
      <c r="EW80" t="e">
        <f>AND(#REF!,"dID0agDMtZg=")</f>
        <v>#REF!</v>
      </c>
      <c r="EX80" t="e">
        <f>AND(#REF!,"dID0agDMtZk=")</f>
        <v>#REF!</v>
      </c>
      <c r="EY80" t="e">
        <f>AND(#REF!,"dID0agDMtZo=")</f>
        <v>#REF!</v>
      </c>
      <c r="EZ80" t="e">
        <f>AND(#REF!,"dID0agDMtZs=")</f>
        <v>#REF!</v>
      </c>
      <c r="FA80" t="e">
        <f>AND(#REF!,"dID0agDMtZw=")</f>
        <v>#REF!</v>
      </c>
      <c r="FB80" t="e">
        <f>AND(#REF!,"dID0agDMtZ0=")</f>
        <v>#REF!</v>
      </c>
      <c r="FC80" t="e">
        <f>AND(#REF!,"dID0agDMtZ4=")</f>
        <v>#REF!</v>
      </c>
      <c r="FD80" t="e">
        <f>AND(#REF!,"dID0agDMtZ8=")</f>
        <v>#REF!</v>
      </c>
      <c r="FE80" t="e">
        <f>AND(#REF!,"dID0agDMtaA=")</f>
        <v>#REF!</v>
      </c>
      <c r="FF80" t="e">
        <f>AND(#REF!,"dID0agDMtaE=")</f>
        <v>#REF!</v>
      </c>
      <c r="FG80" t="e">
        <f>AND(#REF!,"dID0agDMtaI=")</f>
        <v>#REF!</v>
      </c>
      <c r="FH80" t="e">
        <f>AND(#REF!,"dID0agDMtaM=")</f>
        <v>#REF!</v>
      </c>
      <c r="FI80" t="e">
        <f>AND(#REF!,"dID0agDMtaQ=")</f>
        <v>#REF!</v>
      </c>
      <c r="FJ80" t="e">
        <f>AND(#REF!,"dID0agDMtaU=")</f>
        <v>#REF!</v>
      </c>
      <c r="FK80" t="e">
        <f>AND(#REF!,"dID0agDMtaY=")</f>
        <v>#REF!</v>
      </c>
      <c r="FL80" t="e">
        <f>AND(#REF!,"dID0agDMtac=")</f>
        <v>#REF!</v>
      </c>
      <c r="FM80" t="e">
        <f>AND(#REF!,"dID0agDMtag=")</f>
        <v>#REF!</v>
      </c>
      <c r="FN80" t="e">
        <f>AND(#REF!,"dID0agDMtak=")</f>
        <v>#REF!</v>
      </c>
      <c r="FO80" t="e">
        <f>AND(#REF!,"dID0agDMtao=")</f>
        <v>#REF!</v>
      </c>
      <c r="FP80" t="e">
        <f>AND(#REF!,"dID0agDMtas=")</f>
        <v>#REF!</v>
      </c>
      <c r="FQ80" t="e">
        <f>AND(#REF!,"dID0agDMtaw=")</f>
        <v>#REF!</v>
      </c>
      <c r="FR80" t="e">
        <f>AND(#REF!,"dID0agDMta0=")</f>
        <v>#REF!</v>
      </c>
      <c r="FS80" t="e">
        <f>AND(#REF!,"dID0agDMta4=")</f>
        <v>#REF!</v>
      </c>
      <c r="FT80" t="e">
        <f>AND(#REF!,"dID0agDMta8=")</f>
        <v>#REF!</v>
      </c>
      <c r="FU80" t="e">
        <f>AND(#REF!,"dID0agDMtbA=")</f>
        <v>#REF!</v>
      </c>
      <c r="FV80" t="e">
        <f>AND(#REF!,"dID0agDMtbE=")</f>
        <v>#REF!</v>
      </c>
      <c r="FW80" t="e">
        <f>AND(#REF!,"dID0agDMtbI=")</f>
        <v>#REF!</v>
      </c>
      <c r="FX80" t="e">
        <f>AND(#REF!,"dID0agDMtbM=")</f>
        <v>#REF!</v>
      </c>
      <c r="FY80" t="e">
        <f>AND(#REF!,"dID0agDMtbQ=")</f>
        <v>#REF!</v>
      </c>
      <c r="FZ80" t="e">
        <f>AND(#REF!,"dID0agDMtbU=")</f>
        <v>#REF!</v>
      </c>
      <c r="GA80" t="e">
        <f>AND(#REF!,"dID0agDMtbY=")</f>
        <v>#REF!</v>
      </c>
      <c r="GB80" t="e">
        <f>AND(#REF!,"dID0agDMtbc=")</f>
        <v>#REF!</v>
      </c>
      <c r="GC80" t="e">
        <f>AND(#REF!,"dID0agDMtbg=")</f>
        <v>#REF!</v>
      </c>
      <c r="GD80" t="e">
        <f>AND(#REF!,"dID0agDMtbk=")</f>
        <v>#REF!</v>
      </c>
      <c r="GE80" t="e">
        <f>AND(#REF!,"dID0agDMtbo=")</f>
        <v>#REF!</v>
      </c>
      <c r="GF80" t="e">
        <f>AND(#REF!,"dID0agDMtbs=")</f>
        <v>#REF!</v>
      </c>
      <c r="GG80" t="e">
        <f>AND(#REF!,"dID0agDMtbw=")</f>
        <v>#REF!</v>
      </c>
      <c r="GH80" t="e">
        <f>AND(#REF!,"dID0agDMtb0=")</f>
        <v>#REF!</v>
      </c>
      <c r="GI80" t="e">
        <f>AND(#REF!,"dID0agDMtb4=")</f>
        <v>#REF!</v>
      </c>
      <c r="GJ80" t="e">
        <f>AND(#REF!,"dID0agDMtb8=")</f>
        <v>#REF!</v>
      </c>
      <c r="GK80" t="e">
        <f>AND(#REF!,"dID0agDMtcA=")</f>
        <v>#REF!</v>
      </c>
      <c r="GL80" t="e">
        <f>AND(#REF!,"dID0agDMtcE=")</f>
        <v>#REF!</v>
      </c>
      <c r="GM80" t="e">
        <f>AND(#REF!,"dID0agDMtcI=")</f>
        <v>#REF!</v>
      </c>
      <c r="GN80" t="e">
        <f>AND(#REF!,"dID0agDMtcM=")</f>
        <v>#REF!</v>
      </c>
      <c r="GO80" t="e">
        <f>AND(#REF!,"dID0agDMtcQ=")</f>
        <v>#REF!</v>
      </c>
      <c r="GP80" t="e">
        <f>AND(#REF!,"dID0agDMtcU=")</f>
        <v>#REF!</v>
      </c>
      <c r="GQ80" t="e">
        <f>AND(#REF!,"dID0agDMtcY=")</f>
        <v>#REF!</v>
      </c>
      <c r="GR80" t="e">
        <f>AND(#REF!,"dID0agDMtcc=")</f>
        <v>#REF!</v>
      </c>
      <c r="GS80" t="e">
        <f>AND(#REF!,"dID0agDMtcg=")</f>
        <v>#REF!</v>
      </c>
      <c r="GT80" t="e">
        <f>AND(#REF!,"dID0agDMtck=")</f>
        <v>#REF!</v>
      </c>
      <c r="GU80" t="e">
        <f>AND(#REF!,"dID0agDMtco=")</f>
        <v>#REF!</v>
      </c>
      <c r="GV80" t="e">
        <f>AND(#REF!,"dID0agDMtcs=")</f>
        <v>#REF!</v>
      </c>
      <c r="GW80" t="e">
        <f>AND(#REF!,"dID0agDMtcw=")</f>
        <v>#REF!</v>
      </c>
      <c r="GX80" t="e">
        <f>AND(#REF!,"dID0agDMtc0=")</f>
        <v>#REF!</v>
      </c>
      <c r="GY80" t="e">
        <f>AND(#REF!,"dID0agDMtc4=")</f>
        <v>#REF!</v>
      </c>
      <c r="GZ80" t="e">
        <f>AND(#REF!,"dID0agDMtc8=")</f>
        <v>#REF!</v>
      </c>
      <c r="HA80" t="e">
        <f>AND(#REF!,"dID0agDMtdA=")</f>
        <v>#REF!</v>
      </c>
      <c r="HB80" t="e">
        <f>AND(#REF!,"dID0agDMtdE=")</f>
        <v>#REF!</v>
      </c>
      <c r="HC80" t="e">
        <f>AND(#REF!,"dID0agDMtdI=")</f>
        <v>#REF!</v>
      </c>
      <c r="HD80" t="e">
        <f>AND(#REF!,"dID0agDMtdM=")</f>
        <v>#REF!</v>
      </c>
      <c r="HE80" t="e">
        <f>AND(#REF!,"dID0agDMtdQ=")</f>
        <v>#REF!</v>
      </c>
      <c r="HF80" t="e">
        <f>AND(#REF!,"dID0agDMtdU=")</f>
        <v>#REF!</v>
      </c>
      <c r="HG80" t="e">
        <f>AND(#REF!,"dID0agDMtdY=")</f>
        <v>#REF!</v>
      </c>
      <c r="HH80" t="e">
        <f>AND(#REF!,"dID0agDMtdc=")</f>
        <v>#REF!</v>
      </c>
      <c r="HI80" t="e">
        <f>AND(#REF!,"dID0agDMtdg=")</f>
        <v>#REF!</v>
      </c>
      <c r="HJ80" t="e">
        <f>AND(#REF!,"dID0agDMtdk=")</f>
        <v>#REF!</v>
      </c>
      <c r="HK80" t="e">
        <f>AND(#REF!,"dID0agDMtdo=")</f>
        <v>#REF!</v>
      </c>
      <c r="HL80" t="e">
        <f>IF(#REF!,"dID0agDMtds=",0)</f>
        <v>#REF!</v>
      </c>
      <c r="HM80" t="e">
        <f>AND(#REF!,"dID0agDMtdw=")</f>
        <v>#REF!</v>
      </c>
      <c r="HN80" t="e">
        <f>AND(#REF!,"dID0agDMtd0=")</f>
        <v>#REF!</v>
      </c>
      <c r="HO80" t="e">
        <f>AND(#REF!,"dID0agDMtd4=")</f>
        <v>#REF!</v>
      </c>
      <c r="HP80" t="e">
        <f>AND(#REF!,"dID0agDMtd8=")</f>
        <v>#REF!</v>
      </c>
      <c r="HQ80" t="e">
        <f>AND(#REF!,"dID0agDMteA=")</f>
        <v>#REF!</v>
      </c>
      <c r="HR80" t="e">
        <f>AND(#REF!,"dID0agDMteE=")</f>
        <v>#REF!</v>
      </c>
      <c r="HS80" t="e">
        <f>AND(#REF!,"dID0agDMteI=")</f>
        <v>#REF!</v>
      </c>
      <c r="HT80" t="e">
        <f>AND(#REF!,"dID0agDMteM=")</f>
        <v>#REF!</v>
      </c>
      <c r="HU80" t="e">
        <f>AND(#REF!,"dID0agDMteQ=")</f>
        <v>#REF!</v>
      </c>
      <c r="HV80" t="e">
        <f>AND(#REF!,"dID0agDMteU=")</f>
        <v>#REF!</v>
      </c>
      <c r="HW80" t="e">
        <f>AND(#REF!,"dID0agDMteY=")</f>
        <v>#REF!</v>
      </c>
      <c r="HX80" t="e">
        <f>AND(#REF!,"dID0agDMtec=")</f>
        <v>#REF!</v>
      </c>
      <c r="HY80" t="e">
        <f>AND(#REF!,"dID0agDMteg=")</f>
        <v>#REF!</v>
      </c>
      <c r="HZ80" t="e">
        <f>AND(#REF!,"dID0agDMtek=")</f>
        <v>#REF!</v>
      </c>
      <c r="IA80" t="e">
        <f>AND(#REF!,"dID0agDMteo=")</f>
        <v>#REF!</v>
      </c>
      <c r="IB80" t="e">
        <f>AND(#REF!,"dID0agDMtes=")</f>
        <v>#REF!</v>
      </c>
      <c r="IC80" t="e">
        <f>AND(#REF!,"dID0agDMtew=")</f>
        <v>#REF!</v>
      </c>
      <c r="ID80" t="e">
        <f>AND(#REF!,"dID0agDMte0=")</f>
        <v>#REF!</v>
      </c>
      <c r="IE80" t="e">
        <f>AND(#REF!,"dID0agDMte4=")</f>
        <v>#REF!</v>
      </c>
      <c r="IF80" t="e">
        <f>AND(#REF!,"dID0agDMte8=")</f>
        <v>#REF!</v>
      </c>
      <c r="IG80" t="e">
        <f>AND(#REF!,"dID0agDMtfA=")</f>
        <v>#REF!</v>
      </c>
      <c r="IH80" t="e">
        <f>AND(#REF!,"dID0agDMtfE=")</f>
        <v>#REF!</v>
      </c>
      <c r="II80" t="e">
        <f>AND(#REF!,"dID0agDMtfI=")</f>
        <v>#REF!</v>
      </c>
      <c r="IJ80" t="e">
        <f>AND(#REF!,"dID0agDMtfM=")</f>
        <v>#REF!</v>
      </c>
      <c r="IK80" t="e">
        <f>AND(#REF!,"dID0agDMtfQ=")</f>
        <v>#REF!</v>
      </c>
      <c r="IL80" t="e">
        <f>AND(#REF!,"dID0agDMtfU=")</f>
        <v>#REF!</v>
      </c>
      <c r="IM80" t="e">
        <f>AND(#REF!,"dID0agDMtfY=")</f>
        <v>#REF!</v>
      </c>
      <c r="IN80" t="e">
        <f>AND(#REF!,"dID0agDMtfc=")</f>
        <v>#REF!</v>
      </c>
      <c r="IO80" t="e">
        <f>AND(#REF!,"dID0agDMtfg=")</f>
        <v>#REF!</v>
      </c>
      <c r="IP80" t="e">
        <f>AND(#REF!,"dID0agDMtfk=")</f>
        <v>#REF!</v>
      </c>
      <c r="IQ80" t="e">
        <f>AND(#REF!,"dID0agDMtfo=")</f>
        <v>#REF!</v>
      </c>
      <c r="IR80" t="e">
        <f>AND(#REF!,"dID0agDMtfs=")</f>
        <v>#REF!</v>
      </c>
      <c r="IS80" t="e">
        <f>AND(#REF!,"dID0agDMtfw=")</f>
        <v>#REF!</v>
      </c>
      <c r="IT80" t="e">
        <f>AND(#REF!,"dID0agDMtf0=")</f>
        <v>#REF!</v>
      </c>
      <c r="IU80" t="e">
        <f>AND(#REF!,"dID0agDMtf4=")</f>
        <v>#REF!</v>
      </c>
      <c r="IV80" t="e">
        <f>AND(#REF!,"dID0agDMtf8=")</f>
        <v>#REF!</v>
      </c>
    </row>
    <row r="81" spans="1:256" x14ac:dyDescent="0.2">
      <c r="A81" t="e">
        <f>AND(#REF!,"WaNd4xr03wA=")</f>
        <v>#REF!</v>
      </c>
      <c r="B81" t="e">
        <f>AND(#REF!,"WaNd4xr03wE=")</f>
        <v>#REF!</v>
      </c>
      <c r="C81" t="e">
        <f>AND(#REF!,"WaNd4xr03wI=")</f>
        <v>#REF!</v>
      </c>
      <c r="D81" t="e">
        <f>AND(#REF!,"WaNd4xr03wM=")</f>
        <v>#REF!</v>
      </c>
      <c r="E81" t="e">
        <f>AND(#REF!,"WaNd4xr03wQ=")</f>
        <v>#REF!</v>
      </c>
      <c r="F81" t="e">
        <f>AND(#REF!,"WaNd4xr03wU=")</f>
        <v>#REF!</v>
      </c>
      <c r="G81" t="e">
        <f>AND(#REF!,"WaNd4xr03wY=")</f>
        <v>#REF!</v>
      </c>
      <c r="H81" t="e">
        <f>AND(#REF!,"WaNd4xr03wc=")</f>
        <v>#REF!</v>
      </c>
      <c r="I81" t="e">
        <f>AND(#REF!,"WaNd4xr03wg=")</f>
        <v>#REF!</v>
      </c>
      <c r="J81" t="e">
        <f>AND(#REF!,"WaNd4xr03wk=")</f>
        <v>#REF!</v>
      </c>
      <c r="K81" t="e">
        <f>AND(#REF!,"WaNd4xr03wo=")</f>
        <v>#REF!</v>
      </c>
      <c r="L81" t="e">
        <f>AND(#REF!,"WaNd4xr03ws=")</f>
        <v>#REF!</v>
      </c>
      <c r="M81" t="e">
        <f>AND(#REF!,"WaNd4xr03ww=")</f>
        <v>#REF!</v>
      </c>
      <c r="N81" t="e">
        <f>AND(#REF!,"WaNd4xr03w0=")</f>
        <v>#REF!</v>
      </c>
      <c r="O81" t="e">
        <f>AND(#REF!,"WaNd4xr03w4=")</f>
        <v>#REF!</v>
      </c>
      <c r="P81" t="e">
        <f>AND(#REF!,"WaNd4xr03w8=")</f>
        <v>#REF!</v>
      </c>
      <c r="Q81" t="e">
        <f>AND(#REF!,"WaNd4xr03xA=")</f>
        <v>#REF!</v>
      </c>
      <c r="R81" t="e">
        <f>AND(#REF!,"WaNd4xr03xE=")</f>
        <v>#REF!</v>
      </c>
      <c r="S81" t="e">
        <f>AND(#REF!,"WaNd4xr03xI=")</f>
        <v>#REF!</v>
      </c>
      <c r="T81" t="e">
        <f>AND(#REF!,"WaNd4xr03xM=")</f>
        <v>#REF!</v>
      </c>
      <c r="U81" t="e">
        <f>AND(#REF!,"WaNd4xr03xQ=")</f>
        <v>#REF!</v>
      </c>
      <c r="V81" t="e">
        <f>AND(#REF!,"WaNd4xr03xU=")</f>
        <v>#REF!</v>
      </c>
      <c r="W81" t="e">
        <f>AND(#REF!,"WaNd4xr03xY=")</f>
        <v>#REF!</v>
      </c>
      <c r="X81" t="e">
        <f>AND(#REF!,"WaNd4xr03xc=")</f>
        <v>#REF!</v>
      </c>
      <c r="Y81" t="e">
        <f>AND(#REF!,"WaNd4xr03xg=")</f>
        <v>#REF!</v>
      </c>
      <c r="Z81" t="e">
        <f>AND(#REF!,"WaNd4xr03xk=")</f>
        <v>#REF!</v>
      </c>
      <c r="AA81" t="e">
        <f>AND(#REF!,"WaNd4xr03xo=")</f>
        <v>#REF!</v>
      </c>
      <c r="AB81" t="e">
        <f>AND(#REF!,"WaNd4xr03xs=")</f>
        <v>#REF!</v>
      </c>
      <c r="AC81" t="e">
        <f>AND(#REF!,"WaNd4xr03xw=")</f>
        <v>#REF!</v>
      </c>
      <c r="AD81" t="e">
        <f>AND(#REF!,"WaNd4xr03x0=")</f>
        <v>#REF!</v>
      </c>
      <c r="AE81" t="e">
        <f>AND(#REF!,"WaNd4xr03x4=")</f>
        <v>#REF!</v>
      </c>
      <c r="AF81" t="e">
        <f>AND(#REF!,"WaNd4xr03x8=")</f>
        <v>#REF!</v>
      </c>
      <c r="AG81" t="e">
        <f>AND(#REF!,"WaNd4xr03yA=")</f>
        <v>#REF!</v>
      </c>
      <c r="AH81" t="e">
        <f>AND(#REF!,"WaNd4xr03yE=")</f>
        <v>#REF!</v>
      </c>
      <c r="AI81" t="e">
        <f>AND(#REF!,"WaNd4xr03yI=")</f>
        <v>#REF!</v>
      </c>
      <c r="AJ81" t="e">
        <f>AND(#REF!,"WaNd4xr03yM=")</f>
        <v>#REF!</v>
      </c>
      <c r="AK81" t="e">
        <f>AND(#REF!,"WaNd4xr03yQ=")</f>
        <v>#REF!</v>
      </c>
      <c r="AL81" t="e">
        <f>AND(#REF!,"WaNd4xr03yU=")</f>
        <v>#REF!</v>
      </c>
      <c r="AM81" t="e">
        <f>AND(#REF!,"WaNd4xr03yY=")</f>
        <v>#REF!</v>
      </c>
      <c r="AN81" t="e">
        <f>AND(#REF!,"WaNd4xr03yc=")</f>
        <v>#REF!</v>
      </c>
      <c r="AO81" t="e">
        <f>AND(#REF!,"WaNd4xr03yg=")</f>
        <v>#REF!</v>
      </c>
      <c r="AP81" t="e">
        <f>AND(#REF!,"WaNd4xr03yk=")</f>
        <v>#REF!</v>
      </c>
      <c r="AQ81" t="e">
        <f>AND(#REF!,"WaNd4xr03yo=")</f>
        <v>#REF!</v>
      </c>
      <c r="AR81" t="e">
        <f>AND(#REF!,"WaNd4xr03ys=")</f>
        <v>#REF!</v>
      </c>
      <c r="AS81" t="e">
        <f>AND(#REF!,"WaNd4xr03yw=")</f>
        <v>#REF!</v>
      </c>
      <c r="AT81" t="e">
        <f>AND(#REF!,"WaNd4xr03y0=")</f>
        <v>#REF!</v>
      </c>
      <c r="AU81" t="e">
        <f>AND(#REF!,"WaNd4xr03y4=")</f>
        <v>#REF!</v>
      </c>
      <c r="AV81" t="e">
        <f>AND(#REF!,"WaNd4xr03y8=")</f>
        <v>#REF!</v>
      </c>
      <c r="AW81" t="e">
        <f>AND(#REF!,"WaNd4xr03zA=")</f>
        <v>#REF!</v>
      </c>
      <c r="AX81" t="e">
        <f>AND(#REF!,"WaNd4xr03zE=")</f>
        <v>#REF!</v>
      </c>
      <c r="AY81" t="e">
        <f>AND(#REF!,"WaNd4xr03zI=")</f>
        <v>#REF!</v>
      </c>
      <c r="AZ81" t="e">
        <f>AND(#REF!,"WaNd4xr03zM=")</f>
        <v>#REF!</v>
      </c>
      <c r="BA81" t="e">
        <f>AND(#REF!,"WaNd4xr03zQ=")</f>
        <v>#REF!</v>
      </c>
      <c r="BB81" t="e">
        <f>AND(#REF!,"WaNd4xr03zU=")</f>
        <v>#REF!</v>
      </c>
      <c r="BC81" t="e">
        <f>AND(#REF!,"WaNd4xr03zY=")</f>
        <v>#REF!</v>
      </c>
      <c r="BD81" t="e">
        <f>AND(#REF!,"WaNd4xr03zc=")</f>
        <v>#REF!</v>
      </c>
      <c r="BE81" t="e">
        <f>AND(#REF!,"WaNd4xr03zg=")</f>
        <v>#REF!</v>
      </c>
      <c r="BF81" t="e">
        <f>AND(#REF!,"WaNd4xr03zk=")</f>
        <v>#REF!</v>
      </c>
      <c r="BG81" t="e">
        <f>AND(#REF!,"WaNd4xr03zo=")</f>
        <v>#REF!</v>
      </c>
      <c r="BH81" t="e">
        <f>AND(#REF!,"WaNd4xr03zs=")</f>
        <v>#REF!</v>
      </c>
      <c r="BI81" t="e">
        <f>AND(#REF!,"WaNd4xr03zw=")</f>
        <v>#REF!</v>
      </c>
      <c r="BJ81" t="e">
        <f>AND(#REF!,"WaNd4xr03z0=")</f>
        <v>#REF!</v>
      </c>
      <c r="BK81" t="e">
        <f>AND(#REF!,"WaNd4xr03z4=")</f>
        <v>#REF!</v>
      </c>
      <c r="BL81" t="e">
        <f>AND(#REF!,"WaNd4xr03z8=")</f>
        <v>#REF!</v>
      </c>
      <c r="BM81" t="e">
        <f>AND(#REF!,"WaNd4xr030A=")</f>
        <v>#REF!</v>
      </c>
      <c r="BN81" t="e">
        <f>AND(#REF!,"WaNd4xr030E=")</f>
        <v>#REF!</v>
      </c>
      <c r="BO81" t="e">
        <f>AND(#REF!,"WaNd4xr030I=")</f>
        <v>#REF!</v>
      </c>
      <c r="BP81" t="e">
        <f>AND(#REF!,"WaNd4xr030M=")</f>
        <v>#REF!</v>
      </c>
      <c r="BQ81" t="e">
        <f>AND(#REF!,"WaNd4xr030Q=")</f>
        <v>#REF!</v>
      </c>
      <c r="BR81" t="e">
        <f>AND(#REF!,"WaNd4xr030U=")</f>
        <v>#REF!</v>
      </c>
      <c r="BS81" t="e">
        <f>AND(#REF!,"WaNd4xr030Y=")</f>
        <v>#REF!</v>
      </c>
      <c r="BT81" t="e">
        <f>AND(#REF!,"WaNd4xr030c=")</f>
        <v>#REF!</v>
      </c>
      <c r="BU81" t="e">
        <f>AND(#REF!,"WaNd4xr030g=")</f>
        <v>#REF!</v>
      </c>
      <c r="BV81" t="e">
        <f>AND(#REF!,"WaNd4xr030k=")</f>
        <v>#REF!</v>
      </c>
      <c r="BW81" t="e">
        <f>AND(#REF!,"WaNd4xr030o=")</f>
        <v>#REF!</v>
      </c>
      <c r="BX81" t="e">
        <f>AND(#REF!,"WaNd4xr030s=")</f>
        <v>#REF!</v>
      </c>
      <c r="BY81" t="e">
        <f>AND(#REF!,"WaNd4xr030w=")</f>
        <v>#REF!</v>
      </c>
      <c r="BZ81" t="e">
        <f>AND(#REF!,"WaNd4xr0300=")</f>
        <v>#REF!</v>
      </c>
      <c r="CA81" t="e">
        <f>AND(#REF!,"WaNd4xr0304=")</f>
        <v>#REF!</v>
      </c>
      <c r="CB81" t="e">
        <f>AND(#REF!,"WaNd4xr0308=")</f>
        <v>#REF!</v>
      </c>
      <c r="CC81" t="e">
        <f>AND(#REF!,"WaNd4xr031A=")</f>
        <v>#REF!</v>
      </c>
      <c r="CD81" t="e">
        <f>AND(#REF!,"WaNd4xr031E=")</f>
        <v>#REF!</v>
      </c>
      <c r="CE81" t="e">
        <f>AND(#REF!,"WaNd4xr031I=")</f>
        <v>#REF!</v>
      </c>
      <c r="CF81" t="e">
        <f>AND(#REF!,"WaNd4xr031M=")</f>
        <v>#REF!</v>
      </c>
      <c r="CG81" t="e">
        <f>AND(#REF!,"WaNd4xr031Q=")</f>
        <v>#REF!</v>
      </c>
      <c r="CH81" t="e">
        <f>AND(#REF!,"WaNd4xr031U=")</f>
        <v>#REF!</v>
      </c>
      <c r="CI81" t="e">
        <f>AND(#REF!,"WaNd4xr031Y=")</f>
        <v>#REF!</v>
      </c>
      <c r="CJ81" t="e">
        <f>AND(#REF!,"WaNd4xr031c=")</f>
        <v>#REF!</v>
      </c>
      <c r="CK81" t="e">
        <f>AND(#REF!,"WaNd4xr031g=")</f>
        <v>#REF!</v>
      </c>
      <c r="CL81" t="e">
        <f>AND(#REF!,"WaNd4xr031k=")</f>
        <v>#REF!</v>
      </c>
      <c r="CM81" t="e">
        <f>AND(#REF!,"WaNd4xr031o=")</f>
        <v>#REF!</v>
      </c>
      <c r="CN81" t="e">
        <f>AND(#REF!,"WaNd4xr031s=")</f>
        <v>#REF!</v>
      </c>
      <c r="CO81" t="e">
        <f>AND(#REF!,"WaNd4xr031w=")</f>
        <v>#REF!</v>
      </c>
      <c r="CP81" t="e">
        <f>AND(#REF!,"WaNd4xr0310=")</f>
        <v>#REF!</v>
      </c>
      <c r="CQ81" t="e">
        <f>AND(#REF!,"WaNd4xr0314=")</f>
        <v>#REF!</v>
      </c>
      <c r="CR81" t="e">
        <f>AND(#REF!,"WaNd4xr0318=")</f>
        <v>#REF!</v>
      </c>
      <c r="CS81" t="e">
        <f>AND(#REF!,"WaNd4xr032A=")</f>
        <v>#REF!</v>
      </c>
      <c r="CT81" t="e">
        <f>AND(#REF!,"WaNd4xr032E=")</f>
        <v>#REF!</v>
      </c>
      <c r="CU81" t="e">
        <f>AND(#REF!,"WaNd4xr032I=")</f>
        <v>#REF!</v>
      </c>
      <c r="CV81" t="e">
        <f>AND(#REF!,"WaNd4xr032M=")</f>
        <v>#REF!</v>
      </c>
      <c r="CW81" t="e">
        <f>AND(#REF!,"WaNd4xr032Q=")</f>
        <v>#REF!</v>
      </c>
      <c r="CX81" t="e">
        <f>AND(#REF!,"WaNd4xr032U=")</f>
        <v>#REF!</v>
      </c>
      <c r="CY81" t="e">
        <f>AND(#REF!,"WaNd4xr032Y=")</f>
        <v>#REF!</v>
      </c>
      <c r="CZ81" t="e">
        <f>AND(#REF!,"WaNd4xr032c=")</f>
        <v>#REF!</v>
      </c>
      <c r="DA81" t="e">
        <f>AND(#REF!,"WaNd4xr032g=")</f>
        <v>#REF!</v>
      </c>
      <c r="DB81" t="e">
        <f>AND(#REF!,"WaNd4xr032k=")</f>
        <v>#REF!</v>
      </c>
      <c r="DC81" t="e">
        <f>AND(#REF!,"WaNd4xr032o=")</f>
        <v>#REF!</v>
      </c>
      <c r="DD81" t="e">
        <f>AND(#REF!,"WaNd4xr032s=")</f>
        <v>#REF!</v>
      </c>
      <c r="DE81" t="e">
        <f>AND(#REF!,"WaNd4xr032w=")</f>
        <v>#REF!</v>
      </c>
      <c r="DF81" t="e">
        <f>AND(#REF!,"WaNd4xr0320=")</f>
        <v>#REF!</v>
      </c>
      <c r="DG81" t="e">
        <f>AND(#REF!,"WaNd4xr0324=")</f>
        <v>#REF!</v>
      </c>
      <c r="DH81" t="e">
        <f>AND(#REF!,"WaNd4xr0328=")</f>
        <v>#REF!</v>
      </c>
      <c r="DI81" t="e">
        <f>AND(#REF!,"WaNd4xr033A=")</f>
        <v>#REF!</v>
      </c>
      <c r="DJ81" t="e">
        <f>AND(#REF!,"WaNd4xr033E=")</f>
        <v>#REF!</v>
      </c>
      <c r="DK81" t="e">
        <f>AND(#REF!,"WaNd4xr033I=")</f>
        <v>#REF!</v>
      </c>
      <c r="DL81" t="e">
        <f>AND(#REF!,"WaNd4xr033M=")</f>
        <v>#REF!</v>
      </c>
      <c r="DM81" t="e">
        <f>AND(#REF!,"WaNd4xr033Q=")</f>
        <v>#REF!</v>
      </c>
      <c r="DN81" t="e">
        <f>AND(#REF!,"WaNd4xr033U=")</f>
        <v>#REF!</v>
      </c>
      <c r="DO81" t="e">
        <f>AND(#REF!,"WaNd4xr033Y=")</f>
        <v>#REF!</v>
      </c>
      <c r="DP81" t="e">
        <f>AND(#REF!,"WaNd4xr033c=")</f>
        <v>#REF!</v>
      </c>
      <c r="DQ81" t="e">
        <f>AND(#REF!,"WaNd4xr033g=")</f>
        <v>#REF!</v>
      </c>
      <c r="DR81" t="e">
        <f>AND(#REF!,"WaNd4xr033k=")</f>
        <v>#REF!</v>
      </c>
      <c r="DS81" t="e">
        <f>AND(#REF!,"WaNd4xr033o=")</f>
        <v>#REF!</v>
      </c>
      <c r="DT81" t="e">
        <f>AND(#REF!,"WaNd4xr033s=")</f>
        <v>#REF!</v>
      </c>
      <c r="DU81" t="e">
        <f>AND(#REF!,"WaNd4xr033w=")</f>
        <v>#REF!</v>
      </c>
      <c r="DV81" t="e">
        <f>AND(#REF!,"WaNd4xr0330=")</f>
        <v>#REF!</v>
      </c>
      <c r="DW81" t="e">
        <f>AND(#REF!,"WaNd4xr0334=")</f>
        <v>#REF!</v>
      </c>
      <c r="DX81" t="e">
        <f>AND(#REF!,"WaNd4xr0338=")</f>
        <v>#REF!</v>
      </c>
      <c r="DY81" t="e">
        <f>AND(#REF!,"WaNd4xr034A=")</f>
        <v>#REF!</v>
      </c>
      <c r="DZ81" t="e">
        <f>AND(#REF!,"WaNd4xr034E=")</f>
        <v>#REF!</v>
      </c>
      <c r="EA81" t="e">
        <f>AND(#REF!,"WaNd4xr034I=")</f>
        <v>#REF!</v>
      </c>
      <c r="EB81" t="e">
        <f>AND(#REF!,"WaNd4xr034M=")</f>
        <v>#REF!</v>
      </c>
      <c r="EC81" t="e">
        <f>AND(#REF!,"WaNd4xr034Q=")</f>
        <v>#REF!</v>
      </c>
      <c r="ED81" t="e">
        <f>AND(#REF!,"WaNd4xr034U=")</f>
        <v>#REF!</v>
      </c>
      <c r="EE81" t="e">
        <f>AND(#REF!,"WaNd4xr034Y=")</f>
        <v>#REF!</v>
      </c>
      <c r="EF81" t="e">
        <f>AND(#REF!,"WaNd4xr034c=")</f>
        <v>#REF!</v>
      </c>
      <c r="EG81" t="e">
        <f>AND(#REF!,"WaNd4xr034g=")</f>
        <v>#REF!</v>
      </c>
      <c r="EH81" t="e">
        <f>AND(#REF!,"WaNd4xr034k=")</f>
        <v>#REF!</v>
      </c>
      <c r="EI81" t="e">
        <f>AND(#REF!,"WaNd4xr034o=")</f>
        <v>#REF!</v>
      </c>
      <c r="EJ81" t="e">
        <f>AND(#REF!,"WaNd4xr034s=")</f>
        <v>#REF!</v>
      </c>
      <c r="EK81" t="e">
        <f>AND(#REF!,"WaNd4xr034w=")</f>
        <v>#REF!</v>
      </c>
      <c r="EL81" t="e">
        <f>AND(#REF!,"WaNd4xr0340=")</f>
        <v>#REF!</v>
      </c>
      <c r="EM81" t="e">
        <f>AND(#REF!,"WaNd4xr0344=")</f>
        <v>#REF!</v>
      </c>
      <c r="EN81" t="e">
        <f>AND(#REF!,"WaNd4xr0348=")</f>
        <v>#REF!</v>
      </c>
      <c r="EO81" t="e">
        <f>AND(#REF!,"WaNd4xr035A=")</f>
        <v>#REF!</v>
      </c>
      <c r="EP81" t="e">
        <f>AND(#REF!,"WaNd4xr035E=")</f>
        <v>#REF!</v>
      </c>
      <c r="EQ81" t="e">
        <f>AND(#REF!,"WaNd4xr035I=")</f>
        <v>#REF!</v>
      </c>
      <c r="ER81" t="e">
        <f>AND(#REF!,"WaNd4xr035M=")</f>
        <v>#REF!</v>
      </c>
      <c r="ES81" t="e">
        <f>AND(#REF!,"WaNd4xr035Q=")</f>
        <v>#REF!</v>
      </c>
      <c r="ET81" t="e">
        <f>AND(#REF!,"WaNd4xr035U=")</f>
        <v>#REF!</v>
      </c>
      <c r="EU81" t="e">
        <f>AND(#REF!,"WaNd4xr035Y=")</f>
        <v>#REF!</v>
      </c>
      <c r="EV81" t="e">
        <f>AND(#REF!,"WaNd4xr035c=")</f>
        <v>#REF!</v>
      </c>
      <c r="EW81" t="e">
        <f>AND(#REF!,"WaNd4xr035g=")</f>
        <v>#REF!</v>
      </c>
      <c r="EX81" t="e">
        <f>AND(#REF!,"WaNd4xr035k=")</f>
        <v>#REF!</v>
      </c>
      <c r="EY81" t="e">
        <f>AND(#REF!,"WaNd4xr035o=")</f>
        <v>#REF!</v>
      </c>
      <c r="EZ81" t="e">
        <f>AND(#REF!,"WaNd4xr035s=")</f>
        <v>#REF!</v>
      </c>
      <c r="FA81" t="e">
        <f>AND(#REF!,"WaNd4xr035w=")</f>
        <v>#REF!</v>
      </c>
      <c r="FB81" t="e">
        <f>AND(#REF!,"WaNd4xr0350=")</f>
        <v>#REF!</v>
      </c>
      <c r="FC81" t="e">
        <f>AND(#REF!,"WaNd4xr0354=")</f>
        <v>#REF!</v>
      </c>
      <c r="FD81" t="e">
        <f>AND(#REF!,"WaNd4xr0358=")</f>
        <v>#REF!</v>
      </c>
      <c r="FE81" t="e">
        <f>AND(#REF!,"WaNd4xr036A=")</f>
        <v>#REF!</v>
      </c>
      <c r="FF81" t="e">
        <f>AND(#REF!,"WaNd4xr036E=")</f>
        <v>#REF!</v>
      </c>
      <c r="FG81" t="e">
        <f>IF(#REF!,"WaNd4xr036I=",0)</f>
        <v>#REF!</v>
      </c>
      <c r="FH81" t="e">
        <f>AND(#REF!,"WaNd4xr036M=")</f>
        <v>#REF!</v>
      </c>
      <c r="FI81" t="e">
        <f>AND(#REF!,"WaNd4xr036Q=")</f>
        <v>#REF!</v>
      </c>
      <c r="FJ81" t="e">
        <f>AND(#REF!,"WaNd4xr036U=")</f>
        <v>#REF!</v>
      </c>
      <c r="FK81" t="e">
        <f>AND(#REF!,"WaNd4xr036Y=")</f>
        <v>#REF!</v>
      </c>
      <c r="FL81" t="e">
        <f>AND(#REF!,"WaNd4xr036c=")</f>
        <v>#REF!</v>
      </c>
      <c r="FM81" t="e">
        <f>AND(#REF!,"WaNd4xr036g=")</f>
        <v>#REF!</v>
      </c>
      <c r="FN81" t="e">
        <f>AND(#REF!,"WaNd4xr036k=")</f>
        <v>#REF!</v>
      </c>
      <c r="FO81" t="e">
        <f>AND(#REF!,"WaNd4xr036o=")</f>
        <v>#REF!</v>
      </c>
      <c r="FP81" t="e">
        <f>AND(#REF!,"WaNd4xr036s=")</f>
        <v>#REF!</v>
      </c>
      <c r="FQ81" t="e">
        <f>AND(#REF!,"WaNd4xr036w=")</f>
        <v>#REF!</v>
      </c>
      <c r="FR81" t="e">
        <f>AND(#REF!,"WaNd4xr0360=")</f>
        <v>#REF!</v>
      </c>
      <c r="FS81" t="e">
        <f>AND(#REF!,"WaNd4xr0364=")</f>
        <v>#REF!</v>
      </c>
      <c r="FT81" t="e">
        <f>AND(#REF!,"WaNd4xr0368=")</f>
        <v>#REF!</v>
      </c>
      <c r="FU81" t="e">
        <f>AND(#REF!,"WaNd4xr037A=")</f>
        <v>#REF!</v>
      </c>
      <c r="FV81" t="e">
        <f>AND(#REF!,"WaNd4xr037E=")</f>
        <v>#REF!</v>
      </c>
      <c r="FW81" t="e">
        <f>AND(#REF!,"WaNd4xr037I=")</f>
        <v>#REF!</v>
      </c>
      <c r="FX81" t="e">
        <f>AND(#REF!,"WaNd4xr037M=")</f>
        <v>#REF!</v>
      </c>
      <c r="FY81" t="e">
        <f>AND(#REF!,"WaNd4xr037Q=")</f>
        <v>#REF!</v>
      </c>
      <c r="FZ81" t="e">
        <f>AND(#REF!,"WaNd4xr037U=")</f>
        <v>#REF!</v>
      </c>
      <c r="GA81" t="e">
        <f>AND(#REF!,"WaNd4xr037Y=")</f>
        <v>#REF!</v>
      </c>
      <c r="GB81" t="e">
        <f>AND(#REF!,"WaNd4xr037c=")</f>
        <v>#REF!</v>
      </c>
      <c r="GC81" t="e">
        <f>AND(#REF!,"WaNd4xr037g=")</f>
        <v>#REF!</v>
      </c>
      <c r="GD81" t="e">
        <f>AND(#REF!,"WaNd4xr037k=")</f>
        <v>#REF!</v>
      </c>
      <c r="GE81" t="e">
        <f>AND(#REF!,"WaNd4xr037o=")</f>
        <v>#REF!</v>
      </c>
      <c r="GF81" t="e">
        <f>AND(#REF!,"WaNd4xr037s=")</f>
        <v>#REF!</v>
      </c>
      <c r="GG81" t="e">
        <f>AND(#REF!,"WaNd4xr037w=")</f>
        <v>#REF!</v>
      </c>
      <c r="GH81" t="e">
        <f>AND(#REF!,"WaNd4xr0370=")</f>
        <v>#REF!</v>
      </c>
      <c r="GI81" t="e">
        <f>AND(#REF!,"WaNd4xr0374=")</f>
        <v>#REF!</v>
      </c>
      <c r="GJ81" t="e">
        <f>AND(#REF!,"WaNd4xr0378=")</f>
        <v>#REF!</v>
      </c>
      <c r="GK81" t="e">
        <f>AND(#REF!,"WaNd4xr038A=")</f>
        <v>#REF!</v>
      </c>
      <c r="GL81" t="e">
        <f>AND(#REF!,"WaNd4xr038E=")</f>
        <v>#REF!</v>
      </c>
      <c r="GM81" t="e">
        <f>AND(#REF!,"WaNd4xr038I=")</f>
        <v>#REF!</v>
      </c>
      <c r="GN81" t="e">
        <f>AND(#REF!,"WaNd4xr038M=")</f>
        <v>#REF!</v>
      </c>
      <c r="GO81" t="e">
        <f>AND(#REF!,"WaNd4xr038Q=")</f>
        <v>#REF!</v>
      </c>
      <c r="GP81" t="e">
        <f>AND(#REF!,"WaNd4xr038U=")</f>
        <v>#REF!</v>
      </c>
      <c r="GQ81" t="e">
        <f>AND(#REF!,"WaNd4xr038Y=")</f>
        <v>#REF!</v>
      </c>
      <c r="GR81" t="e">
        <f>AND(#REF!,"WaNd4xr038c=")</f>
        <v>#REF!</v>
      </c>
      <c r="GS81" t="e">
        <f>AND(#REF!,"WaNd4xr038g=")</f>
        <v>#REF!</v>
      </c>
      <c r="GT81" t="e">
        <f>AND(#REF!,"WaNd4xr038k=")</f>
        <v>#REF!</v>
      </c>
      <c r="GU81" t="e">
        <f>AND(#REF!,"WaNd4xr038o=")</f>
        <v>#REF!</v>
      </c>
      <c r="GV81" t="e">
        <f>AND(#REF!,"WaNd4xr038s=")</f>
        <v>#REF!</v>
      </c>
      <c r="GW81" t="e">
        <f>AND(#REF!,"WaNd4xr038w=")</f>
        <v>#REF!</v>
      </c>
      <c r="GX81" t="e">
        <f>AND(#REF!,"WaNd4xr0380=")</f>
        <v>#REF!</v>
      </c>
      <c r="GY81" t="e">
        <f>AND(#REF!,"WaNd4xr0384=")</f>
        <v>#REF!</v>
      </c>
      <c r="GZ81" t="e">
        <f>AND(#REF!,"WaNd4xr0388=")</f>
        <v>#REF!</v>
      </c>
      <c r="HA81" t="e">
        <f>AND(#REF!,"WaNd4xr039A=")</f>
        <v>#REF!</v>
      </c>
      <c r="HB81" t="e">
        <f>AND(#REF!,"WaNd4xr039E=")</f>
        <v>#REF!</v>
      </c>
      <c r="HC81" t="e">
        <f>AND(#REF!,"WaNd4xr039I=")</f>
        <v>#REF!</v>
      </c>
      <c r="HD81" t="e">
        <f>AND(#REF!,"WaNd4xr039M=")</f>
        <v>#REF!</v>
      </c>
      <c r="HE81" t="e">
        <f>AND(#REF!,"WaNd4xr039Q=")</f>
        <v>#REF!</v>
      </c>
      <c r="HF81" t="e">
        <f>AND(#REF!,"WaNd4xr039U=")</f>
        <v>#REF!</v>
      </c>
      <c r="HG81" t="e">
        <f>AND(#REF!,"WaNd4xr039Y=")</f>
        <v>#REF!</v>
      </c>
      <c r="HH81" t="e">
        <f>AND(#REF!,"WaNd4xr039c=")</f>
        <v>#REF!</v>
      </c>
      <c r="HI81" t="e">
        <f>AND(#REF!,"WaNd4xr039g=")</f>
        <v>#REF!</v>
      </c>
      <c r="HJ81" t="e">
        <f>AND(#REF!,"WaNd4xr039k=")</f>
        <v>#REF!</v>
      </c>
      <c r="HK81" t="e">
        <f>AND(#REF!,"WaNd4xr039o=")</f>
        <v>#REF!</v>
      </c>
      <c r="HL81" t="e">
        <f>AND(#REF!,"WaNd4xr039s=")</f>
        <v>#REF!</v>
      </c>
      <c r="HM81" t="e">
        <f>AND(#REF!,"WaNd4xr039w=")</f>
        <v>#REF!</v>
      </c>
      <c r="HN81" t="e">
        <f>AND(#REF!,"WaNd4xr0390=")</f>
        <v>#REF!</v>
      </c>
      <c r="HO81" t="e">
        <f>AND(#REF!,"WaNd4xr0394=")</f>
        <v>#REF!</v>
      </c>
      <c r="HP81" t="e">
        <f>AND(#REF!,"WaNd4xr0398=")</f>
        <v>#REF!</v>
      </c>
      <c r="HQ81" t="e">
        <f>AND(#REF!,"WaNd4xr03+A=")</f>
        <v>#REF!</v>
      </c>
      <c r="HR81" t="e">
        <f>AND(#REF!,"WaNd4xr03+E=")</f>
        <v>#REF!</v>
      </c>
      <c r="HS81" t="e">
        <f>AND(#REF!,"WaNd4xr03+I=")</f>
        <v>#REF!</v>
      </c>
      <c r="HT81" t="e">
        <f>AND(#REF!,"WaNd4xr03+M=")</f>
        <v>#REF!</v>
      </c>
      <c r="HU81" t="e">
        <f>AND(#REF!,"WaNd4xr03+Q=")</f>
        <v>#REF!</v>
      </c>
      <c r="HV81" t="e">
        <f>AND(#REF!,"WaNd4xr03+U=")</f>
        <v>#REF!</v>
      </c>
      <c r="HW81" t="e">
        <f>AND(#REF!,"WaNd4xr03+Y=")</f>
        <v>#REF!</v>
      </c>
      <c r="HX81" t="e">
        <f>AND(#REF!,"WaNd4xr03+c=")</f>
        <v>#REF!</v>
      </c>
      <c r="HY81" t="e">
        <f>AND(#REF!,"WaNd4xr03+g=")</f>
        <v>#REF!</v>
      </c>
      <c r="HZ81" t="e">
        <f>AND(#REF!,"WaNd4xr03+k=")</f>
        <v>#REF!</v>
      </c>
      <c r="IA81" t="e">
        <f>AND(#REF!,"WaNd4xr03+o=")</f>
        <v>#REF!</v>
      </c>
      <c r="IB81" t="e">
        <f>AND(#REF!,"WaNd4xr03+s=")</f>
        <v>#REF!</v>
      </c>
      <c r="IC81" t="e">
        <f>AND(#REF!,"WaNd4xr03+w=")</f>
        <v>#REF!</v>
      </c>
      <c r="ID81" t="e">
        <f>AND(#REF!,"WaNd4xr03+0=")</f>
        <v>#REF!</v>
      </c>
      <c r="IE81" t="e">
        <f>AND(#REF!,"WaNd4xr03+4=")</f>
        <v>#REF!</v>
      </c>
      <c r="IF81" t="e">
        <f>AND(#REF!,"WaNd4xr03+8=")</f>
        <v>#REF!</v>
      </c>
      <c r="IG81" t="e">
        <f>AND(#REF!,"WaNd4xr03/A=")</f>
        <v>#REF!</v>
      </c>
      <c r="IH81" t="e">
        <f>AND(#REF!,"WaNd4xr03/E=")</f>
        <v>#REF!</v>
      </c>
      <c r="II81" t="e">
        <f>AND(#REF!,"WaNd4xr03/I=")</f>
        <v>#REF!</v>
      </c>
      <c r="IJ81" t="e">
        <f>AND(#REF!,"WaNd4xr03/M=")</f>
        <v>#REF!</v>
      </c>
      <c r="IK81" t="e">
        <f>AND(#REF!,"WaNd4xr03/Q=")</f>
        <v>#REF!</v>
      </c>
      <c r="IL81" t="e">
        <f>AND(#REF!,"WaNd4xr03/U=")</f>
        <v>#REF!</v>
      </c>
      <c r="IM81" t="e">
        <f>AND(#REF!,"WaNd4xr03/Y=")</f>
        <v>#REF!</v>
      </c>
      <c r="IN81" t="e">
        <f>AND(#REF!,"WaNd4xr03/c=")</f>
        <v>#REF!</v>
      </c>
      <c r="IO81" t="e">
        <f>AND(#REF!,"WaNd4xr03/g=")</f>
        <v>#REF!</v>
      </c>
      <c r="IP81" t="e">
        <f>AND(#REF!,"WaNd4xr03/k=")</f>
        <v>#REF!</v>
      </c>
      <c r="IQ81" t="e">
        <f>AND(#REF!,"WaNd4xr03/o=")</f>
        <v>#REF!</v>
      </c>
      <c r="IR81" t="e">
        <f>AND(#REF!,"WaNd4xr03/s=")</f>
        <v>#REF!</v>
      </c>
      <c r="IS81" t="e">
        <f>AND(#REF!,"WaNd4xr03/w=")</f>
        <v>#REF!</v>
      </c>
      <c r="IT81" t="e">
        <f>AND(#REF!,"WaNd4xr03/0=")</f>
        <v>#REF!</v>
      </c>
      <c r="IU81" t="e">
        <f>AND(#REF!,"WaNd4xr03/4=")</f>
        <v>#REF!</v>
      </c>
      <c r="IV81" t="e">
        <f>AND(#REF!,"WaNd4xr03/8=")</f>
        <v>#REF!</v>
      </c>
    </row>
    <row r="82" spans="1:256" x14ac:dyDescent="0.2">
      <c r="A82" t="e">
        <f>AND(#REF!,"LZVxmWr7CQA=")</f>
        <v>#REF!</v>
      </c>
      <c r="B82" t="e">
        <f>AND(#REF!,"LZVxmWr7CQE=")</f>
        <v>#REF!</v>
      </c>
      <c r="C82" t="e">
        <f>AND(#REF!,"LZVxmWr7CQI=")</f>
        <v>#REF!</v>
      </c>
      <c r="D82" t="e">
        <f>AND(#REF!,"LZVxmWr7CQM=")</f>
        <v>#REF!</v>
      </c>
      <c r="E82" t="e">
        <f>AND(#REF!,"LZVxmWr7CQQ=")</f>
        <v>#REF!</v>
      </c>
      <c r="F82" t="e">
        <f>AND(#REF!,"LZVxmWr7CQU=")</f>
        <v>#REF!</v>
      </c>
      <c r="G82" t="e">
        <f>AND(#REF!,"LZVxmWr7CQY=")</f>
        <v>#REF!</v>
      </c>
      <c r="H82" t="e">
        <f>AND(#REF!,"LZVxmWr7CQc=")</f>
        <v>#REF!</v>
      </c>
      <c r="I82" t="e">
        <f>AND(#REF!,"LZVxmWr7CQg=")</f>
        <v>#REF!</v>
      </c>
      <c r="J82" t="e">
        <f>AND(#REF!,"LZVxmWr7CQk=")</f>
        <v>#REF!</v>
      </c>
      <c r="K82" t="e">
        <f>AND(#REF!,"LZVxmWr7CQo=")</f>
        <v>#REF!</v>
      </c>
      <c r="L82" t="e">
        <f>AND(#REF!,"LZVxmWr7CQs=")</f>
        <v>#REF!</v>
      </c>
      <c r="M82" t="e">
        <f>AND(#REF!,"LZVxmWr7CQw=")</f>
        <v>#REF!</v>
      </c>
      <c r="N82" t="e">
        <f>AND(#REF!,"LZVxmWr7CQ0=")</f>
        <v>#REF!</v>
      </c>
      <c r="O82" t="e">
        <f>AND(#REF!,"LZVxmWr7CQ4=")</f>
        <v>#REF!</v>
      </c>
      <c r="P82" t="e">
        <f>AND(#REF!,"LZVxmWr7CQ8=")</f>
        <v>#REF!</v>
      </c>
      <c r="Q82" t="e">
        <f>AND(#REF!,"LZVxmWr7CRA=")</f>
        <v>#REF!</v>
      </c>
      <c r="R82" t="e">
        <f>AND(#REF!,"LZVxmWr7CRE=")</f>
        <v>#REF!</v>
      </c>
      <c r="S82" t="e">
        <f>AND(#REF!,"LZVxmWr7CRI=")</f>
        <v>#REF!</v>
      </c>
      <c r="T82" t="e">
        <f>AND(#REF!,"LZVxmWr7CRM=")</f>
        <v>#REF!</v>
      </c>
      <c r="U82" t="e">
        <f>AND(#REF!,"LZVxmWr7CRQ=")</f>
        <v>#REF!</v>
      </c>
      <c r="V82" t="e">
        <f>AND(#REF!,"LZVxmWr7CRU=")</f>
        <v>#REF!</v>
      </c>
      <c r="W82" t="e">
        <f>AND(#REF!,"LZVxmWr7CRY=")</f>
        <v>#REF!</v>
      </c>
      <c r="X82" t="e">
        <f>AND(#REF!,"LZVxmWr7CRc=")</f>
        <v>#REF!</v>
      </c>
      <c r="Y82" t="e">
        <f>AND(#REF!,"LZVxmWr7CRg=")</f>
        <v>#REF!</v>
      </c>
      <c r="Z82" t="e">
        <f>AND(#REF!,"LZVxmWr7CRk=")</f>
        <v>#REF!</v>
      </c>
      <c r="AA82" t="e">
        <f>AND(#REF!,"LZVxmWr7CRo=")</f>
        <v>#REF!</v>
      </c>
      <c r="AB82" t="e">
        <f>AND(#REF!,"LZVxmWr7CRs=")</f>
        <v>#REF!</v>
      </c>
      <c r="AC82" t="e">
        <f>AND(#REF!,"LZVxmWr7CRw=")</f>
        <v>#REF!</v>
      </c>
      <c r="AD82" t="e">
        <f>AND(#REF!,"LZVxmWr7CR0=")</f>
        <v>#REF!</v>
      </c>
      <c r="AE82" t="e">
        <f>AND(#REF!,"LZVxmWr7CR4=")</f>
        <v>#REF!</v>
      </c>
      <c r="AF82" t="e">
        <f>AND(#REF!,"LZVxmWr7CR8=")</f>
        <v>#REF!</v>
      </c>
      <c r="AG82" t="e">
        <f>AND(#REF!,"LZVxmWr7CSA=")</f>
        <v>#REF!</v>
      </c>
      <c r="AH82" t="e">
        <f>AND(#REF!,"LZVxmWr7CSE=")</f>
        <v>#REF!</v>
      </c>
      <c r="AI82" t="e">
        <f>AND(#REF!,"LZVxmWr7CSI=")</f>
        <v>#REF!</v>
      </c>
      <c r="AJ82" t="e">
        <f>AND(#REF!,"LZVxmWr7CSM=")</f>
        <v>#REF!</v>
      </c>
      <c r="AK82" t="e">
        <f>AND(#REF!,"LZVxmWr7CSQ=")</f>
        <v>#REF!</v>
      </c>
      <c r="AL82" t="e">
        <f>AND(#REF!,"LZVxmWr7CSU=")</f>
        <v>#REF!</v>
      </c>
      <c r="AM82" t="e">
        <f>AND(#REF!,"LZVxmWr7CSY=")</f>
        <v>#REF!</v>
      </c>
      <c r="AN82" t="e">
        <f>AND(#REF!,"LZVxmWr7CSc=")</f>
        <v>#REF!</v>
      </c>
      <c r="AO82" t="e">
        <f>AND(#REF!,"LZVxmWr7CSg=")</f>
        <v>#REF!</v>
      </c>
      <c r="AP82" t="e">
        <f>AND(#REF!,"LZVxmWr7CSk=")</f>
        <v>#REF!</v>
      </c>
      <c r="AQ82" t="e">
        <f>AND(#REF!,"LZVxmWr7CSo=")</f>
        <v>#REF!</v>
      </c>
      <c r="AR82" t="e">
        <f>AND(#REF!,"LZVxmWr7CSs=")</f>
        <v>#REF!</v>
      </c>
      <c r="AS82" t="e">
        <f>AND(#REF!,"LZVxmWr7CSw=")</f>
        <v>#REF!</v>
      </c>
      <c r="AT82" t="e">
        <f>AND(#REF!,"LZVxmWr7CS0=")</f>
        <v>#REF!</v>
      </c>
      <c r="AU82" t="e">
        <f>AND(#REF!,"LZVxmWr7CS4=")</f>
        <v>#REF!</v>
      </c>
      <c r="AV82" t="e">
        <f>AND(#REF!,"LZVxmWr7CS8=")</f>
        <v>#REF!</v>
      </c>
      <c r="AW82" t="e">
        <f>AND(#REF!,"LZVxmWr7CTA=")</f>
        <v>#REF!</v>
      </c>
      <c r="AX82" t="e">
        <f>AND(#REF!,"LZVxmWr7CTE=")</f>
        <v>#REF!</v>
      </c>
      <c r="AY82" t="e">
        <f>AND(#REF!,"LZVxmWr7CTI=")</f>
        <v>#REF!</v>
      </c>
      <c r="AZ82" t="e">
        <f>AND(#REF!,"LZVxmWr7CTM=")</f>
        <v>#REF!</v>
      </c>
      <c r="BA82" t="e">
        <f>AND(#REF!,"LZVxmWr7CTQ=")</f>
        <v>#REF!</v>
      </c>
      <c r="BB82" t="e">
        <f>AND(#REF!,"LZVxmWr7CTU=")</f>
        <v>#REF!</v>
      </c>
      <c r="BC82" t="e">
        <f>AND(#REF!,"LZVxmWr7CTY=")</f>
        <v>#REF!</v>
      </c>
      <c r="BD82" t="e">
        <f>AND(#REF!,"LZVxmWr7CTc=")</f>
        <v>#REF!</v>
      </c>
      <c r="BE82" t="e">
        <f>AND(#REF!,"LZVxmWr7CTg=")</f>
        <v>#REF!</v>
      </c>
      <c r="BF82" t="e">
        <f>AND(#REF!,"LZVxmWr7CTk=")</f>
        <v>#REF!</v>
      </c>
      <c r="BG82" t="e">
        <f>AND(#REF!,"LZVxmWr7CTo=")</f>
        <v>#REF!</v>
      </c>
      <c r="BH82" t="e">
        <f>AND(#REF!,"LZVxmWr7CTs=")</f>
        <v>#REF!</v>
      </c>
      <c r="BI82" t="e">
        <f>AND(#REF!,"LZVxmWr7CTw=")</f>
        <v>#REF!</v>
      </c>
      <c r="BJ82" t="e">
        <f>AND(#REF!,"LZVxmWr7CT0=")</f>
        <v>#REF!</v>
      </c>
      <c r="BK82" t="e">
        <f>AND(#REF!,"LZVxmWr7CT4=")</f>
        <v>#REF!</v>
      </c>
      <c r="BL82" t="e">
        <f>AND(#REF!,"LZVxmWr7CT8=")</f>
        <v>#REF!</v>
      </c>
      <c r="BM82" t="e">
        <f>AND(#REF!,"LZVxmWr7CUA=")</f>
        <v>#REF!</v>
      </c>
      <c r="BN82" t="e">
        <f>AND(#REF!,"LZVxmWr7CUE=")</f>
        <v>#REF!</v>
      </c>
      <c r="BO82" t="e">
        <f>AND(#REF!,"LZVxmWr7CUI=")</f>
        <v>#REF!</v>
      </c>
      <c r="BP82" t="e">
        <f>AND(#REF!,"LZVxmWr7CUM=")</f>
        <v>#REF!</v>
      </c>
      <c r="BQ82" t="e">
        <f>AND(#REF!,"LZVxmWr7CUQ=")</f>
        <v>#REF!</v>
      </c>
      <c r="BR82" t="e">
        <f>AND(#REF!,"LZVxmWr7CUU=")</f>
        <v>#REF!</v>
      </c>
      <c r="BS82" t="e">
        <f>AND(#REF!,"LZVxmWr7CUY=")</f>
        <v>#REF!</v>
      </c>
      <c r="BT82" t="e">
        <f>AND(#REF!,"LZVxmWr7CUc=")</f>
        <v>#REF!</v>
      </c>
      <c r="BU82" t="e">
        <f>AND(#REF!,"LZVxmWr7CUg=")</f>
        <v>#REF!</v>
      </c>
      <c r="BV82" t="e">
        <f>AND(#REF!,"LZVxmWr7CUk=")</f>
        <v>#REF!</v>
      </c>
      <c r="BW82" t="e">
        <f>AND(#REF!,"LZVxmWr7CUo=")</f>
        <v>#REF!</v>
      </c>
      <c r="BX82" t="e">
        <f>AND(#REF!,"LZVxmWr7CUs=")</f>
        <v>#REF!</v>
      </c>
      <c r="BY82" t="e">
        <f>AND(#REF!,"LZVxmWr7CUw=")</f>
        <v>#REF!</v>
      </c>
      <c r="BZ82" t="e">
        <f>AND(#REF!,"LZVxmWr7CU0=")</f>
        <v>#REF!</v>
      </c>
      <c r="CA82" t="e">
        <f>AND(#REF!,"LZVxmWr7CU4=")</f>
        <v>#REF!</v>
      </c>
      <c r="CB82" t="e">
        <f>AND(#REF!,"LZVxmWr7CU8=")</f>
        <v>#REF!</v>
      </c>
      <c r="CC82" t="e">
        <f>AND(#REF!,"LZVxmWr7CVA=")</f>
        <v>#REF!</v>
      </c>
      <c r="CD82" t="e">
        <f>AND(#REF!,"LZVxmWr7CVE=")</f>
        <v>#REF!</v>
      </c>
      <c r="CE82" t="e">
        <f>AND(#REF!,"LZVxmWr7CVI=")</f>
        <v>#REF!</v>
      </c>
      <c r="CF82" t="e">
        <f>AND(#REF!,"LZVxmWr7CVM=")</f>
        <v>#REF!</v>
      </c>
      <c r="CG82" t="e">
        <f>AND(#REF!,"LZVxmWr7CVQ=")</f>
        <v>#REF!</v>
      </c>
      <c r="CH82" t="e">
        <f>AND(#REF!,"LZVxmWr7CVU=")</f>
        <v>#REF!</v>
      </c>
      <c r="CI82" t="e">
        <f>AND(#REF!,"LZVxmWr7CVY=")</f>
        <v>#REF!</v>
      </c>
      <c r="CJ82" t="e">
        <f>AND(#REF!,"LZVxmWr7CVc=")</f>
        <v>#REF!</v>
      </c>
      <c r="CK82" t="e">
        <f>AND(#REF!,"LZVxmWr7CVg=")</f>
        <v>#REF!</v>
      </c>
      <c r="CL82" t="e">
        <f>AND(#REF!,"LZVxmWr7CVk=")</f>
        <v>#REF!</v>
      </c>
      <c r="CM82" t="e">
        <f>AND(#REF!,"LZVxmWr7CVo=")</f>
        <v>#REF!</v>
      </c>
      <c r="CN82" t="e">
        <f>AND(#REF!,"LZVxmWr7CVs=")</f>
        <v>#REF!</v>
      </c>
      <c r="CO82" t="e">
        <f>AND(#REF!,"LZVxmWr7CVw=")</f>
        <v>#REF!</v>
      </c>
      <c r="CP82" t="e">
        <f>AND(#REF!,"LZVxmWr7CV0=")</f>
        <v>#REF!</v>
      </c>
      <c r="CQ82" t="e">
        <f>AND(#REF!,"LZVxmWr7CV4=")</f>
        <v>#REF!</v>
      </c>
      <c r="CR82" t="e">
        <f>AND(#REF!,"LZVxmWr7CV8=")</f>
        <v>#REF!</v>
      </c>
      <c r="CS82" t="e">
        <f>AND(#REF!,"LZVxmWr7CWA=")</f>
        <v>#REF!</v>
      </c>
      <c r="CT82" t="e">
        <f>AND(#REF!,"LZVxmWr7CWE=")</f>
        <v>#REF!</v>
      </c>
      <c r="CU82" t="e">
        <f>AND(#REF!,"LZVxmWr7CWI=")</f>
        <v>#REF!</v>
      </c>
      <c r="CV82" t="e">
        <f>AND(#REF!,"LZVxmWr7CWM=")</f>
        <v>#REF!</v>
      </c>
      <c r="CW82" t="e">
        <f>AND(#REF!,"LZVxmWr7CWQ=")</f>
        <v>#REF!</v>
      </c>
      <c r="CX82" t="e">
        <f>AND(#REF!,"LZVxmWr7CWU=")</f>
        <v>#REF!</v>
      </c>
      <c r="CY82" t="e">
        <f>AND(#REF!,"LZVxmWr7CWY=")</f>
        <v>#REF!</v>
      </c>
      <c r="CZ82" t="e">
        <f>AND(#REF!,"LZVxmWr7CWc=")</f>
        <v>#REF!</v>
      </c>
      <c r="DA82" t="e">
        <f>AND(#REF!,"LZVxmWr7CWg=")</f>
        <v>#REF!</v>
      </c>
      <c r="DB82" t="e">
        <f>IF(#REF!,"LZVxmWr7CWk=",0)</f>
        <v>#REF!</v>
      </c>
      <c r="DC82" t="e">
        <f>AND(#REF!,"LZVxmWr7CWo=")</f>
        <v>#REF!</v>
      </c>
      <c r="DD82" t="e">
        <f>AND(#REF!,"LZVxmWr7CWs=")</f>
        <v>#REF!</v>
      </c>
      <c r="DE82" t="e">
        <f>AND(#REF!,"LZVxmWr7CWw=")</f>
        <v>#REF!</v>
      </c>
      <c r="DF82" t="e">
        <f>AND(#REF!,"LZVxmWr7CW0=")</f>
        <v>#REF!</v>
      </c>
      <c r="DG82" t="e">
        <f>AND(#REF!,"LZVxmWr7CW4=")</f>
        <v>#REF!</v>
      </c>
      <c r="DH82" t="e">
        <f>AND(#REF!,"LZVxmWr7CW8=")</f>
        <v>#REF!</v>
      </c>
      <c r="DI82" t="e">
        <f>AND(#REF!,"LZVxmWr7CXA=")</f>
        <v>#REF!</v>
      </c>
      <c r="DJ82" t="e">
        <f>AND(#REF!,"LZVxmWr7CXE=")</f>
        <v>#REF!</v>
      </c>
      <c r="DK82" t="e">
        <f>AND(#REF!,"LZVxmWr7CXI=")</f>
        <v>#REF!</v>
      </c>
      <c r="DL82" t="e">
        <f>AND(#REF!,"LZVxmWr7CXM=")</f>
        <v>#REF!</v>
      </c>
      <c r="DM82" t="e">
        <f>AND(#REF!,"LZVxmWr7CXQ=")</f>
        <v>#REF!</v>
      </c>
      <c r="DN82" t="e">
        <f>AND(#REF!,"LZVxmWr7CXU=")</f>
        <v>#REF!</v>
      </c>
      <c r="DO82" t="e">
        <f>AND(#REF!,"LZVxmWr7CXY=")</f>
        <v>#REF!</v>
      </c>
      <c r="DP82" t="e">
        <f>AND(#REF!,"LZVxmWr7CXc=")</f>
        <v>#REF!</v>
      </c>
      <c r="DQ82" t="e">
        <f>AND(#REF!,"LZVxmWr7CXg=")</f>
        <v>#REF!</v>
      </c>
      <c r="DR82" t="e">
        <f>AND(#REF!,"LZVxmWr7CXk=")</f>
        <v>#REF!</v>
      </c>
      <c r="DS82" t="e">
        <f>AND(#REF!,"LZVxmWr7CXo=")</f>
        <v>#REF!</v>
      </c>
      <c r="DT82" t="e">
        <f>AND(#REF!,"LZVxmWr7CXs=")</f>
        <v>#REF!</v>
      </c>
      <c r="DU82" t="e">
        <f>AND(#REF!,"LZVxmWr7CXw=")</f>
        <v>#REF!</v>
      </c>
      <c r="DV82" t="e">
        <f>AND(#REF!,"LZVxmWr7CX0=")</f>
        <v>#REF!</v>
      </c>
      <c r="DW82" t="e">
        <f>AND(#REF!,"LZVxmWr7CX4=")</f>
        <v>#REF!</v>
      </c>
      <c r="DX82" t="e">
        <f>AND(#REF!,"LZVxmWr7CX8=")</f>
        <v>#REF!</v>
      </c>
      <c r="DY82" t="e">
        <f>AND(#REF!,"LZVxmWr7CYA=")</f>
        <v>#REF!</v>
      </c>
      <c r="DZ82" t="e">
        <f>AND(#REF!,"LZVxmWr7CYE=")</f>
        <v>#REF!</v>
      </c>
      <c r="EA82" t="e">
        <f>AND(#REF!,"LZVxmWr7CYI=")</f>
        <v>#REF!</v>
      </c>
      <c r="EB82" t="e">
        <f>AND(#REF!,"LZVxmWr7CYM=")</f>
        <v>#REF!</v>
      </c>
      <c r="EC82" t="e">
        <f>AND(#REF!,"LZVxmWr7CYQ=")</f>
        <v>#REF!</v>
      </c>
      <c r="ED82" t="e">
        <f>AND(#REF!,"LZVxmWr7CYU=")</f>
        <v>#REF!</v>
      </c>
      <c r="EE82" t="e">
        <f>AND(#REF!,"LZVxmWr7CYY=")</f>
        <v>#REF!</v>
      </c>
      <c r="EF82" t="e">
        <f>AND(#REF!,"LZVxmWr7CYc=")</f>
        <v>#REF!</v>
      </c>
      <c r="EG82" t="e">
        <f>AND(#REF!,"LZVxmWr7CYg=")</f>
        <v>#REF!</v>
      </c>
      <c r="EH82" t="e">
        <f>AND(#REF!,"LZVxmWr7CYk=")</f>
        <v>#REF!</v>
      </c>
      <c r="EI82" t="e">
        <f>AND(#REF!,"LZVxmWr7CYo=")</f>
        <v>#REF!</v>
      </c>
      <c r="EJ82" t="e">
        <f>AND(#REF!,"LZVxmWr7CYs=")</f>
        <v>#REF!</v>
      </c>
      <c r="EK82" t="e">
        <f>AND(#REF!,"LZVxmWr7CYw=")</f>
        <v>#REF!</v>
      </c>
      <c r="EL82" t="e">
        <f>AND(#REF!,"LZVxmWr7CY0=")</f>
        <v>#REF!</v>
      </c>
      <c r="EM82" t="e">
        <f>AND(#REF!,"LZVxmWr7CY4=")</f>
        <v>#REF!</v>
      </c>
      <c r="EN82" t="e">
        <f>AND(#REF!,"LZVxmWr7CY8=")</f>
        <v>#REF!</v>
      </c>
      <c r="EO82" t="e">
        <f>AND(#REF!,"LZVxmWr7CZA=")</f>
        <v>#REF!</v>
      </c>
      <c r="EP82" t="e">
        <f>AND(#REF!,"LZVxmWr7CZE=")</f>
        <v>#REF!</v>
      </c>
      <c r="EQ82" t="e">
        <f>AND(#REF!,"LZVxmWr7CZI=")</f>
        <v>#REF!</v>
      </c>
      <c r="ER82" t="e">
        <f>AND(#REF!,"LZVxmWr7CZM=")</f>
        <v>#REF!</v>
      </c>
      <c r="ES82" t="e">
        <f>AND(#REF!,"LZVxmWr7CZQ=")</f>
        <v>#REF!</v>
      </c>
      <c r="ET82" t="e">
        <f>AND(#REF!,"LZVxmWr7CZU=")</f>
        <v>#REF!</v>
      </c>
      <c r="EU82" t="e">
        <f>AND(#REF!,"LZVxmWr7CZY=")</f>
        <v>#REF!</v>
      </c>
      <c r="EV82" t="e">
        <f>AND(#REF!,"LZVxmWr7CZc=")</f>
        <v>#REF!</v>
      </c>
      <c r="EW82" t="e">
        <f>AND(#REF!,"LZVxmWr7CZg=")</f>
        <v>#REF!</v>
      </c>
      <c r="EX82" t="e">
        <f>AND(#REF!,"LZVxmWr7CZk=")</f>
        <v>#REF!</v>
      </c>
      <c r="EY82" t="e">
        <f>AND(#REF!,"LZVxmWr7CZo=")</f>
        <v>#REF!</v>
      </c>
      <c r="EZ82" t="e">
        <f>AND(#REF!,"LZVxmWr7CZs=")</f>
        <v>#REF!</v>
      </c>
      <c r="FA82" t="e">
        <f>AND(#REF!,"LZVxmWr7CZw=")</f>
        <v>#REF!</v>
      </c>
      <c r="FB82" t="e">
        <f>AND(#REF!,"LZVxmWr7CZ0=")</f>
        <v>#REF!</v>
      </c>
      <c r="FC82" t="e">
        <f>AND(#REF!,"LZVxmWr7CZ4=")</f>
        <v>#REF!</v>
      </c>
      <c r="FD82" t="e">
        <f>AND(#REF!,"LZVxmWr7CZ8=")</f>
        <v>#REF!</v>
      </c>
      <c r="FE82" t="e">
        <f>AND(#REF!,"LZVxmWr7CaA=")</f>
        <v>#REF!</v>
      </c>
      <c r="FF82" t="e">
        <f>AND(#REF!,"LZVxmWr7CaE=")</f>
        <v>#REF!</v>
      </c>
      <c r="FG82" t="e">
        <f>AND(#REF!,"LZVxmWr7CaI=")</f>
        <v>#REF!</v>
      </c>
      <c r="FH82" t="e">
        <f>AND(#REF!,"LZVxmWr7CaM=")</f>
        <v>#REF!</v>
      </c>
      <c r="FI82" t="e">
        <f>AND(#REF!,"LZVxmWr7CaQ=")</f>
        <v>#REF!</v>
      </c>
      <c r="FJ82" t="e">
        <f>AND(#REF!,"LZVxmWr7CaU=")</f>
        <v>#REF!</v>
      </c>
      <c r="FK82" t="e">
        <f>AND(#REF!,"LZVxmWr7CaY=")</f>
        <v>#REF!</v>
      </c>
      <c r="FL82" t="e">
        <f>AND(#REF!,"LZVxmWr7Cac=")</f>
        <v>#REF!</v>
      </c>
      <c r="FM82" t="e">
        <f>AND(#REF!,"LZVxmWr7Cag=")</f>
        <v>#REF!</v>
      </c>
      <c r="FN82" t="e">
        <f>AND(#REF!,"LZVxmWr7Cak=")</f>
        <v>#REF!</v>
      </c>
      <c r="FO82" t="e">
        <f>AND(#REF!,"LZVxmWr7Cao=")</f>
        <v>#REF!</v>
      </c>
      <c r="FP82" t="e">
        <f>AND(#REF!,"LZVxmWr7Cas=")</f>
        <v>#REF!</v>
      </c>
      <c r="FQ82" t="e">
        <f>AND(#REF!,"LZVxmWr7Caw=")</f>
        <v>#REF!</v>
      </c>
      <c r="FR82" t="e">
        <f>AND(#REF!,"LZVxmWr7Ca0=")</f>
        <v>#REF!</v>
      </c>
      <c r="FS82" t="e">
        <f>AND(#REF!,"LZVxmWr7Ca4=")</f>
        <v>#REF!</v>
      </c>
      <c r="FT82" t="e">
        <f>AND(#REF!,"LZVxmWr7Ca8=")</f>
        <v>#REF!</v>
      </c>
      <c r="FU82" t="e">
        <f>AND(#REF!,"LZVxmWr7CbA=")</f>
        <v>#REF!</v>
      </c>
      <c r="FV82" t="e">
        <f>AND(#REF!,"LZVxmWr7CbE=")</f>
        <v>#REF!</v>
      </c>
      <c r="FW82" t="e">
        <f>AND(#REF!,"LZVxmWr7CbI=")</f>
        <v>#REF!</v>
      </c>
      <c r="FX82" t="e">
        <f>AND(#REF!,"LZVxmWr7CbM=")</f>
        <v>#REF!</v>
      </c>
      <c r="FY82" t="e">
        <f>AND(#REF!,"LZVxmWr7CbQ=")</f>
        <v>#REF!</v>
      </c>
      <c r="FZ82" t="e">
        <f>AND(#REF!,"LZVxmWr7CbU=")</f>
        <v>#REF!</v>
      </c>
      <c r="GA82" t="e">
        <f>AND(#REF!,"LZVxmWr7CbY=")</f>
        <v>#REF!</v>
      </c>
      <c r="GB82" t="e">
        <f>AND(#REF!,"LZVxmWr7Cbc=")</f>
        <v>#REF!</v>
      </c>
      <c r="GC82" t="e">
        <f>AND(#REF!,"LZVxmWr7Cbg=")</f>
        <v>#REF!</v>
      </c>
      <c r="GD82" t="e">
        <f>AND(#REF!,"LZVxmWr7Cbk=")</f>
        <v>#REF!</v>
      </c>
      <c r="GE82" t="e">
        <f>AND(#REF!,"LZVxmWr7Cbo=")</f>
        <v>#REF!</v>
      </c>
      <c r="GF82" t="e">
        <f>AND(#REF!,"LZVxmWr7Cbs=")</f>
        <v>#REF!</v>
      </c>
      <c r="GG82" t="e">
        <f>AND(#REF!,"LZVxmWr7Cbw=")</f>
        <v>#REF!</v>
      </c>
      <c r="GH82" t="e">
        <f>AND(#REF!,"LZVxmWr7Cb0=")</f>
        <v>#REF!</v>
      </c>
      <c r="GI82" t="e">
        <f>AND(#REF!,"LZVxmWr7Cb4=")</f>
        <v>#REF!</v>
      </c>
      <c r="GJ82" t="e">
        <f>AND(#REF!,"LZVxmWr7Cb8=")</f>
        <v>#REF!</v>
      </c>
      <c r="GK82" t="e">
        <f>AND(#REF!,"LZVxmWr7CcA=")</f>
        <v>#REF!</v>
      </c>
      <c r="GL82" t="e">
        <f>AND(#REF!,"LZVxmWr7CcE=")</f>
        <v>#REF!</v>
      </c>
      <c r="GM82" t="e">
        <f>AND(#REF!,"LZVxmWr7CcI=")</f>
        <v>#REF!</v>
      </c>
      <c r="GN82" t="e">
        <f>AND(#REF!,"LZVxmWr7CcM=")</f>
        <v>#REF!</v>
      </c>
      <c r="GO82" t="e">
        <f>AND(#REF!,"LZVxmWr7CcQ=")</f>
        <v>#REF!</v>
      </c>
      <c r="GP82" t="e">
        <f>AND(#REF!,"LZVxmWr7CcU=")</f>
        <v>#REF!</v>
      </c>
      <c r="GQ82" t="e">
        <f>AND(#REF!,"LZVxmWr7CcY=")</f>
        <v>#REF!</v>
      </c>
      <c r="GR82" t="e">
        <f>AND(#REF!,"LZVxmWr7Ccc=")</f>
        <v>#REF!</v>
      </c>
      <c r="GS82" t="e">
        <f>AND(#REF!,"LZVxmWr7Ccg=")</f>
        <v>#REF!</v>
      </c>
      <c r="GT82" t="e">
        <f>AND(#REF!,"LZVxmWr7Cck=")</f>
        <v>#REF!</v>
      </c>
      <c r="GU82" t="e">
        <f>AND(#REF!,"LZVxmWr7Cco=")</f>
        <v>#REF!</v>
      </c>
      <c r="GV82" t="e">
        <f>AND(#REF!,"LZVxmWr7Ccs=")</f>
        <v>#REF!</v>
      </c>
      <c r="GW82" t="e">
        <f>AND(#REF!,"LZVxmWr7Ccw=")</f>
        <v>#REF!</v>
      </c>
      <c r="GX82" t="e">
        <f>AND(#REF!,"LZVxmWr7Cc0=")</f>
        <v>#REF!</v>
      </c>
      <c r="GY82" t="e">
        <f>AND(#REF!,"LZVxmWr7Cc4=")</f>
        <v>#REF!</v>
      </c>
      <c r="GZ82" t="e">
        <f>AND(#REF!,"LZVxmWr7Cc8=")</f>
        <v>#REF!</v>
      </c>
      <c r="HA82" t="e">
        <f>AND(#REF!,"LZVxmWr7CdA=")</f>
        <v>#REF!</v>
      </c>
      <c r="HB82" t="e">
        <f>AND(#REF!,"LZVxmWr7CdE=")</f>
        <v>#REF!</v>
      </c>
      <c r="HC82" t="e">
        <f>AND(#REF!,"LZVxmWr7CdI=")</f>
        <v>#REF!</v>
      </c>
      <c r="HD82" t="e">
        <f>AND(#REF!,"LZVxmWr7CdM=")</f>
        <v>#REF!</v>
      </c>
      <c r="HE82" t="e">
        <f>AND(#REF!,"LZVxmWr7CdQ=")</f>
        <v>#REF!</v>
      </c>
      <c r="HF82" t="e">
        <f>AND(#REF!,"LZVxmWr7CdU=")</f>
        <v>#REF!</v>
      </c>
      <c r="HG82" t="e">
        <f>AND(#REF!,"LZVxmWr7CdY=")</f>
        <v>#REF!</v>
      </c>
      <c r="HH82" t="e">
        <f>AND(#REF!,"LZVxmWr7Cdc=")</f>
        <v>#REF!</v>
      </c>
      <c r="HI82" t="e">
        <f>AND(#REF!,"LZVxmWr7Cdg=")</f>
        <v>#REF!</v>
      </c>
      <c r="HJ82" t="e">
        <f>AND(#REF!,"LZVxmWr7Cdk=")</f>
        <v>#REF!</v>
      </c>
      <c r="HK82" t="e">
        <f>AND(#REF!,"LZVxmWr7Cdo=")</f>
        <v>#REF!</v>
      </c>
      <c r="HL82" t="e">
        <f>AND(#REF!,"LZVxmWr7Cds=")</f>
        <v>#REF!</v>
      </c>
      <c r="HM82" t="e">
        <f>AND(#REF!,"LZVxmWr7Cdw=")</f>
        <v>#REF!</v>
      </c>
      <c r="HN82" t="e">
        <f>AND(#REF!,"LZVxmWr7Cd0=")</f>
        <v>#REF!</v>
      </c>
      <c r="HO82" t="e">
        <f>AND(#REF!,"LZVxmWr7Cd4=")</f>
        <v>#REF!</v>
      </c>
      <c r="HP82" t="e">
        <f>AND(#REF!,"LZVxmWr7Cd8=")</f>
        <v>#REF!</v>
      </c>
      <c r="HQ82" t="e">
        <f>AND(#REF!,"LZVxmWr7CeA=")</f>
        <v>#REF!</v>
      </c>
      <c r="HR82" t="e">
        <f>AND(#REF!,"LZVxmWr7CeE=")</f>
        <v>#REF!</v>
      </c>
      <c r="HS82" t="e">
        <f>AND(#REF!,"LZVxmWr7CeI=")</f>
        <v>#REF!</v>
      </c>
      <c r="HT82" t="e">
        <f>AND(#REF!,"LZVxmWr7CeM=")</f>
        <v>#REF!</v>
      </c>
      <c r="HU82" t="e">
        <f>AND(#REF!,"LZVxmWr7CeQ=")</f>
        <v>#REF!</v>
      </c>
      <c r="HV82" t="e">
        <f>AND(#REF!,"LZVxmWr7CeU=")</f>
        <v>#REF!</v>
      </c>
      <c r="HW82" t="e">
        <f>AND(#REF!,"LZVxmWr7CeY=")</f>
        <v>#REF!</v>
      </c>
      <c r="HX82" t="e">
        <f>AND(#REF!,"LZVxmWr7Cec=")</f>
        <v>#REF!</v>
      </c>
      <c r="HY82" t="e">
        <f>AND(#REF!,"LZVxmWr7Ceg=")</f>
        <v>#REF!</v>
      </c>
      <c r="HZ82" t="e">
        <f>AND(#REF!,"LZVxmWr7Cek=")</f>
        <v>#REF!</v>
      </c>
      <c r="IA82" t="e">
        <f>AND(#REF!,"LZVxmWr7Ceo=")</f>
        <v>#REF!</v>
      </c>
      <c r="IB82" t="e">
        <f>AND(#REF!,"LZVxmWr7Ces=")</f>
        <v>#REF!</v>
      </c>
      <c r="IC82" t="e">
        <f>AND(#REF!,"LZVxmWr7Cew=")</f>
        <v>#REF!</v>
      </c>
      <c r="ID82" t="e">
        <f>AND(#REF!,"LZVxmWr7Ce0=")</f>
        <v>#REF!</v>
      </c>
      <c r="IE82" t="e">
        <f>AND(#REF!,"LZVxmWr7Ce4=")</f>
        <v>#REF!</v>
      </c>
      <c r="IF82" t="e">
        <f>AND(#REF!,"LZVxmWr7Ce8=")</f>
        <v>#REF!</v>
      </c>
      <c r="IG82" t="e">
        <f>AND(#REF!,"LZVxmWr7CfA=")</f>
        <v>#REF!</v>
      </c>
      <c r="IH82" t="e">
        <f>AND(#REF!,"LZVxmWr7CfE=")</f>
        <v>#REF!</v>
      </c>
      <c r="II82" t="e">
        <f>AND(#REF!,"LZVxmWr7CfI=")</f>
        <v>#REF!</v>
      </c>
      <c r="IJ82" t="e">
        <f>AND(#REF!,"LZVxmWr7CfM=")</f>
        <v>#REF!</v>
      </c>
      <c r="IK82" t="e">
        <f>AND(#REF!,"LZVxmWr7CfQ=")</f>
        <v>#REF!</v>
      </c>
      <c r="IL82" t="e">
        <f>AND(#REF!,"LZVxmWr7CfU=")</f>
        <v>#REF!</v>
      </c>
      <c r="IM82" t="e">
        <f>AND(#REF!,"LZVxmWr7CfY=")</f>
        <v>#REF!</v>
      </c>
      <c r="IN82" t="e">
        <f>AND(#REF!,"LZVxmWr7Cfc=")</f>
        <v>#REF!</v>
      </c>
      <c r="IO82" t="e">
        <f>AND(#REF!,"LZVxmWr7Cfg=")</f>
        <v>#REF!</v>
      </c>
      <c r="IP82" t="e">
        <f>AND(#REF!,"LZVxmWr7Cfk=")</f>
        <v>#REF!</v>
      </c>
      <c r="IQ82" t="e">
        <f>AND(#REF!,"LZVxmWr7Cfo=")</f>
        <v>#REF!</v>
      </c>
      <c r="IR82" t="e">
        <f>AND(#REF!,"LZVxmWr7Cfs=")</f>
        <v>#REF!</v>
      </c>
      <c r="IS82" t="e">
        <f>AND(#REF!,"LZVxmWr7Cfw=")</f>
        <v>#REF!</v>
      </c>
      <c r="IT82" t="e">
        <f>AND(#REF!,"LZVxmWr7Cf0=")</f>
        <v>#REF!</v>
      </c>
      <c r="IU82" t="e">
        <f>AND(#REF!,"LZVxmWr7Cf4=")</f>
        <v>#REF!</v>
      </c>
      <c r="IV82" t="e">
        <f>AND(#REF!,"LZVxmWr7Cf8=")</f>
        <v>#REF!</v>
      </c>
    </row>
    <row r="83" spans="1:256" x14ac:dyDescent="0.2">
      <c r="A83" t="e">
        <f>AND(#REF!,"VL1szDerVwA=")</f>
        <v>#REF!</v>
      </c>
      <c r="B83" t="e">
        <f>AND(#REF!,"VL1szDerVwE=")</f>
        <v>#REF!</v>
      </c>
      <c r="C83" t="e">
        <f>AND(#REF!,"VL1szDerVwI=")</f>
        <v>#REF!</v>
      </c>
      <c r="D83" t="e">
        <f>AND(#REF!,"VL1szDerVwM=")</f>
        <v>#REF!</v>
      </c>
      <c r="E83" t="e">
        <f>AND(#REF!,"VL1szDerVwQ=")</f>
        <v>#REF!</v>
      </c>
      <c r="F83" t="e">
        <f>AND(#REF!,"VL1szDerVwU=")</f>
        <v>#REF!</v>
      </c>
      <c r="G83" t="e">
        <f>AND(#REF!,"VL1szDerVwY=")</f>
        <v>#REF!</v>
      </c>
      <c r="H83" t="e">
        <f>AND(#REF!,"VL1szDerVwc=")</f>
        <v>#REF!</v>
      </c>
      <c r="I83" t="e">
        <f>AND(#REF!,"VL1szDerVwg=")</f>
        <v>#REF!</v>
      </c>
      <c r="J83" t="e">
        <f>AND(#REF!,"VL1szDerVwk=")</f>
        <v>#REF!</v>
      </c>
      <c r="K83" t="e">
        <f>AND(#REF!,"VL1szDerVwo=")</f>
        <v>#REF!</v>
      </c>
      <c r="L83" t="e">
        <f>AND(#REF!,"VL1szDerVws=")</f>
        <v>#REF!</v>
      </c>
      <c r="M83" t="e">
        <f>AND(#REF!,"VL1szDerVww=")</f>
        <v>#REF!</v>
      </c>
      <c r="N83" t="e">
        <f>AND(#REF!,"VL1szDerVw0=")</f>
        <v>#REF!</v>
      </c>
      <c r="O83" t="e">
        <f>AND(#REF!,"VL1szDerVw4=")</f>
        <v>#REF!</v>
      </c>
      <c r="P83" t="e">
        <f>AND(#REF!,"VL1szDerVw8=")</f>
        <v>#REF!</v>
      </c>
      <c r="Q83" t="e">
        <f>AND(#REF!,"VL1szDerVxA=")</f>
        <v>#REF!</v>
      </c>
      <c r="R83" t="e">
        <f>AND(#REF!,"VL1szDerVxE=")</f>
        <v>#REF!</v>
      </c>
      <c r="S83" t="e">
        <f>AND(#REF!,"VL1szDerVxI=")</f>
        <v>#REF!</v>
      </c>
      <c r="T83" t="e">
        <f>AND(#REF!,"VL1szDerVxM=")</f>
        <v>#REF!</v>
      </c>
      <c r="U83" t="e">
        <f>AND(#REF!,"VL1szDerVxQ=")</f>
        <v>#REF!</v>
      </c>
      <c r="V83" t="e">
        <f>AND(#REF!,"VL1szDerVxU=")</f>
        <v>#REF!</v>
      </c>
      <c r="W83" t="e">
        <f>AND(#REF!,"VL1szDerVxY=")</f>
        <v>#REF!</v>
      </c>
      <c r="X83" t="e">
        <f>AND(#REF!,"VL1szDerVxc=")</f>
        <v>#REF!</v>
      </c>
      <c r="Y83" t="e">
        <f>AND(#REF!,"VL1szDerVxg=")</f>
        <v>#REF!</v>
      </c>
      <c r="Z83" t="e">
        <f>AND(#REF!,"VL1szDerVxk=")</f>
        <v>#REF!</v>
      </c>
      <c r="AA83" t="e">
        <f>AND(#REF!,"VL1szDerVxo=")</f>
        <v>#REF!</v>
      </c>
      <c r="AB83" t="e">
        <f>AND(#REF!,"VL1szDerVxs=")</f>
        <v>#REF!</v>
      </c>
      <c r="AC83" t="e">
        <f>AND(#REF!,"VL1szDerVxw=")</f>
        <v>#REF!</v>
      </c>
      <c r="AD83" t="e">
        <f>AND(#REF!,"VL1szDerVx0=")</f>
        <v>#REF!</v>
      </c>
      <c r="AE83" t="e">
        <f>AND(#REF!,"VL1szDerVx4=")</f>
        <v>#REF!</v>
      </c>
      <c r="AF83" t="e">
        <f>AND(#REF!,"VL1szDerVx8=")</f>
        <v>#REF!</v>
      </c>
      <c r="AG83" t="e">
        <f>AND(#REF!,"VL1szDerVyA=")</f>
        <v>#REF!</v>
      </c>
      <c r="AH83" t="e">
        <f>AND(#REF!,"VL1szDerVyE=")</f>
        <v>#REF!</v>
      </c>
      <c r="AI83" t="e">
        <f>AND(#REF!,"VL1szDerVyI=")</f>
        <v>#REF!</v>
      </c>
      <c r="AJ83" t="e">
        <f>AND(#REF!,"VL1szDerVyM=")</f>
        <v>#REF!</v>
      </c>
      <c r="AK83" t="e">
        <f>AND(#REF!,"VL1szDerVyQ=")</f>
        <v>#REF!</v>
      </c>
      <c r="AL83" t="e">
        <f>AND(#REF!,"VL1szDerVyU=")</f>
        <v>#REF!</v>
      </c>
      <c r="AM83" t="e">
        <f>AND(#REF!,"VL1szDerVyY=")</f>
        <v>#REF!</v>
      </c>
      <c r="AN83" t="e">
        <f>AND(#REF!,"VL1szDerVyc=")</f>
        <v>#REF!</v>
      </c>
      <c r="AO83" t="e">
        <f>AND(#REF!,"VL1szDerVyg=")</f>
        <v>#REF!</v>
      </c>
      <c r="AP83" t="e">
        <f>AND(#REF!,"VL1szDerVyk=")</f>
        <v>#REF!</v>
      </c>
      <c r="AQ83" t="e">
        <f>AND(#REF!,"VL1szDerVyo=")</f>
        <v>#REF!</v>
      </c>
      <c r="AR83" t="e">
        <f>AND(#REF!,"VL1szDerVys=")</f>
        <v>#REF!</v>
      </c>
      <c r="AS83" t="e">
        <f>AND(#REF!,"VL1szDerVyw=")</f>
        <v>#REF!</v>
      </c>
      <c r="AT83" t="e">
        <f>AND(#REF!,"VL1szDerVy0=")</f>
        <v>#REF!</v>
      </c>
      <c r="AU83" t="e">
        <f>AND(#REF!,"VL1szDerVy4=")</f>
        <v>#REF!</v>
      </c>
      <c r="AV83" t="e">
        <f>AND(#REF!,"VL1szDerVy8=")</f>
        <v>#REF!</v>
      </c>
      <c r="AW83" t="e">
        <f>IF(#REF!,"VL1szDerVzA=",0)</f>
        <v>#REF!</v>
      </c>
      <c r="AX83" t="e">
        <f>AND(#REF!,"VL1szDerVzE=")</f>
        <v>#REF!</v>
      </c>
      <c r="AY83" t="e">
        <f>AND(#REF!,"VL1szDerVzI=")</f>
        <v>#REF!</v>
      </c>
      <c r="AZ83" t="e">
        <f>AND(#REF!,"VL1szDerVzM=")</f>
        <v>#REF!</v>
      </c>
      <c r="BA83" t="e">
        <f>AND(#REF!,"VL1szDerVzQ=")</f>
        <v>#REF!</v>
      </c>
      <c r="BB83" t="e">
        <f>AND(#REF!,"VL1szDerVzU=")</f>
        <v>#REF!</v>
      </c>
      <c r="BC83" t="e">
        <f>AND(#REF!,"VL1szDerVzY=")</f>
        <v>#REF!</v>
      </c>
      <c r="BD83" t="e">
        <f>AND(#REF!,"VL1szDerVzc=")</f>
        <v>#REF!</v>
      </c>
      <c r="BE83" t="e">
        <f>AND(#REF!,"VL1szDerVzg=")</f>
        <v>#REF!</v>
      </c>
      <c r="BF83" t="e">
        <f>AND(#REF!,"VL1szDerVzk=")</f>
        <v>#REF!</v>
      </c>
      <c r="BG83" t="e">
        <f>AND(#REF!,"VL1szDerVzo=")</f>
        <v>#REF!</v>
      </c>
      <c r="BH83" t="e">
        <f>AND(#REF!,"VL1szDerVzs=")</f>
        <v>#REF!</v>
      </c>
      <c r="BI83" t="e">
        <f>AND(#REF!,"VL1szDerVzw=")</f>
        <v>#REF!</v>
      </c>
      <c r="BJ83" t="e">
        <f>AND(#REF!,"VL1szDerVz0=")</f>
        <v>#REF!</v>
      </c>
      <c r="BK83" t="e">
        <f>AND(#REF!,"VL1szDerVz4=")</f>
        <v>#REF!</v>
      </c>
      <c r="BL83" t="e">
        <f>AND(#REF!,"VL1szDerVz8=")</f>
        <v>#REF!</v>
      </c>
      <c r="BM83" t="e">
        <f>AND(#REF!,"VL1szDerV0A=")</f>
        <v>#REF!</v>
      </c>
      <c r="BN83" t="e">
        <f>AND(#REF!,"VL1szDerV0E=")</f>
        <v>#REF!</v>
      </c>
      <c r="BO83" t="e">
        <f>AND(#REF!,"VL1szDerV0I=")</f>
        <v>#REF!</v>
      </c>
      <c r="BP83" t="e">
        <f>AND(#REF!,"VL1szDerV0M=")</f>
        <v>#REF!</v>
      </c>
      <c r="BQ83" t="e">
        <f>AND(#REF!,"VL1szDerV0Q=")</f>
        <v>#REF!</v>
      </c>
      <c r="BR83" t="e">
        <f>AND(#REF!,"VL1szDerV0U=")</f>
        <v>#REF!</v>
      </c>
      <c r="BS83" t="e">
        <f>AND(#REF!,"VL1szDerV0Y=")</f>
        <v>#REF!</v>
      </c>
      <c r="BT83" t="e">
        <f>AND(#REF!,"VL1szDerV0c=")</f>
        <v>#REF!</v>
      </c>
      <c r="BU83" t="e">
        <f>AND(#REF!,"VL1szDerV0g=")</f>
        <v>#REF!</v>
      </c>
      <c r="BV83" t="e">
        <f>AND(#REF!,"VL1szDerV0k=")</f>
        <v>#REF!</v>
      </c>
      <c r="BW83" t="e">
        <f>AND(#REF!,"VL1szDerV0o=")</f>
        <v>#REF!</v>
      </c>
      <c r="BX83" t="e">
        <f>AND(#REF!,"VL1szDerV0s=")</f>
        <v>#REF!</v>
      </c>
      <c r="BY83" t="e">
        <f>AND(#REF!,"VL1szDerV0w=")</f>
        <v>#REF!</v>
      </c>
      <c r="BZ83" t="e">
        <f>AND(#REF!,"VL1szDerV00=")</f>
        <v>#REF!</v>
      </c>
      <c r="CA83" t="e">
        <f>AND(#REF!,"VL1szDerV04=")</f>
        <v>#REF!</v>
      </c>
      <c r="CB83" t="e">
        <f>AND(#REF!,"VL1szDerV08=")</f>
        <v>#REF!</v>
      </c>
      <c r="CC83" t="e">
        <f>AND(#REF!,"VL1szDerV1A=")</f>
        <v>#REF!</v>
      </c>
      <c r="CD83" t="e">
        <f>AND(#REF!,"VL1szDerV1E=")</f>
        <v>#REF!</v>
      </c>
      <c r="CE83" t="e">
        <f>AND(#REF!,"VL1szDerV1I=")</f>
        <v>#REF!</v>
      </c>
      <c r="CF83" t="e">
        <f>AND(#REF!,"VL1szDerV1M=")</f>
        <v>#REF!</v>
      </c>
      <c r="CG83" t="e">
        <f>AND(#REF!,"VL1szDerV1Q=")</f>
        <v>#REF!</v>
      </c>
      <c r="CH83" t="e">
        <f>AND(#REF!,"VL1szDerV1U=")</f>
        <v>#REF!</v>
      </c>
      <c r="CI83" t="e">
        <f>AND(#REF!,"VL1szDerV1Y=")</f>
        <v>#REF!</v>
      </c>
      <c r="CJ83" t="e">
        <f>AND(#REF!,"VL1szDerV1c=")</f>
        <v>#REF!</v>
      </c>
      <c r="CK83" t="e">
        <f>AND(#REF!,"VL1szDerV1g=")</f>
        <v>#REF!</v>
      </c>
      <c r="CL83" t="e">
        <f>AND(#REF!,"VL1szDerV1k=")</f>
        <v>#REF!</v>
      </c>
      <c r="CM83" t="e">
        <f>AND(#REF!,"VL1szDerV1o=")</f>
        <v>#REF!</v>
      </c>
      <c r="CN83" t="e">
        <f>AND(#REF!,"VL1szDerV1s=")</f>
        <v>#REF!</v>
      </c>
      <c r="CO83" t="e">
        <f>AND(#REF!,"VL1szDerV1w=")</f>
        <v>#REF!</v>
      </c>
      <c r="CP83" t="e">
        <f>AND(#REF!,"VL1szDerV10=")</f>
        <v>#REF!</v>
      </c>
      <c r="CQ83" t="e">
        <f>AND(#REF!,"VL1szDerV14=")</f>
        <v>#REF!</v>
      </c>
      <c r="CR83" t="e">
        <f>AND(#REF!,"VL1szDerV18=")</f>
        <v>#REF!</v>
      </c>
      <c r="CS83" t="e">
        <f>AND(#REF!,"VL1szDerV2A=")</f>
        <v>#REF!</v>
      </c>
      <c r="CT83" t="e">
        <f>AND(#REF!,"VL1szDerV2E=")</f>
        <v>#REF!</v>
      </c>
      <c r="CU83" t="e">
        <f>AND(#REF!,"VL1szDerV2I=")</f>
        <v>#REF!</v>
      </c>
      <c r="CV83" t="e">
        <f>AND(#REF!,"VL1szDerV2M=")</f>
        <v>#REF!</v>
      </c>
      <c r="CW83" t="e">
        <f>AND(#REF!,"VL1szDerV2Q=")</f>
        <v>#REF!</v>
      </c>
      <c r="CX83" t="e">
        <f>AND(#REF!,"VL1szDerV2U=")</f>
        <v>#REF!</v>
      </c>
      <c r="CY83" t="e">
        <f>AND(#REF!,"VL1szDerV2Y=")</f>
        <v>#REF!</v>
      </c>
      <c r="CZ83" t="e">
        <f>AND(#REF!,"VL1szDerV2c=")</f>
        <v>#REF!</v>
      </c>
      <c r="DA83" t="e">
        <f>AND(#REF!,"VL1szDerV2g=")</f>
        <v>#REF!</v>
      </c>
      <c r="DB83" t="e">
        <f>AND(#REF!,"VL1szDerV2k=")</f>
        <v>#REF!</v>
      </c>
      <c r="DC83" t="e">
        <f>AND(#REF!,"VL1szDerV2o=")</f>
        <v>#REF!</v>
      </c>
      <c r="DD83" t="e">
        <f>AND(#REF!,"VL1szDerV2s=")</f>
        <v>#REF!</v>
      </c>
      <c r="DE83" t="e">
        <f>AND(#REF!,"VL1szDerV2w=")</f>
        <v>#REF!</v>
      </c>
      <c r="DF83" t="e">
        <f>AND(#REF!,"VL1szDerV20=")</f>
        <v>#REF!</v>
      </c>
      <c r="DG83" t="e">
        <f>AND(#REF!,"VL1szDerV24=")</f>
        <v>#REF!</v>
      </c>
      <c r="DH83" t="e">
        <f>AND(#REF!,"VL1szDerV28=")</f>
        <v>#REF!</v>
      </c>
      <c r="DI83" t="e">
        <f>AND(#REF!,"VL1szDerV3A=")</f>
        <v>#REF!</v>
      </c>
      <c r="DJ83" t="e">
        <f>AND(#REF!,"VL1szDerV3E=")</f>
        <v>#REF!</v>
      </c>
      <c r="DK83" t="e">
        <f>AND(#REF!,"VL1szDerV3I=")</f>
        <v>#REF!</v>
      </c>
      <c r="DL83" t="e">
        <f>AND(#REF!,"VL1szDerV3M=")</f>
        <v>#REF!</v>
      </c>
      <c r="DM83" t="e">
        <f>AND(#REF!,"VL1szDerV3Q=")</f>
        <v>#REF!</v>
      </c>
      <c r="DN83" t="e">
        <f>AND(#REF!,"VL1szDerV3U=")</f>
        <v>#REF!</v>
      </c>
      <c r="DO83" t="e">
        <f>AND(#REF!,"VL1szDerV3Y=")</f>
        <v>#REF!</v>
      </c>
      <c r="DP83" t="e">
        <f>AND(#REF!,"VL1szDerV3c=")</f>
        <v>#REF!</v>
      </c>
      <c r="DQ83" t="e">
        <f>AND(#REF!,"VL1szDerV3g=")</f>
        <v>#REF!</v>
      </c>
      <c r="DR83" t="e">
        <f>AND(#REF!,"VL1szDerV3k=")</f>
        <v>#REF!</v>
      </c>
      <c r="DS83" t="e">
        <f>AND(#REF!,"VL1szDerV3o=")</f>
        <v>#REF!</v>
      </c>
      <c r="DT83" t="e">
        <f>AND(#REF!,"VL1szDerV3s=")</f>
        <v>#REF!</v>
      </c>
      <c r="DU83" t="e">
        <f>AND(#REF!,"VL1szDerV3w=")</f>
        <v>#REF!</v>
      </c>
      <c r="DV83" t="e">
        <f>AND(#REF!,"VL1szDerV30=")</f>
        <v>#REF!</v>
      </c>
      <c r="DW83" t="e">
        <f>AND(#REF!,"VL1szDerV34=")</f>
        <v>#REF!</v>
      </c>
      <c r="DX83" t="e">
        <f>AND(#REF!,"VL1szDerV38=")</f>
        <v>#REF!</v>
      </c>
      <c r="DY83" t="e">
        <f>AND(#REF!,"VL1szDerV4A=")</f>
        <v>#REF!</v>
      </c>
      <c r="DZ83" t="e">
        <f>AND(#REF!,"VL1szDerV4E=")</f>
        <v>#REF!</v>
      </c>
      <c r="EA83" t="e">
        <f>AND(#REF!,"VL1szDerV4I=")</f>
        <v>#REF!</v>
      </c>
      <c r="EB83" t="e">
        <f>AND(#REF!,"VL1szDerV4M=")</f>
        <v>#REF!</v>
      </c>
      <c r="EC83" t="e">
        <f>AND(#REF!,"VL1szDerV4Q=")</f>
        <v>#REF!</v>
      </c>
      <c r="ED83" t="e">
        <f>AND(#REF!,"VL1szDerV4U=")</f>
        <v>#REF!</v>
      </c>
      <c r="EE83" t="e">
        <f>AND(#REF!,"VL1szDerV4Y=")</f>
        <v>#REF!</v>
      </c>
      <c r="EF83" t="e">
        <f>AND(#REF!,"VL1szDerV4c=")</f>
        <v>#REF!</v>
      </c>
      <c r="EG83" t="e">
        <f>AND(#REF!,"VL1szDerV4g=")</f>
        <v>#REF!</v>
      </c>
      <c r="EH83" t="e">
        <f>AND(#REF!,"VL1szDerV4k=")</f>
        <v>#REF!</v>
      </c>
      <c r="EI83" t="e">
        <f>AND(#REF!,"VL1szDerV4o=")</f>
        <v>#REF!</v>
      </c>
      <c r="EJ83" t="e">
        <f>AND(#REF!,"VL1szDerV4s=")</f>
        <v>#REF!</v>
      </c>
      <c r="EK83" t="e">
        <f>AND(#REF!,"VL1szDerV4w=")</f>
        <v>#REF!</v>
      </c>
      <c r="EL83" t="e">
        <f>AND(#REF!,"VL1szDerV40=")</f>
        <v>#REF!</v>
      </c>
      <c r="EM83" t="e">
        <f>AND(#REF!,"VL1szDerV44=")</f>
        <v>#REF!</v>
      </c>
      <c r="EN83" t="e">
        <f>AND(#REF!,"VL1szDerV48=")</f>
        <v>#REF!</v>
      </c>
      <c r="EO83" t="e">
        <f>AND(#REF!,"VL1szDerV5A=")</f>
        <v>#REF!</v>
      </c>
      <c r="EP83" t="e">
        <f>AND(#REF!,"VL1szDerV5E=")</f>
        <v>#REF!</v>
      </c>
      <c r="EQ83" t="e">
        <f>AND(#REF!,"VL1szDerV5I=")</f>
        <v>#REF!</v>
      </c>
      <c r="ER83" t="e">
        <f>AND(#REF!,"VL1szDerV5M=")</f>
        <v>#REF!</v>
      </c>
      <c r="ES83" t="e">
        <f>AND(#REF!,"VL1szDerV5Q=")</f>
        <v>#REF!</v>
      </c>
      <c r="ET83" t="e">
        <f>AND(#REF!,"VL1szDerV5U=")</f>
        <v>#REF!</v>
      </c>
      <c r="EU83" t="e">
        <f>AND(#REF!,"VL1szDerV5Y=")</f>
        <v>#REF!</v>
      </c>
      <c r="EV83" t="e">
        <f>AND(#REF!,"VL1szDerV5c=")</f>
        <v>#REF!</v>
      </c>
      <c r="EW83" t="e">
        <f>AND(#REF!,"VL1szDerV5g=")</f>
        <v>#REF!</v>
      </c>
      <c r="EX83" t="e">
        <f>AND(#REF!,"VL1szDerV5k=")</f>
        <v>#REF!</v>
      </c>
      <c r="EY83" t="e">
        <f>AND(#REF!,"VL1szDerV5o=")</f>
        <v>#REF!</v>
      </c>
      <c r="EZ83" t="e">
        <f>AND(#REF!,"VL1szDerV5s=")</f>
        <v>#REF!</v>
      </c>
      <c r="FA83" t="e">
        <f>AND(#REF!,"VL1szDerV5w=")</f>
        <v>#REF!</v>
      </c>
      <c r="FB83" t="e">
        <f>AND(#REF!,"VL1szDerV50=")</f>
        <v>#REF!</v>
      </c>
      <c r="FC83" t="e">
        <f>AND(#REF!,"VL1szDerV54=")</f>
        <v>#REF!</v>
      </c>
      <c r="FD83" t="e">
        <f>AND(#REF!,"VL1szDerV58=")</f>
        <v>#REF!</v>
      </c>
      <c r="FE83" t="e">
        <f>AND(#REF!,"VL1szDerV6A=")</f>
        <v>#REF!</v>
      </c>
      <c r="FF83" t="e">
        <f>AND(#REF!,"VL1szDerV6E=")</f>
        <v>#REF!</v>
      </c>
      <c r="FG83" t="e">
        <f>AND(#REF!,"VL1szDerV6I=")</f>
        <v>#REF!</v>
      </c>
      <c r="FH83" t="e">
        <f>AND(#REF!,"VL1szDerV6M=")</f>
        <v>#REF!</v>
      </c>
      <c r="FI83" t="e">
        <f>AND(#REF!,"VL1szDerV6Q=")</f>
        <v>#REF!</v>
      </c>
      <c r="FJ83" t="e">
        <f>AND(#REF!,"VL1szDerV6U=")</f>
        <v>#REF!</v>
      </c>
      <c r="FK83" t="e">
        <f>AND(#REF!,"VL1szDerV6Y=")</f>
        <v>#REF!</v>
      </c>
      <c r="FL83" t="e">
        <f>AND(#REF!,"VL1szDerV6c=")</f>
        <v>#REF!</v>
      </c>
      <c r="FM83" t="e">
        <f>AND(#REF!,"VL1szDerV6g=")</f>
        <v>#REF!</v>
      </c>
      <c r="FN83" t="e">
        <f>AND(#REF!,"VL1szDerV6k=")</f>
        <v>#REF!</v>
      </c>
      <c r="FO83" t="e">
        <f>AND(#REF!,"VL1szDerV6o=")</f>
        <v>#REF!</v>
      </c>
      <c r="FP83" t="e">
        <f>AND(#REF!,"VL1szDerV6s=")</f>
        <v>#REF!</v>
      </c>
      <c r="FQ83" t="e">
        <f>AND(#REF!,"VL1szDerV6w=")</f>
        <v>#REF!</v>
      </c>
      <c r="FR83" t="e">
        <f>AND(#REF!,"VL1szDerV60=")</f>
        <v>#REF!</v>
      </c>
      <c r="FS83" t="e">
        <f>AND(#REF!,"VL1szDerV64=")</f>
        <v>#REF!</v>
      </c>
      <c r="FT83" t="e">
        <f>AND(#REF!,"VL1szDerV68=")</f>
        <v>#REF!</v>
      </c>
      <c r="FU83" t="e">
        <f>AND(#REF!,"VL1szDerV7A=")</f>
        <v>#REF!</v>
      </c>
      <c r="FV83" t="e">
        <f>AND(#REF!,"VL1szDerV7E=")</f>
        <v>#REF!</v>
      </c>
      <c r="FW83" t="e">
        <f>AND(#REF!,"VL1szDerV7I=")</f>
        <v>#REF!</v>
      </c>
      <c r="FX83" t="e">
        <f>AND(#REF!,"VL1szDerV7M=")</f>
        <v>#REF!</v>
      </c>
      <c r="FY83" t="e">
        <f>AND(#REF!,"VL1szDerV7Q=")</f>
        <v>#REF!</v>
      </c>
      <c r="FZ83" t="e">
        <f>AND(#REF!,"VL1szDerV7U=")</f>
        <v>#REF!</v>
      </c>
      <c r="GA83" t="e">
        <f>AND(#REF!,"VL1szDerV7Y=")</f>
        <v>#REF!</v>
      </c>
      <c r="GB83" t="e">
        <f>AND(#REF!,"VL1szDerV7c=")</f>
        <v>#REF!</v>
      </c>
      <c r="GC83" t="e">
        <f>AND(#REF!,"VL1szDerV7g=")</f>
        <v>#REF!</v>
      </c>
      <c r="GD83" t="e">
        <f>AND(#REF!,"VL1szDerV7k=")</f>
        <v>#REF!</v>
      </c>
      <c r="GE83" t="e">
        <f>AND(#REF!,"VL1szDerV7o=")</f>
        <v>#REF!</v>
      </c>
      <c r="GF83" t="e">
        <f>AND(#REF!,"VL1szDerV7s=")</f>
        <v>#REF!</v>
      </c>
      <c r="GG83" t="e">
        <f>AND(#REF!,"VL1szDerV7w=")</f>
        <v>#REF!</v>
      </c>
      <c r="GH83" t="e">
        <f>AND(#REF!,"VL1szDerV70=")</f>
        <v>#REF!</v>
      </c>
      <c r="GI83" t="e">
        <f>AND(#REF!,"VL1szDerV74=")</f>
        <v>#REF!</v>
      </c>
      <c r="GJ83" t="e">
        <f>AND(#REF!,"VL1szDerV78=")</f>
        <v>#REF!</v>
      </c>
      <c r="GK83" t="e">
        <f>AND(#REF!,"VL1szDerV8A=")</f>
        <v>#REF!</v>
      </c>
      <c r="GL83" t="e">
        <f>AND(#REF!,"VL1szDerV8E=")</f>
        <v>#REF!</v>
      </c>
      <c r="GM83" t="e">
        <f>AND(#REF!,"VL1szDerV8I=")</f>
        <v>#REF!</v>
      </c>
      <c r="GN83" t="e">
        <f>AND(#REF!,"VL1szDerV8M=")</f>
        <v>#REF!</v>
      </c>
      <c r="GO83" t="e">
        <f>AND(#REF!,"VL1szDerV8Q=")</f>
        <v>#REF!</v>
      </c>
      <c r="GP83" t="e">
        <f>AND(#REF!,"VL1szDerV8U=")</f>
        <v>#REF!</v>
      </c>
      <c r="GQ83" t="e">
        <f>AND(#REF!,"VL1szDerV8Y=")</f>
        <v>#REF!</v>
      </c>
      <c r="GR83" t="e">
        <f>AND(#REF!,"VL1szDerV8c=")</f>
        <v>#REF!</v>
      </c>
      <c r="GS83" t="e">
        <f>AND(#REF!,"VL1szDerV8g=")</f>
        <v>#REF!</v>
      </c>
      <c r="GT83" t="e">
        <f>AND(#REF!,"VL1szDerV8k=")</f>
        <v>#REF!</v>
      </c>
      <c r="GU83" t="e">
        <f>AND(#REF!,"VL1szDerV8o=")</f>
        <v>#REF!</v>
      </c>
      <c r="GV83" t="e">
        <f>AND(#REF!,"VL1szDerV8s=")</f>
        <v>#REF!</v>
      </c>
      <c r="GW83" t="e">
        <f>AND(#REF!,"VL1szDerV8w=")</f>
        <v>#REF!</v>
      </c>
      <c r="GX83" t="e">
        <f>AND(#REF!,"VL1szDerV80=")</f>
        <v>#REF!</v>
      </c>
      <c r="GY83" t="e">
        <f>AND(#REF!,"VL1szDerV84=")</f>
        <v>#REF!</v>
      </c>
      <c r="GZ83" t="e">
        <f>AND(#REF!,"VL1szDerV88=")</f>
        <v>#REF!</v>
      </c>
      <c r="HA83" t="e">
        <f>AND(#REF!,"VL1szDerV9A=")</f>
        <v>#REF!</v>
      </c>
      <c r="HB83" t="e">
        <f>AND(#REF!,"VL1szDerV9E=")</f>
        <v>#REF!</v>
      </c>
      <c r="HC83" t="e">
        <f>AND(#REF!,"VL1szDerV9I=")</f>
        <v>#REF!</v>
      </c>
      <c r="HD83" t="e">
        <f>AND(#REF!,"VL1szDerV9M=")</f>
        <v>#REF!</v>
      </c>
      <c r="HE83" t="e">
        <f>AND(#REF!,"VL1szDerV9Q=")</f>
        <v>#REF!</v>
      </c>
      <c r="HF83" t="e">
        <f>AND(#REF!,"VL1szDerV9U=")</f>
        <v>#REF!</v>
      </c>
      <c r="HG83" t="e">
        <f>AND(#REF!,"VL1szDerV9Y=")</f>
        <v>#REF!</v>
      </c>
      <c r="HH83" t="e">
        <f>AND(#REF!,"VL1szDerV9c=")</f>
        <v>#REF!</v>
      </c>
      <c r="HI83" t="e">
        <f>AND(#REF!,"VL1szDerV9g=")</f>
        <v>#REF!</v>
      </c>
      <c r="HJ83" t="e">
        <f>AND(#REF!,"VL1szDerV9k=")</f>
        <v>#REF!</v>
      </c>
      <c r="HK83" t="e">
        <f>AND(#REF!,"VL1szDerV9o=")</f>
        <v>#REF!</v>
      </c>
      <c r="HL83" t="e">
        <f>AND(#REF!,"VL1szDerV9s=")</f>
        <v>#REF!</v>
      </c>
      <c r="HM83" t="e">
        <f>AND(#REF!,"VL1szDerV9w=")</f>
        <v>#REF!</v>
      </c>
      <c r="HN83" t="e">
        <f>AND(#REF!,"VL1szDerV90=")</f>
        <v>#REF!</v>
      </c>
      <c r="HO83" t="e">
        <f>AND(#REF!,"VL1szDerV94=")</f>
        <v>#REF!</v>
      </c>
      <c r="HP83" t="e">
        <f>AND(#REF!,"VL1szDerV98=")</f>
        <v>#REF!</v>
      </c>
      <c r="HQ83" t="e">
        <f>AND(#REF!,"VL1szDerV+A=")</f>
        <v>#REF!</v>
      </c>
      <c r="HR83" t="e">
        <f>AND(#REF!,"VL1szDerV+E=")</f>
        <v>#REF!</v>
      </c>
      <c r="HS83" t="e">
        <f>AND(#REF!,"VL1szDerV+I=")</f>
        <v>#REF!</v>
      </c>
      <c r="HT83" t="e">
        <f>AND(#REF!,"VL1szDerV+M=")</f>
        <v>#REF!</v>
      </c>
      <c r="HU83" t="e">
        <f>AND(#REF!,"VL1szDerV+Q=")</f>
        <v>#REF!</v>
      </c>
      <c r="HV83" t="e">
        <f>AND(#REF!,"VL1szDerV+U=")</f>
        <v>#REF!</v>
      </c>
      <c r="HW83" t="e">
        <f>AND(#REF!,"VL1szDerV+Y=")</f>
        <v>#REF!</v>
      </c>
      <c r="HX83" t="e">
        <f>AND(#REF!,"VL1szDerV+c=")</f>
        <v>#REF!</v>
      </c>
      <c r="HY83" t="e">
        <f>AND(#REF!,"VL1szDerV+g=")</f>
        <v>#REF!</v>
      </c>
      <c r="HZ83" t="e">
        <f>AND(#REF!,"VL1szDerV+k=")</f>
        <v>#REF!</v>
      </c>
      <c r="IA83" t="e">
        <f>AND(#REF!,"VL1szDerV+o=")</f>
        <v>#REF!</v>
      </c>
      <c r="IB83" t="e">
        <f>AND(#REF!,"VL1szDerV+s=")</f>
        <v>#REF!</v>
      </c>
      <c r="IC83" t="e">
        <f>AND(#REF!,"VL1szDerV+w=")</f>
        <v>#REF!</v>
      </c>
      <c r="ID83" t="e">
        <f>AND(#REF!,"VL1szDerV+0=")</f>
        <v>#REF!</v>
      </c>
      <c r="IE83" t="e">
        <f>AND(#REF!,"VL1szDerV+4=")</f>
        <v>#REF!</v>
      </c>
      <c r="IF83" t="e">
        <f>AND(#REF!,"VL1szDerV+8=")</f>
        <v>#REF!</v>
      </c>
      <c r="IG83" t="e">
        <f>AND(#REF!,"VL1szDerV/A=")</f>
        <v>#REF!</v>
      </c>
      <c r="IH83" t="e">
        <f>AND(#REF!,"VL1szDerV/E=")</f>
        <v>#REF!</v>
      </c>
      <c r="II83" t="e">
        <f>AND(#REF!,"VL1szDerV/I=")</f>
        <v>#REF!</v>
      </c>
      <c r="IJ83" t="e">
        <f>AND(#REF!,"VL1szDerV/M=")</f>
        <v>#REF!</v>
      </c>
      <c r="IK83" t="e">
        <f>AND(#REF!,"VL1szDerV/Q=")</f>
        <v>#REF!</v>
      </c>
      <c r="IL83" t="e">
        <f>AND(#REF!,"VL1szDerV/U=")</f>
        <v>#REF!</v>
      </c>
      <c r="IM83" t="e">
        <f>AND(#REF!,"VL1szDerV/Y=")</f>
        <v>#REF!</v>
      </c>
      <c r="IN83" t="e">
        <f>IF(#REF!,"VL1szDerV/c=",0)</f>
        <v>#REF!</v>
      </c>
      <c r="IO83" t="e">
        <f>AND(#REF!,"VL1szDerV/g=")</f>
        <v>#REF!</v>
      </c>
      <c r="IP83" t="e">
        <f>AND(#REF!,"VL1szDerV/k=")</f>
        <v>#REF!</v>
      </c>
      <c r="IQ83" t="e">
        <f>AND(#REF!,"VL1szDerV/o=")</f>
        <v>#REF!</v>
      </c>
      <c r="IR83" t="e">
        <f>AND(#REF!,"VL1szDerV/s=")</f>
        <v>#REF!</v>
      </c>
      <c r="IS83" t="e">
        <f>AND(#REF!,"VL1szDerV/w=")</f>
        <v>#REF!</v>
      </c>
      <c r="IT83" t="e">
        <f>AND(#REF!,"VL1szDerV/0=")</f>
        <v>#REF!</v>
      </c>
      <c r="IU83" t="e">
        <f>AND(#REF!,"VL1szDerV/4=")</f>
        <v>#REF!</v>
      </c>
      <c r="IV83" t="e">
        <f>AND(#REF!,"VL1szDerV/8=")</f>
        <v>#REF!</v>
      </c>
    </row>
    <row r="84" spans="1:256" x14ac:dyDescent="0.2">
      <c r="A84" t="e">
        <f>AND(#REF!,"fEzAaloBzAA=")</f>
        <v>#REF!</v>
      </c>
      <c r="B84" t="e">
        <f>AND(#REF!,"fEzAaloBzAE=")</f>
        <v>#REF!</v>
      </c>
      <c r="C84" t="e">
        <f>AND(#REF!,"fEzAaloBzAI=")</f>
        <v>#REF!</v>
      </c>
      <c r="D84" t="e">
        <f>AND(#REF!,"fEzAaloBzAM=")</f>
        <v>#REF!</v>
      </c>
      <c r="E84" t="e">
        <f>AND(#REF!,"fEzAaloBzAQ=")</f>
        <v>#REF!</v>
      </c>
      <c r="F84" t="e">
        <f>AND(#REF!,"fEzAaloBzAU=")</f>
        <v>#REF!</v>
      </c>
      <c r="G84" t="e">
        <f>AND(#REF!,"fEzAaloBzAY=")</f>
        <v>#REF!</v>
      </c>
      <c r="H84" t="e">
        <f>AND(#REF!,"fEzAaloBzAc=")</f>
        <v>#REF!</v>
      </c>
      <c r="I84" t="e">
        <f>AND(#REF!,"fEzAaloBzAg=")</f>
        <v>#REF!</v>
      </c>
      <c r="J84" t="e">
        <f>AND(#REF!,"fEzAaloBzAk=")</f>
        <v>#REF!</v>
      </c>
      <c r="K84" t="e">
        <f>AND(#REF!,"fEzAaloBzAo=")</f>
        <v>#REF!</v>
      </c>
      <c r="L84" t="e">
        <f>AND(#REF!,"fEzAaloBzAs=")</f>
        <v>#REF!</v>
      </c>
      <c r="M84" t="e">
        <f>AND(#REF!,"fEzAaloBzAw=")</f>
        <v>#REF!</v>
      </c>
      <c r="N84" t="e">
        <f>AND(#REF!,"fEzAaloBzA0=")</f>
        <v>#REF!</v>
      </c>
      <c r="O84" t="e">
        <f>AND(#REF!,"fEzAaloBzA4=")</f>
        <v>#REF!</v>
      </c>
      <c r="P84" t="e">
        <f>AND(#REF!,"fEzAaloBzA8=")</f>
        <v>#REF!</v>
      </c>
      <c r="Q84" t="e">
        <f>AND(#REF!,"fEzAaloBzBA=")</f>
        <v>#REF!</v>
      </c>
      <c r="R84" t="e">
        <f>AND(#REF!,"fEzAaloBzBE=")</f>
        <v>#REF!</v>
      </c>
      <c r="S84" t="e">
        <f>AND(#REF!,"fEzAaloBzBI=")</f>
        <v>#REF!</v>
      </c>
      <c r="T84" t="e">
        <f>AND(#REF!,"fEzAaloBzBM=")</f>
        <v>#REF!</v>
      </c>
      <c r="U84" t="e">
        <f>AND(#REF!,"fEzAaloBzBQ=")</f>
        <v>#REF!</v>
      </c>
      <c r="V84" t="e">
        <f>AND(#REF!,"fEzAaloBzBU=")</f>
        <v>#REF!</v>
      </c>
      <c r="W84" t="e">
        <f>AND(#REF!,"fEzAaloBzBY=")</f>
        <v>#REF!</v>
      </c>
      <c r="X84" t="e">
        <f>AND(#REF!,"fEzAaloBzBc=")</f>
        <v>#REF!</v>
      </c>
      <c r="Y84" t="e">
        <f>AND(#REF!,"fEzAaloBzBg=")</f>
        <v>#REF!</v>
      </c>
      <c r="Z84" t="e">
        <f>AND(#REF!,"fEzAaloBzBk=")</f>
        <v>#REF!</v>
      </c>
      <c r="AA84" t="e">
        <f>AND(#REF!,"fEzAaloBzBo=")</f>
        <v>#REF!</v>
      </c>
      <c r="AB84" t="e">
        <f>AND(#REF!,"fEzAaloBzBs=")</f>
        <v>#REF!</v>
      </c>
      <c r="AC84" t="e">
        <f>AND(#REF!,"fEzAaloBzBw=")</f>
        <v>#REF!</v>
      </c>
      <c r="AD84" t="e">
        <f>AND(#REF!,"fEzAaloBzB0=")</f>
        <v>#REF!</v>
      </c>
      <c r="AE84" t="e">
        <f>AND(#REF!,"fEzAaloBzB4=")</f>
        <v>#REF!</v>
      </c>
      <c r="AF84" t="e">
        <f>AND(#REF!,"fEzAaloBzB8=")</f>
        <v>#REF!</v>
      </c>
      <c r="AG84" t="e">
        <f>AND(#REF!,"fEzAaloBzCA=")</f>
        <v>#REF!</v>
      </c>
      <c r="AH84" t="e">
        <f>AND(#REF!,"fEzAaloBzCE=")</f>
        <v>#REF!</v>
      </c>
      <c r="AI84" t="e">
        <f>AND(#REF!,"fEzAaloBzCI=")</f>
        <v>#REF!</v>
      </c>
      <c r="AJ84" t="e">
        <f>AND(#REF!,"fEzAaloBzCM=")</f>
        <v>#REF!</v>
      </c>
      <c r="AK84" t="e">
        <f>AND(#REF!,"fEzAaloBzCQ=")</f>
        <v>#REF!</v>
      </c>
      <c r="AL84" t="e">
        <f>AND(#REF!,"fEzAaloBzCU=")</f>
        <v>#REF!</v>
      </c>
      <c r="AM84" t="e">
        <f>AND(#REF!,"fEzAaloBzCY=")</f>
        <v>#REF!</v>
      </c>
      <c r="AN84" t="e">
        <f>AND(#REF!,"fEzAaloBzCc=")</f>
        <v>#REF!</v>
      </c>
      <c r="AO84" t="e">
        <f>AND(#REF!,"fEzAaloBzCg=")</f>
        <v>#REF!</v>
      </c>
      <c r="AP84" t="e">
        <f>AND(#REF!,"fEzAaloBzCk=")</f>
        <v>#REF!</v>
      </c>
      <c r="AQ84" t="e">
        <f>AND(#REF!,"fEzAaloBzCo=")</f>
        <v>#REF!</v>
      </c>
      <c r="AR84" t="e">
        <f>AND(#REF!,"fEzAaloBzCs=")</f>
        <v>#REF!</v>
      </c>
      <c r="AS84" t="e">
        <f>AND(#REF!,"fEzAaloBzCw=")</f>
        <v>#REF!</v>
      </c>
      <c r="AT84" t="e">
        <f>AND(#REF!,"fEzAaloBzC0=")</f>
        <v>#REF!</v>
      </c>
      <c r="AU84" t="e">
        <f>AND(#REF!,"fEzAaloBzC4=")</f>
        <v>#REF!</v>
      </c>
      <c r="AV84" t="e">
        <f>AND(#REF!,"fEzAaloBzC8=")</f>
        <v>#REF!</v>
      </c>
      <c r="AW84" t="e">
        <f>AND(#REF!,"fEzAaloBzDA=")</f>
        <v>#REF!</v>
      </c>
      <c r="AX84" t="e">
        <f>AND(#REF!,"fEzAaloBzDE=")</f>
        <v>#REF!</v>
      </c>
      <c r="AY84" t="e">
        <f>AND(#REF!,"fEzAaloBzDI=")</f>
        <v>#REF!</v>
      </c>
      <c r="AZ84" t="e">
        <f>AND(#REF!,"fEzAaloBzDM=")</f>
        <v>#REF!</v>
      </c>
      <c r="BA84" t="e">
        <f>AND(#REF!,"fEzAaloBzDQ=")</f>
        <v>#REF!</v>
      </c>
      <c r="BB84" t="e">
        <f>AND(#REF!,"fEzAaloBzDU=")</f>
        <v>#REF!</v>
      </c>
      <c r="BC84" t="e">
        <f>AND(#REF!,"fEzAaloBzDY=")</f>
        <v>#REF!</v>
      </c>
      <c r="BD84" t="e">
        <f>AND(#REF!,"fEzAaloBzDc=")</f>
        <v>#REF!</v>
      </c>
      <c r="BE84" t="e">
        <f>AND(#REF!,"fEzAaloBzDg=")</f>
        <v>#REF!</v>
      </c>
      <c r="BF84" t="e">
        <f>AND(#REF!,"fEzAaloBzDk=")</f>
        <v>#REF!</v>
      </c>
      <c r="BG84" t="e">
        <f>AND(#REF!,"fEzAaloBzDo=")</f>
        <v>#REF!</v>
      </c>
      <c r="BH84" t="e">
        <f>AND(#REF!,"fEzAaloBzDs=")</f>
        <v>#REF!</v>
      </c>
      <c r="BI84" t="e">
        <f>AND(#REF!,"fEzAaloBzDw=")</f>
        <v>#REF!</v>
      </c>
      <c r="BJ84" t="e">
        <f>AND(#REF!,"fEzAaloBzD0=")</f>
        <v>#REF!</v>
      </c>
      <c r="BK84" t="e">
        <f>AND(#REF!,"fEzAaloBzD4=")</f>
        <v>#REF!</v>
      </c>
      <c r="BL84" t="e">
        <f>AND(#REF!,"fEzAaloBzD8=")</f>
        <v>#REF!</v>
      </c>
      <c r="BM84" t="e">
        <f>AND(#REF!,"fEzAaloBzEA=")</f>
        <v>#REF!</v>
      </c>
      <c r="BN84" t="e">
        <f>AND(#REF!,"fEzAaloBzEE=")</f>
        <v>#REF!</v>
      </c>
      <c r="BO84" t="e">
        <f>AND(#REF!,"fEzAaloBzEI=")</f>
        <v>#REF!</v>
      </c>
      <c r="BP84" t="e">
        <f>AND(#REF!,"fEzAaloBzEM=")</f>
        <v>#REF!</v>
      </c>
      <c r="BQ84" t="e">
        <f>AND(#REF!,"fEzAaloBzEQ=")</f>
        <v>#REF!</v>
      </c>
      <c r="BR84" t="e">
        <f>AND(#REF!,"fEzAaloBzEU=")</f>
        <v>#REF!</v>
      </c>
      <c r="BS84" t="e">
        <f>AND(#REF!,"fEzAaloBzEY=")</f>
        <v>#REF!</v>
      </c>
      <c r="BT84" t="e">
        <f>AND(#REF!,"fEzAaloBzEc=")</f>
        <v>#REF!</v>
      </c>
      <c r="BU84" t="e">
        <f>AND(#REF!,"fEzAaloBzEg=")</f>
        <v>#REF!</v>
      </c>
      <c r="BV84" t="e">
        <f>AND(#REF!,"fEzAaloBzEk=")</f>
        <v>#REF!</v>
      </c>
      <c r="BW84" t="e">
        <f>AND(#REF!,"fEzAaloBzEo=")</f>
        <v>#REF!</v>
      </c>
      <c r="BX84" t="e">
        <f>AND(#REF!,"fEzAaloBzEs=")</f>
        <v>#REF!</v>
      </c>
      <c r="BY84" t="e">
        <f>AND(#REF!,"fEzAaloBzEw=")</f>
        <v>#REF!</v>
      </c>
      <c r="BZ84" t="e">
        <f>AND(#REF!,"fEzAaloBzE0=")</f>
        <v>#REF!</v>
      </c>
      <c r="CA84" t="e">
        <f>AND(#REF!,"fEzAaloBzE4=")</f>
        <v>#REF!</v>
      </c>
      <c r="CB84" t="e">
        <f>AND(#REF!,"fEzAaloBzE8=")</f>
        <v>#REF!</v>
      </c>
      <c r="CC84" t="e">
        <f>AND(#REF!,"fEzAaloBzFA=")</f>
        <v>#REF!</v>
      </c>
      <c r="CD84" t="e">
        <f>AND(#REF!,"fEzAaloBzFE=")</f>
        <v>#REF!</v>
      </c>
      <c r="CE84" t="e">
        <f>AND(#REF!,"fEzAaloBzFI=")</f>
        <v>#REF!</v>
      </c>
      <c r="CF84" t="e">
        <f>AND(#REF!,"fEzAaloBzFM=")</f>
        <v>#REF!</v>
      </c>
      <c r="CG84" t="e">
        <f>AND(#REF!,"fEzAaloBzFQ=")</f>
        <v>#REF!</v>
      </c>
      <c r="CH84" t="e">
        <f>AND(#REF!,"fEzAaloBzFU=")</f>
        <v>#REF!</v>
      </c>
      <c r="CI84" t="e">
        <f>AND(#REF!,"fEzAaloBzFY=")</f>
        <v>#REF!</v>
      </c>
      <c r="CJ84" t="e">
        <f>AND(#REF!,"fEzAaloBzFc=")</f>
        <v>#REF!</v>
      </c>
      <c r="CK84" t="e">
        <f>AND(#REF!,"fEzAaloBzFg=")</f>
        <v>#REF!</v>
      </c>
      <c r="CL84" t="e">
        <f>AND(#REF!,"fEzAaloBzFk=")</f>
        <v>#REF!</v>
      </c>
      <c r="CM84" t="e">
        <f>AND(#REF!,"fEzAaloBzFo=")</f>
        <v>#REF!</v>
      </c>
      <c r="CN84" t="e">
        <f>AND(#REF!,"fEzAaloBzFs=")</f>
        <v>#REF!</v>
      </c>
      <c r="CO84" t="e">
        <f>AND(#REF!,"fEzAaloBzFw=")</f>
        <v>#REF!</v>
      </c>
      <c r="CP84" t="e">
        <f>AND(#REF!,"fEzAaloBzF0=")</f>
        <v>#REF!</v>
      </c>
      <c r="CQ84" t="e">
        <f>AND(#REF!,"fEzAaloBzF4=")</f>
        <v>#REF!</v>
      </c>
      <c r="CR84" t="e">
        <f>AND(#REF!,"fEzAaloBzF8=")</f>
        <v>#REF!</v>
      </c>
      <c r="CS84" t="e">
        <f>AND(#REF!,"fEzAaloBzGA=")</f>
        <v>#REF!</v>
      </c>
      <c r="CT84" t="e">
        <f>AND(#REF!,"fEzAaloBzGE=")</f>
        <v>#REF!</v>
      </c>
      <c r="CU84" t="e">
        <f>AND(#REF!,"fEzAaloBzGI=")</f>
        <v>#REF!</v>
      </c>
      <c r="CV84" t="e">
        <f>AND(#REF!,"fEzAaloBzGM=")</f>
        <v>#REF!</v>
      </c>
      <c r="CW84" t="e">
        <f>AND(#REF!,"fEzAaloBzGQ=")</f>
        <v>#REF!</v>
      </c>
      <c r="CX84" t="e">
        <f>AND(#REF!,"fEzAaloBzGU=")</f>
        <v>#REF!</v>
      </c>
      <c r="CY84" t="e">
        <f>AND(#REF!,"fEzAaloBzGY=")</f>
        <v>#REF!</v>
      </c>
      <c r="CZ84" t="e">
        <f>AND(#REF!,"fEzAaloBzGc=")</f>
        <v>#REF!</v>
      </c>
      <c r="DA84" t="e">
        <f>AND(#REF!,"fEzAaloBzGg=")</f>
        <v>#REF!</v>
      </c>
      <c r="DB84" t="e">
        <f>AND(#REF!,"fEzAaloBzGk=")</f>
        <v>#REF!</v>
      </c>
      <c r="DC84" t="e">
        <f>AND(#REF!,"fEzAaloBzGo=")</f>
        <v>#REF!</v>
      </c>
      <c r="DD84" t="e">
        <f>AND(#REF!,"fEzAaloBzGs=")</f>
        <v>#REF!</v>
      </c>
      <c r="DE84" t="e">
        <f>AND(#REF!,"fEzAaloBzGw=")</f>
        <v>#REF!</v>
      </c>
      <c r="DF84" t="e">
        <f>AND(#REF!,"fEzAaloBzG0=")</f>
        <v>#REF!</v>
      </c>
      <c r="DG84" t="e">
        <f>AND(#REF!,"fEzAaloBzG4=")</f>
        <v>#REF!</v>
      </c>
      <c r="DH84" t="e">
        <f>AND(#REF!,"fEzAaloBzG8=")</f>
        <v>#REF!</v>
      </c>
      <c r="DI84" t="e">
        <f>AND(#REF!,"fEzAaloBzHA=")</f>
        <v>#REF!</v>
      </c>
      <c r="DJ84" t="e">
        <f>AND(#REF!,"fEzAaloBzHE=")</f>
        <v>#REF!</v>
      </c>
      <c r="DK84" t="e">
        <f>AND(#REF!,"fEzAaloBzHI=")</f>
        <v>#REF!</v>
      </c>
      <c r="DL84" t="e">
        <f>AND(#REF!,"fEzAaloBzHM=")</f>
        <v>#REF!</v>
      </c>
      <c r="DM84" t="e">
        <f>AND(#REF!,"fEzAaloBzHQ=")</f>
        <v>#REF!</v>
      </c>
      <c r="DN84" t="e">
        <f>AND(#REF!,"fEzAaloBzHU=")</f>
        <v>#REF!</v>
      </c>
      <c r="DO84" t="e">
        <f>AND(#REF!,"fEzAaloBzHY=")</f>
        <v>#REF!</v>
      </c>
      <c r="DP84" t="e">
        <f>AND(#REF!,"fEzAaloBzHc=")</f>
        <v>#REF!</v>
      </c>
      <c r="DQ84" t="e">
        <f>AND(#REF!,"fEzAaloBzHg=")</f>
        <v>#REF!</v>
      </c>
      <c r="DR84" t="e">
        <f>AND(#REF!,"fEzAaloBzHk=")</f>
        <v>#REF!</v>
      </c>
      <c r="DS84" t="e">
        <f>AND(#REF!,"fEzAaloBzHo=")</f>
        <v>#REF!</v>
      </c>
      <c r="DT84" t="e">
        <f>AND(#REF!,"fEzAaloBzHs=")</f>
        <v>#REF!</v>
      </c>
      <c r="DU84" t="e">
        <f>AND(#REF!,"fEzAaloBzHw=")</f>
        <v>#REF!</v>
      </c>
      <c r="DV84" t="e">
        <f>AND(#REF!,"fEzAaloBzH0=")</f>
        <v>#REF!</v>
      </c>
      <c r="DW84" t="e">
        <f>AND(#REF!,"fEzAaloBzH4=")</f>
        <v>#REF!</v>
      </c>
      <c r="DX84" t="e">
        <f>AND(#REF!,"fEzAaloBzH8=")</f>
        <v>#REF!</v>
      </c>
      <c r="DY84" t="e">
        <f>AND(#REF!,"fEzAaloBzIA=")</f>
        <v>#REF!</v>
      </c>
      <c r="DZ84" t="e">
        <f>AND(#REF!,"fEzAaloBzIE=")</f>
        <v>#REF!</v>
      </c>
      <c r="EA84" t="e">
        <f>AND(#REF!,"fEzAaloBzII=")</f>
        <v>#REF!</v>
      </c>
      <c r="EB84" t="e">
        <f>AND(#REF!,"fEzAaloBzIM=")</f>
        <v>#REF!</v>
      </c>
      <c r="EC84" t="e">
        <f>AND(#REF!,"fEzAaloBzIQ=")</f>
        <v>#REF!</v>
      </c>
      <c r="ED84" t="e">
        <f>AND(#REF!,"fEzAaloBzIU=")</f>
        <v>#REF!</v>
      </c>
      <c r="EE84" t="e">
        <f>AND(#REF!,"fEzAaloBzIY=")</f>
        <v>#REF!</v>
      </c>
      <c r="EF84" t="e">
        <f>AND(#REF!,"fEzAaloBzIc=")</f>
        <v>#REF!</v>
      </c>
      <c r="EG84" t="e">
        <f>AND(#REF!,"fEzAaloBzIg=")</f>
        <v>#REF!</v>
      </c>
      <c r="EH84" t="e">
        <f>AND(#REF!,"fEzAaloBzIk=")</f>
        <v>#REF!</v>
      </c>
      <c r="EI84" t="e">
        <f>AND(#REF!,"fEzAaloBzIo=")</f>
        <v>#REF!</v>
      </c>
      <c r="EJ84" t="e">
        <f>AND(#REF!,"fEzAaloBzIs=")</f>
        <v>#REF!</v>
      </c>
      <c r="EK84" t="e">
        <f>AND(#REF!,"fEzAaloBzIw=")</f>
        <v>#REF!</v>
      </c>
      <c r="EL84" t="e">
        <f>AND(#REF!,"fEzAaloBzI0=")</f>
        <v>#REF!</v>
      </c>
      <c r="EM84" t="e">
        <f>AND(#REF!,"fEzAaloBzI4=")</f>
        <v>#REF!</v>
      </c>
      <c r="EN84" t="e">
        <f>AND(#REF!,"fEzAaloBzI8=")</f>
        <v>#REF!</v>
      </c>
      <c r="EO84" t="e">
        <f>AND(#REF!,"fEzAaloBzJA=")</f>
        <v>#REF!</v>
      </c>
      <c r="EP84" t="e">
        <f>AND(#REF!,"fEzAaloBzJE=")</f>
        <v>#REF!</v>
      </c>
      <c r="EQ84" t="e">
        <f>AND(#REF!,"fEzAaloBzJI=")</f>
        <v>#REF!</v>
      </c>
      <c r="ER84" t="e">
        <f>AND(#REF!,"fEzAaloBzJM=")</f>
        <v>#REF!</v>
      </c>
      <c r="ES84" t="e">
        <f>AND(#REF!,"fEzAaloBzJQ=")</f>
        <v>#REF!</v>
      </c>
      <c r="ET84" t="e">
        <f>AND(#REF!,"fEzAaloBzJU=")</f>
        <v>#REF!</v>
      </c>
      <c r="EU84" t="e">
        <f>AND(#REF!,"fEzAaloBzJY=")</f>
        <v>#REF!</v>
      </c>
      <c r="EV84" t="e">
        <f>AND(#REF!,"fEzAaloBzJc=")</f>
        <v>#REF!</v>
      </c>
      <c r="EW84" t="e">
        <f>AND(#REF!,"fEzAaloBzJg=")</f>
        <v>#REF!</v>
      </c>
      <c r="EX84" t="e">
        <f>AND(#REF!,"fEzAaloBzJk=")</f>
        <v>#REF!</v>
      </c>
      <c r="EY84" t="e">
        <f>AND(#REF!,"fEzAaloBzJo=")</f>
        <v>#REF!</v>
      </c>
      <c r="EZ84" t="e">
        <f>AND(#REF!,"fEzAaloBzJs=")</f>
        <v>#REF!</v>
      </c>
      <c r="FA84" t="e">
        <f>AND(#REF!,"fEzAaloBzJw=")</f>
        <v>#REF!</v>
      </c>
      <c r="FB84" t="e">
        <f>AND(#REF!,"fEzAaloBzJ0=")</f>
        <v>#REF!</v>
      </c>
      <c r="FC84" t="e">
        <f>AND(#REF!,"fEzAaloBzJ4=")</f>
        <v>#REF!</v>
      </c>
      <c r="FD84" t="e">
        <f>AND(#REF!,"fEzAaloBzJ8=")</f>
        <v>#REF!</v>
      </c>
      <c r="FE84" t="e">
        <f>AND(#REF!,"fEzAaloBzKA=")</f>
        <v>#REF!</v>
      </c>
      <c r="FF84" t="e">
        <f>AND(#REF!,"fEzAaloBzKE=")</f>
        <v>#REF!</v>
      </c>
      <c r="FG84" t="e">
        <f>AND(#REF!,"fEzAaloBzKI=")</f>
        <v>#REF!</v>
      </c>
      <c r="FH84" t="e">
        <f>AND(#REF!,"fEzAaloBzKM=")</f>
        <v>#REF!</v>
      </c>
      <c r="FI84" t="e">
        <f>AND(#REF!,"fEzAaloBzKQ=")</f>
        <v>#REF!</v>
      </c>
      <c r="FJ84" t="e">
        <f>AND(#REF!,"fEzAaloBzKU=")</f>
        <v>#REF!</v>
      </c>
      <c r="FK84" t="e">
        <f>AND(#REF!,"fEzAaloBzKY=")</f>
        <v>#REF!</v>
      </c>
      <c r="FL84" t="e">
        <f>AND(#REF!,"fEzAaloBzKc=")</f>
        <v>#REF!</v>
      </c>
      <c r="FM84" t="e">
        <f>AND(#REF!,"fEzAaloBzKg=")</f>
        <v>#REF!</v>
      </c>
      <c r="FN84" t="e">
        <f>AND(#REF!,"fEzAaloBzKk=")</f>
        <v>#REF!</v>
      </c>
      <c r="FO84" t="e">
        <f>AND(#REF!,"fEzAaloBzKo=")</f>
        <v>#REF!</v>
      </c>
      <c r="FP84" t="e">
        <f>AND(#REF!,"fEzAaloBzKs=")</f>
        <v>#REF!</v>
      </c>
      <c r="FQ84" t="e">
        <f>AND(#REF!,"fEzAaloBzKw=")</f>
        <v>#REF!</v>
      </c>
      <c r="FR84" t="e">
        <f>AND(#REF!,"fEzAaloBzK0=")</f>
        <v>#REF!</v>
      </c>
      <c r="FS84" t="e">
        <f>AND(#REF!,"fEzAaloBzK4=")</f>
        <v>#REF!</v>
      </c>
      <c r="FT84" t="e">
        <f>AND(#REF!,"fEzAaloBzK8=")</f>
        <v>#REF!</v>
      </c>
      <c r="FU84" t="e">
        <f>AND(#REF!,"fEzAaloBzLA=")</f>
        <v>#REF!</v>
      </c>
      <c r="FV84" t="e">
        <f>AND(#REF!,"fEzAaloBzLE=")</f>
        <v>#REF!</v>
      </c>
      <c r="FW84" t="e">
        <f>AND(#REF!,"fEzAaloBzLI=")</f>
        <v>#REF!</v>
      </c>
      <c r="FX84" t="e">
        <f>AND(#REF!,"fEzAaloBzLM=")</f>
        <v>#REF!</v>
      </c>
      <c r="FY84" t="e">
        <f>AND(#REF!,"fEzAaloBzLQ=")</f>
        <v>#REF!</v>
      </c>
      <c r="FZ84" t="e">
        <f>AND(#REF!,"fEzAaloBzLU=")</f>
        <v>#REF!</v>
      </c>
      <c r="GA84" t="e">
        <f>AND(#REF!,"fEzAaloBzLY=")</f>
        <v>#REF!</v>
      </c>
      <c r="GB84" t="e">
        <f>AND(#REF!,"fEzAaloBzLc=")</f>
        <v>#REF!</v>
      </c>
      <c r="GC84" t="e">
        <f>AND(#REF!,"fEzAaloBzLg=")</f>
        <v>#REF!</v>
      </c>
      <c r="GD84" t="e">
        <f>AND(#REF!,"fEzAaloBzLk=")</f>
        <v>#REF!</v>
      </c>
      <c r="GE84" t="e">
        <f>AND(#REF!,"fEzAaloBzLo=")</f>
        <v>#REF!</v>
      </c>
      <c r="GF84" t="e">
        <f>AND(#REF!,"fEzAaloBzLs=")</f>
        <v>#REF!</v>
      </c>
      <c r="GG84" t="e">
        <f>AND(#REF!,"fEzAaloBzLw=")</f>
        <v>#REF!</v>
      </c>
      <c r="GH84" t="e">
        <f>AND(#REF!,"fEzAaloBzL0=")</f>
        <v>#REF!</v>
      </c>
      <c r="GI84" t="e">
        <f>IF(#REF!,"fEzAaloBzL4=",0)</f>
        <v>#REF!</v>
      </c>
      <c r="GJ84" t="e">
        <f>AND(#REF!,"fEzAaloBzL8=")</f>
        <v>#REF!</v>
      </c>
      <c r="GK84" t="e">
        <f>AND(#REF!,"fEzAaloBzMA=")</f>
        <v>#REF!</v>
      </c>
      <c r="GL84" t="e">
        <f>AND(#REF!,"fEzAaloBzME=")</f>
        <v>#REF!</v>
      </c>
      <c r="GM84" t="e">
        <f>AND(#REF!,"fEzAaloBzMI=")</f>
        <v>#REF!</v>
      </c>
      <c r="GN84" t="e">
        <f>AND(#REF!,"fEzAaloBzMM=")</f>
        <v>#REF!</v>
      </c>
      <c r="GO84" t="e">
        <f>AND(#REF!,"fEzAaloBzMQ=")</f>
        <v>#REF!</v>
      </c>
      <c r="GP84" t="e">
        <f>AND(#REF!,"fEzAaloBzMU=")</f>
        <v>#REF!</v>
      </c>
      <c r="GQ84" t="e">
        <f>AND(#REF!,"fEzAaloBzMY=")</f>
        <v>#REF!</v>
      </c>
      <c r="GR84" t="e">
        <f>AND(#REF!,"fEzAaloBzMc=")</f>
        <v>#REF!</v>
      </c>
      <c r="GS84" t="e">
        <f>AND(#REF!,"fEzAaloBzMg=")</f>
        <v>#REF!</v>
      </c>
      <c r="GT84" t="e">
        <f>AND(#REF!,"fEzAaloBzMk=")</f>
        <v>#REF!</v>
      </c>
      <c r="GU84" t="e">
        <f>AND(#REF!,"fEzAaloBzMo=")</f>
        <v>#REF!</v>
      </c>
      <c r="GV84" t="e">
        <f>AND(#REF!,"fEzAaloBzMs=")</f>
        <v>#REF!</v>
      </c>
      <c r="GW84" t="e">
        <f>AND(#REF!,"fEzAaloBzMw=")</f>
        <v>#REF!</v>
      </c>
      <c r="GX84" t="e">
        <f>AND(#REF!,"fEzAaloBzM0=")</f>
        <v>#REF!</v>
      </c>
      <c r="GY84" t="e">
        <f>AND(#REF!,"fEzAaloBzM4=")</f>
        <v>#REF!</v>
      </c>
      <c r="GZ84" t="e">
        <f>AND(#REF!,"fEzAaloBzM8=")</f>
        <v>#REF!</v>
      </c>
      <c r="HA84" t="e">
        <f>AND(#REF!,"fEzAaloBzNA=")</f>
        <v>#REF!</v>
      </c>
      <c r="HB84" t="e">
        <f>AND(#REF!,"fEzAaloBzNE=")</f>
        <v>#REF!</v>
      </c>
      <c r="HC84" t="e">
        <f>AND(#REF!,"fEzAaloBzNI=")</f>
        <v>#REF!</v>
      </c>
      <c r="HD84" t="e">
        <f>AND(#REF!,"fEzAaloBzNM=")</f>
        <v>#REF!</v>
      </c>
      <c r="HE84" t="e">
        <f>AND(#REF!,"fEzAaloBzNQ=")</f>
        <v>#REF!</v>
      </c>
      <c r="HF84" t="e">
        <f>AND(#REF!,"fEzAaloBzNU=")</f>
        <v>#REF!</v>
      </c>
      <c r="HG84" t="e">
        <f>AND(#REF!,"fEzAaloBzNY=")</f>
        <v>#REF!</v>
      </c>
      <c r="HH84" t="e">
        <f>AND(#REF!,"fEzAaloBzNc=")</f>
        <v>#REF!</v>
      </c>
      <c r="HI84" t="e">
        <f>AND(#REF!,"fEzAaloBzNg=")</f>
        <v>#REF!</v>
      </c>
      <c r="HJ84" t="e">
        <f>AND(#REF!,"fEzAaloBzNk=")</f>
        <v>#REF!</v>
      </c>
      <c r="HK84" t="e">
        <f>AND(#REF!,"fEzAaloBzNo=")</f>
        <v>#REF!</v>
      </c>
      <c r="HL84" t="e">
        <f>AND(#REF!,"fEzAaloBzNs=")</f>
        <v>#REF!</v>
      </c>
      <c r="HM84" t="e">
        <f>AND(#REF!,"fEzAaloBzNw=")</f>
        <v>#REF!</v>
      </c>
      <c r="HN84" t="e">
        <f>AND(#REF!,"fEzAaloBzN0=")</f>
        <v>#REF!</v>
      </c>
      <c r="HO84" t="e">
        <f>AND(#REF!,"fEzAaloBzN4=")</f>
        <v>#REF!</v>
      </c>
      <c r="HP84" t="e">
        <f>AND(#REF!,"fEzAaloBzN8=")</f>
        <v>#REF!</v>
      </c>
      <c r="HQ84" t="e">
        <f>AND(#REF!,"fEzAaloBzOA=")</f>
        <v>#REF!</v>
      </c>
      <c r="HR84" t="e">
        <f>AND(#REF!,"fEzAaloBzOE=")</f>
        <v>#REF!</v>
      </c>
      <c r="HS84" t="e">
        <f>AND(#REF!,"fEzAaloBzOI=")</f>
        <v>#REF!</v>
      </c>
      <c r="HT84" t="e">
        <f>AND(#REF!,"fEzAaloBzOM=")</f>
        <v>#REF!</v>
      </c>
      <c r="HU84" t="e">
        <f>AND(#REF!,"fEzAaloBzOQ=")</f>
        <v>#REF!</v>
      </c>
      <c r="HV84" t="e">
        <f>AND(#REF!,"fEzAaloBzOU=")</f>
        <v>#REF!</v>
      </c>
      <c r="HW84" t="e">
        <f>AND(#REF!,"fEzAaloBzOY=")</f>
        <v>#REF!</v>
      </c>
      <c r="HX84" t="e">
        <f>AND(#REF!,"fEzAaloBzOc=")</f>
        <v>#REF!</v>
      </c>
      <c r="HY84" t="e">
        <f>AND(#REF!,"fEzAaloBzOg=")</f>
        <v>#REF!</v>
      </c>
      <c r="HZ84" t="e">
        <f>AND(#REF!,"fEzAaloBzOk=")</f>
        <v>#REF!</v>
      </c>
      <c r="IA84" t="e">
        <f>AND(#REF!,"fEzAaloBzOo=")</f>
        <v>#REF!</v>
      </c>
      <c r="IB84" t="e">
        <f>AND(#REF!,"fEzAaloBzOs=")</f>
        <v>#REF!</v>
      </c>
      <c r="IC84" t="e">
        <f>AND(#REF!,"fEzAaloBzOw=")</f>
        <v>#REF!</v>
      </c>
      <c r="ID84" t="e">
        <f>AND(#REF!,"fEzAaloBzO0=")</f>
        <v>#REF!</v>
      </c>
      <c r="IE84" t="e">
        <f>AND(#REF!,"fEzAaloBzO4=")</f>
        <v>#REF!</v>
      </c>
      <c r="IF84" t="e">
        <f>AND(#REF!,"fEzAaloBzO8=")</f>
        <v>#REF!</v>
      </c>
      <c r="IG84" t="e">
        <f>AND(#REF!,"fEzAaloBzPA=")</f>
        <v>#REF!</v>
      </c>
      <c r="IH84" t="e">
        <f>AND(#REF!,"fEzAaloBzPE=")</f>
        <v>#REF!</v>
      </c>
      <c r="II84" t="e">
        <f>AND(#REF!,"fEzAaloBzPI=")</f>
        <v>#REF!</v>
      </c>
      <c r="IJ84" t="e">
        <f>AND(#REF!,"fEzAaloBzPM=")</f>
        <v>#REF!</v>
      </c>
      <c r="IK84" t="e">
        <f>AND(#REF!,"fEzAaloBzPQ=")</f>
        <v>#REF!</v>
      </c>
      <c r="IL84" t="e">
        <f>AND(#REF!,"fEzAaloBzPU=")</f>
        <v>#REF!</v>
      </c>
      <c r="IM84" t="e">
        <f>AND(#REF!,"fEzAaloBzPY=")</f>
        <v>#REF!</v>
      </c>
      <c r="IN84" t="e">
        <f>AND(#REF!,"fEzAaloBzPc=")</f>
        <v>#REF!</v>
      </c>
      <c r="IO84" t="e">
        <f>AND(#REF!,"fEzAaloBzPg=")</f>
        <v>#REF!</v>
      </c>
      <c r="IP84" t="e">
        <f>AND(#REF!,"fEzAaloBzPk=")</f>
        <v>#REF!</v>
      </c>
      <c r="IQ84" t="e">
        <f>AND(#REF!,"fEzAaloBzPo=")</f>
        <v>#REF!</v>
      </c>
      <c r="IR84" t="e">
        <f>AND(#REF!,"fEzAaloBzPs=")</f>
        <v>#REF!</v>
      </c>
      <c r="IS84" t="e">
        <f>AND(#REF!,"fEzAaloBzPw=")</f>
        <v>#REF!</v>
      </c>
      <c r="IT84" t="e">
        <f>AND(#REF!,"fEzAaloBzP0=")</f>
        <v>#REF!</v>
      </c>
      <c r="IU84" t="e">
        <f>AND(#REF!,"fEzAaloBzP4=")</f>
        <v>#REF!</v>
      </c>
      <c r="IV84" t="e">
        <f>AND(#REF!,"fEzAaloBzP8=")</f>
        <v>#REF!</v>
      </c>
    </row>
    <row r="85" spans="1:256" x14ac:dyDescent="0.2">
      <c r="A85" t="e">
        <f>AND(#REF!,"DFiWZBuN8AA=")</f>
        <v>#REF!</v>
      </c>
      <c r="B85" t="e">
        <f>AND(#REF!,"DFiWZBuN8AE=")</f>
        <v>#REF!</v>
      </c>
      <c r="C85" t="e">
        <f>AND(#REF!,"DFiWZBuN8AI=")</f>
        <v>#REF!</v>
      </c>
      <c r="D85" t="e">
        <f>AND(#REF!,"DFiWZBuN8AM=")</f>
        <v>#REF!</v>
      </c>
      <c r="E85" t="e">
        <f>AND(#REF!,"DFiWZBuN8AQ=")</f>
        <v>#REF!</v>
      </c>
      <c r="F85" t="e">
        <f>AND(#REF!,"DFiWZBuN8AU=")</f>
        <v>#REF!</v>
      </c>
      <c r="G85" t="e">
        <f>AND(#REF!,"DFiWZBuN8AY=")</f>
        <v>#REF!</v>
      </c>
      <c r="H85" t="e">
        <f>AND(#REF!,"DFiWZBuN8Ac=")</f>
        <v>#REF!</v>
      </c>
      <c r="I85" t="e">
        <f>AND(#REF!,"DFiWZBuN8Ag=")</f>
        <v>#REF!</v>
      </c>
      <c r="J85" t="e">
        <f>AND(#REF!,"DFiWZBuN8Ak=")</f>
        <v>#REF!</v>
      </c>
      <c r="K85" t="e">
        <f>AND(#REF!,"DFiWZBuN8Ao=")</f>
        <v>#REF!</v>
      </c>
      <c r="L85" t="e">
        <f>AND(#REF!,"DFiWZBuN8As=")</f>
        <v>#REF!</v>
      </c>
      <c r="M85" t="e">
        <f>AND(#REF!,"DFiWZBuN8Aw=")</f>
        <v>#REF!</v>
      </c>
      <c r="N85" t="e">
        <f>AND(#REF!,"DFiWZBuN8A0=")</f>
        <v>#REF!</v>
      </c>
      <c r="O85" t="e">
        <f>AND(#REF!,"DFiWZBuN8A4=")</f>
        <v>#REF!</v>
      </c>
      <c r="P85" t="e">
        <f>AND(#REF!,"DFiWZBuN8A8=")</f>
        <v>#REF!</v>
      </c>
      <c r="Q85" t="e">
        <f>AND(#REF!,"DFiWZBuN8BA=")</f>
        <v>#REF!</v>
      </c>
      <c r="R85" t="e">
        <f>AND(#REF!,"DFiWZBuN8BE=")</f>
        <v>#REF!</v>
      </c>
      <c r="S85" t="e">
        <f>AND(#REF!,"DFiWZBuN8BI=")</f>
        <v>#REF!</v>
      </c>
      <c r="T85" t="e">
        <f>AND(#REF!,"DFiWZBuN8BM=")</f>
        <v>#REF!</v>
      </c>
      <c r="U85" t="e">
        <f>AND(#REF!,"DFiWZBuN8BQ=")</f>
        <v>#REF!</v>
      </c>
      <c r="V85" t="e">
        <f>AND(#REF!,"DFiWZBuN8BU=")</f>
        <v>#REF!</v>
      </c>
      <c r="W85" t="e">
        <f>AND(#REF!,"DFiWZBuN8BY=")</f>
        <v>#REF!</v>
      </c>
      <c r="X85" t="e">
        <f>AND(#REF!,"DFiWZBuN8Bc=")</f>
        <v>#REF!</v>
      </c>
      <c r="Y85" t="e">
        <f>AND(#REF!,"DFiWZBuN8Bg=")</f>
        <v>#REF!</v>
      </c>
      <c r="Z85" t="e">
        <f>AND(#REF!,"DFiWZBuN8Bk=")</f>
        <v>#REF!</v>
      </c>
      <c r="AA85" t="e">
        <f>AND(#REF!,"DFiWZBuN8Bo=")</f>
        <v>#REF!</v>
      </c>
      <c r="AB85" t="e">
        <f>AND(#REF!,"DFiWZBuN8Bs=")</f>
        <v>#REF!</v>
      </c>
      <c r="AC85" t="e">
        <f>AND(#REF!,"DFiWZBuN8Bw=")</f>
        <v>#REF!</v>
      </c>
      <c r="AD85" t="e">
        <f>AND(#REF!,"DFiWZBuN8B0=")</f>
        <v>#REF!</v>
      </c>
      <c r="AE85" t="e">
        <f>AND(#REF!,"DFiWZBuN8B4=")</f>
        <v>#REF!</v>
      </c>
      <c r="AF85" t="e">
        <f>AND(#REF!,"DFiWZBuN8B8=")</f>
        <v>#REF!</v>
      </c>
      <c r="AG85" t="e">
        <f>AND(#REF!,"DFiWZBuN8CA=")</f>
        <v>#REF!</v>
      </c>
      <c r="AH85" t="e">
        <f>AND(#REF!,"DFiWZBuN8CE=")</f>
        <v>#REF!</v>
      </c>
      <c r="AI85" t="e">
        <f>AND(#REF!,"DFiWZBuN8CI=")</f>
        <v>#REF!</v>
      </c>
      <c r="AJ85" t="e">
        <f>AND(#REF!,"DFiWZBuN8CM=")</f>
        <v>#REF!</v>
      </c>
      <c r="AK85" t="e">
        <f>AND(#REF!,"DFiWZBuN8CQ=")</f>
        <v>#REF!</v>
      </c>
      <c r="AL85" t="e">
        <f>AND(#REF!,"DFiWZBuN8CU=")</f>
        <v>#REF!</v>
      </c>
      <c r="AM85" t="e">
        <f>AND(#REF!,"DFiWZBuN8CY=")</f>
        <v>#REF!</v>
      </c>
      <c r="AN85" t="e">
        <f>AND(#REF!,"DFiWZBuN8Cc=")</f>
        <v>#REF!</v>
      </c>
      <c r="AO85" t="e">
        <f>AND(#REF!,"DFiWZBuN8Cg=")</f>
        <v>#REF!</v>
      </c>
      <c r="AP85" t="e">
        <f>AND(#REF!,"DFiWZBuN8Ck=")</f>
        <v>#REF!</v>
      </c>
      <c r="AQ85" t="e">
        <f>AND(#REF!,"DFiWZBuN8Co=")</f>
        <v>#REF!</v>
      </c>
      <c r="AR85" t="e">
        <f>AND(#REF!,"DFiWZBuN8Cs=")</f>
        <v>#REF!</v>
      </c>
      <c r="AS85" t="e">
        <f>AND(#REF!,"DFiWZBuN8Cw=")</f>
        <v>#REF!</v>
      </c>
      <c r="AT85" t="e">
        <f>AND(#REF!,"DFiWZBuN8C0=")</f>
        <v>#REF!</v>
      </c>
      <c r="AU85" t="e">
        <f>AND(#REF!,"DFiWZBuN8C4=")</f>
        <v>#REF!</v>
      </c>
      <c r="AV85" t="e">
        <f>AND(#REF!,"DFiWZBuN8C8=")</f>
        <v>#REF!</v>
      </c>
      <c r="AW85" t="e">
        <f>AND(#REF!,"DFiWZBuN8DA=")</f>
        <v>#REF!</v>
      </c>
      <c r="AX85" t="e">
        <f>AND(#REF!,"DFiWZBuN8DE=")</f>
        <v>#REF!</v>
      </c>
      <c r="AY85" t="e">
        <f>AND(#REF!,"DFiWZBuN8DI=")</f>
        <v>#REF!</v>
      </c>
      <c r="AZ85" t="e">
        <f>AND(#REF!,"DFiWZBuN8DM=")</f>
        <v>#REF!</v>
      </c>
      <c r="BA85" t="e">
        <f>AND(#REF!,"DFiWZBuN8DQ=")</f>
        <v>#REF!</v>
      </c>
      <c r="BB85" t="e">
        <f>AND(#REF!,"DFiWZBuN8DU=")</f>
        <v>#REF!</v>
      </c>
      <c r="BC85" t="e">
        <f>AND(#REF!,"DFiWZBuN8DY=")</f>
        <v>#REF!</v>
      </c>
      <c r="BD85" t="e">
        <f>AND(#REF!,"DFiWZBuN8Dc=")</f>
        <v>#REF!</v>
      </c>
      <c r="BE85" t="e">
        <f>AND(#REF!,"DFiWZBuN8Dg=")</f>
        <v>#REF!</v>
      </c>
      <c r="BF85" t="e">
        <f>AND(#REF!,"DFiWZBuN8Dk=")</f>
        <v>#REF!</v>
      </c>
      <c r="BG85" t="e">
        <f>AND(#REF!,"DFiWZBuN8Do=")</f>
        <v>#REF!</v>
      </c>
      <c r="BH85" t="e">
        <f>AND(#REF!,"DFiWZBuN8Ds=")</f>
        <v>#REF!</v>
      </c>
      <c r="BI85" t="e">
        <f>AND(#REF!,"DFiWZBuN8Dw=")</f>
        <v>#REF!</v>
      </c>
      <c r="BJ85" t="e">
        <f>AND(#REF!,"DFiWZBuN8D0=")</f>
        <v>#REF!</v>
      </c>
      <c r="BK85" t="e">
        <f>AND(#REF!,"DFiWZBuN8D4=")</f>
        <v>#REF!</v>
      </c>
      <c r="BL85" t="e">
        <f>AND(#REF!,"DFiWZBuN8D8=")</f>
        <v>#REF!</v>
      </c>
      <c r="BM85" t="e">
        <f>AND(#REF!,"DFiWZBuN8EA=")</f>
        <v>#REF!</v>
      </c>
      <c r="BN85" t="e">
        <f>AND(#REF!,"DFiWZBuN8EE=")</f>
        <v>#REF!</v>
      </c>
      <c r="BO85" t="e">
        <f>AND(#REF!,"DFiWZBuN8EI=")</f>
        <v>#REF!</v>
      </c>
      <c r="BP85" t="e">
        <f>AND(#REF!,"DFiWZBuN8EM=")</f>
        <v>#REF!</v>
      </c>
      <c r="BQ85" t="e">
        <f>AND(#REF!,"DFiWZBuN8EQ=")</f>
        <v>#REF!</v>
      </c>
      <c r="BR85" t="e">
        <f>AND(#REF!,"DFiWZBuN8EU=")</f>
        <v>#REF!</v>
      </c>
      <c r="BS85" t="e">
        <f>AND(#REF!,"DFiWZBuN8EY=")</f>
        <v>#REF!</v>
      </c>
      <c r="BT85" t="e">
        <f>AND(#REF!,"DFiWZBuN8Ec=")</f>
        <v>#REF!</v>
      </c>
      <c r="BU85" t="e">
        <f>AND(#REF!,"DFiWZBuN8Eg=")</f>
        <v>#REF!</v>
      </c>
      <c r="BV85" t="e">
        <f>AND(#REF!,"DFiWZBuN8Ek=")</f>
        <v>#REF!</v>
      </c>
      <c r="BW85" t="e">
        <f>AND(#REF!,"DFiWZBuN8Eo=")</f>
        <v>#REF!</v>
      </c>
      <c r="BX85" t="e">
        <f>AND(#REF!,"DFiWZBuN8Es=")</f>
        <v>#REF!</v>
      </c>
      <c r="BY85" t="e">
        <f>AND(#REF!,"DFiWZBuN8Ew=")</f>
        <v>#REF!</v>
      </c>
      <c r="BZ85" t="e">
        <f>AND(#REF!,"DFiWZBuN8E0=")</f>
        <v>#REF!</v>
      </c>
      <c r="CA85" t="e">
        <f>AND(#REF!,"DFiWZBuN8E4=")</f>
        <v>#REF!</v>
      </c>
      <c r="CB85" t="e">
        <f>AND(#REF!,"DFiWZBuN8E8=")</f>
        <v>#REF!</v>
      </c>
      <c r="CC85" t="e">
        <f>AND(#REF!,"DFiWZBuN8FA=")</f>
        <v>#REF!</v>
      </c>
      <c r="CD85" t="e">
        <f>AND(#REF!,"DFiWZBuN8FE=")</f>
        <v>#REF!</v>
      </c>
      <c r="CE85" t="e">
        <f>AND(#REF!,"DFiWZBuN8FI=")</f>
        <v>#REF!</v>
      </c>
      <c r="CF85" t="e">
        <f>AND(#REF!,"DFiWZBuN8FM=")</f>
        <v>#REF!</v>
      </c>
      <c r="CG85" t="e">
        <f>AND(#REF!,"DFiWZBuN8FQ=")</f>
        <v>#REF!</v>
      </c>
      <c r="CH85" t="e">
        <f>AND(#REF!,"DFiWZBuN8FU=")</f>
        <v>#REF!</v>
      </c>
      <c r="CI85" t="e">
        <f>AND(#REF!,"DFiWZBuN8FY=")</f>
        <v>#REF!</v>
      </c>
      <c r="CJ85" t="e">
        <f>AND(#REF!,"DFiWZBuN8Fc=")</f>
        <v>#REF!</v>
      </c>
      <c r="CK85" t="e">
        <f>AND(#REF!,"DFiWZBuN8Fg=")</f>
        <v>#REF!</v>
      </c>
      <c r="CL85" t="e">
        <f>AND(#REF!,"DFiWZBuN8Fk=")</f>
        <v>#REF!</v>
      </c>
      <c r="CM85" t="e">
        <f>AND(#REF!,"DFiWZBuN8Fo=")</f>
        <v>#REF!</v>
      </c>
      <c r="CN85" t="e">
        <f>AND(#REF!,"DFiWZBuN8Fs=")</f>
        <v>#REF!</v>
      </c>
      <c r="CO85" t="e">
        <f>AND(#REF!,"DFiWZBuN8Fw=")</f>
        <v>#REF!</v>
      </c>
      <c r="CP85" t="e">
        <f>AND(#REF!,"DFiWZBuN8F0=")</f>
        <v>#REF!</v>
      </c>
      <c r="CQ85" t="e">
        <f>AND(#REF!,"DFiWZBuN8F4=")</f>
        <v>#REF!</v>
      </c>
      <c r="CR85" t="e">
        <f>AND(#REF!,"DFiWZBuN8F8=")</f>
        <v>#REF!</v>
      </c>
      <c r="CS85" t="e">
        <f>AND(#REF!,"DFiWZBuN8GA=")</f>
        <v>#REF!</v>
      </c>
      <c r="CT85" t="e">
        <f>AND(#REF!,"DFiWZBuN8GE=")</f>
        <v>#REF!</v>
      </c>
      <c r="CU85" t="e">
        <f>AND(#REF!,"DFiWZBuN8GI=")</f>
        <v>#REF!</v>
      </c>
      <c r="CV85" t="e">
        <f>AND(#REF!,"DFiWZBuN8GM=")</f>
        <v>#REF!</v>
      </c>
      <c r="CW85" t="e">
        <f>AND(#REF!,"DFiWZBuN8GQ=")</f>
        <v>#REF!</v>
      </c>
      <c r="CX85" t="e">
        <f>AND(#REF!,"DFiWZBuN8GU=")</f>
        <v>#REF!</v>
      </c>
      <c r="CY85" t="e">
        <f>AND(#REF!,"DFiWZBuN8GY=")</f>
        <v>#REF!</v>
      </c>
      <c r="CZ85" t="e">
        <f>AND(#REF!,"DFiWZBuN8Gc=")</f>
        <v>#REF!</v>
      </c>
      <c r="DA85" t="e">
        <f>AND(#REF!,"DFiWZBuN8Gg=")</f>
        <v>#REF!</v>
      </c>
      <c r="DB85" t="e">
        <f>AND(#REF!,"DFiWZBuN8Gk=")</f>
        <v>#REF!</v>
      </c>
      <c r="DC85" t="e">
        <f>AND(#REF!,"DFiWZBuN8Go=")</f>
        <v>#REF!</v>
      </c>
      <c r="DD85" t="e">
        <f>AND(#REF!,"DFiWZBuN8Gs=")</f>
        <v>#REF!</v>
      </c>
      <c r="DE85" t="e">
        <f>AND(#REF!,"DFiWZBuN8Gw=")</f>
        <v>#REF!</v>
      </c>
      <c r="DF85" t="e">
        <f>AND(#REF!,"DFiWZBuN8G0=")</f>
        <v>#REF!</v>
      </c>
      <c r="DG85" t="e">
        <f>AND(#REF!,"DFiWZBuN8G4=")</f>
        <v>#REF!</v>
      </c>
      <c r="DH85" t="e">
        <f>AND(#REF!,"DFiWZBuN8G8=")</f>
        <v>#REF!</v>
      </c>
      <c r="DI85" t="e">
        <f>AND(#REF!,"DFiWZBuN8HA=")</f>
        <v>#REF!</v>
      </c>
      <c r="DJ85" t="e">
        <f>AND(#REF!,"DFiWZBuN8HE=")</f>
        <v>#REF!</v>
      </c>
      <c r="DK85" t="e">
        <f>AND(#REF!,"DFiWZBuN8HI=")</f>
        <v>#REF!</v>
      </c>
      <c r="DL85" t="e">
        <f>AND(#REF!,"DFiWZBuN8HM=")</f>
        <v>#REF!</v>
      </c>
      <c r="DM85" t="e">
        <f>AND(#REF!,"DFiWZBuN8HQ=")</f>
        <v>#REF!</v>
      </c>
      <c r="DN85" t="e">
        <f>AND(#REF!,"DFiWZBuN8HU=")</f>
        <v>#REF!</v>
      </c>
      <c r="DO85" t="e">
        <f>AND(#REF!,"DFiWZBuN8HY=")</f>
        <v>#REF!</v>
      </c>
      <c r="DP85" t="e">
        <f>AND(#REF!,"DFiWZBuN8Hc=")</f>
        <v>#REF!</v>
      </c>
      <c r="DQ85" t="e">
        <f>AND(#REF!,"DFiWZBuN8Hg=")</f>
        <v>#REF!</v>
      </c>
      <c r="DR85" t="e">
        <f>AND(#REF!,"DFiWZBuN8Hk=")</f>
        <v>#REF!</v>
      </c>
      <c r="DS85" t="e">
        <f>AND(#REF!,"DFiWZBuN8Ho=")</f>
        <v>#REF!</v>
      </c>
      <c r="DT85" t="e">
        <f>AND(#REF!,"DFiWZBuN8Hs=")</f>
        <v>#REF!</v>
      </c>
      <c r="DU85" t="e">
        <f>AND(#REF!,"DFiWZBuN8Hw=")</f>
        <v>#REF!</v>
      </c>
      <c r="DV85" t="e">
        <f>AND(#REF!,"DFiWZBuN8H0=")</f>
        <v>#REF!</v>
      </c>
      <c r="DW85" t="e">
        <f>AND(#REF!,"DFiWZBuN8H4=")</f>
        <v>#REF!</v>
      </c>
      <c r="DX85" t="e">
        <f>AND(#REF!,"DFiWZBuN8H8=")</f>
        <v>#REF!</v>
      </c>
      <c r="DY85" t="e">
        <f>AND(#REF!,"DFiWZBuN8IA=")</f>
        <v>#REF!</v>
      </c>
      <c r="DZ85" t="e">
        <f>AND(#REF!,"DFiWZBuN8IE=")</f>
        <v>#REF!</v>
      </c>
      <c r="EA85" t="e">
        <f>AND(#REF!,"DFiWZBuN8II=")</f>
        <v>#REF!</v>
      </c>
      <c r="EB85" t="e">
        <f>AND(#REF!,"DFiWZBuN8IM=")</f>
        <v>#REF!</v>
      </c>
      <c r="EC85" t="e">
        <f>AND(#REF!,"DFiWZBuN8IQ=")</f>
        <v>#REF!</v>
      </c>
      <c r="ED85" t="e">
        <f>IF(#REF!,"DFiWZBuN8IU=",0)</f>
        <v>#REF!</v>
      </c>
      <c r="EE85" t="e">
        <f>AND(#REF!,"DFiWZBuN8IY=")</f>
        <v>#REF!</v>
      </c>
      <c r="EF85" t="e">
        <f>AND(#REF!,"DFiWZBuN8Ic=")</f>
        <v>#REF!</v>
      </c>
      <c r="EG85" t="e">
        <f>AND(#REF!,"DFiWZBuN8Ig=")</f>
        <v>#REF!</v>
      </c>
      <c r="EH85" t="e">
        <f>AND(#REF!,"DFiWZBuN8Ik=")</f>
        <v>#REF!</v>
      </c>
      <c r="EI85" t="e">
        <f>AND(#REF!,"DFiWZBuN8Io=")</f>
        <v>#REF!</v>
      </c>
      <c r="EJ85" t="e">
        <f>AND(#REF!,"DFiWZBuN8Is=")</f>
        <v>#REF!</v>
      </c>
      <c r="EK85" t="e">
        <f>AND(#REF!,"DFiWZBuN8Iw=")</f>
        <v>#REF!</v>
      </c>
      <c r="EL85" t="e">
        <f>AND(#REF!,"DFiWZBuN8I0=")</f>
        <v>#REF!</v>
      </c>
      <c r="EM85" t="e">
        <f>AND(#REF!,"DFiWZBuN8I4=")</f>
        <v>#REF!</v>
      </c>
      <c r="EN85" t="e">
        <f>AND(#REF!,"DFiWZBuN8I8=")</f>
        <v>#REF!</v>
      </c>
      <c r="EO85" t="e">
        <f>AND(#REF!,"DFiWZBuN8JA=")</f>
        <v>#REF!</v>
      </c>
      <c r="EP85" t="e">
        <f>AND(#REF!,"DFiWZBuN8JE=")</f>
        <v>#REF!</v>
      </c>
      <c r="EQ85" t="e">
        <f>AND(#REF!,"DFiWZBuN8JI=")</f>
        <v>#REF!</v>
      </c>
      <c r="ER85" t="e">
        <f>AND(#REF!,"DFiWZBuN8JM=")</f>
        <v>#REF!</v>
      </c>
      <c r="ES85" t="e">
        <f>AND(#REF!,"DFiWZBuN8JQ=")</f>
        <v>#REF!</v>
      </c>
      <c r="ET85" t="e">
        <f>AND(#REF!,"DFiWZBuN8JU=")</f>
        <v>#REF!</v>
      </c>
      <c r="EU85" t="e">
        <f>AND(#REF!,"DFiWZBuN8JY=")</f>
        <v>#REF!</v>
      </c>
      <c r="EV85" t="e">
        <f>AND(#REF!,"DFiWZBuN8Jc=")</f>
        <v>#REF!</v>
      </c>
      <c r="EW85" t="e">
        <f>AND(#REF!,"DFiWZBuN8Jg=")</f>
        <v>#REF!</v>
      </c>
      <c r="EX85" t="e">
        <f>AND(#REF!,"DFiWZBuN8Jk=")</f>
        <v>#REF!</v>
      </c>
      <c r="EY85" t="e">
        <f>AND(#REF!,"DFiWZBuN8Jo=")</f>
        <v>#REF!</v>
      </c>
      <c r="EZ85" t="e">
        <f>AND(#REF!,"DFiWZBuN8Js=")</f>
        <v>#REF!</v>
      </c>
      <c r="FA85" t="e">
        <f>AND(#REF!,"DFiWZBuN8Jw=")</f>
        <v>#REF!</v>
      </c>
      <c r="FB85" t="e">
        <f>AND(#REF!,"DFiWZBuN8J0=")</f>
        <v>#REF!</v>
      </c>
      <c r="FC85" t="e">
        <f>AND(#REF!,"DFiWZBuN8J4=")</f>
        <v>#REF!</v>
      </c>
      <c r="FD85" t="e">
        <f>AND(#REF!,"DFiWZBuN8J8=")</f>
        <v>#REF!</v>
      </c>
      <c r="FE85" t="e">
        <f>AND(#REF!,"DFiWZBuN8KA=")</f>
        <v>#REF!</v>
      </c>
      <c r="FF85" t="e">
        <f>AND(#REF!,"DFiWZBuN8KE=")</f>
        <v>#REF!</v>
      </c>
      <c r="FG85" t="e">
        <f>AND(#REF!,"DFiWZBuN8KI=")</f>
        <v>#REF!</v>
      </c>
      <c r="FH85" t="e">
        <f>AND(#REF!,"DFiWZBuN8KM=")</f>
        <v>#REF!</v>
      </c>
      <c r="FI85" t="e">
        <f>AND(#REF!,"DFiWZBuN8KQ=")</f>
        <v>#REF!</v>
      </c>
      <c r="FJ85" t="e">
        <f>AND(#REF!,"DFiWZBuN8KU=")</f>
        <v>#REF!</v>
      </c>
      <c r="FK85" t="e">
        <f>AND(#REF!,"DFiWZBuN8KY=")</f>
        <v>#REF!</v>
      </c>
      <c r="FL85" t="e">
        <f>AND(#REF!,"DFiWZBuN8Kc=")</f>
        <v>#REF!</v>
      </c>
      <c r="FM85" t="e">
        <f>AND(#REF!,"DFiWZBuN8Kg=")</f>
        <v>#REF!</v>
      </c>
      <c r="FN85" t="e">
        <f>AND(#REF!,"DFiWZBuN8Kk=")</f>
        <v>#REF!</v>
      </c>
      <c r="FO85" t="e">
        <f>AND(#REF!,"DFiWZBuN8Ko=")</f>
        <v>#REF!</v>
      </c>
      <c r="FP85" t="e">
        <f>AND(#REF!,"DFiWZBuN8Ks=")</f>
        <v>#REF!</v>
      </c>
      <c r="FQ85" t="e">
        <f>AND(#REF!,"DFiWZBuN8Kw=")</f>
        <v>#REF!</v>
      </c>
      <c r="FR85" t="e">
        <f>AND(#REF!,"DFiWZBuN8K0=")</f>
        <v>#REF!</v>
      </c>
      <c r="FS85" t="e">
        <f>AND(#REF!,"DFiWZBuN8K4=")</f>
        <v>#REF!</v>
      </c>
      <c r="FT85" t="e">
        <f>AND(#REF!,"DFiWZBuN8K8=")</f>
        <v>#REF!</v>
      </c>
      <c r="FU85" t="e">
        <f>AND(#REF!,"DFiWZBuN8LA=")</f>
        <v>#REF!</v>
      </c>
      <c r="FV85" t="e">
        <f>AND(#REF!,"DFiWZBuN8LE=")</f>
        <v>#REF!</v>
      </c>
      <c r="FW85" t="e">
        <f>AND(#REF!,"DFiWZBuN8LI=")</f>
        <v>#REF!</v>
      </c>
      <c r="FX85" t="e">
        <f>AND(#REF!,"DFiWZBuN8LM=")</f>
        <v>#REF!</v>
      </c>
      <c r="FY85" t="e">
        <f>AND(#REF!,"DFiWZBuN8LQ=")</f>
        <v>#REF!</v>
      </c>
      <c r="FZ85" t="e">
        <f>AND(#REF!,"DFiWZBuN8LU=")</f>
        <v>#REF!</v>
      </c>
      <c r="GA85" t="e">
        <f>AND(#REF!,"DFiWZBuN8LY=")</f>
        <v>#REF!</v>
      </c>
      <c r="GB85" t="e">
        <f>AND(#REF!,"DFiWZBuN8Lc=")</f>
        <v>#REF!</v>
      </c>
      <c r="GC85" t="e">
        <f>AND(#REF!,"DFiWZBuN8Lg=")</f>
        <v>#REF!</v>
      </c>
      <c r="GD85" t="e">
        <f>AND(#REF!,"DFiWZBuN8Lk=")</f>
        <v>#REF!</v>
      </c>
      <c r="GE85" t="e">
        <f>AND(#REF!,"DFiWZBuN8Lo=")</f>
        <v>#REF!</v>
      </c>
      <c r="GF85" t="e">
        <f>AND(#REF!,"DFiWZBuN8Ls=")</f>
        <v>#REF!</v>
      </c>
      <c r="GG85" t="e">
        <f>AND(#REF!,"DFiWZBuN8Lw=")</f>
        <v>#REF!</v>
      </c>
      <c r="GH85" t="e">
        <f>AND(#REF!,"DFiWZBuN8L0=")</f>
        <v>#REF!</v>
      </c>
      <c r="GI85" t="e">
        <f>AND(#REF!,"DFiWZBuN8L4=")</f>
        <v>#REF!</v>
      </c>
      <c r="GJ85" t="e">
        <f>AND(#REF!,"DFiWZBuN8L8=")</f>
        <v>#REF!</v>
      </c>
      <c r="GK85" t="e">
        <f>AND(#REF!,"DFiWZBuN8MA=")</f>
        <v>#REF!</v>
      </c>
      <c r="GL85" t="e">
        <f>AND(#REF!,"DFiWZBuN8ME=")</f>
        <v>#REF!</v>
      </c>
      <c r="GM85" t="e">
        <f>AND(#REF!,"DFiWZBuN8MI=")</f>
        <v>#REF!</v>
      </c>
      <c r="GN85" t="e">
        <f>AND(#REF!,"DFiWZBuN8MM=")</f>
        <v>#REF!</v>
      </c>
      <c r="GO85" t="e">
        <f>AND(#REF!,"DFiWZBuN8MQ=")</f>
        <v>#REF!</v>
      </c>
      <c r="GP85" t="e">
        <f>AND(#REF!,"DFiWZBuN8MU=")</f>
        <v>#REF!</v>
      </c>
      <c r="GQ85" t="e">
        <f>AND(#REF!,"DFiWZBuN8MY=")</f>
        <v>#REF!</v>
      </c>
      <c r="GR85" t="e">
        <f>AND(#REF!,"DFiWZBuN8Mc=")</f>
        <v>#REF!</v>
      </c>
      <c r="GS85" t="e">
        <f>AND(#REF!,"DFiWZBuN8Mg=")</f>
        <v>#REF!</v>
      </c>
      <c r="GT85" t="e">
        <f>AND(#REF!,"DFiWZBuN8Mk=")</f>
        <v>#REF!</v>
      </c>
      <c r="GU85" t="e">
        <f>AND(#REF!,"DFiWZBuN8Mo=")</f>
        <v>#REF!</v>
      </c>
      <c r="GV85" t="e">
        <f>AND(#REF!,"DFiWZBuN8Ms=")</f>
        <v>#REF!</v>
      </c>
      <c r="GW85" t="e">
        <f>AND(#REF!,"DFiWZBuN8Mw=")</f>
        <v>#REF!</v>
      </c>
      <c r="GX85" t="e">
        <f>AND(#REF!,"DFiWZBuN8M0=")</f>
        <v>#REF!</v>
      </c>
      <c r="GY85" t="e">
        <f>AND(#REF!,"DFiWZBuN8M4=")</f>
        <v>#REF!</v>
      </c>
      <c r="GZ85" t="e">
        <f>AND(#REF!,"DFiWZBuN8M8=")</f>
        <v>#REF!</v>
      </c>
      <c r="HA85" t="e">
        <f>AND(#REF!,"DFiWZBuN8NA=")</f>
        <v>#REF!</v>
      </c>
      <c r="HB85" t="e">
        <f>AND(#REF!,"DFiWZBuN8NE=")</f>
        <v>#REF!</v>
      </c>
      <c r="HC85" t="e">
        <f>AND(#REF!,"DFiWZBuN8NI=")</f>
        <v>#REF!</v>
      </c>
      <c r="HD85" t="e">
        <f>AND(#REF!,"DFiWZBuN8NM=")</f>
        <v>#REF!</v>
      </c>
      <c r="HE85" t="e">
        <f>AND(#REF!,"DFiWZBuN8NQ=")</f>
        <v>#REF!</v>
      </c>
      <c r="HF85" t="e">
        <f>AND(#REF!,"DFiWZBuN8NU=")</f>
        <v>#REF!</v>
      </c>
      <c r="HG85" t="e">
        <f>AND(#REF!,"DFiWZBuN8NY=")</f>
        <v>#REF!</v>
      </c>
      <c r="HH85" t="e">
        <f>AND(#REF!,"DFiWZBuN8Nc=")</f>
        <v>#REF!</v>
      </c>
      <c r="HI85" t="e">
        <f>AND(#REF!,"DFiWZBuN8Ng=")</f>
        <v>#REF!</v>
      </c>
      <c r="HJ85" t="e">
        <f>AND(#REF!,"DFiWZBuN8Nk=")</f>
        <v>#REF!</v>
      </c>
      <c r="HK85" t="e">
        <f>AND(#REF!,"DFiWZBuN8No=")</f>
        <v>#REF!</v>
      </c>
      <c r="HL85" t="e">
        <f>AND(#REF!,"DFiWZBuN8Ns=")</f>
        <v>#REF!</v>
      </c>
      <c r="HM85" t="e">
        <f>AND(#REF!,"DFiWZBuN8Nw=")</f>
        <v>#REF!</v>
      </c>
      <c r="HN85" t="e">
        <f>AND(#REF!,"DFiWZBuN8N0=")</f>
        <v>#REF!</v>
      </c>
      <c r="HO85" t="e">
        <f>AND(#REF!,"DFiWZBuN8N4=")</f>
        <v>#REF!</v>
      </c>
      <c r="HP85" t="e">
        <f>AND(#REF!,"DFiWZBuN8N8=")</f>
        <v>#REF!</v>
      </c>
      <c r="HQ85" t="e">
        <f>AND(#REF!,"DFiWZBuN8OA=")</f>
        <v>#REF!</v>
      </c>
      <c r="HR85" t="e">
        <f>AND(#REF!,"DFiWZBuN8OE=")</f>
        <v>#REF!</v>
      </c>
      <c r="HS85" t="e">
        <f>AND(#REF!,"DFiWZBuN8OI=")</f>
        <v>#REF!</v>
      </c>
      <c r="HT85" t="e">
        <f>AND(#REF!,"DFiWZBuN8OM=")</f>
        <v>#REF!</v>
      </c>
      <c r="HU85" t="e">
        <f>AND(#REF!,"DFiWZBuN8OQ=")</f>
        <v>#REF!</v>
      </c>
      <c r="HV85" t="e">
        <f>AND(#REF!,"DFiWZBuN8OU=")</f>
        <v>#REF!</v>
      </c>
      <c r="HW85" t="e">
        <f>AND(#REF!,"DFiWZBuN8OY=")</f>
        <v>#REF!</v>
      </c>
      <c r="HX85" t="e">
        <f>AND(#REF!,"DFiWZBuN8Oc=")</f>
        <v>#REF!</v>
      </c>
      <c r="HY85" t="e">
        <f>AND(#REF!,"DFiWZBuN8Og=")</f>
        <v>#REF!</v>
      </c>
      <c r="HZ85" t="e">
        <f>AND(#REF!,"DFiWZBuN8Ok=")</f>
        <v>#REF!</v>
      </c>
      <c r="IA85" t="e">
        <f>AND(#REF!,"DFiWZBuN8Oo=")</f>
        <v>#REF!</v>
      </c>
      <c r="IB85" t="e">
        <f>AND(#REF!,"DFiWZBuN8Os=")</f>
        <v>#REF!</v>
      </c>
      <c r="IC85" t="e">
        <f>AND(#REF!,"DFiWZBuN8Ow=")</f>
        <v>#REF!</v>
      </c>
      <c r="ID85" t="e">
        <f>AND(#REF!,"DFiWZBuN8O0=")</f>
        <v>#REF!</v>
      </c>
      <c r="IE85" t="e">
        <f>AND(#REF!,"DFiWZBuN8O4=")</f>
        <v>#REF!</v>
      </c>
      <c r="IF85" t="e">
        <f>AND(#REF!,"DFiWZBuN8O8=")</f>
        <v>#REF!</v>
      </c>
      <c r="IG85" t="e">
        <f>AND(#REF!,"DFiWZBuN8PA=")</f>
        <v>#REF!</v>
      </c>
      <c r="IH85" t="e">
        <f>AND(#REF!,"DFiWZBuN8PE=")</f>
        <v>#REF!</v>
      </c>
      <c r="II85" t="e">
        <f>AND(#REF!,"DFiWZBuN8PI=")</f>
        <v>#REF!</v>
      </c>
      <c r="IJ85" t="e">
        <f>AND(#REF!,"DFiWZBuN8PM=")</f>
        <v>#REF!</v>
      </c>
      <c r="IK85" t="e">
        <f>AND(#REF!,"DFiWZBuN8PQ=")</f>
        <v>#REF!</v>
      </c>
      <c r="IL85" t="e">
        <f>AND(#REF!,"DFiWZBuN8PU=")</f>
        <v>#REF!</v>
      </c>
      <c r="IM85" t="e">
        <f>AND(#REF!,"DFiWZBuN8PY=")</f>
        <v>#REF!</v>
      </c>
      <c r="IN85" t="e">
        <f>AND(#REF!,"DFiWZBuN8Pc=")</f>
        <v>#REF!</v>
      </c>
      <c r="IO85" t="e">
        <f>AND(#REF!,"DFiWZBuN8Pg=")</f>
        <v>#REF!</v>
      </c>
      <c r="IP85" t="e">
        <f>AND(#REF!,"DFiWZBuN8Pk=")</f>
        <v>#REF!</v>
      </c>
      <c r="IQ85" t="e">
        <f>AND(#REF!,"DFiWZBuN8Po=")</f>
        <v>#REF!</v>
      </c>
      <c r="IR85" t="e">
        <f>AND(#REF!,"DFiWZBuN8Ps=")</f>
        <v>#REF!</v>
      </c>
      <c r="IS85" t="e">
        <f>AND(#REF!,"DFiWZBuN8Pw=")</f>
        <v>#REF!</v>
      </c>
      <c r="IT85" t="e">
        <f>AND(#REF!,"DFiWZBuN8P0=")</f>
        <v>#REF!</v>
      </c>
      <c r="IU85" t="e">
        <f>AND(#REF!,"DFiWZBuN8P4=")</f>
        <v>#REF!</v>
      </c>
      <c r="IV85" t="e">
        <f>AND(#REF!,"DFiWZBuN8P8=")</f>
        <v>#REF!</v>
      </c>
    </row>
    <row r="86" spans="1:256" x14ac:dyDescent="0.2">
      <c r="A86" t="e">
        <f>AND(#REF!,"J3Ex2WmKFwA=")</f>
        <v>#REF!</v>
      </c>
      <c r="B86" t="e">
        <f>AND(#REF!,"J3Ex2WmKFwE=")</f>
        <v>#REF!</v>
      </c>
      <c r="C86" t="e">
        <f>AND(#REF!,"J3Ex2WmKFwI=")</f>
        <v>#REF!</v>
      </c>
      <c r="D86" t="e">
        <f>AND(#REF!,"J3Ex2WmKFwM=")</f>
        <v>#REF!</v>
      </c>
      <c r="E86" t="e">
        <f>AND(#REF!,"J3Ex2WmKFwQ=")</f>
        <v>#REF!</v>
      </c>
      <c r="F86" t="e">
        <f>AND(#REF!,"J3Ex2WmKFwU=")</f>
        <v>#REF!</v>
      </c>
      <c r="G86" t="e">
        <f>AND(#REF!,"J3Ex2WmKFwY=")</f>
        <v>#REF!</v>
      </c>
      <c r="H86" t="e">
        <f>AND(#REF!,"J3Ex2WmKFwc=")</f>
        <v>#REF!</v>
      </c>
      <c r="I86" t="e">
        <f>AND(#REF!,"J3Ex2WmKFwg=")</f>
        <v>#REF!</v>
      </c>
      <c r="J86" t="e">
        <f>AND(#REF!,"J3Ex2WmKFwk=")</f>
        <v>#REF!</v>
      </c>
      <c r="K86" t="e">
        <f>AND(#REF!,"J3Ex2WmKFwo=")</f>
        <v>#REF!</v>
      </c>
      <c r="L86" t="e">
        <f>AND(#REF!,"J3Ex2WmKFws=")</f>
        <v>#REF!</v>
      </c>
      <c r="M86" t="e">
        <f>AND(#REF!,"J3Ex2WmKFww=")</f>
        <v>#REF!</v>
      </c>
      <c r="N86" t="e">
        <f>AND(#REF!,"J3Ex2WmKFw0=")</f>
        <v>#REF!</v>
      </c>
      <c r="O86" t="e">
        <f>AND(#REF!,"J3Ex2WmKFw4=")</f>
        <v>#REF!</v>
      </c>
      <c r="P86" t="e">
        <f>AND(#REF!,"J3Ex2WmKFw8=")</f>
        <v>#REF!</v>
      </c>
      <c r="Q86" t="e">
        <f>AND(#REF!,"J3Ex2WmKFxA=")</f>
        <v>#REF!</v>
      </c>
      <c r="R86" t="e">
        <f>AND(#REF!,"J3Ex2WmKFxE=")</f>
        <v>#REF!</v>
      </c>
      <c r="S86" t="e">
        <f>AND(#REF!,"J3Ex2WmKFxI=")</f>
        <v>#REF!</v>
      </c>
      <c r="T86" t="e">
        <f>AND(#REF!,"J3Ex2WmKFxM=")</f>
        <v>#REF!</v>
      </c>
      <c r="U86" t="e">
        <f>AND(#REF!,"J3Ex2WmKFxQ=")</f>
        <v>#REF!</v>
      </c>
      <c r="V86" t="e">
        <f>AND(#REF!,"J3Ex2WmKFxU=")</f>
        <v>#REF!</v>
      </c>
      <c r="W86" t="e">
        <f>AND(#REF!,"J3Ex2WmKFxY=")</f>
        <v>#REF!</v>
      </c>
      <c r="X86" t="e">
        <f>AND(#REF!,"J3Ex2WmKFxc=")</f>
        <v>#REF!</v>
      </c>
      <c r="Y86" t="e">
        <f>AND(#REF!,"J3Ex2WmKFxg=")</f>
        <v>#REF!</v>
      </c>
      <c r="Z86" t="e">
        <f>AND(#REF!,"J3Ex2WmKFxk=")</f>
        <v>#REF!</v>
      </c>
      <c r="AA86" t="e">
        <f>AND(#REF!,"J3Ex2WmKFxo=")</f>
        <v>#REF!</v>
      </c>
      <c r="AB86" t="e">
        <f>AND(#REF!,"J3Ex2WmKFxs=")</f>
        <v>#REF!</v>
      </c>
      <c r="AC86" t="e">
        <f>AND(#REF!,"J3Ex2WmKFxw=")</f>
        <v>#REF!</v>
      </c>
      <c r="AD86" t="e">
        <f>AND(#REF!,"J3Ex2WmKFx0=")</f>
        <v>#REF!</v>
      </c>
      <c r="AE86" t="e">
        <f>AND(#REF!,"J3Ex2WmKFx4=")</f>
        <v>#REF!</v>
      </c>
      <c r="AF86" t="e">
        <f>AND(#REF!,"J3Ex2WmKFx8=")</f>
        <v>#REF!</v>
      </c>
      <c r="AG86" t="e">
        <f>AND(#REF!,"J3Ex2WmKFyA=")</f>
        <v>#REF!</v>
      </c>
      <c r="AH86" t="e">
        <f>AND(#REF!,"J3Ex2WmKFyE=")</f>
        <v>#REF!</v>
      </c>
      <c r="AI86" t="e">
        <f>AND(#REF!,"J3Ex2WmKFyI=")</f>
        <v>#REF!</v>
      </c>
      <c r="AJ86" t="e">
        <f>AND(#REF!,"J3Ex2WmKFyM=")</f>
        <v>#REF!</v>
      </c>
      <c r="AK86" t="e">
        <f>AND(#REF!,"J3Ex2WmKFyQ=")</f>
        <v>#REF!</v>
      </c>
      <c r="AL86" t="e">
        <f>AND(#REF!,"J3Ex2WmKFyU=")</f>
        <v>#REF!</v>
      </c>
      <c r="AM86" t="e">
        <f>AND(#REF!,"J3Ex2WmKFyY=")</f>
        <v>#REF!</v>
      </c>
      <c r="AN86" t="e">
        <f>AND(#REF!,"J3Ex2WmKFyc=")</f>
        <v>#REF!</v>
      </c>
      <c r="AO86" t="e">
        <f>AND(#REF!,"J3Ex2WmKFyg=")</f>
        <v>#REF!</v>
      </c>
      <c r="AP86" t="e">
        <f>AND(#REF!,"J3Ex2WmKFyk=")</f>
        <v>#REF!</v>
      </c>
      <c r="AQ86" t="e">
        <f>AND(#REF!,"J3Ex2WmKFyo=")</f>
        <v>#REF!</v>
      </c>
      <c r="AR86" t="e">
        <f>AND(#REF!,"J3Ex2WmKFys=")</f>
        <v>#REF!</v>
      </c>
      <c r="AS86" t="e">
        <f>AND(#REF!,"J3Ex2WmKFyw=")</f>
        <v>#REF!</v>
      </c>
      <c r="AT86" t="e">
        <f>AND(#REF!,"J3Ex2WmKFy0=")</f>
        <v>#REF!</v>
      </c>
      <c r="AU86" t="e">
        <f>AND(#REF!,"J3Ex2WmKFy4=")</f>
        <v>#REF!</v>
      </c>
      <c r="AV86" t="e">
        <f>AND(#REF!,"J3Ex2WmKFy8=")</f>
        <v>#REF!</v>
      </c>
      <c r="AW86" t="e">
        <f>AND(#REF!,"J3Ex2WmKFzA=")</f>
        <v>#REF!</v>
      </c>
      <c r="AX86" t="e">
        <f>AND(#REF!,"J3Ex2WmKFzE=")</f>
        <v>#REF!</v>
      </c>
      <c r="AY86" t="e">
        <f>AND(#REF!,"J3Ex2WmKFzI=")</f>
        <v>#REF!</v>
      </c>
      <c r="AZ86" t="e">
        <f>AND(#REF!,"J3Ex2WmKFzM=")</f>
        <v>#REF!</v>
      </c>
      <c r="BA86" t="e">
        <f>AND(#REF!,"J3Ex2WmKFzQ=")</f>
        <v>#REF!</v>
      </c>
      <c r="BB86" t="e">
        <f>AND(#REF!,"J3Ex2WmKFzU=")</f>
        <v>#REF!</v>
      </c>
      <c r="BC86" t="e">
        <f>AND(#REF!,"J3Ex2WmKFzY=")</f>
        <v>#REF!</v>
      </c>
      <c r="BD86" t="e">
        <f>AND(#REF!,"J3Ex2WmKFzc=")</f>
        <v>#REF!</v>
      </c>
      <c r="BE86" t="e">
        <f>AND(#REF!,"J3Ex2WmKFzg=")</f>
        <v>#REF!</v>
      </c>
      <c r="BF86" t="e">
        <f>AND(#REF!,"J3Ex2WmKFzk=")</f>
        <v>#REF!</v>
      </c>
      <c r="BG86" t="e">
        <f>AND(#REF!,"J3Ex2WmKFzo=")</f>
        <v>#REF!</v>
      </c>
      <c r="BH86" t="e">
        <f>AND(#REF!,"J3Ex2WmKFzs=")</f>
        <v>#REF!</v>
      </c>
      <c r="BI86" t="e">
        <f>AND(#REF!,"J3Ex2WmKFzw=")</f>
        <v>#REF!</v>
      </c>
      <c r="BJ86" t="e">
        <f>AND(#REF!,"J3Ex2WmKFz0=")</f>
        <v>#REF!</v>
      </c>
      <c r="BK86" t="e">
        <f>AND(#REF!,"J3Ex2WmKFz4=")</f>
        <v>#REF!</v>
      </c>
      <c r="BL86" t="e">
        <f>AND(#REF!,"J3Ex2WmKFz8=")</f>
        <v>#REF!</v>
      </c>
      <c r="BM86" t="e">
        <f>AND(#REF!,"J3Ex2WmKF0A=")</f>
        <v>#REF!</v>
      </c>
      <c r="BN86" t="e">
        <f>AND(#REF!,"J3Ex2WmKF0E=")</f>
        <v>#REF!</v>
      </c>
      <c r="BO86" t="e">
        <f>AND(#REF!,"J3Ex2WmKF0I=")</f>
        <v>#REF!</v>
      </c>
      <c r="BP86" t="e">
        <f>AND(#REF!,"J3Ex2WmKF0M=")</f>
        <v>#REF!</v>
      </c>
      <c r="BQ86" t="e">
        <f>AND(#REF!,"J3Ex2WmKF0Q=")</f>
        <v>#REF!</v>
      </c>
      <c r="BR86" t="e">
        <f>AND(#REF!,"J3Ex2WmKF0U=")</f>
        <v>#REF!</v>
      </c>
      <c r="BS86" t="e">
        <f>AND(#REF!,"J3Ex2WmKF0Y=")</f>
        <v>#REF!</v>
      </c>
      <c r="BT86" t="e">
        <f>AND(#REF!,"J3Ex2WmKF0c=")</f>
        <v>#REF!</v>
      </c>
      <c r="BU86" t="e">
        <f>AND(#REF!,"J3Ex2WmKF0g=")</f>
        <v>#REF!</v>
      </c>
      <c r="BV86" t="e">
        <f>AND(#REF!,"J3Ex2WmKF0k=")</f>
        <v>#REF!</v>
      </c>
      <c r="BW86" t="e">
        <f>AND(#REF!,"J3Ex2WmKF0o=")</f>
        <v>#REF!</v>
      </c>
      <c r="BX86" t="e">
        <f>AND(#REF!,"J3Ex2WmKF0s=")</f>
        <v>#REF!</v>
      </c>
      <c r="BY86" t="e">
        <f>IF(#REF!,"J3Ex2WmKF0w=",0)</f>
        <v>#REF!</v>
      </c>
      <c r="BZ86" t="e">
        <f>AND(#REF!,"J3Ex2WmKF00=")</f>
        <v>#REF!</v>
      </c>
      <c r="CA86" t="e">
        <f>AND(#REF!,"J3Ex2WmKF04=")</f>
        <v>#REF!</v>
      </c>
      <c r="CB86" t="e">
        <f>AND(#REF!,"J3Ex2WmKF08=")</f>
        <v>#REF!</v>
      </c>
      <c r="CC86" t="e">
        <f>AND(#REF!,"J3Ex2WmKF1A=")</f>
        <v>#REF!</v>
      </c>
      <c r="CD86" t="e">
        <f>AND(#REF!,"J3Ex2WmKF1E=")</f>
        <v>#REF!</v>
      </c>
      <c r="CE86" t="e">
        <f>AND(#REF!,"J3Ex2WmKF1I=")</f>
        <v>#REF!</v>
      </c>
      <c r="CF86" t="e">
        <f>AND(#REF!,"J3Ex2WmKF1M=")</f>
        <v>#REF!</v>
      </c>
      <c r="CG86" t="e">
        <f>AND(#REF!,"J3Ex2WmKF1Q=")</f>
        <v>#REF!</v>
      </c>
      <c r="CH86" t="e">
        <f>AND(#REF!,"J3Ex2WmKF1U=")</f>
        <v>#REF!</v>
      </c>
      <c r="CI86" t="e">
        <f>AND(#REF!,"J3Ex2WmKF1Y=")</f>
        <v>#REF!</v>
      </c>
      <c r="CJ86" t="e">
        <f>AND(#REF!,"J3Ex2WmKF1c=")</f>
        <v>#REF!</v>
      </c>
      <c r="CK86" t="e">
        <f>AND(#REF!,"J3Ex2WmKF1g=")</f>
        <v>#REF!</v>
      </c>
      <c r="CL86" t="e">
        <f>AND(#REF!,"J3Ex2WmKF1k=")</f>
        <v>#REF!</v>
      </c>
      <c r="CM86" t="e">
        <f>AND(#REF!,"J3Ex2WmKF1o=")</f>
        <v>#REF!</v>
      </c>
      <c r="CN86" t="e">
        <f>AND(#REF!,"J3Ex2WmKF1s=")</f>
        <v>#REF!</v>
      </c>
      <c r="CO86" t="e">
        <f>AND(#REF!,"J3Ex2WmKF1w=")</f>
        <v>#REF!</v>
      </c>
      <c r="CP86" t="e">
        <f>AND(#REF!,"J3Ex2WmKF10=")</f>
        <v>#REF!</v>
      </c>
      <c r="CQ86" t="e">
        <f>AND(#REF!,"J3Ex2WmKF14=")</f>
        <v>#REF!</v>
      </c>
      <c r="CR86" t="e">
        <f>AND(#REF!,"J3Ex2WmKF18=")</f>
        <v>#REF!</v>
      </c>
      <c r="CS86" t="e">
        <f>AND(#REF!,"J3Ex2WmKF2A=")</f>
        <v>#REF!</v>
      </c>
      <c r="CT86" t="e">
        <f>AND(#REF!,"J3Ex2WmKF2E=")</f>
        <v>#REF!</v>
      </c>
      <c r="CU86" t="e">
        <f>AND(#REF!,"J3Ex2WmKF2I=")</f>
        <v>#REF!</v>
      </c>
      <c r="CV86" t="e">
        <f>AND(#REF!,"J3Ex2WmKF2M=")</f>
        <v>#REF!</v>
      </c>
      <c r="CW86" t="e">
        <f>AND(#REF!,"J3Ex2WmKF2Q=")</f>
        <v>#REF!</v>
      </c>
      <c r="CX86" t="e">
        <f>AND(#REF!,"J3Ex2WmKF2U=")</f>
        <v>#REF!</v>
      </c>
      <c r="CY86" t="e">
        <f>AND(#REF!,"J3Ex2WmKF2Y=")</f>
        <v>#REF!</v>
      </c>
      <c r="CZ86" t="e">
        <f>AND(#REF!,"J3Ex2WmKF2c=")</f>
        <v>#REF!</v>
      </c>
      <c r="DA86" t="e">
        <f>AND(#REF!,"J3Ex2WmKF2g=")</f>
        <v>#REF!</v>
      </c>
      <c r="DB86" t="e">
        <f>AND(#REF!,"J3Ex2WmKF2k=")</f>
        <v>#REF!</v>
      </c>
      <c r="DC86" t="e">
        <f>AND(#REF!,"J3Ex2WmKF2o=")</f>
        <v>#REF!</v>
      </c>
      <c r="DD86" t="e">
        <f>AND(#REF!,"J3Ex2WmKF2s=")</f>
        <v>#REF!</v>
      </c>
      <c r="DE86" t="e">
        <f>AND(#REF!,"J3Ex2WmKF2w=")</f>
        <v>#REF!</v>
      </c>
      <c r="DF86" t="e">
        <f>AND(#REF!,"J3Ex2WmKF20=")</f>
        <v>#REF!</v>
      </c>
      <c r="DG86" t="e">
        <f>AND(#REF!,"J3Ex2WmKF24=")</f>
        <v>#REF!</v>
      </c>
      <c r="DH86" t="e">
        <f>AND(#REF!,"J3Ex2WmKF28=")</f>
        <v>#REF!</v>
      </c>
      <c r="DI86" t="e">
        <f>AND(#REF!,"J3Ex2WmKF3A=")</f>
        <v>#REF!</v>
      </c>
      <c r="DJ86" t="e">
        <f>AND(#REF!,"J3Ex2WmKF3E=")</f>
        <v>#REF!</v>
      </c>
      <c r="DK86" t="e">
        <f>AND(#REF!,"J3Ex2WmKF3I=")</f>
        <v>#REF!</v>
      </c>
      <c r="DL86" t="e">
        <f>AND(#REF!,"J3Ex2WmKF3M=")</f>
        <v>#REF!</v>
      </c>
      <c r="DM86" t="e">
        <f>AND(#REF!,"J3Ex2WmKF3Q=")</f>
        <v>#REF!</v>
      </c>
      <c r="DN86" t="e">
        <f>AND(#REF!,"J3Ex2WmKF3U=")</f>
        <v>#REF!</v>
      </c>
      <c r="DO86" t="e">
        <f>AND(#REF!,"J3Ex2WmKF3Y=")</f>
        <v>#REF!</v>
      </c>
      <c r="DP86" t="e">
        <f>AND(#REF!,"J3Ex2WmKF3c=")</f>
        <v>#REF!</v>
      </c>
      <c r="DQ86" t="e">
        <f>AND(#REF!,"J3Ex2WmKF3g=")</f>
        <v>#REF!</v>
      </c>
      <c r="DR86" t="e">
        <f>AND(#REF!,"J3Ex2WmKF3k=")</f>
        <v>#REF!</v>
      </c>
      <c r="DS86" t="e">
        <f>AND(#REF!,"J3Ex2WmKF3o=")</f>
        <v>#REF!</v>
      </c>
      <c r="DT86" t="e">
        <f>AND(#REF!,"J3Ex2WmKF3s=")</f>
        <v>#REF!</v>
      </c>
      <c r="DU86" t="e">
        <f>AND(#REF!,"J3Ex2WmKF3w=")</f>
        <v>#REF!</v>
      </c>
      <c r="DV86" t="e">
        <f>AND(#REF!,"J3Ex2WmKF30=")</f>
        <v>#REF!</v>
      </c>
      <c r="DW86" t="e">
        <f>AND(#REF!,"J3Ex2WmKF34=")</f>
        <v>#REF!</v>
      </c>
      <c r="DX86" t="e">
        <f>AND(#REF!,"J3Ex2WmKF38=")</f>
        <v>#REF!</v>
      </c>
      <c r="DY86" t="e">
        <f>AND(#REF!,"J3Ex2WmKF4A=")</f>
        <v>#REF!</v>
      </c>
      <c r="DZ86" t="e">
        <f>AND(#REF!,"J3Ex2WmKF4E=")</f>
        <v>#REF!</v>
      </c>
      <c r="EA86" t="e">
        <f>AND(#REF!,"J3Ex2WmKF4I=")</f>
        <v>#REF!</v>
      </c>
      <c r="EB86" t="e">
        <f>AND(#REF!,"J3Ex2WmKF4M=")</f>
        <v>#REF!</v>
      </c>
      <c r="EC86" t="e">
        <f>AND(#REF!,"J3Ex2WmKF4Q=")</f>
        <v>#REF!</v>
      </c>
      <c r="ED86" t="e">
        <f>AND(#REF!,"J3Ex2WmKF4U=")</f>
        <v>#REF!</v>
      </c>
      <c r="EE86" t="e">
        <f>AND(#REF!,"J3Ex2WmKF4Y=")</f>
        <v>#REF!</v>
      </c>
      <c r="EF86" t="e">
        <f>AND(#REF!,"J3Ex2WmKF4c=")</f>
        <v>#REF!</v>
      </c>
      <c r="EG86" t="e">
        <f>AND(#REF!,"J3Ex2WmKF4g=")</f>
        <v>#REF!</v>
      </c>
      <c r="EH86" t="e">
        <f>AND(#REF!,"J3Ex2WmKF4k=")</f>
        <v>#REF!</v>
      </c>
      <c r="EI86" t="e">
        <f>AND(#REF!,"J3Ex2WmKF4o=")</f>
        <v>#REF!</v>
      </c>
      <c r="EJ86" t="e">
        <f>AND(#REF!,"J3Ex2WmKF4s=")</f>
        <v>#REF!</v>
      </c>
      <c r="EK86" t="e">
        <f>AND(#REF!,"J3Ex2WmKF4w=")</f>
        <v>#REF!</v>
      </c>
      <c r="EL86" t="e">
        <f>AND(#REF!,"J3Ex2WmKF40=")</f>
        <v>#REF!</v>
      </c>
      <c r="EM86" t="e">
        <f>AND(#REF!,"J3Ex2WmKF44=")</f>
        <v>#REF!</v>
      </c>
      <c r="EN86" t="e">
        <f>AND(#REF!,"J3Ex2WmKF48=")</f>
        <v>#REF!</v>
      </c>
      <c r="EO86" t="e">
        <f>AND(#REF!,"J3Ex2WmKF5A=")</f>
        <v>#REF!</v>
      </c>
      <c r="EP86" t="e">
        <f>AND(#REF!,"J3Ex2WmKF5E=")</f>
        <v>#REF!</v>
      </c>
      <c r="EQ86" t="e">
        <f>AND(#REF!,"J3Ex2WmKF5I=")</f>
        <v>#REF!</v>
      </c>
      <c r="ER86" t="e">
        <f>AND(#REF!,"J3Ex2WmKF5M=")</f>
        <v>#REF!</v>
      </c>
      <c r="ES86" t="e">
        <f>AND(#REF!,"J3Ex2WmKF5Q=")</f>
        <v>#REF!</v>
      </c>
      <c r="ET86" t="e">
        <f>AND(#REF!,"J3Ex2WmKF5U=")</f>
        <v>#REF!</v>
      </c>
      <c r="EU86" t="e">
        <f>AND(#REF!,"J3Ex2WmKF5Y=")</f>
        <v>#REF!</v>
      </c>
      <c r="EV86" t="e">
        <f>AND(#REF!,"J3Ex2WmKF5c=")</f>
        <v>#REF!</v>
      </c>
      <c r="EW86" t="e">
        <f>AND(#REF!,"J3Ex2WmKF5g=")</f>
        <v>#REF!</v>
      </c>
      <c r="EX86" t="e">
        <f>AND(#REF!,"J3Ex2WmKF5k=")</f>
        <v>#REF!</v>
      </c>
      <c r="EY86" t="e">
        <f>AND(#REF!,"J3Ex2WmKF5o=")</f>
        <v>#REF!</v>
      </c>
      <c r="EZ86" t="e">
        <f>AND(#REF!,"J3Ex2WmKF5s=")</f>
        <v>#REF!</v>
      </c>
      <c r="FA86" t="e">
        <f>AND(#REF!,"J3Ex2WmKF5w=")</f>
        <v>#REF!</v>
      </c>
      <c r="FB86" t="e">
        <f>AND(#REF!,"J3Ex2WmKF50=")</f>
        <v>#REF!</v>
      </c>
      <c r="FC86" t="e">
        <f>AND(#REF!,"J3Ex2WmKF54=")</f>
        <v>#REF!</v>
      </c>
      <c r="FD86" t="e">
        <f>AND(#REF!,"J3Ex2WmKF58=")</f>
        <v>#REF!</v>
      </c>
      <c r="FE86" t="e">
        <f>AND(#REF!,"J3Ex2WmKF6A=")</f>
        <v>#REF!</v>
      </c>
      <c r="FF86" t="e">
        <f>AND(#REF!,"J3Ex2WmKF6E=")</f>
        <v>#REF!</v>
      </c>
      <c r="FG86" t="e">
        <f>AND(#REF!,"J3Ex2WmKF6I=")</f>
        <v>#REF!</v>
      </c>
      <c r="FH86" t="e">
        <f>AND(#REF!,"J3Ex2WmKF6M=")</f>
        <v>#REF!</v>
      </c>
      <c r="FI86" t="e">
        <f>AND(#REF!,"J3Ex2WmKF6Q=")</f>
        <v>#REF!</v>
      </c>
      <c r="FJ86" t="e">
        <f>AND(#REF!,"J3Ex2WmKF6U=")</f>
        <v>#REF!</v>
      </c>
      <c r="FK86" t="e">
        <f>AND(#REF!,"J3Ex2WmKF6Y=")</f>
        <v>#REF!</v>
      </c>
      <c r="FL86" t="e">
        <f>AND(#REF!,"J3Ex2WmKF6c=")</f>
        <v>#REF!</v>
      </c>
      <c r="FM86" t="e">
        <f>AND(#REF!,"J3Ex2WmKF6g=")</f>
        <v>#REF!</v>
      </c>
      <c r="FN86" t="e">
        <f>AND(#REF!,"J3Ex2WmKF6k=")</f>
        <v>#REF!</v>
      </c>
      <c r="FO86" t="e">
        <f>AND(#REF!,"J3Ex2WmKF6o=")</f>
        <v>#REF!</v>
      </c>
      <c r="FP86" t="e">
        <f>AND(#REF!,"J3Ex2WmKF6s=")</f>
        <v>#REF!</v>
      </c>
      <c r="FQ86" t="e">
        <f>AND(#REF!,"J3Ex2WmKF6w=")</f>
        <v>#REF!</v>
      </c>
      <c r="FR86" t="e">
        <f>AND(#REF!,"J3Ex2WmKF60=")</f>
        <v>#REF!</v>
      </c>
      <c r="FS86" t="e">
        <f>AND(#REF!,"J3Ex2WmKF64=")</f>
        <v>#REF!</v>
      </c>
      <c r="FT86" t="e">
        <f>AND(#REF!,"J3Ex2WmKF68=")</f>
        <v>#REF!</v>
      </c>
      <c r="FU86" t="e">
        <f>AND(#REF!,"J3Ex2WmKF7A=")</f>
        <v>#REF!</v>
      </c>
      <c r="FV86" t="e">
        <f>AND(#REF!,"J3Ex2WmKF7E=")</f>
        <v>#REF!</v>
      </c>
      <c r="FW86" t="e">
        <f>AND(#REF!,"J3Ex2WmKF7I=")</f>
        <v>#REF!</v>
      </c>
      <c r="FX86" t="e">
        <f>AND(#REF!,"J3Ex2WmKF7M=")</f>
        <v>#REF!</v>
      </c>
      <c r="FY86" t="e">
        <f>AND(#REF!,"J3Ex2WmKF7Q=")</f>
        <v>#REF!</v>
      </c>
      <c r="FZ86" t="e">
        <f>AND(#REF!,"J3Ex2WmKF7U=")</f>
        <v>#REF!</v>
      </c>
      <c r="GA86" t="e">
        <f>AND(#REF!,"J3Ex2WmKF7Y=")</f>
        <v>#REF!</v>
      </c>
      <c r="GB86" t="e">
        <f>AND(#REF!,"J3Ex2WmKF7c=")</f>
        <v>#REF!</v>
      </c>
      <c r="GC86" t="e">
        <f>AND(#REF!,"J3Ex2WmKF7g=")</f>
        <v>#REF!</v>
      </c>
      <c r="GD86" t="e">
        <f>AND(#REF!,"J3Ex2WmKF7k=")</f>
        <v>#REF!</v>
      </c>
      <c r="GE86" t="e">
        <f>AND(#REF!,"J3Ex2WmKF7o=")</f>
        <v>#REF!</v>
      </c>
      <c r="GF86" t="e">
        <f>AND(#REF!,"J3Ex2WmKF7s=")</f>
        <v>#REF!</v>
      </c>
      <c r="GG86" t="e">
        <f>AND(#REF!,"J3Ex2WmKF7w=")</f>
        <v>#REF!</v>
      </c>
      <c r="GH86" t="e">
        <f>AND(#REF!,"J3Ex2WmKF70=")</f>
        <v>#REF!</v>
      </c>
      <c r="GI86" t="e">
        <f>AND(#REF!,"J3Ex2WmKF74=")</f>
        <v>#REF!</v>
      </c>
      <c r="GJ86" t="e">
        <f>AND(#REF!,"J3Ex2WmKF78=")</f>
        <v>#REF!</v>
      </c>
      <c r="GK86" t="e">
        <f>AND(#REF!,"J3Ex2WmKF8A=")</f>
        <v>#REF!</v>
      </c>
      <c r="GL86" t="e">
        <f>AND(#REF!,"J3Ex2WmKF8E=")</f>
        <v>#REF!</v>
      </c>
      <c r="GM86" t="e">
        <f>AND(#REF!,"J3Ex2WmKF8I=")</f>
        <v>#REF!</v>
      </c>
      <c r="GN86" t="e">
        <f>AND(#REF!,"J3Ex2WmKF8M=")</f>
        <v>#REF!</v>
      </c>
      <c r="GO86" t="e">
        <f>AND(#REF!,"J3Ex2WmKF8Q=")</f>
        <v>#REF!</v>
      </c>
      <c r="GP86" t="e">
        <f>AND(#REF!,"J3Ex2WmKF8U=")</f>
        <v>#REF!</v>
      </c>
      <c r="GQ86" t="e">
        <f>AND(#REF!,"J3Ex2WmKF8Y=")</f>
        <v>#REF!</v>
      </c>
      <c r="GR86" t="e">
        <f>AND(#REF!,"J3Ex2WmKF8c=")</f>
        <v>#REF!</v>
      </c>
      <c r="GS86" t="e">
        <f>AND(#REF!,"J3Ex2WmKF8g=")</f>
        <v>#REF!</v>
      </c>
      <c r="GT86" t="e">
        <f>AND(#REF!,"J3Ex2WmKF8k=")</f>
        <v>#REF!</v>
      </c>
      <c r="GU86" t="e">
        <f>AND(#REF!,"J3Ex2WmKF8o=")</f>
        <v>#REF!</v>
      </c>
      <c r="GV86" t="e">
        <f>AND(#REF!,"J3Ex2WmKF8s=")</f>
        <v>#REF!</v>
      </c>
      <c r="GW86" t="e">
        <f>AND(#REF!,"J3Ex2WmKF8w=")</f>
        <v>#REF!</v>
      </c>
      <c r="GX86" t="e">
        <f>AND(#REF!,"J3Ex2WmKF80=")</f>
        <v>#REF!</v>
      </c>
      <c r="GY86" t="e">
        <f>AND(#REF!,"J3Ex2WmKF84=")</f>
        <v>#REF!</v>
      </c>
      <c r="GZ86" t="e">
        <f>AND(#REF!,"J3Ex2WmKF88=")</f>
        <v>#REF!</v>
      </c>
      <c r="HA86" t="e">
        <f>AND(#REF!,"J3Ex2WmKF9A=")</f>
        <v>#REF!</v>
      </c>
      <c r="HB86" t="e">
        <f>AND(#REF!,"J3Ex2WmKF9E=")</f>
        <v>#REF!</v>
      </c>
      <c r="HC86" t="e">
        <f>AND(#REF!,"J3Ex2WmKF9I=")</f>
        <v>#REF!</v>
      </c>
      <c r="HD86" t="e">
        <f>AND(#REF!,"J3Ex2WmKF9M=")</f>
        <v>#REF!</v>
      </c>
      <c r="HE86" t="e">
        <f>AND(#REF!,"J3Ex2WmKF9Q=")</f>
        <v>#REF!</v>
      </c>
      <c r="HF86" t="e">
        <f>AND(#REF!,"J3Ex2WmKF9U=")</f>
        <v>#REF!</v>
      </c>
      <c r="HG86" t="e">
        <f>AND(#REF!,"J3Ex2WmKF9Y=")</f>
        <v>#REF!</v>
      </c>
      <c r="HH86" t="e">
        <f>AND(#REF!,"J3Ex2WmKF9c=")</f>
        <v>#REF!</v>
      </c>
      <c r="HI86" t="e">
        <f>AND(#REF!,"J3Ex2WmKF9g=")</f>
        <v>#REF!</v>
      </c>
      <c r="HJ86" t="e">
        <f>AND(#REF!,"J3Ex2WmKF9k=")</f>
        <v>#REF!</v>
      </c>
      <c r="HK86" t="e">
        <f>AND(#REF!,"J3Ex2WmKF9o=")</f>
        <v>#REF!</v>
      </c>
      <c r="HL86" t="e">
        <f>AND(#REF!,"J3Ex2WmKF9s=")</f>
        <v>#REF!</v>
      </c>
      <c r="HM86" t="e">
        <f>AND(#REF!,"J3Ex2WmKF9w=")</f>
        <v>#REF!</v>
      </c>
      <c r="HN86" t="e">
        <f>AND(#REF!,"J3Ex2WmKF90=")</f>
        <v>#REF!</v>
      </c>
      <c r="HO86" t="e">
        <f>AND(#REF!,"J3Ex2WmKF94=")</f>
        <v>#REF!</v>
      </c>
      <c r="HP86" t="e">
        <f>AND(#REF!,"J3Ex2WmKF98=")</f>
        <v>#REF!</v>
      </c>
      <c r="HQ86" t="e">
        <f>AND(#REF!,"J3Ex2WmKF+A=")</f>
        <v>#REF!</v>
      </c>
      <c r="HR86" t="e">
        <f>AND(#REF!,"J3Ex2WmKF+E=")</f>
        <v>#REF!</v>
      </c>
      <c r="HS86" t="e">
        <f>AND(#REF!,"J3Ex2WmKF+I=")</f>
        <v>#REF!</v>
      </c>
      <c r="HT86" t="e">
        <f>AND(#REF!,"J3Ex2WmKF+M=")</f>
        <v>#REF!</v>
      </c>
      <c r="HU86" t="e">
        <f>AND(#REF!,"J3Ex2WmKF+Q=")</f>
        <v>#REF!</v>
      </c>
      <c r="HV86" t="e">
        <f>AND(#REF!,"J3Ex2WmKF+U=")</f>
        <v>#REF!</v>
      </c>
      <c r="HW86" t="e">
        <f>AND(#REF!,"J3Ex2WmKF+Y=")</f>
        <v>#REF!</v>
      </c>
      <c r="HX86" t="e">
        <f>AND(#REF!,"J3Ex2WmKF+c=")</f>
        <v>#REF!</v>
      </c>
      <c r="HY86" t="e">
        <f>AND(#REF!,"J3Ex2WmKF+g=")</f>
        <v>#REF!</v>
      </c>
      <c r="HZ86" t="e">
        <f>AND(#REF!,"J3Ex2WmKF+k=")</f>
        <v>#REF!</v>
      </c>
      <c r="IA86" t="e">
        <f>AND(#REF!,"J3Ex2WmKF+o=")</f>
        <v>#REF!</v>
      </c>
      <c r="IB86" t="e">
        <f>AND(#REF!,"J3Ex2WmKF+s=")</f>
        <v>#REF!</v>
      </c>
      <c r="IC86" t="e">
        <f>AND(#REF!,"J3Ex2WmKF+w=")</f>
        <v>#REF!</v>
      </c>
      <c r="ID86" t="e">
        <f>AND(#REF!,"J3Ex2WmKF+0=")</f>
        <v>#REF!</v>
      </c>
      <c r="IE86" t="e">
        <f>AND(#REF!,"J3Ex2WmKF+4=")</f>
        <v>#REF!</v>
      </c>
      <c r="IF86" t="e">
        <f>AND(#REF!,"J3Ex2WmKF+8=")</f>
        <v>#REF!</v>
      </c>
      <c r="IG86" t="e">
        <f>AND(#REF!,"J3Ex2WmKF/A=")</f>
        <v>#REF!</v>
      </c>
      <c r="IH86" t="e">
        <f>AND(#REF!,"J3Ex2WmKF/E=")</f>
        <v>#REF!</v>
      </c>
      <c r="II86" t="e">
        <f>AND(#REF!,"J3Ex2WmKF/I=")</f>
        <v>#REF!</v>
      </c>
      <c r="IJ86" t="e">
        <f>AND(#REF!,"J3Ex2WmKF/M=")</f>
        <v>#REF!</v>
      </c>
      <c r="IK86" t="e">
        <f>AND(#REF!,"J3Ex2WmKF/Q=")</f>
        <v>#REF!</v>
      </c>
      <c r="IL86" t="e">
        <f>AND(#REF!,"J3Ex2WmKF/U=")</f>
        <v>#REF!</v>
      </c>
      <c r="IM86" t="e">
        <f>AND(#REF!,"J3Ex2WmKF/Y=")</f>
        <v>#REF!</v>
      </c>
      <c r="IN86" t="e">
        <f>AND(#REF!,"J3Ex2WmKF/c=")</f>
        <v>#REF!</v>
      </c>
      <c r="IO86" t="e">
        <f>AND(#REF!,"J3Ex2WmKF/g=")</f>
        <v>#REF!</v>
      </c>
      <c r="IP86" t="e">
        <f>AND(#REF!,"J3Ex2WmKF/k=")</f>
        <v>#REF!</v>
      </c>
      <c r="IQ86" t="e">
        <f>AND(#REF!,"J3Ex2WmKF/o=")</f>
        <v>#REF!</v>
      </c>
      <c r="IR86" t="e">
        <f>AND(#REF!,"J3Ex2WmKF/s=")</f>
        <v>#REF!</v>
      </c>
      <c r="IS86" t="e">
        <f>AND(#REF!,"J3Ex2WmKF/w=")</f>
        <v>#REF!</v>
      </c>
      <c r="IT86" t="e">
        <f>AND(#REF!,"J3Ex2WmKF/0=")</f>
        <v>#REF!</v>
      </c>
      <c r="IU86" t="e">
        <f>AND(#REF!,"J3Ex2WmKF/4=")</f>
        <v>#REF!</v>
      </c>
      <c r="IV86" t="e">
        <f>AND(#REF!,"J3Ex2WmKF/8=")</f>
        <v>#REF!</v>
      </c>
    </row>
    <row r="87" spans="1:256" x14ac:dyDescent="0.2">
      <c r="A87" t="e">
        <f>AND(#REF!,"HajHlTKSgwA=")</f>
        <v>#REF!</v>
      </c>
      <c r="B87" t="e">
        <f>AND(#REF!,"HajHlTKSgwE=")</f>
        <v>#REF!</v>
      </c>
      <c r="C87" t="e">
        <f>AND(#REF!,"HajHlTKSgwI=")</f>
        <v>#REF!</v>
      </c>
      <c r="D87" t="e">
        <f>AND(#REF!,"HajHlTKSgwM=")</f>
        <v>#REF!</v>
      </c>
      <c r="E87" t="e">
        <f>AND(#REF!,"HajHlTKSgwQ=")</f>
        <v>#REF!</v>
      </c>
      <c r="F87" t="e">
        <f>AND(#REF!,"HajHlTKSgwU=")</f>
        <v>#REF!</v>
      </c>
      <c r="G87" t="e">
        <f>AND(#REF!,"HajHlTKSgwY=")</f>
        <v>#REF!</v>
      </c>
      <c r="H87" t="e">
        <f>AND(#REF!,"HajHlTKSgwc=")</f>
        <v>#REF!</v>
      </c>
      <c r="I87" t="e">
        <f>AND(#REF!,"HajHlTKSgwg=")</f>
        <v>#REF!</v>
      </c>
      <c r="J87" t="e">
        <f>AND(#REF!,"HajHlTKSgwk=")</f>
        <v>#REF!</v>
      </c>
      <c r="K87" t="e">
        <f>AND(#REF!,"HajHlTKSgwo=")</f>
        <v>#REF!</v>
      </c>
      <c r="L87" t="e">
        <f>AND(#REF!,"HajHlTKSgws=")</f>
        <v>#REF!</v>
      </c>
      <c r="M87" t="e">
        <f>AND(#REF!,"HajHlTKSgww=")</f>
        <v>#REF!</v>
      </c>
      <c r="N87" t="e">
        <f>AND(#REF!,"HajHlTKSgw0=")</f>
        <v>#REF!</v>
      </c>
      <c r="O87" t="e">
        <f>AND(#REF!,"HajHlTKSgw4=")</f>
        <v>#REF!</v>
      </c>
      <c r="P87" t="e">
        <f>AND(#REF!,"HajHlTKSgw8=")</f>
        <v>#REF!</v>
      </c>
      <c r="Q87" t="e">
        <f>AND(#REF!,"HajHlTKSgxA=")</f>
        <v>#REF!</v>
      </c>
      <c r="R87" t="e">
        <f>AND(#REF!,"HajHlTKSgxE=")</f>
        <v>#REF!</v>
      </c>
      <c r="S87" t="e">
        <f>AND(#REF!,"HajHlTKSgxI=")</f>
        <v>#REF!</v>
      </c>
      <c r="T87" t="e">
        <f>IF(#REF!,"HajHlTKSgxM=",0)</f>
        <v>#REF!</v>
      </c>
      <c r="U87" t="e">
        <f>AND(#REF!,"HajHlTKSgxQ=")</f>
        <v>#REF!</v>
      </c>
      <c r="V87" t="e">
        <f>AND(#REF!,"HajHlTKSgxU=")</f>
        <v>#REF!</v>
      </c>
      <c r="W87" t="e">
        <f>AND(#REF!,"HajHlTKSgxY=")</f>
        <v>#REF!</v>
      </c>
      <c r="X87" t="e">
        <f>AND(#REF!,"HajHlTKSgxc=")</f>
        <v>#REF!</v>
      </c>
      <c r="Y87" t="e">
        <f>AND(#REF!,"HajHlTKSgxg=")</f>
        <v>#REF!</v>
      </c>
      <c r="Z87" t="e">
        <f>AND(#REF!,"HajHlTKSgxk=")</f>
        <v>#REF!</v>
      </c>
      <c r="AA87" t="e">
        <f>AND(#REF!,"HajHlTKSgxo=")</f>
        <v>#REF!</v>
      </c>
      <c r="AB87" t="e">
        <f>AND(#REF!,"HajHlTKSgxs=")</f>
        <v>#REF!</v>
      </c>
      <c r="AC87" t="e">
        <f>AND(#REF!,"HajHlTKSgxw=")</f>
        <v>#REF!</v>
      </c>
      <c r="AD87" t="e">
        <f>AND(#REF!,"HajHlTKSgx0=")</f>
        <v>#REF!</v>
      </c>
      <c r="AE87" t="e">
        <f>AND(#REF!,"HajHlTKSgx4=")</f>
        <v>#REF!</v>
      </c>
      <c r="AF87" t="e">
        <f>AND(#REF!,"HajHlTKSgx8=")</f>
        <v>#REF!</v>
      </c>
      <c r="AG87" t="e">
        <f>AND(#REF!,"HajHlTKSgyA=")</f>
        <v>#REF!</v>
      </c>
      <c r="AH87" t="e">
        <f>AND(#REF!,"HajHlTKSgyE=")</f>
        <v>#REF!</v>
      </c>
      <c r="AI87" t="e">
        <f>AND(#REF!,"HajHlTKSgyI=")</f>
        <v>#REF!</v>
      </c>
      <c r="AJ87" t="e">
        <f>AND(#REF!,"HajHlTKSgyM=")</f>
        <v>#REF!</v>
      </c>
      <c r="AK87" t="e">
        <f>AND(#REF!,"HajHlTKSgyQ=")</f>
        <v>#REF!</v>
      </c>
      <c r="AL87" t="e">
        <f>AND(#REF!,"HajHlTKSgyU=")</f>
        <v>#REF!</v>
      </c>
      <c r="AM87" t="e">
        <f>AND(#REF!,"HajHlTKSgyY=")</f>
        <v>#REF!</v>
      </c>
      <c r="AN87" t="e">
        <f>AND(#REF!,"HajHlTKSgyc=")</f>
        <v>#REF!</v>
      </c>
      <c r="AO87" t="e">
        <f>AND(#REF!,"HajHlTKSgyg=")</f>
        <v>#REF!</v>
      </c>
      <c r="AP87" t="e">
        <f>AND(#REF!,"HajHlTKSgyk=")</f>
        <v>#REF!</v>
      </c>
      <c r="AQ87" t="e">
        <f>AND(#REF!,"HajHlTKSgyo=")</f>
        <v>#REF!</v>
      </c>
      <c r="AR87" t="e">
        <f>AND(#REF!,"HajHlTKSgys=")</f>
        <v>#REF!</v>
      </c>
      <c r="AS87" t="e">
        <f>AND(#REF!,"HajHlTKSgyw=")</f>
        <v>#REF!</v>
      </c>
      <c r="AT87" t="e">
        <f>AND(#REF!,"HajHlTKSgy0=")</f>
        <v>#REF!</v>
      </c>
      <c r="AU87" t="e">
        <f>AND(#REF!,"HajHlTKSgy4=")</f>
        <v>#REF!</v>
      </c>
      <c r="AV87" t="e">
        <f>AND(#REF!,"HajHlTKSgy8=")</f>
        <v>#REF!</v>
      </c>
      <c r="AW87" t="e">
        <f>AND(#REF!,"HajHlTKSgzA=")</f>
        <v>#REF!</v>
      </c>
      <c r="AX87" t="e">
        <f>AND(#REF!,"HajHlTKSgzE=")</f>
        <v>#REF!</v>
      </c>
      <c r="AY87" t="e">
        <f>AND(#REF!,"HajHlTKSgzI=")</f>
        <v>#REF!</v>
      </c>
      <c r="AZ87" t="e">
        <f>AND(#REF!,"HajHlTKSgzM=")</f>
        <v>#REF!</v>
      </c>
      <c r="BA87" t="e">
        <f>AND(#REF!,"HajHlTKSgzQ=")</f>
        <v>#REF!</v>
      </c>
      <c r="BB87" t="e">
        <f>AND(#REF!,"HajHlTKSgzU=")</f>
        <v>#REF!</v>
      </c>
      <c r="BC87" t="e">
        <f>AND(#REF!,"HajHlTKSgzY=")</f>
        <v>#REF!</v>
      </c>
      <c r="BD87" t="e">
        <f>AND(#REF!,"HajHlTKSgzc=")</f>
        <v>#REF!</v>
      </c>
      <c r="BE87" t="e">
        <f>AND(#REF!,"HajHlTKSgzg=")</f>
        <v>#REF!</v>
      </c>
      <c r="BF87" t="e">
        <f>AND(#REF!,"HajHlTKSgzk=")</f>
        <v>#REF!</v>
      </c>
      <c r="BG87" t="e">
        <f>AND(#REF!,"HajHlTKSgzo=")</f>
        <v>#REF!</v>
      </c>
      <c r="BH87" t="e">
        <f>AND(#REF!,"HajHlTKSgzs=")</f>
        <v>#REF!</v>
      </c>
      <c r="BI87" t="e">
        <f>AND(#REF!,"HajHlTKSgzw=")</f>
        <v>#REF!</v>
      </c>
      <c r="BJ87" t="e">
        <f>AND(#REF!,"HajHlTKSgz0=")</f>
        <v>#REF!</v>
      </c>
      <c r="BK87" t="e">
        <f>AND(#REF!,"HajHlTKSgz4=")</f>
        <v>#REF!</v>
      </c>
      <c r="BL87" t="e">
        <f>AND(#REF!,"HajHlTKSgz8=")</f>
        <v>#REF!</v>
      </c>
      <c r="BM87" t="e">
        <f>AND(#REF!,"HajHlTKSg0A=")</f>
        <v>#REF!</v>
      </c>
      <c r="BN87" t="e">
        <f>AND(#REF!,"HajHlTKSg0E=")</f>
        <v>#REF!</v>
      </c>
      <c r="BO87" t="e">
        <f>AND(#REF!,"HajHlTKSg0I=")</f>
        <v>#REF!</v>
      </c>
      <c r="BP87" t="e">
        <f>AND(#REF!,"HajHlTKSg0M=")</f>
        <v>#REF!</v>
      </c>
      <c r="BQ87" t="e">
        <f>AND(#REF!,"HajHlTKSg0Q=")</f>
        <v>#REF!</v>
      </c>
      <c r="BR87" t="e">
        <f>AND(#REF!,"HajHlTKSg0U=")</f>
        <v>#REF!</v>
      </c>
      <c r="BS87" t="e">
        <f>AND(#REF!,"HajHlTKSg0Y=")</f>
        <v>#REF!</v>
      </c>
      <c r="BT87" t="e">
        <f>AND(#REF!,"HajHlTKSg0c=")</f>
        <v>#REF!</v>
      </c>
      <c r="BU87" t="e">
        <f>AND(#REF!,"HajHlTKSg0g=")</f>
        <v>#REF!</v>
      </c>
      <c r="BV87" t="e">
        <f>AND(#REF!,"HajHlTKSg0k=")</f>
        <v>#REF!</v>
      </c>
      <c r="BW87" t="e">
        <f>AND(#REF!,"HajHlTKSg0o=")</f>
        <v>#REF!</v>
      </c>
      <c r="BX87" t="e">
        <f>AND(#REF!,"HajHlTKSg0s=")</f>
        <v>#REF!</v>
      </c>
      <c r="BY87" t="e">
        <f>AND(#REF!,"HajHlTKSg0w=")</f>
        <v>#REF!</v>
      </c>
      <c r="BZ87" t="e">
        <f>AND(#REF!,"HajHlTKSg00=")</f>
        <v>#REF!</v>
      </c>
      <c r="CA87" t="e">
        <f>AND(#REF!,"HajHlTKSg04=")</f>
        <v>#REF!</v>
      </c>
      <c r="CB87" t="e">
        <f>AND(#REF!,"HajHlTKSg08=")</f>
        <v>#REF!</v>
      </c>
      <c r="CC87" t="e">
        <f>AND(#REF!,"HajHlTKSg1A=")</f>
        <v>#REF!</v>
      </c>
      <c r="CD87" t="e">
        <f>AND(#REF!,"HajHlTKSg1E=")</f>
        <v>#REF!</v>
      </c>
      <c r="CE87" t="e">
        <f>AND(#REF!,"HajHlTKSg1I=")</f>
        <v>#REF!</v>
      </c>
      <c r="CF87" t="e">
        <f>AND(#REF!,"HajHlTKSg1M=")</f>
        <v>#REF!</v>
      </c>
      <c r="CG87" t="e">
        <f>AND(#REF!,"HajHlTKSg1Q=")</f>
        <v>#REF!</v>
      </c>
      <c r="CH87" t="e">
        <f>AND(#REF!,"HajHlTKSg1U=")</f>
        <v>#REF!</v>
      </c>
      <c r="CI87" t="e">
        <f>AND(#REF!,"HajHlTKSg1Y=")</f>
        <v>#REF!</v>
      </c>
      <c r="CJ87" t="e">
        <f>AND(#REF!,"HajHlTKSg1c=")</f>
        <v>#REF!</v>
      </c>
      <c r="CK87" t="e">
        <f>AND(#REF!,"HajHlTKSg1g=")</f>
        <v>#REF!</v>
      </c>
      <c r="CL87" t="e">
        <f>AND(#REF!,"HajHlTKSg1k=")</f>
        <v>#REF!</v>
      </c>
      <c r="CM87" t="e">
        <f>AND(#REF!,"HajHlTKSg1o=")</f>
        <v>#REF!</v>
      </c>
      <c r="CN87" t="e">
        <f>AND(#REF!,"HajHlTKSg1s=")</f>
        <v>#REF!</v>
      </c>
      <c r="CO87" t="e">
        <f>AND(#REF!,"HajHlTKSg1w=")</f>
        <v>#REF!</v>
      </c>
      <c r="CP87" t="e">
        <f>AND(#REF!,"HajHlTKSg10=")</f>
        <v>#REF!</v>
      </c>
      <c r="CQ87" t="e">
        <f>AND(#REF!,"HajHlTKSg14=")</f>
        <v>#REF!</v>
      </c>
      <c r="CR87" t="e">
        <f>AND(#REF!,"HajHlTKSg18=")</f>
        <v>#REF!</v>
      </c>
      <c r="CS87" t="e">
        <f>AND(#REF!,"HajHlTKSg2A=")</f>
        <v>#REF!</v>
      </c>
      <c r="CT87" t="e">
        <f>AND(#REF!,"HajHlTKSg2E=")</f>
        <v>#REF!</v>
      </c>
      <c r="CU87" t="e">
        <f>AND(#REF!,"HajHlTKSg2I=")</f>
        <v>#REF!</v>
      </c>
      <c r="CV87" t="e">
        <f>AND(#REF!,"HajHlTKSg2M=")</f>
        <v>#REF!</v>
      </c>
      <c r="CW87" t="e">
        <f>AND(#REF!,"HajHlTKSg2Q=")</f>
        <v>#REF!</v>
      </c>
      <c r="CX87" t="e">
        <f>AND(#REF!,"HajHlTKSg2U=")</f>
        <v>#REF!</v>
      </c>
      <c r="CY87" t="e">
        <f>AND(#REF!,"HajHlTKSg2Y=")</f>
        <v>#REF!</v>
      </c>
      <c r="CZ87" t="e">
        <f>AND(#REF!,"HajHlTKSg2c=")</f>
        <v>#REF!</v>
      </c>
      <c r="DA87" t="e">
        <f>AND(#REF!,"HajHlTKSg2g=")</f>
        <v>#REF!</v>
      </c>
      <c r="DB87" t="e">
        <f>AND(#REF!,"HajHlTKSg2k=")</f>
        <v>#REF!</v>
      </c>
      <c r="DC87" t="e">
        <f>AND(#REF!,"HajHlTKSg2o=")</f>
        <v>#REF!</v>
      </c>
      <c r="DD87" t="e">
        <f>AND(#REF!,"HajHlTKSg2s=")</f>
        <v>#REF!</v>
      </c>
      <c r="DE87" t="e">
        <f>AND(#REF!,"HajHlTKSg2w=")</f>
        <v>#REF!</v>
      </c>
      <c r="DF87" t="e">
        <f>AND(#REF!,"HajHlTKSg20=")</f>
        <v>#REF!</v>
      </c>
      <c r="DG87" t="e">
        <f>AND(#REF!,"HajHlTKSg24=")</f>
        <v>#REF!</v>
      </c>
      <c r="DH87" t="e">
        <f>AND(#REF!,"HajHlTKSg28=")</f>
        <v>#REF!</v>
      </c>
      <c r="DI87" t="e">
        <f>AND(#REF!,"HajHlTKSg3A=")</f>
        <v>#REF!</v>
      </c>
      <c r="DJ87" t="e">
        <f>AND(#REF!,"HajHlTKSg3E=")</f>
        <v>#REF!</v>
      </c>
      <c r="DK87" t="e">
        <f>AND(#REF!,"HajHlTKSg3I=")</f>
        <v>#REF!</v>
      </c>
      <c r="DL87" t="e">
        <f>AND(#REF!,"HajHlTKSg3M=")</f>
        <v>#REF!</v>
      </c>
      <c r="DM87" t="e">
        <f>AND(#REF!,"HajHlTKSg3Q=")</f>
        <v>#REF!</v>
      </c>
      <c r="DN87" t="e">
        <f>AND(#REF!,"HajHlTKSg3U=")</f>
        <v>#REF!</v>
      </c>
      <c r="DO87" t="e">
        <f>AND(#REF!,"HajHlTKSg3Y=")</f>
        <v>#REF!</v>
      </c>
      <c r="DP87" t="e">
        <f>AND(#REF!,"HajHlTKSg3c=")</f>
        <v>#REF!</v>
      </c>
      <c r="DQ87" t="e">
        <f>AND(#REF!,"HajHlTKSg3g=")</f>
        <v>#REF!</v>
      </c>
      <c r="DR87" t="e">
        <f>AND(#REF!,"HajHlTKSg3k=")</f>
        <v>#REF!</v>
      </c>
      <c r="DS87" t="e">
        <f>AND(#REF!,"HajHlTKSg3o=")</f>
        <v>#REF!</v>
      </c>
      <c r="DT87" t="e">
        <f>AND(#REF!,"HajHlTKSg3s=")</f>
        <v>#REF!</v>
      </c>
      <c r="DU87" t="e">
        <f>AND(#REF!,"HajHlTKSg3w=")</f>
        <v>#REF!</v>
      </c>
      <c r="DV87" t="e">
        <f>AND(#REF!,"HajHlTKSg30=")</f>
        <v>#REF!</v>
      </c>
      <c r="DW87" t="e">
        <f>AND(#REF!,"HajHlTKSg34=")</f>
        <v>#REF!</v>
      </c>
      <c r="DX87" t="e">
        <f>AND(#REF!,"HajHlTKSg38=")</f>
        <v>#REF!</v>
      </c>
      <c r="DY87" t="e">
        <f>AND(#REF!,"HajHlTKSg4A=")</f>
        <v>#REF!</v>
      </c>
      <c r="DZ87" t="e">
        <f>AND(#REF!,"HajHlTKSg4E=")</f>
        <v>#REF!</v>
      </c>
      <c r="EA87" t="e">
        <f>AND(#REF!,"HajHlTKSg4I=")</f>
        <v>#REF!</v>
      </c>
      <c r="EB87" t="e">
        <f>AND(#REF!,"HajHlTKSg4M=")</f>
        <v>#REF!</v>
      </c>
      <c r="EC87" t="e">
        <f>AND(#REF!,"HajHlTKSg4Q=")</f>
        <v>#REF!</v>
      </c>
      <c r="ED87" t="e">
        <f>AND(#REF!,"HajHlTKSg4U=")</f>
        <v>#REF!</v>
      </c>
      <c r="EE87" t="e">
        <f>AND(#REF!,"HajHlTKSg4Y=")</f>
        <v>#REF!</v>
      </c>
      <c r="EF87" t="e">
        <f>AND(#REF!,"HajHlTKSg4c=")</f>
        <v>#REF!</v>
      </c>
      <c r="EG87" t="e">
        <f>AND(#REF!,"HajHlTKSg4g=")</f>
        <v>#REF!</v>
      </c>
      <c r="EH87" t="e">
        <f>AND(#REF!,"HajHlTKSg4k=")</f>
        <v>#REF!</v>
      </c>
      <c r="EI87" t="e">
        <f>AND(#REF!,"HajHlTKSg4o=")</f>
        <v>#REF!</v>
      </c>
      <c r="EJ87" t="e">
        <f>AND(#REF!,"HajHlTKSg4s=")</f>
        <v>#REF!</v>
      </c>
      <c r="EK87" t="e">
        <f>AND(#REF!,"HajHlTKSg4w=")</f>
        <v>#REF!</v>
      </c>
      <c r="EL87" t="e">
        <f>AND(#REF!,"HajHlTKSg40=")</f>
        <v>#REF!</v>
      </c>
      <c r="EM87" t="e">
        <f>AND(#REF!,"HajHlTKSg44=")</f>
        <v>#REF!</v>
      </c>
      <c r="EN87" t="e">
        <f>AND(#REF!,"HajHlTKSg48=")</f>
        <v>#REF!</v>
      </c>
      <c r="EO87" t="e">
        <f>AND(#REF!,"HajHlTKSg5A=")</f>
        <v>#REF!</v>
      </c>
      <c r="EP87" t="e">
        <f>AND(#REF!,"HajHlTKSg5E=")</f>
        <v>#REF!</v>
      </c>
      <c r="EQ87" t="e">
        <f>AND(#REF!,"HajHlTKSg5I=")</f>
        <v>#REF!</v>
      </c>
      <c r="ER87" t="e">
        <f>AND(#REF!,"HajHlTKSg5M=")</f>
        <v>#REF!</v>
      </c>
      <c r="ES87" t="e">
        <f>AND(#REF!,"HajHlTKSg5Q=")</f>
        <v>#REF!</v>
      </c>
      <c r="ET87" t="e">
        <f>AND(#REF!,"HajHlTKSg5U=")</f>
        <v>#REF!</v>
      </c>
      <c r="EU87" t="e">
        <f>AND(#REF!,"HajHlTKSg5Y=")</f>
        <v>#REF!</v>
      </c>
      <c r="EV87" t="e">
        <f>AND(#REF!,"HajHlTKSg5c=")</f>
        <v>#REF!</v>
      </c>
      <c r="EW87" t="e">
        <f>AND(#REF!,"HajHlTKSg5g=")</f>
        <v>#REF!</v>
      </c>
      <c r="EX87" t="e">
        <f>AND(#REF!,"HajHlTKSg5k=")</f>
        <v>#REF!</v>
      </c>
      <c r="EY87" t="e">
        <f>AND(#REF!,"HajHlTKSg5o=")</f>
        <v>#REF!</v>
      </c>
      <c r="EZ87" t="e">
        <f>AND(#REF!,"HajHlTKSg5s=")</f>
        <v>#REF!</v>
      </c>
      <c r="FA87" t="e">
        <f>AND(#REF!,"HajHlTKSg5w=")</f>
        <v>#REF!</v>
      </c>
      <c r="FB87" t="e">
        <f>AND(#REF!,"HajHlTKSg50=")</f>
        <v>#REF!</v>
      </c>
      <c r="FC87" t="e">
        <f>AND(#REF!,"HajHlTKSg54=")</f>
        <v>#REF!</v>
      </c>
      <c r="FD87" t="e">
        <f>AND(#REF!,"HajHlTKSg58=")</f>
        <v>#REF!</v>
      </c>
      <c r="FE87" t="e">
        <f>AND(#REF!,"HajHlTKSg6A=")</f>
        <v>#REF!</v>
      </c>
      <c r="FF87" t="e">
        <f>AND(#REF!,"HajHlTKSg6E=")</f>
        <v>#REF!</v>
      </c>
      <c r="FG87" t="e">
        <f>AND(#REF!,"HajHlTKSg6I=")</f>
        <v>#REF!</v>
      </c>
      <c r="FH87" t="e">
        <f>AND(#REF!,"HajHlTKSg6M=")</f>
        <v>#REF!</v>
      </c>
      <c r="FI87" t="e">
        <f>AND(#REF!,"HajHlTKSg6Q=")</f>
        <v>#REF!</v>
      </c>
      <c r="FJ87" t="e">
        <f>AND(#REF!,"HajHlTKSg6U=")</f>
        <v>#REF!</v>
      </c>
      <c r="FK87" t="e">
        <f>AND(#REF!,"HajHlTKSg6Y=")</f>
        <v>#REF!</v>
      </c>
      <c r="FL87" t="e">
        <f>AND(#REF!,"HajHlTKSg6c=")</f>
        <v>#REF!</v>
      </c>
      <c r="FM87" t="e">
        <f>AND(#REF!,"HajHlTKSg6g=")</f>
        <v>#REF!</v>
      </c>
      <c r="FN87" t="e">
        <f>AND(#REF!,"HajHlTKSg6k=")</f>
        <v>#REF!</v>
      </c>
      <c r="FO87" t="e">
        <f>AND(#REF!,"HajHlTKSg6o=")</f>
        <v>#REF!</v>
      </c>
      <c r="FP87" t="e">
        <f>AND(#REF!,"HajHlTKSg6s=")</f>
        <v>#REF!</v>
      </c>
      <c r="FQ87" t="e">
        <f>AND(#REF!,"HajHlTKSg6w=")</f>
        <v>#REF!</v>
      </c>
      <c r="FR87" t="e">
        <f>AND(#REF!,"HajHlTKSg60=")</f>
        <v>#REF!</v>
      </c>
      <c r="FS87" t="e">
        <f>AND(#REF!,"HajHlTKSg64=")</f>
        <v>#REF!</v>
      </c>
      <c r="FT87" t="e">
        <f>AND(#REF!,"HajHlTKSg68=")</f>
        <v>#REF!</v>
      </c>
      <c r="FU87" t="e">
        <f>AND(#REF!,"HajHlTKSg7A=")</f>
        <v>#REF!</v>
      </c>
      <c r="FV87" t="e">
        <f>AND(#REF!,"HajHlTKSg7E=")</f>
        <v>#REF!</v>
      </c>
      <c r="FW87" t="e">
        <f>AND(#REF!,"HajHlTKSg7I=")</f>
        <v>#REF!</v>
      </c>
      <c r="FX87" t="e">
        <f>AND(#REF!,"HajHlTKSg7M=")</f>
        <v>#REF!</v>
      </c>
      <c r="FY87" t="e">
        <f>AND(#REF!,"HajHlTKSg7Q=")</f>
        <v>#REF!</v>
      </c>
      <c r="FZ87" t="e">
        <f>AND(#REF!,"HajHlTKSg7U=")</f>
        <v>#REF!</v>
      </c>
      <c r="GA87" t="e">
        <f>AND(#REF!,"HajHlTKSg7Y=")</f>
        <v>#REF!</v>
      </c>
      <c r="GB87" t="e">
        <f>AND(#REF!,"HajHlTKSg7c=")</f>
        <v>#REF!</v>
      </c>
      <c r="GC87" t="e">
        <f>AND(#REF!,"HajHlTKSg7g=")</f>
        <v>#REF!</v>
      </c>
      <c r="GD87" t="e">
        <f>AND(#REF!,"HajHlTKSg7k=")</f>
        <v>#REF!</v>
      </c>
      <c r="GE87" t="e">
        <f>AND(#REF!,"HajHlTKSg7o=")</f>
        <v>#REF!</v>
      </c>
      <c r="GF87" t="e">
        <f>AND(#REF!,"HajHlTKSg7s=")</f>
        <v>#REF!</v>
      </c>
      <c r="GG87" t="e">
        <f>AND(#REF!,"HajHlTKSg7w=")</f>
        <v>#REF!</v>
      </c>
      <c r="GH87" t="e">
        <f>AND(#REF!,"HajHlTKSg70=")</f>
        <v>#REF!</v>
      </c>
      <c r="GI87" t="e">
        <f>AND(#REF!,"HajHlTKSg74=")</f>
        <v>#REF!</v>
      </c>
      <c r="GJ87" t="e">
        <f>AND(#REF!,"HajHlTKSg78=")</f>
        <v>#REF!</v>
      </c>
      <c r="GK87" t="e">
        <f>AND(#REF!,"HajHlTKSg8A=")</f>
        <v>#REF!</v>
      </c>
      <c r="GL87" t="e">
        <f>AND(#REF!,"HajHlTKSg8E=")</f>
        <v>#REF!</v>
      </c>
      <c r="GM87" t="e">
        <f>AND(#REF!,"HajHlTKSg8I=")</f>
        <v>#REF!</v>
      </c>
      <c r="GN87" t="e">
        <f>AND(#REF!,"HajHlTKSg8M=")</f>
        <v>#REF!</v>
      </c>
      <c r="GO87" t="e">
        <f>AND(#REF!,"HajHlTKSg8Q=")</f>
        <v>#REF!</v>
      </c>
      <c r="GP87" t="e">
        <f>AND(#REF!,"HajHlTKSg8U=")</f>
        <v>#REF!</v>
      </c>
      <c r="GQ87" t="e">
        <f>AND(#REF!,"HajHlTKSg8Y=")</f>
        <v>#REF!</v>
      </c>
      <c r="GR87" t="e">
        <f>AND(#REF!,"HajHlTKSg8c=")</f>
        <v>#REF!</v>
      </c>
      <c r="GS87" t="e">
        <f>AND(#REF!,"HajHlTKSg8g=")</f>
        <v>#REF!</v>
      </c>
      <c r="GT87" t="e">
        <f>AND(#REF!,"HajHlTKSg8k=")</f>
        <v>#REF!</v>
      </c>
      <c r="GU87" t="e">
        <f>AND(#REF!,"HajHlTKSg8o=")</f>
        <v>#REF!</v>
      </c>
      <c r="GV87" t="e">
        <f>AND(#REF!,"HajHlTKSg8s=")</f>
        <v>#REF!</v>
      </c>
      <c r="GW87" t="e">
        <f>AND(#REF!,"HajHlTKSg8w=")</f>
        <v>#REF!</v>
      </c>
      <c r="GX87" t="e">
        <f>AND(#REF!,"HajHlTKSg80=")</f>
        <v>#REF!</v>
      </c>
      <c r="GY87" t="e">
        <f>AND(#REF!,"HajHlTKSg84=")</f>
        <v>#REF!</v>
      </c>
      <c r="GZ87" t="e">
        <f>AND(#REF!,"HajHlTKSg88=")</f>
        <v>#REF!</v>
      </c>
      <c r="HA87" t="e">
        <f>AND(#REF!,"HajHlTKSg9A=")</f>
        <v>#REF!</v>
      </c>
      <c r="HB87" t="e">
        <f>AND(#REF!,"HajHlTKSg9E=")</f>
        <v>#REF!</v>
      </c>
      <c r="HC87" t="e">
        <f>AND(#REF!,"HajHlTKSg9I=")</f>
        <v>#REF!</v>
      </c>
      <c r="HD87" t="e">
        <f>AND(#REF!,"HajHlTKSg9M=")</f>
        <v>#REF!</v>
      </c>
      <c r="HE87" t="e">
        <f>AND(#REF!,"HajHlTKSg9Q=")</f>
        <v>#REF!</v>
      </c>
      <c r="HF87" t="e">
        <f>AND(#REF!,"HajHlTKSg9U=")</f>
        <v>#REF!</v>
      </c>
      <c r="HG87" t="e">
        <f>AND(#REF!,"HajHlTKSg9Y=")</f>
        <v>#REF!</v>
      </c>
      <c r="HH87" t="e">
        <f>AND(#REF!,"HajHlTKSg9c=")</f>
        <v>#REF!</v>
      </c>
      <c r="HI87" t="e">
        <f>AND(#REF!,"HajHlTKSg9g=")</f>
        <v>#REF!</v>
      </c>
      <c r="HJ87" t="e">
        <f>AND(#REF!,"HajHlTKSg9k=")</f>
        <v>#REF!</v>
      </c>
      <c r="HK87" t="e">
        <f>IF(#REF!,"HajHlTKSg9o=",0)</f>
        <v>#REF!</v>
      </c>
      <c r="HL87" t="e">
        <f>AND(#REF!,"HajHlTKSg9s=")</f>
        <v>#REF!</v>
      </c>
      <c r="HM87" t="e">
        <f>AND(#REF!,"HajHlTKSg9w=")</f>
        <v>#REF!</v>
      </c>
      <c r="HN87" t="e">
        <f>AND(#REF!,"HajHlTKSg90=")</f>
        <v>#REF!</v>
      </c>
      <c r="HO87" t="e">
        <f>AND(#REF!,"HajHlTKSg94=")</f>
        <v>#REF!</v>
      </c>
      <c r="HP87" t="e">
        <f>AND(#REF!,"HajHlTKSg98=")</f>
        <v>#REF!</v>
      </c>
      <c r="HQ87" t="e">
        <f>AND(#REF!,"HajHlTKSg+A=")</f>
        <v>#REF!</v>
      </c>
      <c r="HR87" t="e">
        <f>AND(#REF!,"HajHlTKSg+E=")</f>
        <v>#REF!</v>
      </c>
      <c r="HS87" t="e">
        <f>AND(#REF!,"HajHlTKSg+I=")</f>
        <v>#REF!</v>
      </c>
      <c r="HT87" t="e">
        <f>AND(#REF!,"HajHlTKSg+M=")</f>
        <v>#REF!</v>
      </c>
      <c r="HU87" t="e">
        <f>AND(#REF!,"HajHlTKSg+Q=")</f>
        <v>#REF!</v>
      </c>
      <c r="HV87" t="e">
        <f>AND(#REF!,"HajHlTKSg+U=")</f>
        <v>#REF!</v>
      </c>
      <c r="HW87" t="e">
        <f>AND(#REF!,"HajHlTKSg+Y=")</f>
        <v>#REF!</v>
      </c>
      <c r="HX87" t="e">
        <f>AND(#REF!,"HajHlTKSg+c=")</f>
        <v>#REF!</v>
      </c>
      <c r="HY87" t="e">
        <f>AND(#REF!,"HajHlTKSg+g=")</f>
        <v>#REF!</v>
      </c>
      <c r="HZ87" t="e">
        <f>AND(#REF!,"HajHlTKSg+k=")</f>
        <v>#REF!</v>
      </c>
      <c r="IA87" t="e">
        <f>AND(#REF!,"HajHlTKSg+o=")</f>
        <v>#REF!</v>
      </c>
      <c r="IB87" t="e">
        <f>AND(#REF!,"HajHlTKSg+s=")</f>
        <v>#REF!</v>
      </c>
      <c r="IC87" t="e">
        <f>AND(#REF!,"HajHlTKSg+w=")</f>
        <v>#REF!</v>
      </c>
      <c r="ID87" t="e">
        <f>AND(#REF!,"HajHlTKSg+0=")</f>
        <v>#REF!</v>
      </c>
      <c r="IE87" t="e">
        <f>AND(#REF!,"HajHlTKSg+4=")</f>
        <v>#REF!</v>
      </c>
      <c r="IF87" t="e">
        <f>AND(#REF!,"HajHlTKSg+8=")</f>
        <v>#REF!</v>
      </c>
      <c r="IG87" t="e">
        <f>AND(#REF!,"HajHlTKSg/A=")</f>
        <v>#REF!</v>
      </c>
      <c r="IH87" t="e">
        <f>AND(#REF!,"HajHlTKSg/E=")</f>
        <v>#REF!</v>
      </c>
      <c r="II87" t="e">
        <f>AND(#REF!,"HajHlTKSg/I=")</f>
        <v>#REF!</v>
      </c>
      <c r="IJ87" t="e">
        <f>AND(#REF!,"HajHlTKSg/M=")</f>
        <v>#REF!</v>
      </c>
      <c r="IK87" t="e">
        <f>AND(#REF!,"HajHlTKSg/Q=")</f>
        <v>#REF!</v>
      </c>
      <c r="IL87" t="e">
        <f>AND(#REF!,"HajHlTKSg/U=")</f>
        <v>#REF!</v>
      </c>
      <c r="IM87" t="e">
        <f>AND(#REF!,"HajHlTKSg/Y=")</f>
        <v>#REF!</v>
      </c>
      <c r="IN87" t="e">
        <f>AND(#REF!,"HajHlTKSg/c=")</f>
        <v>#REF!</v>
      </c>
      <c r="IO87" t="e">
        <f>AND(#REF!,"HajHlTKSg/g=")</f>
        <v>#REF!</v>
      </c>
      <c r="IP87" t="e">
        <f>AND(#REF!,"HajHlTKSg/k=")</f>
        <v>#REF!</v>
      </c>
      <c r="IQ87" t="e">
        <f>AND(#REF!,"HajHlTKSg/o=")</f>
        <v>#REF!</v>
      </c>
      <c r="IR87" t="e">
        <f>AND(#REF!,"HajHlTKSg/s=")</f>
        <v>#REF!</v>
      </c>
      <c r="IS87" t="e">
        <f>AND(#REF!,"HajHlTKSg/w=")</f>
        <v>#REF!</v>
      </c>
      <c r="IT87" t="e">
        <f>AND(#REF!,"HajHlTKSg/0=")</f>
        <v>#REF!</v>
      </c>
      <c r="IU87" t="e">
        <f>AND(#REF!,"HajHlTKSg/4=")</f>
        <v>#REF!</v>
      </c>
      <c r="IV87" t="e">
        <f>AND(#REF!,"HajHlTKSg/8=")</f>
        <v>#REF!</v>
      </c>
    </row>
    <row r="88" spans="1:256" x14ac:dyDescent="0.2">
      <c r="A88" t="e">
        <f>AND(#REF!,"WB/PwUz8cQA=")</f>
        <v>#REF!</v>
      </c>
      <c r="B88" t="e">
        <f>AND(#REF!,"WB/PwUz8cQE=")</f>
        <v>#REF!</v>
      </c>
      <c r="C88" t="e">
        <f>AND(#REF!,"WB/PwUz8cQI=")</f>
        <v>#REF!</v>
      </c>
      <c r="D88" t="e">
        <f>AND(#REF!,"WB/PwUz8cQM=")</f>
        <v>#REF!</v>
      </c>
      <c r="E88" t="e">
        <f>AND(#REF!,"WB/PwUz8cQQ=")</f>
        <v>#REF!</v>
      </c>
      <c r="F88" t="e">
        <f>AND(#REF!,"WB/PwUz8cQU=")</f>
        <v>#REF!</v>
      </c>
      <c r="G88" t="e">
        <f>AND(#REF!,"WB/PwUz8cQY=")</f>
        <v>#REF!</v>
      </c>
      <c r="H88" t="e">
        <f>AND(#REF!,"WB/PwUz8cQc=")</f>
        <v>#REF!</v>
      </c>
      <c r="I88" t="e">
        <f>AND(#REF!,"WB/PwUz8cQg=")</f>
        <v>#REF!</v>
      </c>
      <c r="J88" t="e">
        <f>AND(#REF!,"WB/PwUz8cQk=")</f>
        <v>#REF!</v>
      </c>
      <c r="K88" t="e">
        <f>AND(#REF!,"WB/PwUz8cQo=")</f>
        <v>#REF!</v>
      </c>
      <c r="L88" t="e">
        <f>AND(#REF!,"WB/PwUz8cQs=")</f>
        <v>#REF!</v>
      </c>
      <c r="M88" t="e">
        <f>AND(#REF!,"WB/PwUz8cQw=")</f>
        <v>#REF!</v>
      </c>
      <c r="N88" t="e">
        <f>AND(#REF!,"WB/PwUz8cQ0=")</f>
        <v>#REF!</v>
      </c>
      <c r="O88" t="e">
        <f>AND(#REF!,"WB/PwUz8cQ4=")</f>
        <v>#REF!</v>
      </c>
      <c r="P88" t="e">
        <f>AND(#REF!,"WB/PwUz8cQ8=")</f>
        <v>#REF!</v>
      </c>
      <c r="Q88" t="e">
        <f>AND(#REF!,"WB/PwUz8cRA=")</f>
        <v>#REF!</v>
      </c>
      <c r="R88" t="e">
        <f>AND(#REF!,"WB/PwUz8cRE=")</f>
        <v>#REF!</v>
      </c>
      <c r="S88" t="e">
        <f>AND(#REF!,"WB/PwUz8cRI=")</f>
        <v>#REF!</v>
      </c>
      <c r="T88" t="e">
        <f>AND(#REF!,"WB/PwUz8cRM=")</f>
        <v>#REF!</v>
      </c>
      <c r="U88" t="e">
        <f>AND(#REF!,"WB/PwUz8cRQ=")</f>
        <v>#REF!</v>
      </c>
      <c r="V88" t="e">
        <f>AND(#REF!,"WB/PwUz8cRU=")</f>
        <v>#REF!</v>
      </c>
      <c r="W88" t="e">
        <f>AND(#REF!,"WB/PwUz8cRY=")</f>
        <v>#REF!</v>
      </c>
      <c r="X88" t="e">
        <f>AND(#REF!,"WB/PwUz8cRc=")</f>
        <v>#REF!</v>
      </c>
      <c r="Y88" t="e">
        <f>AND(#REF!,"WB/PwUz8cRg=")</f>
        <v>#REF!</v>
      </c>
      <c r="Z88" t="e">
        <f>AND(#REF!,"WB/PwUz8cRk=")</f>
        <v>#REF!</v>
      </c>
      <c r="AA88" t="e">
        <f>AND(#REF!,"WB/PwUz8cRo=")</f>
        <v>#REF!</v>
      </c>
      <c r="AB88" t="e">
        <f>AND(#REF!,"WB/PwUz8cRs=")</f>
        <v>#REF!</v>
      </c>
      <c r="AC88" t="e">
        <f>AND(#REF!,"WB/PwUz8cRw=")</f>
        <v>#REF!</v>
      </c>
      <c r="AD88" t="e">
        <f>AND(#REF!,"WB/PwUz8cR0=")</f>
        <v>#REF!</v>
      </c>
      <c r="AE88" t="e">
        <f>AND(#REF!,"WB/PwUz8cR4=")</f>
        <v>#REF!</v>
      </c>
      <c r="AF88" t="e">
        <f>AND(#REF!,"WB/PwUz8cR8=")</f>
        <v>#REF!</v>
      </c>
      <c r="AG88" t="e">
        <f>AND(#REF!,"WB/PwUz8cSA=")</f>
        <v>#REF!</v>
      </c>
      <c r="AH88" t="e">
        <f>AND(#REF!,"WB/PwUz8cSE=")</f>
        <v>#REF!</v>
      </c>
      <c r="AI88" t="e">
        <f>AND(#REF!,"WB/PwUz8cSI=")</f>
        <v>#REF!</v>
      </c>
      <c r="AJ88" t="e">
        <f>AND(#REF!,"WB/PwUz8cSM=")</f>
        <v>#REF!</v>
      </c>
      <c r="AK88" t="e">
        <f>AND(#REF!,"WB/PwUz8cSQ=")</f>
        <v>#REF!</v>
      </c>
      <c r="AL88" t="e">
        <f>AND(#REF!,"WB/PwUz8cSU=")</f>
        <v>#REF!</v>
      </c>
      <c r="AM88" t="e">
        <f>AND(#REF!,"WB/PwUz8cSY=")</f>
        <v>#REF!</v>
      </c>
      <c r="AN88" t="e">
        <f>AND(#REF!,"WB/PwUz8cSc=")</f>
        <v>#REF!</v>
      </c>
      <c r="AO88" t="e">
        <f>AND(#REF!,"WB/PwUz8cSg=")</f>
        <v>#REF!</v>
      </c>
      <c r="AP88" t="e">
        <f>AND(#REF!,"WB/PwUz8cSk=")</f>
        <v>#REF!</v>
      </c>
      <c r="AQ88" t="e">
        <f>AND(#REF!,"WB/PwUz8cSo=")</f>
        <v>#REF!</v>
      </c>
      <c r="AR88" t="e">
        <f>AND(#REF!,"WB/PwUz8cSs=")</f>
        <v>#REF!</v>
      </c>
      <c r="AS88" t="e">
        <f>AND(#REF!,"WB/PwUz8cSw=")</f>
        <v>#REF!</v>
      </c>
      <c r="AT88" t="e">
        <f>AND(#REF!,"WB/PwUz8cS0=")</f>
        <v>#REF!</v>
      </c>
      <c r="AU88" t="e">
        <f>AND(#REF!,"WB/PwUz8cS4=")</f>
        <v>#REF!</v>
      </c>
      <c r="AV88" t="e">
        <f>AND(#REF!,"WB/PwUz8cS8=")</f>
        <v>#REF!</v>
      </c>
      <c r="AW88" t="e">
        <f>AND(#REF!,"WB/PwUz8cTA=")</f>
        <v>#REF!</v>
      </c>
      <c r="AX88" t="e">
        <f>AND(#REF!,"WB/PwUz8cTE=")</f>
        <v>#REF!</v>
      </c>
      <c r="AY88" t="e">
        <f>AND(#REF!,"WB/PwUz8cTI=")</f>
        <v>#REF!</v>
      </c>
      <c r="AZ88" t="e">
        <f>AND(#REF!,"WB/PwUz8cTM=")</f>
        <v>#REF!</v>
      </c>
      <c r="BA88" t="e">
        <f>AND(#REF!,"WB/PwUz8cTQ=")</f>
        <v>#REF!</v>
      </c>
      <c r="BB88" t="e">
        <f>AND(#REF!,"WB/PwUz8cTU=")</f>
        <v>#REF!</v>
      </c>
      <c r="BC88" t="e">
        <f>AND(#REF!,"WB/PwUz8cTY=")</f>
        <v>#REF!</v>
      </c>
      <c r="BD88" t="e">
        <f>AND(#REF!,"WB/PwUz8cTc=")</f>
        <v>#REF!</v>
      </c>
      <c r="BE88" t="e">
        <f>AND(#REF!,"WB/PwUz8cTg=")</f>
        <v>#REF!</v>
      </c>
      <c r="BF88" t="e">
        <f>AND(#REF!,"WB/PwUz8cTk=")</f>
        <v>#REF!</v>
      </c>
      <c r="BG88" t="e">
        <f>AND(#REF!,"WB/PwUz8cTo=")</f>
        <v>#REF!</v>
      </c>
      <c r="BH88" t="e">
        <f>AND(#REF!,"WB/PwUz8cTs=")</f>
        <v>#REF!</v>
      </c>
      <c r="BI88" t="e">
        <f>AND(#REF!,"WB/PwUz8cTw=")</f>
        <v>#REF!</v>
      </c>
      <c r="BJ88" t="e">
        <f>AND(#REF!,"WB/PwUz8cT0=")</f>
        <v>#REF!</v>
      </c>
      <c r="BK88" t="e">
        <f>AND(#REF!,"WB/PwUz8cT4=")</f>
        <v>#REF!</v>
      </c>
      <c r="BL88" t="e">
        <f>AND(#REF!,"WB/PwUz8cT8=")</f>
        <v>#REF!</v>
      </c>
      <c r="BM88" t="e">
        <f>AND(#REF!,"WB/PwUz8cUA=")</f>
        <v>#REF!</v>
      </c>
      <c r="BN88" t="e">
        <f>AND(#REF!,"WB/PwUz8cUE=")</f>
        <v>#REF!</v>
      </c>
      <c r="BO88" t="e">
        <f>AND(#REF!,"WB/PwUz8cUI=")</f>
        <v>#REF!</v>
      </c>
      <c r="BP88" t="e">
        <f>AND(#REF!,"WB/PwUz8cUM=")</f>
        <v>#REF!</v>
      </c>
      <c r="BQ88" t="e">
        <f>AND(#REF!,"WB/PwUz8cUQ=")</f>
        <v>#REF!</v>
      </c>
      <c r="BR88" t="e">
        <f>AND(#REF!,"WB/PwUz8cUU=")</f>
        <v>#REF!</v>
      </c>
      <c r="BS88" t="e">
        <f>AND(#REF!,"WB/PwUz8cUY=")</f>
        <v>#REF!</v>
      </c>
      <c r="BT88" t="e">
        <f>AND(#REF!,"WB/PwUz8cUc=")</f>
        <v>#REF!</v>
      </c>
      <c r="BU88" t="e">
        <f>AND(#REF!,"WB/PwUz8cUg=")</f>
        <v>#REF!</v>
      </c>
      <c r="BV88" t="e">
        <f>AND(#REF!,"WB/PwUz8cUk=")</f>
        <v>#REF!</v>
      </c>
      <c r="BW88" t="e">
        <f>AND(#REF!,"WB/PwUz8cUo=")</f>
        <v>#REF!</v>
      </c>
      <c r="BX88" t="e">
        <f>AND(#REF!,"WB/PwUz8cUs=")</f>
        <v>#REF!</v>
      </c>
      <c r="BY88" t="e">
        <f>AND(#REF!,"WB/PwUz8cUw=")</f>
        <v>#REF!</v>
      </c>
      <c r="BZ88" t="e">
        <f>AND(#REF!,"WB/PwUz8cU0=")</f>
        <v>#REF!</v>
      </c>
      <c r="CA88" t="e">
        <f>AND(#REF!,"WB/PwUz8cU4=")</f>
        <v>#REF!</v>
      </c>
      <c r="CB88" t="e">
        <f>AND(#REF!,"WB/PwUz8cU8=")</f>
        <v>#REF!</v>
      </c>
      <c r="CC88" t="e">
        <f>AND(#REF!,"WB/PwUz8cVA=")</f>
        <v>#REF!</v>
      </c>
      <c r="CD88" t="e">
        <f>AND(#REF!,"WB/PwUz8cVE=")</f>
        <v>#REF!</v>
      </c>
      <c r="CE88" t="e">
        <f>AND(#REF!,"WB/PwUz8cVI=")</f>
        <v>#REF!</v>
      </c>
      <c r="CF88" t="e">
        <f>AND(#REF!,"WB/PwUz8cVM=")</f>
        <v>#REF!</v>
      </c>
      <c r="CG88" t="e">
        <f>AND(#REF!,"WB/PwUz8cVQ=")</f>
        <v>#REF!</v>
      </c>
      <c r="CH88" t="e">
        <f>AND(#REF!,"WB/PwUz8cVU=")</f>
        <v>#REF!</v>
      </c>
      <c r="CI88" t="e">
        <f>AND(#REF!,"WB/PwUz8cVY=")</f>
        <v>#REF!</v>
      </c>
      <c r="CJ88" t="e">
        <f>AND(#REF!,"WB/PwUz8cVc=")</f>
        <v>#REF!</v>
      </c>
      <c r="CK88" t="e">
        <f>AND(#REF!,"WB/PwUz8cVg=")</f>
        <v>#REF!</v>
      </c>
      <c r="CL88" t="e">
        <f>AND(#REF!,"WB/PwUz8cVk=")</f>
        <v>#REF!</v>
      </c>
      <c r="CM88" t="e">
        <f>AND(#REF!,"WB/PwUz8cVo=")</f>
        <v>#REF!</v>
      </c>
      <c r="CN88" t="e">
        <f>AND(#REF!,"WB/PwUz8cVs=")</f>
        <v>#REF!</v>
      </c>
      <c r="CO88" t="e">
        <f>AND(#REF!,"WB/PwUz8cVw=")</f>
        <v>#REF!</v>
      </c>
      <c r="CP88" t="e">
        <f>AND(#REF!,"WB/PwUz8cV0=")</f>
        <v>#REF!</v>
      </c>
      <c r="CQ88" t="e">
        <f>AND(#REF!,"WB/PwUz8cV4=")</f>
        <v>#REF!</v>
      </c>
      <c r="CR88" t="e">
        <f>AND(#REF!,"WB/PwUz8cV8=")</f>
        <v>#REF!</v>
      </c>
      <c r="CS88" t="e">
        <f>AND(#REF!,"WB/PwUz8cWA=")</f>
        <v>#REF!</v>
      </c>
      <c r="CT88" t="e">
        <f>AND(#REF!,"WB/PwUz8cWE=")</f>
        <v>#REF!</v>
      </c>
      <c r="CU88" t="e">
        <f>AND(#REF!,"WB/PwUz8cWI=")</f>
        <v>#REF!</v>
      </c>
      <c r="CV88" t="e">
        <f>AND(#REF!,"WB/PwUz8cWM=")</f>
        <v>#REF!</v>
      </c>
      <c r="CW88" t="e">
        <f>AND(#REF!,"WB/PwUz8cWQ=")</f>
        <v>#REF!</v>
      </c>
      <c r="CX88" t="e">
        <f>AND(#REF!,"WB/PwUz8cWU=")</f>
        <v>#REF!</v>
      </c>
      <c r="CY88" t="e">
        <f>AND(#REF!,"WB/PwUz8cWY=")</f>
        <v>#REF!</v>
      </c>
      <c r="CZ88" t="e">
        <f>AND(#REF!,"WB/PwUz8cWc=")</f>
        <v>#REF!</v>
      </c>
      <c r="DA88" t="e">
        <f>AND(#REF!,"WB/PwUz8cWg=")</f>
        <v>#REF!</v>
      </c>
      <c r="DB88" t="e">
        <f>AND(#REF!,"WB/PwUz8cWk=")</f>
        <v>#REF!</v>
      </c>
      <c r="DC88" t="e">
        <f>AND(#REF!,"WB/PwUz8cWo=")</f>
        <v>#REF!</v>
      </c>
      <c r="DD88" t="e">
        <f>AND(#REF!,"WB/PwUz8cWs=")</f>
        <v>#REF!</v>
      </c>
      <c r="DE88" t="e">
        <f>AND(#REF!,"WB/PwUz8cWw=")</f>
        <v>#REF!</v>
      </c>
      <c r="DF88" t="e">
        <f>AND(#REF!,"WB/PwUz8cW0=")</f>
        <v>#REF!</v>
      </c>
      <c r="DG88" t="e">
        <f>AND(#REF!,"WB/PwUz8cW4=")</f>
        <v>#REF!</v>
      </c>
      <c r="DH88" t="e">
        <f>AND(#REF!,"WB/PwUz8cW8=")</f>
        <v>#REF!</v>
      </c>
      <c r="DI88" t="e">
        <f>AND(#REF!,"WB/PwUz8cXA=")</f>
        <v>#REF!</v>
      </c>
      <c r="DJ88" t="e">
        <f>AND(#REF!,"WB/PwUz8cXE=")</f>
        <v>#REF!</v>
      </c>
      <c r="DK88" t="e">
        <f>AND(#REF!,"WB/PwUz8cXI=")</f>
        <v>#REF!</v>
      </c>
      <c r="DL88" t="e">
        <f>AND(#REF!,"WB/PwUz8cXM=")</f>
        <v>#REF!</v>
      </c>
      <c r="DM88" t="e">
        <f>AND(#REF!,"WB/PwUz8cXQ=")</f>
        <v>#REF!</v>
      </c>
      <c r="DN88" t="e">
        <f>AND(#REF!,"WB/PwUz8cXU=")</f>
        <v>#REF!</v>
      </c>
      <c r="DO88" t="e">
        <f>AND(#REF!,"WB/PwUz8cXY=")</f>
        <v>#REF!</v>
      </c>
      <c r="DP88" t="e">
        <f>AND(#REF!,"WB/PwUz8cXc=")</f>
        <v>#REF!</v>
      </c>
      <c r="DQ88" t="e">
        <f>AND(#REF!,"WB/PwUz8cXg=")</f>
        <v>#REF!</v>
      </c>
      <c r="DR88" t="e">
        <f>AND(#REF!,"WB/PwUz8cXk=")</f>
        <v>#REF!</v>
      </c>
      <c r="DS88" t="e">
        <f>AND(#REF!,"WB/PwUz8cXo=")</f>
        <v>#REF!</v>
      </c>
      <c r="DT88" t="e">
        <f>AND(#REF!,"WB/PwUz8cXs=")</f>
        <v>#REF!</v>
      </c>
      <c r="DU88" t="e">
        <f>AND(#REF!,"WB/PwUz8cXw=")</f>
        <v>#REF!</v>
      </c>
      <c r="DV88" t="e">
        <f>AND(#REF!,"WB/PwUz8cX0=")</f>
        <v>#REF!</v>
      </c>
      <c r="DW88" t="e">
        <f>AND(#REF!,"WB/PwUz8cX4=")</f>
        <v>#REF!</v>
      </c>
      <c r="DX88" t="e">
        <f>AND(#REF!,"WB/PwUz8cX8=")</f>
        <v>#REF!</v>
      </c>
      <c r="DY88" t="e">
        <f>AND(#REF!,"WB/PwUz8cYA=")</f>
        <v>#REF!</v>
      </c>
      <c r="DZ88" t="e">
        <f>AND(#REF!,"WB/PwUz8cYE=")</f>
        <v>#REF!</v>
      </c>
      <c r="EA88" t="e">
        <f>AND(#REF!,"WB/PwUz8cYI=")</f>
        <v>#REF!</v>
      </c>
      <c r="EB88" t="e">
        <f>AND(#REF!,"WB/PwUz8cYM=")</f>
        <v>#REF!</v>
      </c>
      <c r="EC88" t="e">
        <f>AND(#REF!,"WB/PwUz8cYQ=")</f>
        <v>#REF!</v>
      </c>
      <c r="ED88" t="e">
        <f>AND(#REF!,"WB/PwUz8cYU=")</f>
        <v>#REF!</v>
      </c>
      <c r="EE88" t="e">
        <f>AND(#REF!,"WB/PwUz8cYY=")</f>
        <v>#REF!</v>
      </c>
      <c r="EF88" t="e">
        <f>AND(#REF!,"WB/PwUz8cYc=")</f>
        <v>#REF!</v>
      </c>
      <c r="EG88" t="e">
        <f>AND(#REF!,"WB/PwUz8cYg=")</f>
        <v>#REF!</v>
      </c>
      <c r="EH88" t="e">
        <f>AND(#REF!,"WB/PwUz8cYk=")</f>
        <v>#REF!</v>
      </c>
      <c r="EI88" t="e">
        <f>AND(#REF!,"WB/PwUz8cYo=")</f>
        <v>#REF!</v>
      </c>
      <c r="EJ88" t="e">
        <f>AND(#REF!,"WB/PwUz8cYs=")</f>
        <v>#REF!</v>
      </c>
      <c r="EK88" t="e">
        <f>AND(#REF!,"WB/PwUz8cYw=")</f>
        <v>#REF!</v>
      </c>
      <c r="EL88" t="e">
        <f>AND(#REF!,"WB/PwUz8cY0=")</f>
        <v>#REF!</v>
      </c>
      <c r="EM88" t="e">
        <f>AND(#REF!,"WB/PwUz8cY4=")</f>
        <v>#REF!</v>
      </c>
      <c r="EN88" t="e">
        <f>AND(#REF!,"WB/PwUz8cY8=")</f>
        <v>#REF!</v>
      </c>
      <c r="EO88" t="e">
        <f>AND(#REF!,"WB/PwUz8cZA=")</f>
        <v>#REF!</v>
      </c>
      <c r="EP88" t="e">
        <f>AND(#REF!,"WB/PwUz8cZE=")</f>
        <v>#REF!</v>
      </c>
      <c r="EQ88" t="e">
        <f>AND(#REF!,"WB/PwUz8cZI=")</f>
        <v>#REF!</v>
      </c>
      <c r="ER88" t="e">
        <f>AND(#REF!,"WB/PwUz8cZM=")</f>
        <v>#REF!</v>
      </c>
      <c r="ES88" t="e">
        <f>AND(#REF!,"WB/PwUz8cZQ=")</f>
        <v>#REF!</v>
      </c>
      <c r="ET88" t="e">
        <f>AND(#REF!,"WB/PwUz8cZU=")</f>
        <v>#REF!</v>
      </c>
      <c r="EU88" t="e">
        <f>AND(#REF!,"WB/PwUz8cZY=")</f>
        <v>#REF!</v>
      </c>
      <c r="EV88" t="e">
        <f>AND(#REF!,"WB/PwUz8cZc=")</f>
        <v>#REF!</v>
      </c>
      <c r="EW88" t="e">
        <f>AND(#REF!,"WB/PwUz8cZg=")</f>
        <v>#REF!</v>
      </c>
      <c r="EX88" t="e">
        <f>AND(#REF!,"WB/PwUz8cZk=")</f>
        <v>#REF!</v>
      </c>
      <c r="EY88" t="e">
        <f>AND(#REF!,"WB/PwUz8cZo=")</f>
        <v>#REF!</v>
      </c>
      <c r="EZ88" t="e">
        <f>AND(#REF!,"WB/PwUz8cZs=")</f>
        <v>#REF!</v>
      </c>
      <c r="FA88" t="e">
        <f>AND(#REF!,"WB/PwUz8cZw=")</f>
        <v>#REF!</v>
      </c>
      <c r="FB88" t="e">
        <f>AND(#REF!,"WB/PwUz8cZ0=")</f>
        <v>#REF!</v>
      </c>
      <c r="FC88" t="e">
        <f>AND(#REF!,"WB/PwUz8cZ4=")</f>
        <v>#REF!</v>
      </c>
      <c r="FD88" t="e">
        <f>AND(#REF!,"WB/PwUz8cZ8=")</f>
        <v>#REF!</v>
      </c>
      <c r="FE88" t="e">
        <f>AND(#REF!,"WB/PwUz8caA=")</f>
        <v>#REF!</v>
      </c>
      <c r="FF88" t="e">
        <f>IF(#REF!,"WB/PwUz8caE=",0)</f>
        <v>#REF!</v>
      </c>
      <c r="FG88" t="e">
        <f>AND(#REF!,"WB/PwUz8caI=")</f>
        <v>#REF!</v>
      </c>
      <c r="FH88" t="e">
        <f>AND(#REF!,"WB/PwUz8caM=")</f>
        <v>#REF!</v>
      </c>
      <c r="FI88" t="e">
        <f>AND(#REF!,"WB/PwUz8caQ=")</f>
        <v>#REF!</v>
      </c>
      <c r="FJ88" t="e">
        <f>AND(#REF!,"WB/PwUz8caU=")</f>
        <v>#REF!</v>
      </c>
      <c r="FK88" t="e">
        <f>AND(#REF!,"WB/PwUz8caY=")</f>
        <v>#REF!</v>
      </c>
      <c r="FL88" t="e">
        <f>AND(#REF!,"WB/PwUz8cac=")</f>
        <v>#REF!</v>
      </c>
      <c r="FM88" t="e">
        <f>AND(#REF!,"WB/PwUz8cag=")</f>
        <v>#REF!</v>
      </c>
      <c r="FN88" t="e">
        <f>AND(#REF!,"WB/PwUz8cak=")</f>
        <v>#REF!</v>
      </c>
      <c r="FO88" t="e">
        <f>AND(#REF!,"WB/PwUz8cao=")</f>
        <v>#REF!</v>
      </c>
      <c r="FP88" t="e">
        <f>AND(#REF!,"WB/PwUz8cas=")</f>
        <v>#REF!</v>
      </c>
      <c r="FQ88" t="e">
        <f>AND(#REF!,"WB/PwUz8caw=")</f>
        <v>#REF!</v>
      </c>
      <c r="FR88" t="e">
        <f>AND(#REF!,"WB/PwUz8ca0=")</f>
        <v>#REF!</v>
      </c>
      <c r="FS88" t="e">
        <f>AND(#REF!,"WB/PwUz8ca4=")</f>
        <v>#REF!</v>
      </c>
      <c r="FT88" t="e">
        <f>AND(#REF!,"WB/PwUz8ca8=")</f>
        <v>#REF!</v>
      </c>
      <c r="FU88" t="e">
        <f>AND(#REF!,"WB/PwUz8cbA=")</f>
        <v>#REF!</v>
      </c>
      <c r="FV88" t="e">
        <f>AND(#REF!,"WB/PwUz8cbE=")</f>
        <v>#REF!</v>
      </c>
      <c r="FW88" t="e">
        <f>AND(#REF!,"WB/PwUz8cbI=")</f>
        <v>#REF!</v>
      </c>
      <c r="FX88" t="e">
        <f>AND(#REF!,"WB/PwUz8cbM=")</f>
        <v>#REF!</v>
      </c>
      <c r="FY88" t="e">
        <f>AND(#REF!,"WB/PwUz8cbQ=")</f>
        <v>#REF!</v>
      </c>
      <c r="FZ88" t="e">
        <f>AND(#REF!,"WB/PwUz8cbU=")</f>
        <v>#REF!</v>
      </c>
      <c r="GA88" t="e">
        <f>AND(#REF!,"WB/PwUz8cbY=")</f>
        <v>#REF!</v>
      </c>
      <c r="GB88" t="e">
        <f>AND(#REF!,"WB/PwUz8cbc=")</f>
        <v>#REF!</v>
      </c>
      <c r="GC88" t="e">
        <f>AND(#REF!,"WB/PwUz8cbg=")</f>
        <v>#REF!</v>
      </c>
      <c r="GD88" t="e">
        <f>AND(#REF!,"WB/PwUz8cbk=")</f>
        <v>#REF!</v>
      </c>
      <c r="GE88" t="e">
        <f>AND(#REF!,"WB/PwUz8cbo=")</f>
        <v>#REF!</v>
      </c>
      <c r="GF88" t="e">
        <f>AND(#REF!,"WB/PwUz8cbs=")</f>
        <v>#REF!</v>
      </c>
      <c r="GG88" t="e">
        <f>AND(#REF!,"WB/PwUz8cbw=")</f>
        <v>#REF!</v>
      </c>
      <c r="GH88" t="e">
        <f>AND(#REF!,"WB/PwUz8cb0=")</f>
        <v>#REF!</v>
      </c>
      <c r="GI88" t="e">
        <f>AND(#REF!,"WB/PwUz8cb4=")</f>
        <v>#REF!</v>
      </c>
      <c r="GJ88" t="e">
        <f>AND(#REF!,"WB/PwUz8cb8=")</f>
        <v>#REF!</v>
      </c>
      <c r="GK88" t="e">
        <f>AND(#REF!,"WB/PwUz8ccA=")</f>
        <v>#REF!</v>
      </c>
      <c r="GL88" t="e">
        <f>AND(#REF!,"WB/PwUz8ccE=")</f>
        <v>#REF!</v>
      </c>
      <c r="GM88" t="e">
        <f>AND(#REF!,"WB/PwUz8ccI=")</f>
        <v>#REF!</v>
      </c>
      <c r="GN88" t="e">
        <f>AND(#REF!,"WB/PwUz8ccM=")</f>
        <v>#REF!</v>
      </c>
      <c r="GO88" t="e">
        <f>AND(#REF!,"WB/PwUz8ccQ=")</f>
        <v>#REF!</v>
      </c>
      <c r="GP88" t="e">
        <f>AND(#REF!,"WB/PwUz8ccU=")</f>
        <v>#REF!</v>
      </c>
      <c r="GQ88" t="e">
        <f>AND(#REF!,"WB/PwUz8ccY=")</f>
        <v>#REF!</v>
      </c>
      <c r="GR88" t="e">
        <f>AND(#REF!,"WB/PwUz8ccc=")</f>
        <v>#REF!</v>
      </c>
      <c r="GS88" t="e">
        <f>AND(#REF!,"WB/PwUz8ccg=")</f>
        <v>#REF!</v>
      </c>
      <c r="GT88" t="e">
        <f>AND(#REF!,"WB/PwUz8cck=")</f>
        <v>#REF!</v>
      </c>
      <c r="GU88" t="e">
        <f>AND(#REF!,"WB/PwUz8cco=")</f>
        <v>#REF!</v>
      </c>
      <c r="GV88" t="e">
        <f>AND(#REF!,"WB/PwUz8ccs=")</f>
        <v>#REF!</v>
      </c>
      <c r="GW88" t="e">
        <f>AND(#REF!,"WB/PwUz8ccw=")</f>
        <v>#REF!</v>
      </c>
      <c r="GX88" t="e">
        <f>AND(#REF!,"WB/PwUz8cc0=")</f>
        <v>#REF!</v>
      </c>
      <c r="GY88" t="e">
        <f>AND(#REF!,"WB/PwUz8cc4=")</f>
        <v>#REF!</v>
      </c>
      <c r="GZ88" t="e">
        <f>AND(#REF!,"WB/PwUz8cc8=")</f>
        <v>#REF!</v>
      </c>
      <c r="HA88" t="e">
        <f>AND(#REF!,"WB/PwUz8cdA=")</f>
        <v>#REF!</v>
      </c>
      <c r="HB88" t="e">
        <f>AND(#REF!,"WB/PwUz8cdE=")</f>
        <v>#REF!</v>
      </c>
      <c r="HC88" t="e">
        <f>AND(#REF!,"WB/PwUz8cdI=")</f>
        <v>#REF!</v>
      </c>
      <c r="HD88" t="e">
        <f>AND(#REF!,"WB/PwUz8cdM=")</f>
        <v>#REF!</v>
      </c>
      <c r="HE88" t="e">
        <f>AND(#REF!,"WB/PwUz8cdQ=")</f>
        <v>#REF!</v>
      </c>
      <c r="HF88" t="e">
        <f>AND(#REF!,"WB/PwUz8cdU=")</f>
        <v>#REF!</v>
      </c>
      <c r="HG88" t="e">
        <f>AND(#REF!,"WB/PwUz8cdY=")</f>
        <v>#REF!</v>
      </c>
      <c r="HH88" t="e">
        <f>AND(#REF!,"WB/PwUz8cdc=")</f>
        <v>#REF!</v>
      </c>
      <c r="HI88" t="e">
        <f>AND(#REF!,"WB/PwUz8cdg=")</f>
        <v>#REF!</v>
      </c>
      <c r="HJ88" t="e">
        <f>AND(#REF!,"WB/PwUz8cdk=")</f>
        <v>#REF!</v>
      </c>
      <c r="HK88" t="e">
        <f>AND(#REF!,"WB/PwUz8cdo=")</f>
        <v>#REF!</v>
      </c>
      <c r="HL88" t="e">
        <f>AND(#REF!,"WB/PwUz8cds=")</f>
        <v>#REF!</v>
      </c>
      <c r="HM88" t="e">
        <f>AND(#REF!,"WB/PwUz8cdw=")</f>
        <v>#REF!</v>
      </c>
      <c r="HN88" t="e">
        <f>AND(#REF!,"WB/PwUz8cd0=")</f>
        <v>#REF!</v>
      </c>
      <c r="HO88" t="e">
        <f>AND(#REF!,"WB/PwUz8cd4=")</f>
        <v>#REF!</v>
      </c>
      <c r="HP88" t="e">
        <f>AND(#REF!,"WB/PwUz8cd8=")</f>
        <v>#REF!</v>
      </c>
      <c r="HQ88" t="e">
        <f>AND(#REF!,"WB/PwUz8ceA=")</f>
        <v>#REF!</v>
      </c>
      <c r="HR88" t="e">
        <f>AND(#REF!,"WB/PwUz8ceE=")</f>
        <v>#REF!</v>
      </c>
      <c r="HS88" t="e">
        <f>AND(#REF!,"WB/PwUz8ceI=")</f>
        <v>#REF!</v>
      </c>
      <c r="HT88" t="e">
        <f>AND(#REF!,"WB/PwUz8ceM=")</f>
        <v>#REF!</v>
      </c>
      <c r="HU88" t="e">
        <f>AND(#REF!,"WB/PwUz8ceQ=")</f>
        <v>#REF!</v>
      </c>
      <c r="HV88" t="e">
        <f>AND(#REF!,"WB/PwUz8ceU=")</f>
        <v>#REF!</v>
      </c>
      <c r="HW88" t="e">
        <f>AND(#REF!,"WB/PwUz8ceY=")</f>
        <v>#REF!</v>
      </c>
      <c r="HX88" t="e">
        <f>AND(#REF!,"WB/PwUz8cec=")</f>
        <v>#REF!</v>
      </c>
      <c r="HY88" t="e">
        <f>AND(#REF!,"WB/PwUz8ceg=")</f>
        <v>#REF!</v>
      </c>
      <c r="HZ88" t="e">
        <f>AND(#REF!,"WB/PwUz8cek=")</f>
        <v>#REF!</v>
      </c>
      <c r="IA88" t="e">
        <f>AND(#REF!,"WB/PwUz8ceo=")</f>
        <v>#REF!</v>
      </c>
      <c r="IB88" t="e">
        <f>AND(#REF!,"WB/PwUz8ces=")</f>
        <v>#REF!</v>
      </c>
      <c r="IC88" t="e">
        <f>AND(#REF!,"WB/PwUz8cew=")</f>
        <v>#REF!</v>
      </c>
      <c r="ID88" t="e">
        <f>AND(#REF!,"WB/PwUz8ce0=")</f>
        <v>#REF!</v>
      </c>
      <c r="IE88" t="e">
        <f>AND(#REF!,"WB/PwUz8ce4=")</f>
        <v>#REF!</v>
      </c>
      <c r="IF88" t="e">
        <f>AND(#REF!,"WB/PwUz8ce8=")</f>
        <v>#REF!</v>
      </c>
      <c r="IG88" t="e">
        <f>AND(#REF!,"WB/PwUz8cfA=")</f>
        <v>#REF!</v>
      </c>
      <c r="IH88" t="e">
        <f>AND(#REF!,"WB/PwUz8cfE=")</f>
        <v>#REF!</v>
      </c>
      <c r="II88" t="e">
        <f>AND(#REF!,"WB/PwUz8cfI=")</f>
        <v>#REF!</v>
      </c>
      <c r="IJ88" t="e">
        <f>AND(#REF!,"WB/PwUz8cfM=")</f>
        <v>#REF!</v>
      </c>
      <c r="IK88" t="e">
        <f>AND(#REF!,"WB/PwUz8cfQ=")</f>
        <v>#REF!</v>
      </c>
      <c r="IL88" t="e">
        <f>AND(#REF!,"WB/PwUz8cfU=")</f>
        <v>#REF!</v>
      </c>
      <c r="IM88" t="e">
        <f>AND(#REF!,"WB/PwUz8cfY=")</f>
        <v>#REF!</v>
      </c>
      <c r="IN88" t="e">
        <f>AND(#REF!,"WB/PwUz8cfc=")</f>
        <v>#REF!</v>
      </c>
      <c r="IO88" t="e">
        <f>AND(#REF!,"WB/PwUz8cfg=")</f>
        <v>#REF!</v>
      </c>
      <c r="IP88" t="e">
        <f>AND(#REF!,"WB/PwUz8cfk=")</f>
        <v>#REF!</v>
      </c>
      <c r="IQ88" t="e">
        <f>AND(#REF!,"WB/PwUz8cfo=")</f>
        <v>#REF!</v>
      </c>
      <c r="IR88" t="e">
        <f>AND(#REF!,"WB/PwUz8cfs=")</f>
        <v>#REF!</v>
      </c>
      <c r="IS88" t="e">
        <f>AND(#REF!,"WB/PwUz8cfw=")</f>
        <v>#REF!</v>
      </c>
      <c r="IT88" t="e">
        <f>AND(#REF!,"WB/PwUz8cf0=")</f>
        <v>#REF!</v>
      </c>
      <c r="IU88" t="e">
        <f>AND(#REF!,"WB/PwUz8cf4=")</f>
        <v>#REF!</v>
      </c>
      <c r="IV88" t="e">
        <f>AND(#REF!,"WB/PwUz8cf8=")</f>
        <v>#REF!</v>
      </c>
    </row>
    <row r="89" spans="1:256" x14ac:dyDescent="0.2">
      <c r="A89" t="e">
        <f>AND(#REF!,"QPrzFE7N8QA=")</f>
        <v>#REF!</v>
      </c>
      <c r="B89" t="e">
        <f>AND(#REF!,"QPrzFE7N8QE=")</f>
        <v>#REF!</v>
      </c>
      <c r="C89" t="e">
        <f>AND(#REF!,"QPrzFE7N8QI=")</f>
        <v>#REF!</v>
      </c>
      <c r="D89" t="e">
        <f>AND(#REF!,"QPrzFE7N8QM=")</f>
        <v>#REF!</v>
      </c>
      <c r="E89" t="e">
        <f>AND(#REF!,"QPrzFE7N8QQ=")</f>
        <v>#REF!</v>
      </c>
      <c r="F89" t="e">
        <f>AND(#REF!,"QPrzFE7N8QU=")</f>
        <v>#REF!</v>
      </c>
      <c r="G89" t="e">
        <f>AND(#REF!,"QPrzFE7N8QY=")</f>
        <v>#REF!</v>
      </c>
      <c r="H89" t="e">
        <f>AND(#REF!,"QPrzFE7N8Qc=")</f>
        <v>#REF!</v>
      </c>
      <c r="I89" t="e">
        <f>AND(#REF!,"QPrzFE7N8Qg=")</f>
        <v>#REF!</v>
      </c>
      <c r="J89" t="e">
        <f>AND(#REF!,"QPrzFE7N8Qk=")</f>
        <v>#REF!</v>
      </c>
      <c r="K89" t="e">
        <f>AND(#REF!,"QPrzFE7N8Qo=")</f>
        <v>#REF!</v>
      </c>
      <c r="L89" t="e">
        <f>AND(#REF!,"QPrzFE7N8Qs=")</f>
        <v>#REF!</v>
      </c>
      <c r="M89" t="e">
        <f>AND(#REF!,"QPrzFE7N8Qw=")</f>
        <v>#REF!</v>
      </c>
      <c r="N89" t="e">
        <f>AND(#REF!,"QPrzFE7N8Q0=")</f>
        <v>#REF!</v>
      </c>
      <c r="O89" t="e">
        <f>AND(#REF!,"QPrzFE7N8Q4=")</f>
        <v>#REF!</v>
      </c>
      <c r="P89" t="e">
        <f>AND(#REF!,"QPrzFE7N8Q8=")</f>
        <v>#REF!</v>
      </c>
      <c r="Q89" t="e">
        <f>AND(#REF!,"QPrzFE7N8RA=")</f>
        <v>#REF!</v>
      </c>
      <c r="R89" t="e">
        <f>AND(#REF!,"QPrzFE7N8RE=")</f>
        <v>#REF!</v>
      </c>
      <c r="S89" t="e">
        <f>AND(#REF!,"QPrzFE7N8RI=")</f>
        <v>#REF!</v>
      </c>
      <c r="T89" t="e">
        <f>AND(#REF!,"QPrzFE7N8RM=")</f>
        <v>#REF!</v>
      </c>
      <c r="U89" t="e">
        <f>AND(#REF!,"QPrzFE7N8RQ=")</f>
        <v>#REF!</v>
      </c>
      <c r="V89" t="e">
        <f>AND(#REF!,"QPrzFE7N8RU=")</f>
        <v>#REF!</v>
      </c>
      <c r="W89" t="e">
        <f>AND(#REF!,"QPrzFE7N8RY=")</f>
        <v>#REF!</v>
      </c>
      <c r="X89" t="e">
        <f>AND(#REF!,"QPrzFE7N8Rc=")</f>
        <v>#REF!</v>
      </c>
      <c r="Y89" t="e">
        <f>AND(#REF!,"QPrzFE7N8Rg=")</f>
        <v>#REF!</v>
      </c>
      <c r="Z89" t="e">
        <f>AND(#REF!,"QPrzFE7N8Rk=")</f>
        <v>#REF!</v>
      </c>
      <c r="AA89" t="e">
        <f>AND(#REF!,"QPrzFE7N8Ro=")</f>
        <v>#REF!</v>
      </c>
      <c r="AB89" t="e">
        <f>AND(#REF!,"QPrzFE7N8Rs=")</f>
        <v>#REF!</v>
      </c>
      <c r="AC89" t="e">
        <f>AND(#REF!,"QPrzFE7N8Rw=")</f>
        <v>#REF!</v>
      </c>
      <c r="AD89" t="e">
        <f>AND(#REF!,"QPrzFE7N8R0=")</f>
        <v>#REF!</v>
      </c>
      <c r="AE89" t="e">
        <f>AND(#REF!,"QPrzFE7N8R4=")</f>
        <v>#REF!</v>
      </c>
      <c r="AF89" t="e">
        <f>AND(#REF!,"QPrzFE7N8R8=")</f>
        <v>#REF!</v>
      </c>
      <c r="AG89" t="e">
        <f>AND(#REF!,"QPrzFE7N8SA=")</f>
        <v>#REF!</v>
      </c>
      <c r="AH89" t="e">
        <f>AND(#REF!,"QPrzFE7N8SE=")</f>
        <v>#REF!</v>
      </c>
      <c r="AI89" t="e">
        <f>AND(#REF!,"QPrzFE7N8SI=")</f>
        <v>#REF!</v>
      </c>
      <c r="AJ89" t="e">
        <f>AND(#REF!,"QPrzFE7N8SM=")</f>
        <v>#REF!</v>
      </c>
      <c r="AK89" t="e">
        <f>AND(#REF!,"QPrzFE7N8SQ=")</f>
        <v>#REF!</v>
      </c>
      <c r="AL89" t="e">
        <f>AND(#REF!,"QPrzFE7N8SU=")</f>
        <v>#REF!</v>
      </c>
      <c r="AM89" t="e">
        <f>AND(#REF!,"QPrzFE7N8SY=")</f>
        <v>#REF!</v>
      </c>
      <c r="AN89" t="e">
        <f>AND(#REF!,"QPrzFE7N8Sc=")</f>
        <v>#REF!</v>
      </c>
      <c r="AO89" t="e">
        <f>AND(#REF!,"QPrzFE7N8Sg=")</f>
        <v>#REF!</v>
      </c>
      <c r="AP89" t="e">
        <f>AND(#REF!,"QPrzFE7N8Sk=")</f>
        <v>#REF!</v>
      </c>
      <c r="AQ89" t="e">
        <f>AND(#REF!,"QPrzFE7N8So=")</f>
        <v>#REF!</v>
      </c>
      <c r="AR89" t="e">
        <f>AND(#REF!,"QPrzFE7N8Ss=")</f>
        <v>#REF!</v>
      </c>
      <c r="AS89" t="e">
        <f>AND(#REF!,"QPrzFE7N8Sw=")</f>
        <v>#REF!</v>
      </c>
      <c r="AT89" t="e">
        <f>AND(#REF!,"QPrzFE7N8S0=")</f>
        <v>#REF!</v>
      </c>
      <c r="AU89" t="e">
        <f>AND(#REF!,"QPrzFE7N8S4=")</f>
        <v>#REF!</v>
      </c>
      <c r="AV89" t="e">
        <f>AND(#REF!,"QPrzFE7N8S8=")</f>
        <v>#REF!</v>
      </c>
      <c r="AW89" t="e">
        <f>AND(#REF!,"QPrzFE7N8TA=")</f>
        <v>#REF!</v>
      </c>
      <c r="AX89" t="e">
        <f>AND(#REF!,"QPrzFE7N8TE=")</f>
        <v>#REF!</v>
      </c>
      <c r="AY89" t="e">
        <f>AND(#REF!,"QPrzFE7N8TI=")</f>
        <v>#REF!</v>
      </c>
      <c r="AZ89" t="e">
        <f>AND(#REF!,"QPrzFE7N8TM=")</f>
        <v>#REF!</v>
      </c>
      <c r="BA89" t="e">
        <f>AND(#REF!,"QPrzFE7N8TQ=")</f>
        <v>#REF!</v>
      </c>
      <c r="BB89" t="e">
        <f>AND(#REF!,"QPrzFE7N8TU=")</f>
        <v>#REF!</v>
      </c>
      <c r="BC89" t="e">
        <f>AND(#REF!,"QPrzFE7N8TY=")</f>
        <v>#REF!</v>
      </c>
      <c r="BD89" t="e">
        <f>AND(#REF!,"QPrzFE7N8Tc=")</f>
        <v>#REF!</v>
      </c>
      <c r="BE89" t="e">
        <f>AND(#REF!,"QPrzFE7N8Tg=")</f>
        <v>#REF!</v>
      </c>
      <c r="BF89" t="e">
        <f>AND(#REF!,"QPrzFE7N8Tk=")</f>
        <v>#REF!</v>
      </c>
      <c r="BG89" t="e">
        <f>AND(#REF!,"QPrzFE7N8To=")</f>
        <v>#REF!</v>
      </c>
      <c r="BH89" t="e">
        <f>AND(#REF!,"QPrzFE7N8Ts=")</f>
        <v>#REF!</v>
      </c>
      <c r="BI89" t="e">
        <f>AND(#REF!,"QPrzFE7N8Tw=")</f>
        <v>#REF!</v>
      </c>
      <c r="BJ89" t="e">
        <f>AND(#REF!,"QPrzFE7N8T0=")</f>
        <v>#REF!</v>
      </c>
      <c r="BK89" t="e">
        <f>AND(#REF!,"QPrzFE7N8T4=")</f>
        <v>#REF!</v>
      </c>
      <c r="BL89" t="e">
        <f>AND(#REF!,"QPrzFE7N8T8=")</f>
        <v>#REF!</v>
      </c>
      <c r="BM89" t="e">
        <f>AND(#REF!,"QPrzFE7N8UA=")</f>
        <v>#REF!</v>
      </c>
      <c r="BN89" t="e">
        <f>AND(#REF!,"QPrzFE7N8UE=")</f>
        <v>#REF!</v>
      </c>
      <c r="BO89" t="e">
        <f>AND(#REF!,"QPrzFE7N8UI=")</f>
        <v>#REF!</v>
      </c>
      <c r="BP89" t="e">
        <f>AND(#REF!,"QPrzFE7N8UM=")</f>
        <v>#REF!</v>
      </c>
      <c r="BQ89" t="e">
        <f>AND(#REF!,"QPrzFE7N8UQ=")</f>
        <v>#REF!</v>
      </c>
      <c r="BR89" t="e">
        <f>AND(#REF!,"QPrzFE7N8UU=")</f>
        <v>#REF!</v>
      </c>
      <c r="BS89" t="e">
        <f>AND(#REF!,"QPrzFE7N8UY=")</f>
        <v>#REF!</v>
      </c>
      <c r="BT89" t="e">
        <f>AND(#REF!,"QPrzFE7N8Uc=")</f>
        <v>#REF!</v>
      </c>
      <c r="BU89" t="e">
        <f>AND(#REF!,"QPrzFE7N8Ug=")</f>
        <v>#REF!</v>
      </c>
      <c r="BV89" t="e">
        <f>AND(#REF!,"QPrzFE7N8Uk=")</f>
        <v>#REF!</v>
      </c>
      <c r="BW89" t="e">
        <f>AND(#REF!,"QPrzFE7N8Uo=")</f>
        <v>#REF!</v>
      </c>
      <c r="BX89" t="e">
        <f>AND(#REF!,"QPrzFE7N8Us=")</f>
        <v>#REF!</v>
      </c>
      <c r="BY89" t="e">
        <f>AND(#REF!,"QPrzFE7N8Uw=")</f>
        <v>#REF!</v>
      </c>
      <c r="BZ89" t="e">
        <f>AND(#REF!,"QPrzFE7N8U0=")</f>
        <v>#REF!</v>
      </c>
      <c r="CA89" t="e">
        <f>AND(#REF!,"QPrzFE7N8U4=")</f>
        <v>#REF!</v>
      </c>
      <c r="CB89" t="e">
        <f>AND(#REF!,"QPrzFE7N8U8=")</f>
        <v>#REF!</v>
      </c>
      <c r="CC89" t="e">
        <f>AND(#REF!,"QPrzFE7N8VA=")</f>
        <v>#REF!</v>
      </c>
      <c r="CD89" t="e">
        <f>AND(#REF!,"QPrzFE7N8VE=")</f>
        <v>#REF!</v>
      </c>
      <c r="CE89" t="e">
        <f>AND(#REF!,"QPrzFE7N8VI=")</f>
        <v>#REF!</v>
      </c>
      <c r="CF89" t="e">
        <f>AND(#REF!,"QPrzFE7N8VM=")</f>
        <v>#REF!</v>
      </c>
      <c r="CG89" t="e">
        <f>AND(#REF!,"QPrzFE7N8VQ=")</f>
        <v>#REF!</v>
      </c>
      <c r="CH89" t="e">
        <f>AND(#REF!,"QPrzFE7N8VU=")</f>
        <v>#REF!</v>
      </c>
      <c r="CI89" t="e">
        <f>AND(#REF!,"QPrzFE7N8VY=")</f>
        <v>#REF!</v>
      </c>
      <c r="CJ89" t="e">
        <f>AND(#REF!,"QPrzFE7N8Vc=")</f>
        <v>#REF!</v>
      </c>
      <c r="CK89" t="e">
        <f>AND(#REF!,"QPrzFE7N8Vg=")</f>
        <v>#REF!</v>
      </c>
      <c r="CL89" t="e">
        <f>AND(#REF!,"QPrzFE7N8Vk=")</f>
        <v>#REF!</v>
      </c>
      <c r="CM89" t="e">
        <f>AND(#REF!,"QPrzFE7N8Vo=")</f>
        <v>#REF!</v>
      </c>
      <c r="CN89" t="e">
        <f>AND(#REF!,"QPrzFE7N8Vs=")</f>
        <v>#REF!</v>
      </c>
      <c r="CO89" t="e">
        <f>AND(#REF!,"QPrzFE7N8Vw=")</f>
        <v>#REF!</v>
      </c>
      <c r="CP89" t="e">
        <f>AND(#REF!,"QPrzFE7N8V0=")</f>
        <v>#REF!</v>
      </c>
      <c r="CQ89" t="e">
        <f>AND(#REF!,"QPrzFE7N8V4=")</f>
        <v>#REF!</v>
      </c>
      <c r="CR89" t="e">
        <f>AND(#REF!,"QPrzFE7N8V8=")</f>
        <v>#REF!</v>
      </c>
      <c r="CS89" t="e">
        <f>AND(#REF!,"QPrzFE7N8WA=")</f>
        <v>#REF!</v>
      </c>
      <c r="CT89" t="e">
        <f>AND(#REF!,"QPrzFE7N8WE=")</f>
        <v>#REF!</v>
      </c>
      <c r="CU89" t="e">
        <f>AND(#REF!,"QPrzFE7N8WI=")</f>
        <v>#REF!</v>
      </c>
      <c r="CV89" t="e">
        <f>AND(#REF!,"QPrzFE7N8WM=")</f>
        <v>#REF!</v>
      </c>
      <c r="CW89" t="e">
        <f>AND(#REF!,"QPrzFE7N8WQ=")</f>
        <v>#REF!</v>
      </c>
      <c r="CX89" t="e">
        <f>AND(#REF!,"QPrzFE7N8WU=")</f>
        <v>#REF!</v>
      </c>
      <c r="CY89" t="e">
        <f>AND(#REF!,"QPrzFE7N8WY=")</f>
        <v>#REF!</v>
      </c>
      <c r="CZ89" t="e">
        <f>AND(#REF!,"QPrzFE7N8Wc=")</f>
        <v>#REF!</v>
      </c>
      <c r="DA89" t="e">
        <f>IF(#REF!,"QPrzFE7N8Wg=",0)</f>
        <v>#REF!</v>
      </c>
      <c r="DB89" t="e">
        <f>AND(#REF!,"QPrzFE7N8Wk=")</f>
        <v>#REF!</v>
      </c>
      <c r="DC89" t="e">
        <f>AND(#REF!,"QPrzFE7N8Wo=")</f>
        <v>#REF!</v>
      </c>
      <c r="DD89" t="e">
        <f>AND(#REF!,"QPrzFE7N8Ws=")</f>
        <v>#REF!</v>
      </c>
      <c r="DE89" t="e">
        <f>AND(#REF!,"QPrzFE7N8Ww=")</f>
        <v>#REF!</v>
      </c>
      <c r="DF89" t="e">
        <f>AND(#REF!,"QPrzFE7N8W0=")</f>
        <v>#REF!</v>
      </c>
      <c r="DG89" t="e">
        <f>AND(#REF!,"QPrzFE7N8W4=")</f>
        <v>#REF!</v>
      </c>
      <c r="DH89" t="e">
        <f>AND(#REF!,"QPrzFE7N8W8=")</f>
        <v>#REF!</v>
      </c>
      <c r="DI89" t="e">
        <f>AND(#REF!,"QPrzFE7N8XA=")</f>
        <v>#REF!</v>
      </c>
      <c r="DJ89" t="e">
        <f>AND(#REF!,"QPrzFE7N8XE=")</f>
        <v>#REF!</v>
      </c>
      <c r="DK89" t="e">
        <f>AND(#REF!,"QPrzFE7N8XI=")</f>
        <v>#REF!</v>
      </c>
      <c r="DL89" t="e">
        <f>AND(#REF!,"QPrzFE7N8XM=")</f>
        <v>#REF!</v>
      </c>
      <c r="DM89" t="e">
        <f>AND(#REF!,"QPrzFE7N8XQ=")</f>
        <v>#REF!</v>
      </c>
      <c r="DN89" t="e">
        <f>AND(#REF!,"QPrzFE7N8XU=")</f>
        <v>#REF!</v>
      </c>
      <c r="DO89" t="e">
        <f>AND(#REF!,"QPrzFE7N8XY=")</f>
        <v>#REF!</v>
      </c>
      <c r="DP89" t="e">
        <f>AND(#REF!,"QPrzFE7N8Xc=")</f>
        <v>#REF!</v>
      </c>
      <c r="DQ89" t="e">
        <f>AND(#REF!,"QPrzFE7N8Xg=")</f>
        <v>#REF!</v>
      </c>
      <c r="DR89" t="e">
        <f>AND(#REF!,"QPrzFE7N8Xk=")</f>
        <v>#REF!</v>
      </c>
      <c r="DS89" t="e">
        <f>AND(#REF!,"QPrzFE7N8Xo=")</f>
        <v>#REF!</v>
      </c>
      <c r="DT89" t="e">
        <f>AND(#REF!,"QPrzFE7N8Xs=")</f>
        <v>#REF!</v>
      </c>
      <c r="DU89" t="e">
        <f>AND(#REF!,"QPrzFE7N8Xw=")</f>
        <v>#REF!</v>
      </c>
      <c r="DV89" t="e">
        <f>AND(#REF!,"QPrzFE7N8X0=")</f>
        <v>#REF!</v>
      </c>
      <c r="DW89" t="e">
        <f>AND(#REF!,"QPrzFE7N8X4=")</f>
        <v>#REF!</v>
      </c>
      <c r="DX89" t="e">
        <f>AND(#REF!,"QPrzFE7N8X8=")</f>
        <v>#REF!</v>
      </c>
      <c r="DY89" t="e">
        <f>AND(#REF!,"QPrzFE7N8YA=")</f>
        <v>#REF!</v>
      </c>
      <c r="DZ89" t="e">
        <f>AND(#REF!,"QPrzFE7N8YE=")</f>
        <v>#REF!</v>
      </c>
      <c r="EA89" t="e">
        <f>AND(#REF!,"QPrzFE7N8YI=")</f>
        <v>#REF!</v>
      </c>
      <c r="EB89" t="e">
        <f>AND(#REF!,"QPrzFE7N8YM=")</f>
        <v>#REF!</v>
      </c>
      <c r="EC89" t="e">
        <f>AND(#REF!,"QPrzFE7N8YQ=")</f>
        <v>#REF!</v>
      </c>
      <c r="ED89" t="e">
        <f>AND(#REF!,"QPrzFE7N8YU=")</f>
        <v>#REF!</v>
      </c>
      <c r="EE89" t="e">
        <f>AND(#REF!,"QPrzFE7N8YY=")</f>
        <v>#REF!</v>
      </c>
      <c r="EF89" t="e">
        <f>AND(#REF!,"QPrzFE7N8Yc=")</f>
        <v>#REF!</v>
      </c>
      <c r="EG89" t="e">
        <f>AND(#REF!,"QPrzFE7N8Yg=")</f>
        <v>#REF!</v>
      </c>
      <c r="EH89" t="e">
        <f>AND(#REF!,"QPrzFE7N8Yk=")</f>
        <v>#REF!</v>
      </c>
      <c r="EI89" t="e">
        <f>AND(#REF!,"QPrzFE7N8Yo=")</f>
        <v>#REF!</v>
      </c>
      <c r="EJ89" t="e">
        <f>AND(#REF!,"QPrzFE7N8Ys=")</f>
        <v>#REF!</v>
      </c>
      <c r="EK89" t="e">
        <f>AND(#REF!,"QPrzFE7N8Yw=")</f>
        <v>#REF!</v>
      </c>
      <c r="EL89" t="e">
        <f>AND(#REF!,"QPrzFE7N8Y0=")</f>
        <v>#REF!</v>
      </c>
      <c r="EM89" t="e">
        <f>AND(#REF!,"QPrzFE7N8Y4=")</f>
        <v>#REF!</v>
      </c>
      <c r="EN89" t="e">
        <f>AND(#REF!,"QPrzFE7N8Y8=")</f>
        <v>#REF!</v>
      </c>
      <c r="EO89" t="e">
        <f>AND(#REF!,"QPrzFE7N8ZA=")</f>
        <v>#REF!</v>
      </c>
      <c r="EP89" t="e">
        <f>AND(#REF!,"QPrzFE7N8ZE=")</f>
        <v>#REF!</v>
      </c>
      <c r="EQ89" t="e">
        <f>AND(#REF!,"QPrzFE7N8ZI=")</f>
        <v>#REF!</v>
      </c>
      <c r="ER89" t="e">
        <f>AND(#REF!,"QPrzFE7N8ZM=")</f>
        <v>#REF!</v>
      </c>
      <c r="ES89" t="e">
        <f>AND(#REF!,"QPrzFE7N8ZQ=")</f>
        <v>#REF!</v>
      </c>
      <c r="ET89" t="e">
        <f>AND(#REF!,"QPrzFE7N8ZU=")</f>
        <v>#REF!</v>
      </c>
      <c r="EU89" t="e">
        <f>AND(#REF!,"QPrzFE7N8ZY=")</f>
        <v>#REF!</v>
      </c>
      <c r="EV89" t="e">
        <f>AND(#REF!,"QPrzFE7N8Zc=")</f>
        <v>#REF!</v>
      </c>
      <c r="EW89" t="e">
        <f>AND(#REF!,"QPrzFE7N8Zg=")</f>
        <v>#REF!</v>
      </c>
      <c r="EX89" t="e">
        <f>AND(#REF!,"QPrzFE7N8Zk=")</f>
        <v>#REF!</v>
      </c>
      <c r="EY89" t="e">
        <f>AND(#REF!,"QPrzFE7N8Zo=")</f>
        <v>#REF!</v>
      </c>
      <c r="EZ89" t="e">
        <f>AND(#REF!,"QPrzFE7N8Zs=")</f>
        <v>#REF!</v>
      </c>
      <c r="FA89" t="e">
        <f>AND(#REF!,"QPrzFE7N8Zw=")</f>
        <v>#REF!</v>
      </c>
      <c r="FB89" t="e">
        <f>AND(#REF!,"QPrzFE7N8Z0=")</f>
        <v>#REF!</v>
      </c>
      <c r="FC89" t="e">
        <f>AND(#REF!,"QPrzFE7N8Z4=")</f>
        <v>#REF!</v>
      </c>
      <c r="FD89" t="e">
        <f>AND(#REF!,"QPrzFE7N8Z8=")</f>
        <v>#REF!</v>
      </c>
      <c r="FE89" t="e">
        <f>AND(#REF!,"QPrzFE7N8aA=")</f>
        <v>#REF!</v>
      </c>
      <c r="FF89" t="e">
        <f>AND(#REF!,"QPrzFE7N8aE=")</f>
        <v>#REF!</v>
      </c>
      <c r="FG89" t="e">
        <f>AND(#REF!,"QPrzFE7N8aI=")</f>
        <v>#REF!</v>
      </c>
      <c r="FH89" t="e">
        <f>AND(#REF!,"QPrzFE7N8aM=")</f>
        <v>#REF!</v>
      </c>
      <c r="FI89" t="e">
        <f>AND(#REF!,"QPrzFE7N8aQ=")</f>
        <v>#REF!</v>
      </c>
      <c r="FJ89" t="e">
        <f>AND(#REF!,"QPrzFE7N8aU=")</f>
        <v>#REF!</v>
      </c>
      <c r="FK89" t="e">
        <f>AND(#REF!,"QPrzFE7N8aY=")</f>
        <v>#REF!</v>
      </c>
      <c r="FL89" t="e">
        <f>AND(#REF!,"QPrzFE7N8ac=")</f>
        <v>#REF!</v>
      </c>
      <c r="FM89" t="e">
        <f>AND(#REF!,"QPrzFE7N8ag=")</f>
        <v>#REF!</v>
      </c>
      <c r="FN89" t="e">
        <f>AND(#REF!,"QPrzFE7N8ak=")</f>
        <v>#REF!</v>
      </c>
      <c r="FO89" t="e">
        <f>AND(#REF!,"QPrzFE7N8ao=")</f>
        <v>#REF!</v>
      </c>
      <c r="FP89" t="e">
        <f>AND(#REF!,"QPrzFE7N8as=")</f>
        <v>#REF!</v>
      </c>
      <c r="FQ89" t="e">
        <f>AND(#REF!,"QPrzFE7N8aw=")</f>
        <v>#REF!</v>
      </c>
      <c r="FR89" t="e">
        <f>AND(#REF!,"QPrzFE7N8a0=")</f>
        <v>#REF!</v>
      </c>
      <c r="FS89" t="e">
        <f>AND(#REF!,"QPrzFE7N8a4=")</f>
        <v>#REF!</v>
      </c>
      <c r="FT89" t="e">
        <f>AND(#REF!,"QPrzFE7N8a8=")</f>
        <v>#REF!</v>
      </c>
      <c r="FU89" t="e">
        <f>AND(#REF!,"QPrzFE7N8bA=")</f>
        <v>#REF!</v>
      </c>
      <c r="FV89" t="e">
        <f>AND(#REF!,"QPrzFE7N8bE=")</f>
        <v>#REF!</v>
      </c>
      <c r="FW89" t="e">
        <f>AND(#REF!,"QPrzFE7N8bI=")</f>
        <v>#REF!</v>
      </c>
      <c r="FX89" t="e">
        <f>AND(#REF!,"QPrzFE7N8bM=")</f>
        <v>#REF!</v>
      </c>
      <c r="FY89" t="e">
        <f>AND(#REF!,"QPrzFE7N8bQ=")</f>
        <v>#REF!</v>
      </c>
      <c r="FZ89" t="e">
        <f>AND(#REF!,"QPrzFE7N8bU=")</f>
        <v>#REF!</v>
      </c>
      <c r="GA89" t="e">
        <f>AND(#REF!,"QPrzFE7N8bY=")</f>
        <v>#REF!</v>
      </c>
      <c r="GB89" t="e">
        <f>AND(#REF!,"QPrzFE7N8bc=")</f>
        <v>#REF!</v>
      </c>
      <c r="GC89" t="e">
        <f>AND(#REF!,"QPrzFE7N8bg=")</f>
        <v>#REF!</v>
      </c>
      <c r="GD89" t="e">
        <f>AND(#REF!,"QPrzFE7N8bk=")</f>
        <v>#REF!</v>
      </c>
      <c r="GE89" t="e">
        <f>AND(#REF!,"QPrzFE7N8bo=")</f>
        <v>#REF!</v>
      </c>
      <c r="GF89" t="e">
        <f>AND(#REF!,"QPrzFE7N8bs=")</f>
        <v>#REF!</v>
      </c>
      <c r="GG89" t="e">
        <f>AND(#REF!,"QPrzFE7N8bw=")</f>
        <v>#REF!</v>
      </c>
      <c r="GH89" t="e">
        <f>AND(#REF!,"QPrzFE7N8b0=")</f>
        <v>#REF!</v>
      </c>
      <c r="GI89" t="e">
        <f>AND(#REF!,"QPrzFE7N8b4=")</f>
        <v>#REF!</v>
      </c>
      <c r="GJ89" t="e">
        <f>AND(#REF!,"QPrzFE7N8b8=")</f>
        <v>#REF!</v>
      </c>
      <c r="GK89" t="e">
        <f>AND(#REF!,"QPrzFE7N8cA=")</f>
        <v>#REF!</v>
      </c>
      <c r="GL89" t="e">
        <f>AND(#REF!,"QPrzFE7N8cE=")</f>
        <v>#REF!</v>
      </c>
      <c r="GM89" t="e">
        <f>AND(#REF!,"QPrzFE7N8cI=")</f>
        <v>#REF!</v>
      </c>
      <c r="GN89" t="e">
        <f>AND(#REF!,"QPrzFE7N8cM=")</f>
        <v>#REF!</v>
      </c>
      <c r="GO89" t="e">
        <f>AND(#REF!,"QPrzFE7N8cQ=")</f>
        <v>#REF!</v>
      </c>
      <c r="GP89" t="e">
        <f>AND(#REF!,"QPrzFE7N8cU=")</f>
        <v>#REF!</v>
      </c>
      <c r="GQ89" t="e">
        <f>AND(#REF!,"QPrzFE7N8cY=")</f>
        <v>#REF!</v>
      </c>
      <c r="GR89" t="e">
        <f>AND(#REF!,"QPrzFE7N8cc=")</f>
        <v>#REF!</v>
      </c>
      <c r="GS89" t="e">
        <f>AND(#REF!,"QPrzFE7N8cg=")</f>
        <v>#REF!</v>
      </c>
      <c r="GT89" t="e">
        <f>AND(#REF!,"QPrzFE7N8ck=")</f>
        <v>#REF!</v>
      </c>
      <c r="GU89" t="e">
        <f>AND(#REF!,"QPrzFE7N8co=")</f>
        <v>#REF!</v>
      </c>
      <c r="GV89" t="e">
        <f>AND(#REF!,"QPrzFE7N8cs=")</f>
        <v>#REF!</v>
      </c>
      <c r="GW89" t="e">
        <f>AND(#REF!,"QPrzFE7N8cw=")</f>
        <v>#REF!</v>
      </c>
      <c r="GX89" t="e">
        <f>AND(#REF!,"QPrzFE7N8c0=")</f>
        <v>#REF!</v>
      </c>
      <c r="GY89" t="e">
        <f>AND(#REF!,"QPrzFE7N8c4=")</f>
        <v>#REF!</v>
      </c>
      <c r="GZ89" t="e">
        <f>AND(#REF!,"QPrzFE7N8c8=")</f>
        <v>#REF!</v>
      </c>
      <c r="HA89" t="e">
        <f>AND(#REF!,"QPrzFE7N8dA=")</f>
        <v>#REF!</v>
      </c>
      <c r="HB89" t="e">
        <f>AND(#REF!,"QPrzFE7N8dE=")</f>
        <v>#REF!</v>
      </c>
      <c r="HC89" t="e">
        <f>AND(#REF!,"QPrzFE7N8dI=")</f>
        <v>#REF!</v>
      </c>
      <c r="HD89" t="e">
        <f>AND(#REF!,"QPrzFE7N8dM=")</f>
        <v>#REF!</v>
      </c>
      <c r="HE89" t="e">
        <f>AND(#REF!,"QPrzFE7N8dQ=")</f>
        <v>#REF!</v>
      </c>
      <c r="HF89" t="e">
        <f>AND(#REF!,"QPrzFE7N8dU=")</f>
        <v>#REF!</v>
      </c>
      <c r="HG89" t="e">
        <f>AND(#REF!,"QPrzFE7N8dY=")</f>
        <v>#REF!</v>
      </c>
      <c r="HH89" t="e">
        <f>AND(#REF!,"QPrzFE7N8dc=")</f>
        <v>#REF!</v>
      </c>
      <c r="HI89" t="e">
        <f>AND(#REF!,"QPrzFE7N8dg=")</f>
        <v>#REF!</v>
      </c>
      <c r="HJ89" t="e">
        <f>AND(#REF!,"QPrzFE7N8dk=")</f>
        <v>#REF!</v>
      </c>
      <c r="HK89" t="e">
        <f>AND(#REF!,"QPrzFE7N8do=")</f>
        <v>#REF!</v>
      </c>
      <c r="HL89" t="e">
        <f>AND(#REF!,"QPrzFE7N8ds=")</f>
        <v>#REF!</v>
      </c>
      <c r="HM89" t="e">
        <f>AND(#REF!,"QPrzFE7N8dw=")</f>
        <v>#REF!</v>
      </c>
      <c r="HN89" t="e">
        <f>AND(#REF!,"QPrzFE7N8d0=")</f>
        <v>#REF!</v>
      </c>
      <c r="HO89" t="e">
        <f>AND(#REF!,"QPrzFE7N8d4=")</f>
        <v>#REF!</v>
      </c>
      <c r="HP89" t="e">
        <f>AND(#REF!,"QPrzFE7N8d8=")</f>
        <v>#REF!</v>
      </c>
      <c r="HQ89" t="e">
        <f>AND(#REF!,"QPrzFE7N8eA=")</f>
        <v>#REF!</v>
      </c>
      <c r="HR89" t="e">
        <f>AND(#REF!,"QPrzFE7N8eE=")</f>
        <v>#REF!</v>
      </c>
      <c r="HS89" t="e">
        <f>AND(#REF!,"QPrzFE7N8eI=")</f>
        <v>#REF!</v>
      </c>
      <c r="HT89" t="e">
        <f>AND(#REF!,"QPrzFE7N8eM=")</f>
        <v>#REF!</v>
      </c>
      <c r="HU89" t="e">
        <f>AND(#REF!,"QPrzFE7N8eQ=")</f>
        <v>#REF!</v>
      </c>
      <c r="HV89" t="e">
        <f>AND(#REF!,"QPrzFE7N8eU=")</f>
        <v>#REF!</v>
      </c>
      <c r="HW89" t="e">
        <f>AND(#REF!,"QPrzFE7N8eY=")</f>
        <v>#REF!</v>
      </c>
      <c r="HX89" t="e">
        <f>AND(#REF!,"QPrzFE7N8ec=")</f>
        <v>#REF!</v>
      </c>
      <c r="HY89" t="e">
        <f>AND(#REF!,"QPrzFE7N8eg=")</f>
        <v>#REF!</v>
      </c>
      <c r="HZ89" t="e">
        <f>AND(#REF!,"QPrzFE7N8ek=")</f>
        <v>#REF!</v>
      </c>
      <c r="IA89" t="e">
        <f>AND(#REF!,"QPrzFE7N8eo=")</f>
        <v>#REF!</v>
      </c>
      <c r="IB89" t="e">
        <f>AND(#REF!,"QPrzFE7N8es=")</f>
        <v>#REF!</v>
      </c>
      <c r="IC89" t="e">
        <f>AND(#REF!,"QPrzFE7N8ew=")</f>
        <v>#REF!</v>
      </c>
      <c r="ID89" t="e">
        <f>AND(#REF!,"QPrzFE7N8e0=")</f>
        <v>#REF!</v>
      </c>
      <c r="IE89" t="e">
        <f>AND(#REF!,"QPrzFE7N8e4=")</f>
        <v>#REF!</v>
      </c>
      <c r="IF89" t="e">
        <f>AND(#REF!,"QPrzFE7N8e8=")</f>
        <v>#REF!</v>
      </c>
      <c r="IG89" t="e">
        <f>AND(#REF!,"QPrzFE7N8fA=")</f>
        <v>#REF!</v>
      </c>
      <c r="IH89" t="e">
        <f>AND(#REF!,"QPrzFE7N8fE=")</f>
        <v>#REF!</v>
      </c>
      <c r="II89" t="e">
        <f>AND(#REF!,"QPrzFE7N8fI=")</f>
        <v>#REF!</v>
      </c>
      <c r="IJ89" t="e">
        <f>AND(#REF!,"QPrzFE7N8fM=")</f>
        <v>#REF!</v>
      </c>
      <c r="IK89" t="e">
        <f>AND(#REF!,"QPrzFE7N8fQ=")</f>
        <v>#REF!</v>
      </c>
      <c r="IL89" t="e">
        <f>AND(#REF!,"QPrzFE7N8fU=")</f>
        <v>#REF!</v>
      </c>
      <c r="IM89" t="e">
        <f>AND(#REF!,"QPrzFE7N8fY=")</f>
        <v>#REF!</v>
      </c>
      <c r="IN89" t="e">
        <f>AND(#REF!,"QPrzFE7N8fc=")</f>
        <v>#REF!</v>
      </c>
      <c r="IO89" t="e">
        <f>AND(#REF!,"QPrzFE7N8fg=")</f>
        <v>#REF!</v>
      </c>
      <c r="IP89" t="e">
        <f>AND(#REF!,"QPrzFE7N8fk=")</f>
        <v>#REF!</v>
      </c>
      <c r="IQ89" t="e">
        <f>AND(#REF!,"QPrzFE7N8fo=")</f>
        <v>#REF!</v>
      </c>
      <c r="IR89" t="e">
        <f>AND(#REF!,"QPrzFE7N8fs=")</f>
        <v>#REF!</v>
      </c>
      <c r="IS89" t="e">
        <f>AND(#REF!,"QPrzFE7N8fw=")</f>
        <v>#REF!</v>
      </c>
      <c r="IT89" t="e">
        <f>AND(#REF!,"QPrzFE7N8f0=")</f>
        <v>#REF!</v>
      </c>
      <c r="IU89" t="e">
        <f>AND(#REF!,"QPrzFE7N8f4=")</f>
        <v>#REF!</v>
      </c>
      <c r="IV89" t="e">
        <f>AND(#REF!,"QPrzFE7N8f8=")</f>
        <v>#REF!</v>
      </c>
    </row>
    <row r="90" spans="1:256" x14ac:dyDescent="0.2">
      <c r="A90" t="e">
        <f>AND(#REF!,"FpQCmCt9HAA=")</f>
        <v>#REF!</v>
      </c>
      <c r="B90" t="e">
        <f>AND(#REF!,"FpQCmCt9HAE=")</f>
        <v>#REF!</v>
      </c>
      <c r="C90" t="e">
        <f>AND(#REF!,"FpQCmCt9HAI=")</f>
        <v>#REF!</v>
      </c>
      <c r="D90" t="e">
        <f>AND(#REF!,"FpQCmCt9HAM=")</f>
        <v>#REF!</v>
      </c>
      <c r="E90" t="e">
        <f>AND(#REF!,"FpQCmCt9HAQ=")</f>
        <v>#REF!</v>
      </c>
      <c r="F90" t="e">
        <f>AND(#REF!,"FpQCmCt9HAU=")</f>
        <v>#REF!</v>
      </c>
      <c r="G90" t="e">
        <f>AND(#REF!,"FpQCmCt9HAY=")</f>
        <v>#REF!</v>
      </c>
      <c r="H90" t="e">
        <f>AND(#REF!,"FpQCmCt9HAc=")</f>
        <v>#REF!</v>
      </c>
      <c r="I90" t="e">
        <f>AND(#REF!,"FpQCmCt9HAg=")</f>
        <v>#REF!</v>
      </c>
      <c r="J90" t="e">
        <f>AND(#REF!,"FpQCmCt9HAk=")</f>
        <v>#REF!</v>
      </c>
      <c r="K90" t="e">
        <f>AND(#REF!,"FpQCmCt9HAo=")</f>
        <v>#REF!</v>
      </c>
      <c r="L90" t="e">
        <f>AND(#REF!,"FpQCmCt9HAs=")</f>
        <v>#REF!</v>
      </c>
      <c r="M90" t="e">
        <f>AND(#REF!,"FpQCmCt9HAw=")</f>
        <v>#REF!</v>
      </c>
      <c r="N90" t="e">
        <f>AND(#REF!,"FpQCmCt9HA0=")</f>
        <v>#REF!</v>
      </c>
      <c r="O90" t="e">
        <f>AND(#REF!,"FpQCmCt9HA4=")</f>
        <v>#REF!</v>
      </c>
      <c r="P90" t="e">
        <f>AND(#REF!,"FpQCmCt9HA8=")</f>
        <v>#REF!</v>
      </c>
      <c r="Q90" t="e">
        <f>AND(#REF!,"FpQCmCt9HBA=")</f>
        <v>#REF!</v>
      </c>
      <c r="R90" t="e">
        <f>AND(#REF!,"FpQCmCt9HBE=")</f>
        <v>#REF!</v>
      </c>
      <c r="S90" t="e">
        <f>AND(#REF!,"FpQCmCt9HBI=")</f>
        <v>#REF!</v>
      </c>
      <c r="T90" t="e">
        <f>AND(#REF!,"FpQCmCt9HBM=")</f>
        <v>#REF!</v>
      </c>
      <c r="U90" t="e">
        <f>AND(#REF!,"FpQCmCt9HBQ=")</f>
        <v>#REF!</v>
      </c>
      <c r="V90" t="e">
        <f>AND(#REF!,"FpQCmCt9HBU=")</f>
        <v>#REF!</v>
      </c>
      <c r="W90" t="e">
        <f>AND(#REF!,"FpQCmCt9HBY=")</f>
        <v>#REF!</v>
      </c>
      <c r="X90" t="e">
        <f>AND(#REF!,"FpQCmCt9HBc=")</f>
        <v>#REF!</v>
      </c>
      <c r="Y90" t="e">
        <f>AND(#REF!,"FpQCmCt9HBg=")</f>
        <v>#REF!</v>
      </c>
      <c r="Z90" t="e">
        <f>AND(#REF!,"FpQCmCt9HBk=")</f>
        <v>#REF!</v>
      </c>
      <c r="AA90" t="e">
        <f>AND(#REF!,"FpQCmCt9HBo=")</f>
        <v>#REF!</v>
      </c>
      <c r="AB90" t="e">
        <f>AND(#REF!,"FpQCmCt9HBs=")</f>
        <v>#REF!</v>
      </c>
      <c r="AC90" t="e">
        <f>AND(#REF!,"FpQCmCt9HBw=")</f>
        <v>#REF!</v>
      </c>
      <c r="AD90" t="e">
        <f>AND(#REF!,"FpQCmCt9HB0=")</f>
        <v>#REF!</v>
      </c>
      <c r="AE90" t="e">
        <f>AND(#REF!,"FpQCmCt9HB4=")</f>
        <v>#REF!</v>
      </c>
      <c r="AF90" t="e">
        <f>AND(#REF!,"FpQCmCt9HB8=")</f>
        <v>#REF!</v>
      </c>
      <c r="AG90" t="e">
        <f>AND(#REF!,"FpQCmCt9HCA=")</f>
        <v>#REF!</v>
      </c>
      <c r="AH90" t="e">
        <f>AND(#REF!,"FpQCmCt9HCE=")</f>
        <v>#REF!</v>
      </c>
      <c r="AI90" t="e">
        <f>AND(#REF!,"FpQCmCt9HCI=")</f>
        <v>#REF!</v>
      </c>
      <c r="AJ90" t="e">
        <f>AND(#REF!,"FpQCmCt9HCM=")</f>
        <v>#REF!</v>
      </c>
      <c r="AK90" t="e">
        <f>AND(#REF!,"FpQCmCt9HCQ=")</f>
        <v>#REF!</v>
      </c>
      <c r="AL90" t="e">
        <f>AND(#REF!,"FpQCmCt9HCU=")</f>
        <v>#REF!</v>
      </c>
      <c r="AM90" t="e">
        <f>AND(#REF!,"FpQCmCt9HCY=")</f>
        <v>#REF!</v>
      </c>
      <c r="AN90" t="e">
        <f>AND(#REF!,"FpQCmCt9HCc=")</f>
        <v>#REF!</v>
      </c>
      <c r="AO90" t="e">
        <f>AND(#REF!,"FpQCmCt9HCg=")</f>
        <v>#REF!</v>
      </c>
      <c r="AP90" t="e">
        <f>AND(#REF!,"FpQCmCt9HCk=")</f>
        <v>#REF!</v>
      </c>
      <c r="AQ90" t="e">
        <f>AND(#REF!,"FpQCmCt9HCo=")</f>
        <v>#REF!</v>
      </c>
      <c r="AR90" t="e">
        <f>AND(#REF!,"FpQCmCt9HCs=")</f>
        <v>#REF!</v>
      </c>
      <c r="AS90" t="e">
        <f>AND(#REF!,"FpQCmCt9HCw=")</f>
        <v>#REF!</v>
      </c>
      <c r="AT90" t="e">
        <f>AND(#REF!,"FpQCmCt9HC0=")</f>
        <v>#REF!</v>
      </c>
      <c r="AU90" t="e">
        <f>AND(#REF!,"FpQCmCt9HC4=")</f>
        <v>#REF!</v>
      </c>
      <c r="AV90" t="e">
        <f>IF(#REF!,"FpQCmCt9HC8=",0)</f>
        <v>#REF!</v>
      </c>
      <c r="AW90" t="e">
        <f>AND(#REF!,"FpQCmCt9HDA=")</f>
        <v>#REF!</v>
      </c>
      <c r="AX90" t="e">
        <f>AND(#REF!,"FpQCmCt9HDE=")</f>
        <v>#REF!</v>
      </c>
      <c r="AY90" t="e">
        <f>AND(#REF!,"FpQCmCt9HDI=")</f>
        <v>#REF!</v>
      </c>
      <c r="AZ90" t="e">
        <f>AND(#REF!,"FpQCmCt9HDM=")</f>
        <v>#REF!</v>
      </c>
      <c r="BA90" t="e">
        <f>AND(#REF!,"FpQCmCt9HDQ=")</f>
        <v>#REF!</v>
      </c>
      <c r="BB90" t="e">
        <f>AND(#REF!,"FpQCmCt9HDU=")</f>
        <v>#REF!</v>
      </c>
      <c r="BC90" t="e">
        <f>AND(#REF!,"FpQCmCt9HDY=")</f>
        <v>#REF!</v>
      </c>
      <c r="BD90" t="e">
        <f>AND(#REF!,"FpQCmCt9HDc=")</f>
        <v>#REF!</v>
      </c>
      <c r="BE90" t="e">
        <f>AND(#REF!,"FpQCmCt9HDg=")</f>
        <v>#REF!</v>
      </c>
      <c r="BF90" t="e">
        <f>AND(#REF!,"FpQCmCt9HDk=")</f>
        <v>#REF!</v>
      </c>
      <c r="BG90" t="e">
        <f>AND(#REF!,"FpQCmCt9HDo=")</f>
        <v>#REF!</v>
      </c>
      <c r="BH90" t="e">
        <f>AND(#REF!,"FpQCmCt9HDs=")</f>
        <v>#REF!</v>
      </c>
      <c r="BI90" t="e">
        <f>AND(#REF!,"FpQCmCt9HDw=")</f>
        <v>#REF!</v>
      </c>
      <c r="BJ90" t="e">
        <f>AND(#REF!,"FpQCmCt9HD0=")</f>
        <v>#REF!</v>
      </c>
      <c r="BK90" t="e">
        <f>AND(#REF!,"FpQCmCt9HD4=")</f>
        <v>#REF!</v>
      </c>
      <c r="BL90" t="e">
        <f>AND(#REF!,"FpQCmCt9HD8=")</f>
        <v>#REF!</v>
      </c>
      <c r="BM90" t="e">
        <f>AND(#REF!,"FpQCmCt9HEA=")</f>
        <v>#REF!</v>
      </c>
      <c r="BN90" t="e">
        <f>AND(#REF!,"FpQCmCt9HEE=")</f>
        <v>#REF!</v>
      </c>
      <c r="BO90" t="e">
        <f>AND(#REF!,"FpQCmCt9HEI=")</f>
        <v>#REF!</v>
      </c>
      <c r="BP90" t="e">
        <f>AND(#REF!,"FpQCmCt9HEM=")</f>
        <v>#REF!</v>
      </c>
      <c r="BQ90" t="e">
        <f>AND(#REF!,"FpQCmCt9HEQ=")</f>
        <v>#REF!</v>
      </c>
      <c r="BR90" t="e">
        <f>AND(#REF!,"FpQCmCt9HEU=")</f>
        <v>#REF!</v>
      </c>
      <c r="BS90" t="e">
        <f>AND(#REF!,"FpQCmCt9HEY=")</f>
        <v>#REF!</v>
      </c>
      <c r="BT90" t="e">
        <f>AND(#REF!,"FpQCmCt9HEc=")</f>
        <v>#REF!</v>
      </c>
      <c r="BU90" t="e">
        <f>AND(#REF!,"FpQCmCt9HEg=")</f>
        <v>#REF!</v>
      </c>
      <c r="BV90" t="e">
        <f>AND(#REF!,"FpQCmCt9HEk=")</f>
        <v>#REF!</v>
      </c>
      <c r="BW90" t="e">
        <f>AND(#REF!,"FpQCmCt9HEo=")</f>
        <v>#REF!</v>
      </c>
      <c r="BX90" t="e">
        <f>AND(#REF!,"FpQCmCt9HEs=")</f>
        <v>#REF!</v>
      </c>
      <c r="BY90" t="e">
        <f>AND(#REF!,"FpQCmCt9HEw=")</f>
        <v>#REF!</v>
      </c>
      <c r="BZ90" t="e">
        <f>AND(#REF!,"FpQCmCt9HE0=")</f>
        <v>#REF!</v>
      </c>
      <c r="CA90" t="e">
        <f>AND(#REF!,"FpQCmCt9HE4=")</f>
        <v>#REF!</v>
      </c>
      <c r="CB90" t="e">
        <f>AND(#REF!,"FpQCmCt9HE8=")</f>
        <v>#REF!</v>
      </c>
      <c r="CC90" t="e">
        <f>AND(#REF!,"FpQCmCt9HFA=")</f>
        <v>#REF!</v>
      </c>
      <c r="CD90" t="e">
        <f>AND(#REF!,"FpQCmCt9HFE=")</f>
        <v>#REF!</v>
      </c>
      <c r="CE90" t="e">
        <f>AND(#REF!,"FpQCmCt9HFI=")</f>
        <v>#REF!</v>
      </c>
      <c r="CF90" t="e">
        <f>AND(#REF!,"FpQCmCt9HFM=")</f>
        <v>#REF!</v>
      </c>
      <c r="CG90" t="e">
        <f>AND(#REF!,"FpQCmCt9HFQ=")</f>
        <v>#REF!</v>
      </c>
      <c r="CH90" t="e">
        <f>AND(#REF!,"FpQCmCt9HFU=")</f>
        <v>#REF!</v>
      </c>
      <c r="CI90" t="e">
        <f>AND(#REF!,"FpQCmCt9HFY=")</f>
        <v>#REF!</v>
      </c>
      <c r="CJ90" t="e">
        <f>AND(#REF!,"FpQCmCt9HFc=")</f>
        <v>#REF!</v>
      </c>
      <c r="CK90" t="e">
        <f>AND(#REF!,"FpQCmCt9HFg=")</f>
        <v>#REF!</v>
      </c>
      <c r="CL90" t="e">
        <f>AND(#REF!,"FpQCmCt9HFk=")</f>
        <v>#REF!</v>
      </c>
      <c r="CM90" t="e">
        <f>AND(#REF!,"FpQCmCt9HFo=")</f>
        <v>#REF!</v>
      </c>
      <c r="CN90" t="e">
        <f>AND(#REF!,"FpQCmCt9HFs=")</f>
        <v>#REF!</v>
      </c>
      <c r="CO90" t="e">
        <f>AND(#REF!,"FpQCmCt9HFw=")</f>
        <v>#REF!</v>
      </c>
      <c r="CP90" t="e">
        <f>AND(#REF!,"FpQCmCt9HF0=")</f>
        <v>#REF!</v>
      </c>
      <c r="CQ90" t="e">
        <f>AND(#REF!,"FpQCmCt9HF4=")</f>
        <v>#REF!</v>
      </c>
      <c r="CR90" t="e">
        <f>AND(#REF!,"FpQCmCt9HF8=")</f>
        <v>#REF!</v>
      </c>
      <c r="CS90" t="e">
        <f>AND(#REF!,"FpQCmCt9HGA=")</f>
        <v>#REF!</v>
      </c>
      <c r="CT90" t="e">
        <f>AND(#REF!,"FpQCmCt9HGE=")</f>
        <v>#REF!</v>
      </c>
      <c r="CU90" t="e">
        <f>AND(#REF!,"FpQCmCt9HGI=")</f>
        <v>#REF!</v>
      </c>
      <c r="CV90" t="e">
        <f>AND(#REF!,"FpQCmCt9HGM=")</f>
        <v>#REF!</v>
      </c>
      <c r="CW90" t="e">
        <f>AND(#REF!,"FpQCmCt9HGQ=")</f>
        <v>#REF!</v>
      </c>
      <c r="CX90" t="e">
        <f>AND(#REF!,"FpQCmCt9HGU=")</f>
        <v>#REF!</v>
      </c>
      <c r="CY90" t="e">
        <f>AND(#REF!,"FpQCmCt9HGY=")</f>
        <v>#REF!</v>
      </c>
      <c r="CZ90" t="e">
        <f>AND(#REF!,"FpQCmCt9HGc=")</f>
        <v>#REF!</v>
      </c>
      <c r="DA90" t="e">
        <f>AND(#REF!,"FpQCmCt9HGg=")</f>
        <v>#REF!</v>
      </c>
      <c r="DB90" t="e">
        <f>AND(#REF!,"FpQCmCt9HGk=")</f>
        <v>#REF!</v>
      </c>
      <c r="DC90" t="e">
        <f>AND(#REF!,"FpQCmCt9HGo=")</f>
        <v>#REF!</v>
      </c>
      <c r="DD90" t="e">
        <f>AND(#REF!,"FpQCmCt9HGs=")</f>
        <v>#REF!</v>
      </c>
      <c r="DE90" t="e">
        <f>AND(#REF!,"FpQCmCt9HGw=")</f>
        <v>#REF!</v>
      </c>
      <c r="DF90" t="e">
        <f>AND(#REF!,"FpQCmCt9HG0=")</f>
        <v>#REF!</v>
      </c>
      <c r="DG90" t="e">
        <f>AND(#REF!,"FpQCmCt9HG4=")</f>
        <v>#REF!</v>
      </c>
      <c r="DH90" t="e">
        <f>AND(#REF!,"FpQCmCt9HG8=")</f>
        <v>#REF!</v>
      </c>
      <c r="DI90" t="e">
        <f>AND(#REF!,"FpQCmCt9HHA=")</f>
        <v>#REF!</v>
      </c>
      <c r="DJ90" t="e">
        <f>AND(#REF!,"FpQCmCt9HHE=")</f>
        <v>#REF!</v>
      </c>
      <c r="DK90" t="e">
        <f>AND(#REF!,"FpQCmCt9HHI=")</f>
        <v>#REF!</v>
      </c>
      <c r="DL90" t="e">
        <f>AND(#REF!,"FpQCmCt9HHM=")</f>
        <v>#REF!</v>
      </c>
      <c r="DM90" t="e">
        <f>AND(#REF!,"FpQCmCt9HHQ=")</f>
        <v>#REF!</v>
      </c>
      <c r="DN90" t="e">
        <f>AND(#REF!,"FpQCmCt9HHU=")</f>
        <v>#REF!</v>
      </c>
      <c r="DO90" t="e">
        <f>AND(#REF!,"FpQCmCt9HHY=")</f>
        <v>#REF!</v>
      </c>
      <c r="DP90" t="e">
        <f>AND(#REF!,"FpQCmCt9HHc=")</f>
        <v>#REF!</v>
      </c>
      <c r="DQ90" t="e">
        <f>AND(#REF!,"FpQCmCt9HHg=")</f>
        <v>#REF!</v>
      </c>
      <c r="DR90" t="e">
        <f>AND(#REF!,"FpQCmCt9HHk=")</f>
        <v>#REF!</v>
      </c>
      <c r="DS90" t="e">
        <f>AND(#REF!,"FpQCmCt9HHo=")</f>
        <v>#REF!</v>
      </c>
      <c r="DT90" t="e">
        <f>AND(#REF!,"FpQCmCt9HHs=")</f>
        <v>#REF!</v>
      </c>
      <c r="DU90" t="e">
        <f>AND(#REF!,"FpQCmCt9HHw=")</f>
        <v>#REF!</v>
      </c>
      <c r="DV90" t="e">
        <f>AND(#REF!,"FpQCmCt9HH0=")</f>
        <v>#REF!</v>
      </c>
      <c r="DW90" t="e">
        <f>AND(#REF!,"FpQCmCt9HH4=")</f>
        <v>#REF!</v>
      </c>
      <c r="DX90" t="e">
        <f>AND(#REF!,"FpQCmCt9HH8=")</f>
        <v>#REF!</v>
      </c>
      <c r="DY90" t="e">
        <f>AND(#REF!,"FpQCmCt9HIA=")</f>
        <v>#REF!</v>
      </c>
      <c r="DZ90" t="e">
        <f>AND(#REF!,"FpQCmCt9HIE=")</f>
        <v>#REF!</v>
      </c>
      <c r="EA90" t="e">
        <f>AND(#REF!,"FpQCmCt9HII=")</f>
        <v>#REF!</v>
      </c>
      <c r="EB90" t="e">
        <f>AND(#REF!,"FpQCmCt9HIM=")</f>
        <v>#REF!</v>
      </c>
      <c r="EC90" t="e">
        <f>AND(#REF!,"FpQCmCt9HIQ=")</f>
        <v>#REF!</v>
      </c>
      <c r="ED90" t="e">
        <f>AND(#REF!,"FpQCmCt9HIU=")</f>
        <v>#REF!</v>
      </c>
      <c r="EE90" t="e">
        <f>AND(#REF!,"FpQCmCt9HIY=")</f>
        <v>#REF!</v>
      </c>
      <c r="EF90" t="e">
        <f>AND(#REF!,"FpQCmCt9HIc=")</f>
        <v>#REF!</v>
      </c>
      <c r="EG90" t="e">
        <f>AND(#REF!,"FpQCmCt9HIg=")</f>
        <v>#REF!</v>
      </c>
      <c r="EH90" t="e">
        <f>AND(#REF!,"FpQCmCt9HIk=")</f>
        <v>#REF!</v>
      </c>
      <c r="EI90" t="e">
        <f>AND(#REF!,"FpQCmCt9HIo=")</f>
        <v>#REF!</v>
      </c>
      <c r="EJ90" t="e">
        <f>AND(#REF!,"FpQCmCt9HIs=")</f>
        <v>#REF!</v>
      </c>
      <c r="EK90" t="e">
        <f>AND(#REF!,"FpQCmCt9HIw=")</f>
        <v>#REF!</v>
      </c>
      <c r="EL90" t="e">
        <f>AND(#REF!,"FpQCmCt9HI0=")</f>
        <v>#REF!</v>
      </c>
      <c r="EM90" t="e">
        <f>AND(#REF!,"FpQCmCt9HI4=")</f>
        <v>#REF!</v>
      </c>
      <c r="EN90" t="e">
        <f>AND(#REF!,"FpQCmCt9HI8=")</f>
        <v>#REF!</v>
      </c>
      <c r="EO90" t="e">
        <f>AND(#REF!,"FpQCmCt9HJA=")</f>
        <v>#REF!</v>
      </c>
      <c r="EP90" t="e">
        <f>AND(#REF!,"FpQCmCt9HJE=")</f>
        <v>#REF!</v>
      </c>
      <c r="EQ90" t="e">
        <f>AND(#REF!,"FpQCmCt9HJI=")</f>
        <v>#REF!</v>
      </c>
      <c r="ER90" t="e">
        <f>AND(#REF!,"FpQCmCt9HJM=")</f>
        <v>#REF!</v>
      </c>
      <c r="ES90" t="e">
        <f>AND(#REF!,"FpQCmCt9HJQ=")</f>
        <v>#REF!</v>
      </c>
      <c r="ET90" t="e">
        <f>AND(#REF!,"FpQCmCt9HJU=")</f>
        <v>#REF!</v>
      </c>
      <c r="EU90" t="e">
        <f>AND(#REF!,"FpQCmCt9HJY=")</f>
        <v>#REF!</v>
      </c>
      <c r="EV90" t="e">
        <f>AND(#REF!,"FpQCmCt9HJc=")</f>
        <v>#REF!</v>
      </c>
      <c r="EW90" t="e">
        <f>AND(#REF!,"FpQCmCt9HJg=")</f>
        <v>#REF!</v>
      </c>
      <c r="EX90" t="e">
        <f>AND(#REF!,"FpQCmCt9HJk=")</f>
        <v>#REF!</v>
      </c>
      <c r="EY90" t="e">
        <f>AND(#REF!,"FpQCmCt9HJo=")</f>
        <v>#REF!</v>
      </c>
      <c r="EZ90" t="e">
        <f>AND(#REF!,"FpQCmCt9HJs=")</f>
        <v>#REF!</v>
      </c>
      <c r="FA90" t="e">
        <f>AND(#REF!,"FpQCmCt9HJw=")</f>
        <v>#REF!</v>
      </c>
      <c r="FB90" t="e">
        <f>AND(#REF!,"FpQCmCt9HJ0=")</f>
        <v>#REF!</v>
      </c>
      <c r="FC90" t="e">
        <f>AND(#REF!,"FpQCmCt9HJ4=")</f>
        <v>#REF!</v>
      </c>
      <c r="FD90" t="e">
        <f>AND(#REF!,"FpQCmCt9HJ8=")</f>
        <v>#REF!</v>
      </c>
      <c r="FE90" t="e">
        <f>AND(#REF!,"FpQCmCt9HKA=")</f>
        <v>#REF!</v>
      </c>
      <c r="FF90" t="e">
        <f>AND(#REF!,"FpQCmCt9HKE=")</f>
        <v>#REF!</v>
      </c>
      <c r="FG90" t="e">
        <f>AND(#REF!,"FpQCmCt9HKI=")</f>
        <v>#REF!</v>
      </c>
      <c r="FH90" t="e">
        <f>AND(#REF!,"FpQCmCt9HKM=")</f>
        <v>#REF!</v>
      </c>
      <c r="FI90" t="e">
        <f>AND(#REF!,"FpQCmCt9HKQ=")</f>
        <v>#REF!</v>
      </c>
      <c r="FJ90" t="e">
        <f>AND(#REF!,"FpQCmCt9HKU=")</f>
        <v>#REF!</v>
      </c>
      <c r="FK90" t="e">
        <f>AND(#REF!,"FpQCmCt9HKY=")</f>
        <v>#REF!</v>
      </c>
      <c r="FL90" t="e">
        <f>AND(#REF!,"FpQCmCt9HKc=")</f>
        <v>#REF!</v>
      </c>
      <c r="FM90" t="e">
        <f>AND(#REF!,"FpQCmCt9HKg=")</f>
        <v>#REF!</v>
      </c>
      <c r="FN90" t="e">
        <f>AND(#REF!,"FpQCmCt9HKk=")</f>
        <v>#REF!</v>
      </c>
      <c r="FO90" t="e">
        <f>AND(#REF!,"FpQCmCt9HKo=")</f>
        <v>#REF!</v>
      </c>
      <c r="FP90" t="e">
        <f>AND(#REF!,"FpQCmCt9HKs=")</f>
        <v>#REF!</v>
      </c>
      <c r="FQ90" t="e">
        <f>AND(#REF!,"FpQCmCt9HKw=")</f>
        <v>#REF!</v>
      </c>
      <c r="FR90" t="e">
        <f>AND(#REF!,"FpQCmCt9HK0=")</f>
        <v>#REF!</v>
      </c>
      <c r="FS90" t="e">
        <f>AND(#REF!,"FpQCmCt9HK4=")</f>
        <v>#REF!</v>
      </c>
      <c r="FT90" t="e">
        <f>AND(#REF!,"FpQCmCt9HK8=")</f>
        <v>#REF!</v>
      </c>
      <c r="FU90" t="e">
        <f>AND(#REF!,"FpQCmCt9HLA=")</f>
        <v>#REF!</v>
      </c>
      <c r="FV90" t="e">
        <f>AND(#REF!,"FpQCmCt9HLE=")</f>
        <v>#REF!</v>
      </c>
      <c r="FW90" t="e">
        <f>AND(#REF!,"FpQCmCt9HLI=")</f>
        <v>#REF!</v>
      </c>
      <c r="FX90" t="e">
        <f>AND(#REF!,"FpQCmCt9HLM=")</f>
        <v>#REF!</v>
      </c>
      <c r="FY90" t="e">
        <f>AND(#REF!,"FpQCmCt9HLQ=")</f>
        <v>#REF!</v>
      </c>
      <c r="FZ90" t="e">
        <f>AND(#REF!,"FpQCmCt9HLU=")</f>
        <v>#REF!</v>
      </c>
      <c r="GA90" t="e">
        <f>AND(#REF!,"FpQCmCt9HLY=")</f>
        <v>#REF!</v>
      </c>
      <c r="GB90" t="e">
        <f>AND(#REF!,"FpQCmCt9HLc=")</f>
        <v>#REF!</v>
      </c>
      <c r="GC90" t="e">
        <f>AND(#REF!,"FpQCmCt9HLg=")</f>
        <v>#REF!</v>
      </c>
      <c r="GD90" t="e">
        <f>AND(#REF!,"FpQCmCt9HLk=")</f>
        <v>#REF!</v>
      </c>
      <c r="GE90" t="e">
        <f>AND(#REF!,"FpQCmCt9HLo=")</f>
        <v>#REF!</v>
      </c>
      <c r="GF90" t="e">
        <f>AND(#REF!,"FpQCmCt9HLs=")</f>
        <v>#REF!</v>
      </c>
      <c r="GG90" t="e">
        <f>AND(#REF!,"FpQCmCt9HLw=")</f>
        <v>#REF!</v>
      </c>
      <c r="GH90" t="e">
        <f>AND(#REF!,"FpQCmCt9HL0=")</f>
        <v>#REF!</v>
      </c>
      <c r="GI90" t="e">
        <f>AND(#REF!,"FpQCmCt9HL4=")</f>
        <v>#REF!</v>
      </c>
      <c r="GJ90" t="e">
        <f>AND(#REF!,"FpQCmCt9HL8=")</f>
        <v>#REF!</v>
      </c>
      <c r="GK90" t="e">
        <f>AND(#REF!,"FpQCmCt9HMA=")</f>
        <v>#REF!</v>
      </c>
      <c r="GL90" t="e">
        <f>AND(#REF!,"FpQCmCt9HME=")</f>
        <v>#REF!</v>
      </c>
      <c r="GM90" t="e">
        <f>AND(#REF!,"FpQCmCt9HMI=")</f>
        <v>#REF!</v>
      </c>
      <c r="GN90" t="e">
        <f>AND(#REF!,"FpQCmCt9HMM=")</f>
        <v>#REF!</v>
      </c>
      <c r="GO90" t="e">
        <f>AND(#REF!,"FpQCmCt9HMQ=")</f>
        <v>#REF!</v>
      </c>
      <c r="GP90" t="e">
        <f>AND(#REF!,"FpQCmCt9HMU=")</f>
        <v>#REF!</v>
      </c>
      <c r="GQ90" t="e">
        <f>AND(#REF!,"FpQCmCt9HMY=")</f>
        <v>#REF!</v>
      </c>
      <c r="GR90" t="e">
        <f>AND(#REF!,"FpQCmCt9HMc=")</f>
        <v>#REF!</v>
      </c>
      <c r="GS90" t="e">
        <f>AND(#REF!,"FpQCmCt9HMg=")</f>
        <v>#REF!</v>
      </c>
      <c r="GT90" t="e">
        <f>AND(#REF!,"FpQCmCt9HMk=")</f>
        <v>#REF!</v>
      </c>
      <c r="GU90" t="e">
        <f>AND(#REF!,"FpQCmCt9HMo=")</f>
        <v>#REF!</v>
      </c>
      <c r="GV90" t="e">
        <f>AND(#REF!,"FpQCmCt9HMs=")</f>
        <v>#REF!</v>
      </c>
      <c r="GW90" t="e">
        <f>AND(#REF!,"FpQCmCt9HMw=")</f>
        <v>#REF!</v>
      </c>
      <c r="GX90" t="e">
        <f>AND(#REF!,"FpQCmCt9HM0=")</f>
        <v>#REF!</v>
      </c>
      <c r="GY90" t="e">
        <f>AND(#REF!,"FpQCmCt9HM4=")</f>
        <v>#REF!</v>
      </c>
      <c r="GZ90" t="e">
        <f>AND(#REF!,"FpQCmCt9HM8=")</f>
        <v>#REF!</v>
      </c>
      <c r="HA90" t="e">
        <f>AND(#REF!,"FpQCmCt9HNA=")</f>
        <v>#REF!</v>
      </c>
      <c r="HB90" t="e">
        <f>AND(#REF!,"FpQCmCt9HNE=")</f>
        <v>#REF!</v>
      </c>
      <c r="HC90" t="e">
        <f>AND(#REF!,"FpQCmCt9HNI=")</f>
        <v>#REF!</v>
      </c>
      <c r="HD90" t="e">
        <f>AND(#REF!,"FpQCmCt9HNM=")</f>
        <v>#REF!</v>
      </c>
      <c r="HE90" t="e">
        <f>AND(#REF!,"FpQCmCt9HNQ=")</f>
        <v>#REF!</v>
      </c>
      <c r="HF90" t="e">
        <f>AND(#REF!,"FpQCmCt9HNU=")</f>
        <v>#REF!</v>
      </c>
      <c r="HG90" t="e">
        <f>AND(#REF!,"FpQCmCt9HNY=")</f>
        <v>#REF!</v>
      </c>
      <c r="HH90" t="e">
        <f>AND(#REF!,"FpQCmCt9HNc=")</f>
        <v>#REF!</v>
      </c>
      <c r="HI90" t="e">
        <f>AND(#REF!,"FpQCmCt9HNg=")</f>
        <v>#REF!</v>
      </c>
      <c r="HJ90" t="e">
        <f>AND(#REF!,"FpQCmCt9HNk=")</f>
        <v>#REF!</v>
      </c>
      <c r="HK90" t="e">
        <f>AND(#REF!,"FpQCmCt9HNo=")</f>
        <v>#REF!</v>
      </c>
      <c r="HL90" t="e">
        <f>AND(#REF!,"FpQCmCt9HNs=")</f>
        <v>#REF!</v>
      </c>
      <c r="HM90" t="e">
        <f>AND(#REF!,"FpQCmCt9HNw=")</f>
        <v>#REF!</v>
      </c>
      <c r="HN90" t="e">
        <f>AND(#REF!,"FpQCmCt9HN0=")</f>
        <v>#REF!</v>
      </c>
      <c r="HO90" t="e">
        <f>AND(#REF!,"FpQCmCt9HN4=")</f>
        <v>#REF!</v>
      </c>
      <c r="HP90" t="e">
        <f>AND(#REF!,"FpQCmCt9HN8=")</f>
        <v>#REF!</v>
      </c>
      <c r="HQ90" t="e">
        <f>AND(#REF!,"FpQCmCt9HOA=")</f>
        <v>#REF!</v>
      </c>
      <c r="HR90" t="e">
        <f>AND(#REF!,"FpQCmCt9HOE=")</f>
        <v>#REF!</v>
      </c>
      <c r="HS90" t="e">
        <f>AND(#REF!,"FpQCmCt9HOI=")</f>
        <v>#REF!</v>
      </c>
      <c r="HT90" t="e">
        <f>AND(#REF!,"FpQCmCt9HOM=")</f>
        <v>#REF!</v>
      </c>
      <c r="HU90" t="e">
        <f>AND(#REF!,"FpQCmCt9HOQ=")</f>
        <v>#REF!</v>
      </c>
      <c r="HV90" t="e">
        <f>AND(#REF!,"FpQCmCt9HOU=")</f>
        <v>#REF!</v>
      </c>
      <c r="HW90" t="e">
        <f>AND(#REF!,"FpQCmCt9HOY=")</f>
        <v>#REF!</v>
      </c>
      <c r="HX90" t="e">
        <f>AND(#REF!,"FpQCmCt9HOc=")</f>
        <v>#REF!</v>
      </c>
      <c r="HY90" t="e">
        <f>AND(#REF!,"FpQCmCt9HOg=")</f>
        <v>#REF!</v>
      </c>
      <c r="HZ90" t="e">
        <f>AND(#REF!,"FpQCmCt9HOk=")</f>
        <v>#REF!</v>
      </c>
      <c r="IA90" t="e">
        <f>AND(#REF!,"FpQCmCt9HOo=")</f>
        <v>#REF!</v>
      </c>
      <c r="IB90" t="e">
        <f>AND(#REF!,"FpQCmCt9HOs=")</f>
        <v>#REF!</v>
      </c>
      <c r="IC90" t="e">
        <f>AND(#REF!,"FpQCmCt9HOw=")</f>
        <v>#REF!</v>
      </c>
      <c r="ID90" t="e">
        <f>AND(#REF!,"FpQCmCt9HO0=")</f>
        <v>#REF!</v>
      </c>
      <c r="IE90" t="e">
        <f>AND(#REF!,"FpQCmCt9HO4=")</f>
        <v>#REF!</v>
      </c>
      <c r="IF90" t="e">
        <f>AND(#REF!,"FpQCmCt9HO8=")</f>
        <v>#REF!</v>
      </c>
      <c r="IG90" t="e">
        <f>AND(#REF!,"FpQCmCt9HPA=")</f>
        <v>#REF!</v>
      </c>
      <c r="IH90" t="e">
        <f>AND(#REF!,"FpQCmCt9HPE=")</f>
        <v>#REF!</v>
      </c>
      <c r="II90" t="e">
        <f>AND(#REF!,"FpQCmCt9HPI=")</f>
        <v>#REF!</v>
      </c>
      <c r="IJ90" t="e">
        <f>AND(#REF!,"FpQCmCt9HPM=")</f>
        <v>#REF!</v>
      </c>
      <c r="IK90" t="e">
        <f>AND(#REF!,"FpQCmCt9HPQ=")</f>
        <v>#REF!</v>
      </c>
      <c r="IL90" t="e">
        <f>AND(#REF!,"FpQCmCt9HPU=")</f>
        <v>#REF!</v>
      </c>
      <c r="IM90" t="e">
        <f>IF(#REF!,"FpQCmCt9HPY=",0)</f>
        <v>#REF!</v>
      </c>
      <c r="IN90" t="e">
        <f>AND(#REF!,"FpQCmCt9HPc=")</f>
        <v>#REF!</v>
      </c>
      <c r="IO90" t="e">
        <f>AND(#REF!,"FpQCmCt9HPg=")</f>
        <v>#REF!</v>
      </c>
      <c r="IP90" t="e">
        <f>AND(#REF!,"FpQCmCt9HPk=")</f>
        <v>#REF!</v>
      </c>
      <c r="IQ90" t="e">
        <f>AND(#REF!,"FpQCmCt9HPo=")</f>
        <v>#REF!</v>
      </c>
      <c r="IR90" t="e">
        <f>AND(#REF!,"FpQCmCt9HPs=")</f>
        <v>#REF!</v>
      </c>
      <c r="IS90" t="e">
        <f>AND(#REF!,"FpQCmCt9HPw=")</f>
        <v>#REF!</v>
      </c>
      <c r="IT90" t="e">
        <f>AND(#REF!,"FpQCmCt9HP0=")</f>
        <v>#REF!</v>
      </c>
      <c r="IU90" t="e">
        <f>AND(#REF!,"FpQCmCt9HP4=")</f>
        <v>#REF!</v>
      </c>
      <c r="IV90" t="e">
        <f>AND(#REF!,"FpQCmCt9HP8=")</f>
        <v>#REF!</v>
      </c>
    </row>
    <row r="91" spans="1:256" x14ac:dyDescent="0.2">
      <c r="A91" t="e">
        <f>AND(#REF!,"Njx2VzSTlwA=")</f>
        <v>#REF!</v>
      </c>
      <c r="B91" t="e">
        <f>AND(#REF!,"Njx2VzSTlwE=")</f>
        <v>#REF!</v>
      </c>
      <c r="C91" t="e">
        <f>AND(#REF!,"Njx2VzSTlwI=")</f>
        <v>#REF!</v>
      </c>
      <c r="D91" t="e">
        <f>AND(#REF!,"Njx2VzSTlwM=")</f>
        <v>#REF!</v>
      </c>
      <c r="E91" t="e">
        <f>AND(#REF!,"Njx2VzSTlwQ=")</f>
        <v>#REF!</v>
      </c>
      <c r="F91" t="e">
        <f>AND(#REF!,"Njx2VzSTlwU=")</f>
        <v>#REF!</v>
      </c>
      <c r="G91" t="e">
        <f>AND(#REF!,"Njx2VzSTlwY=")</f>
        <v>#REF!</v>
      </c>
      <c r="H91" t="e">
        <f>AND(#REF!,"Njx2VzSTlwc=")</f>
        <v>#REF!</v>
      </c>
      <c r="I91" t="e">
        <f>AND(#REF!,"Njx2VzSTlwg=")</f>
        <v>#REF!</v>
      </c>
      <c r="J91" t="e">
        <f>AND(#REF!,"Njx2VzSTlwk=")</f>
        <v>#REF!</v>
      </c>
      <c r="K91" t="e">
        <f>AND(#REF!,"Njx2VzSTlwo=")</f>
        <v>#REF!</v>
      </c>
      <c r="L91" t="e">
        <f>AND(#REF!,"Njx2VzSTlws=")</f>
        <v>#REF!</v>
      </c>
      <c r="M91" t="e">
        <f>AND(#REF!,"Njx2VzSTlww=")</f>
        <v>#REF!</v>
      </c>
      <c r="N91" t="e">
        <f>AND(#REF!,"Njx2VzSTlw0=")</f>
        <v>#REF!</v>
      </c>
      <c r="O91" t="e">
        <f>AND(#REF!,"Njx2VzSTlw4=")</f>
        <v>#REF!</v>
      </c>
      <c r="P91" t="e">
        <f>AND(#REF!,"Njx2VzSTlw8=")</f>
        <v>#REF!</v>
      </c>
      <c r="Q91" t="e">
        <f>AND(#REF!,"Njx2VzSTlxA=")</f>
        <v>#REF!</v>
      </c>
      <c r="R91" t="e">
        <f>AND(#REF!,"Njx2VzSTlxE=")</f>
        <v>#REF!</v>
      </c>
      <c r="S91" t="e">
        <f>AND(#REF!,"Njx2VzSTlxI=")</f>
        <v>#REF!</v>
      </c>
      <c r="T91" t="e">
        <f>AND(#REF!,"Njx2VzSTlxM=")</f>
        <v>#REF!</v>
      </c>
      <c r="U91" t="e">
        <f>AND(#REF!,"Njx2VzSTlxQ=")</f>
        <v>#REF!</v>
      </c>
      <c r="V91" t="e">
        <f>AND(#REF!,"Njx2VzSTlxU=")</f>
        <v>#REF!</v>
      </c>
      <c r="W91" t="e">
        <f>AND(#REF!,"Njx2VzSTlxY=")</f>
        <v>#REF!</v>
      </c>
      <c r="X91" t="e">
        <f>AND(#REF!,"Njx2VzSTlxc=")</f>
        <v>#REF!</v>
      </c>
      <c r="Y91" t="e">
        <f>AND(#REF!,"Njx2VzSTlxg=")</f>
        <v>#REF!</v>
      </c>
      <c r="Z91" t="e">
        <f>AND(#REF!,"Njx2VzSTlxk=")</f>
        <v>#REF!</v>
      </c>
      <c r="AA91" t="e">
        <f>AND(#REF!,"Njx2VzSTlxo=")</f>
        <v>#REF!</v>
      </c>
      <c r="AB91" t="e">
        <f>AND(#REF!,"Njx2VzSTlxs=")</f>
        <v>#REF!</v>
      </c>
      <c r="AC91" t="e">
        <f>AND(#REF!,"Njx2VzSTlxw=")</f>
        <v>#REF!</v>
      </c>
      <c r="AD91" t="e">
        <f>AND(#REF!,"Njx2VzSTlx0=")</f>
        <v>#REF!</v>
      </c>
      <c r="AE91" t="e">
        <f>AND(#REF!,"Njx2VzSTlx4=")</f>
        <v>#REF!</v>
      </c>
      <c r="AF91" t="e">
        <f>AND(#REF!,"Njx2VzSTlx8=")</f>
        <v>#REF!</v>
      </c>
      <c r="AG91" t="e">
        <f>AND(#REF!,"Njx2VzSTlyA=")</f>
        <v>#REF!</v>
      </c>
      <c r="AH91" t="e">
        <f>AND(#REF!,"Njx2VzSTlyE=")</f>
        <v>#REF!</v>
      </c>
      <c r="AI91" t="e">
        <f>AND(#REF!,"Njx2VzSTlyI=")</f>
        <v>#REF!</v>
      </c>
      <c r="AJ91" t="e">
        <f>AND(#REF!,"Njx2VzSTlyM=")</f>
        <v>#REF!</v>
      </c>
      <c r="AK91" t="e">
        <f>AND(#REF!,"Njx2VzSTlyQ=")</f>
        <v>#REF!</v>
      </c>
      <c r="AL91" t="e">
        <f>AND(#REF!,"Njx2VzSTlyU=")</f>
        <v>#REF!</v>
      </c>
      <c r="AM91" t="e">
        <f>AND(#REF!,"Njx2VzSTlyY=")</f>
        <v>#REF!</v>
      </c>
      <c r="AN91" t="e">
        <f>AND(#REF!,"Njx2VzSTlyc=")</f>
        <v>#REF!</v>
      </c>
      <c r="AO91" t="e">
        <f>AND(#REF!,"Njx2VzSTlyg=")</f>
        <v>#REF!</v>
      </c>
      <c r="AP91" t="e">
        <f>AND(#REF!,"Njx2VzSTlyk=")</f>
        <v>#REF!</v>
      </c>
      <c r="AQ91" t="e">
        <f>AND(#REF!,"Njx2VzSTlyo=")</f>
        <v>#REF!</v>
      </c>
      <c r="AR91" t="e">
        <f>AND(#REF!,"Njx2VzSTlys=")</f>
        <v>#REF!</v>
      </c>
      <c r="AS91" t="e">
        <f>AND(#REF!,"Njx2VzSTlyw=")</f>
        <v>#REF!</v>
      </c>
      <c r="AT91" t="e">
        <f>AND(#REF!,"Njx2VzSTly0=")</f>
        <v>#REF!</v>
      </c>
      <c r="AU91" t="e">
        <f>AND(#REF!,"Njx2VzSTly4=")</f>
        <v>#REF!</v>
      </c>
      <c r="AV91" t="e">
        <f>AND(#REF!,"Njx2VzSTly8=")</f>
        <v>#REF!</v>
      </c>
      <c r="AW91" t="e">
        <f>AND(#REF!,"Njx2VzSTlzA=")</f>
        <v>#REF!</v>
      </c>
      <c r="AX91" t="e">
        <f>AND(#REF!,"Njx2VzSTlzE=")</f>
        <v>#REF!</v>
      </c>
      <c r="AY91" t="e">
        <f>AND(#REF!,"Njx2VzSTlzI=")</f>
        <v>#REF!</v>
      </c>
      <c r="AZ91" t="e">
        <f>AND(#REF!,"Njx2VzSTlzM=")</f>
        <v>#REF!</v>
      </c>
      <c r="BA91" t="e">
        <f>AND(#REF!,"Njx2VzSTlzQ=")</f>
        <v>#REF!</v>
      </c>
      <c r="BB91" t="e">
        <f>AND(#REF!,"Njx2VzSTlzU=")</f>
        <v>#REF!</v>
      </c>
      <c r="BC91" t="e">
        <f>AND(#REF!,"Njx2VzSTlzY=")</f>
        <v>#REF!</v>
      </c>
      <c r="BD91" t="e">
        <f>AND(#REF!,"Njx2VzSTlzc=")</f>
        <v>#REF!</v>
      </c>
      <c r="BE91" t="e">
        <f>AND(#REF!,"Njx2VzSTlzg=")</f>
        <v>#REF!</v>
      </c>
      <c r="BF91" t="e">
        <f>AND(#REF!,"Njx2VzSTlzk=")</f>
        <v>#REF!</v>
      </c>
      <c r="BG91" t="e">
        <f>AND(#REF!,"Njx2VzSTlzo=")</f>
        <v>#REF!</v>
      </c>
      <c r="BH91" t="e">
        <f>AND(#REF!,"Njx2VzSTlzs=")</f>
        <v>#REF!</v>
      </c>
      <c r="BI91" t="e">
        <f>AND(#REF!,"Njx2VzSTlzw=")</f>
        <v>#REF!</v>
      </c>
      <c r="BJ91" t="e">
        <f>AND(#REF!,"Njx2VzSTlz0=")</f>
        <v>#REF!</v>
      </c>
      <c r="BK91" t="e">
        <f>AND(#REF!,"Njx2VzSTlz4=")</f>
        <v>#REF!</v>
      </c>
      <c r="BL91" t="e">
        <f>AND(#REF!,"Njx2VzSTlz8=")</f>
        <v>#REF!</v>
      </c>
      <c r="BM91" t="e">
        <f>AND(#REF!,"Njx2VzSTl0A=")</f>
        <v>#REF!</v>
      </c>
      <c r="BN91" t="e">
        <f>AND(#REF!,"Njx2VzSTl0E=")</f>
        <v>#REF!</v>
      </c>
      <c r="BO91" t="e">
        <f>AND(#REF!,"Njx2VzSTl0I=")</f>
        <v>#REF!</v>
      </c>
      <c r="BP91" t="e">
        <f>AND(#REF!,"Njx2VzSTl0M=")</f>
        <v>#REF!</v>
      </c>
      <c r="BQ91" t="e">
        <f>AND(#REF!,"Njx2VzSTl0Q=")</f>
        <v>#REF!</v>
      </c>
      <c r="BR91" t="e">
        <f>AND(#REF!,"Njx2VzSTl0U=")</f>
        <v>#REF!</v>
      </c>
      <c r="BS91" t="e">
        <f>AND(#REF!,"Njx2VzSTl0Y=")</f>
        <v>#REF!</v>
      </c>
      <c r="BT91" t="e">
        <f>AND(#REF!,"Njx2VzSTl0c=")</f>
        <v>#REF!</v>
      </c>
      <c r="BU91" t="e">
        <f>AND(#REF!,"Njx2VzSTl0g=")</f>
        <v>#REF!</v>
      </c>
      <c r="BV91" t="e">
        <f>AND(#REF!,"Njx2VzSTl0k=")</f>
        <v>#REF!</v>
      </c>
      <c r="BW91" t="e">
        <f>AND(#REF!,"Njx2VzSTl0o=")</f>
        <v>#REF!</v>
      </c>
      <c r="BX91" t="e">
        <f>AND(#REF!,"Njx2VzSTl0s=")</f>
        <v>#REF!</v>
      </c>
      <c r="BY91" t="e">
        <f>AND(#REF!,"Njx2VzSTl0w=")</f>
        <v>#REF!</v>
      </c>
      <c r="BZ91" t="e">
        <f>AND(#REF!,"Njx2VzSTl00=")</f>
        <v>#REF!</v>
      </c>
      <c r="CA91" t="e">
        <f>AND(#REF!,"Njx2VzSTl04=")</f>
        <v>#REF!</v>
      </c>
      <c r="CB91" t="e">
        <f>AND(#REF!,"Njx2VzSTl08=")</f>
        <v>#REF!</v>
      </c>
      <c r="CC91" t="e">
        <f>AND(#REF!,"Njx2VzSTl1A=")</f>
        <v>#REF!</v>
      </c>
      <c r="CD91" t="e">
        <f>AND(#REF!,"Njx2VzSTl1E=")</f>
        <v>#REF!</v>
      </c>
      <c r="CE91" t="e">
        <f>AND(#REF!,"Njx2VzSTl1I=")</f>
        <v>#REF!</v>
      </c>
      <c r="CF91" t="e">
        <f>AND(#REF!,"Njx2VzSTl1M=")</f>
        <v>#REF!</v>
      </c>
      <c r="CG91" t="e">
        <f>AND(#REF!,"Njx2VzSTl1Q=")</f>
        <v>#REF!</v>
      </c>
      <c r="CH91" t="e">
        <f>AND(#REF!,"Njx2VzSTl1U=")</f>
        <v>#REF!</v>
      </c>
      <c r="CI91" t="e">
        <f>AND(#REF!,"Njx2VzSTl1Y=")</f>
        <v>#REF!</v>
      </c>
      <c r="CJ91" t="e">
        <f>AND(#REF!,"Njx2VzSTl1c=")</f>
        <v>#REF!</v>
      </c>
      <c r="CK91" t="e">
        <f>AND(#REF!,"Njx2VzSTl1g=")</f>
        <v>#REF!</v>
      </c>
      <c r="CL91" t="e">
        <f>AND(#REF!,"Njx2VzSTl1k=")</f>
        <v>#REF!</v>
      </c>
      <c r="CM91" t="e">
        <f>AND(#REF!,"Njx2VzSTl1o=")</f>
        <v>#REF!</v>
      </c>
      <c r="CN91" t="e">
        <f>AND(#REF!,"Njx2VzSTl1s=")</f>
        <v>#REF!</v>
      </c>
      <c r="CO91" t="e">
        <f>AND(#REF!,"Njx2VzSTl1w=")</f>
        <v>#REF!</v>
      </c>
      <c r="CP91" t="e">
        <f>AND(#REF!,"Njx2VzSTl10=")</f>
        <v>#REF!</v>
      </c>
      <c r="CQ91" t="e">
        <f>AND(#REF!,"Njx2VzSTl14=")</f>
        <v>#REF!</v>
      </c>
      <c r="CR91" t="e">
        <f>AND(#REF!,"Njx2VzSTl18=")</f>
        <v>#REF!</v>
      </c>
      <c r="CS91" t="e">
        <f>AND(#REF!,"Njx2VzSTl2A=")</f>
        <v>#REF!</v>
      </c>
      <c r="CT91" t="e">
        <f>AND(#REF!,"Njx2VzSTl2E=")</f>
        <v>#REF!</v>
      </c>
      <c r="CU91" t="e">
        <f>AND(#REF!,"Njx2VzSTl2I=")</f>
        <v>#REF!</v>
      </c>
      <c r="CV91" t="e">
        <f>AND(#REF!,"Njx2VzSTl2M=")</f>
        <v>#REF!</v>
      </c>
      <c r="CW91" t="e">
        <f>AND(#REF!,"Njx2VzSTl2Q=")</f>
        <v>#REF!</v>
      </c>
      <c r="CX91" t="e">
        <f>AND(#REF!,"Njx2VzSTl2U=")</f>
        <v>#REF!</v>
      </c>
      <c r="CY91" t="e">
        <f>AND(#REF!,"Njx2VzSTl2Y=")</f>
        <v>#REF!</v>
      </c>
      <c r="CZ91" t="e">
        <f>AND(#REF!,"Njx2VzSTl2c=")</f>
        <v>#REF!</v>
      </c>
      <c r="DA91" t="e">
        <f>AND(#REF!,"Njx2VzSTl2g=")</f>
        <v>#REF!</v>
      </c>
      <c r="DB91" t="e">
        <f>AND(#REF!,"Njx2VzSTl2k=")</f>
        <v>#REF!</v>
      </c>
      <c r="DC91" t="e">
        <f>AND(#REF!,"Njx2VzSTl2o=")</f>
        <v>#REF!</v>
      </c>
      <c r="DD91" t="e">
        <f>AND(#REF!,"Njx2VzSTl2s=")</f>
        <v>#REF!</v>
      </c>
      <c r="DE91" t="e">
        <f>AND(#REF!,"Njx2VzSTl2w=")</f>
        <v>#REF!</v>
      </c>
      <c r="DF91" t="e">
        <f>AND(#REF!,"Njx2VzSTl20=")</f>
        <v>#REF!</v>
      </c>
      <c r="DG91" t="e">
        <f>AND(#REF!,"Njx2VzSTl24=")</f>
        <v>#REF!</v>
      </c>
      <c r="DH91" t="e">
        <f>AND(#REF!,"Njx2VzSTl28=")</f>
        <v>#REF!</v>
      </c>
      <c r="DI91" t="e">
        <f>AND(#REF!,"Njx2VzSTl3A=")</f>
        <v>#REF!</v>
      </c>
      <c r="DJ91" t="e">
        <f>AND(#REF!,"Njx2VzSTl3E=")</f>
        <v>#REF!</v>
      </c>
      <c r="DK91" t="e">
        <f>AND(#REF!,"Njx2VzSTl3I=")</f>
        <v>#REF!</v>
      </c>
      <c r="DL91" t="e">
        <f>AND(#REF!,"Njx2VzSTl3M=")</f>
        <v>#REF!</v>
      </c>
      <c r="DM91" t="e">
        <f>AND(#REF!,"Njx2VzSTl3Q=")</f>
        <v>#REF!</v>
      </c>
      <c r="DN91" t="e">
        <f>AND(#REF!,"Njx2VzSTl3U=")</f>
        <v>#REF!</v>
      </c>
      <c r="DO91" t="e">
        <f>AND(#REF!,"Njx2VzSTl3Y=")</f>
        <v>#REF!</v>
      </c>
      <c r="DP91" t="e">
        <f>AND(#REF!,"Njx2VzSTl3c=")</f>
        <v>#REF!</v>
      </c>
      <c r="DQ91" t="e">
        <f>AND(#REF!,"Njx2VzSTl3g=")</f>
        <v>#REF!</v>
      </c>
      <c r="DR91" t="e">
        <f>AND(#REF!,"Njx2VzSTl3k=")</f>
        <v>#REF!</v>
      </c>
      <c r="DS91" t="e">
        <f>AND(#REF!,"Njx2VzSTl3o=")</f>
        <v>#REF!</v>
      </c>
      <c r="DT91" t="e">
        <f>AND(#REF!,"Njx2VzSTl3s=")</f>
        <v>#REF!</v>
      </c>
      <c r="DU91" t="e">
        <f>AND(#REF!,"Njx2VzSTl3w=")</f>
        <v>#REF!</v>
      </c>
      <c r="DV91" t="e">
        <f>AND(#REF!,"Njx2VzSTl30=")</f>
        <v>#REF!</v>
      </c>
      <c r="DW91" t="e">
        <f>AND(#REF!,"Njx2VzSTl34=")</f>
        <v>#REF!</v>
      </c>
      <c r="DX91" t="e">
        <f>AND(#REF!,"Njx2VzSTl38=")</f>
        <v>#REF!</v>
      </c>
      <c r="DY91" t="e">
        <f>AND(#REF!,"Njx2VzSTl4A=")</f>
        <v>#REF!</v>
      </c>
      <c r="DZ91" t="e">
        <f>AND(#REF!,"Njx2VzSTl4E=")</f>
        <v>#REF!</v>
      </c>
      <c r="EA91" t="e">
        <f>AND(#REF!,"Njx2VzSTl4I=")</f>
        <v>#REF!</v>
      </c>
      <c r="EB91" t="e">
        <f>AND(#REF!,"Njx2VzSTl4M=")</f>
        <v>#REF!</v>
      </c>
      <c r="EC91" t="e">
        <f>AND(#REF!,"Njx2VzSTl4Q=")</f>
        <v>#REF!</v>
      </c>
      <c r="ED91" t="e">
        <f>AND(#REF!,"Njx2VzSTl4U=")</f>
        <v>#REF!</v>
      </c>
      <c r="EE91" t="e">
        <f>AND(#REF!,"Njx2VzSTl4Y=")</f>
        <v>#REF!</v>
      </c>
      <c r="EF91" t="e">
        <f>AND(#REF!,"Njx2VzSTl4c=")</f>
        <v>#REF!</v>
      </c>
      <c r="EG91" t="e">
        <f>AND(#REF!,"Njx2VzSTl4g=")</f>
        <v>#REF!</v>
      </c>
      <c r="EH91" t="e">
        <f>AND(#REF!,"Njx2VzSTl4k=")</f>
        <v>#REF!</v>
      </c>
      <c r="EI91" t="e">
        <f>AND(#REF!,"Njx2VzSTl4o=")</f>
        <v>#REF!</v>
      </c>
      <c r="EJ91" t="e">
        <f>AND(#REF!,"Njx2VzSTl4s=")</f>
        <v>#REF!</v>
      </c>
      <c r="EK91" t="e">
        <f>AND(#REF!,"Njx2VzSTl4w=")</f>
        <v>#REF!</v>
      </c>
      <c r="EL91" t="e">
        <f>AND(#REF!,"Njx2VzSTl40=")</f>
        <v>#REF!</v>
      </c>
      <c r="EM91" t="e">
        <f>AND(#REF!,"Njx2VzSTl44=")</f>
        <v>#REF!</v>
      </c>
      <c r="EN91" t="e">
        <f>AND(#REF!,"Njx2VzSTl48=")</f>
        <v>#REF!</v>
      </c>
      <c r="EO91" t="e">
        <f>AND(#REF!,"Njx2VzSTl5A=")</f>
        <v>#REF!</v>
      </c>
      <c r="EP91" t="e">
        <f>AND(#REF!,"Njx2VzSTl5E=")</f>
        <v>#REF!</v>
      </c>
      <c r="EQ91" t="e">
        <f>AND(#REF!,"Njx2VzSTl5I=")</f>
        <v>#REF!</v>
      </c>
      <c r="ER91" t="e">
        <f>AND(#REF!,"Njx2VzSTl5M=")</f>
        <v>#REF!</v>
      </c>
      <c r="ES91" t="e">
        <f>AND(#REF!,"Njx2VzSTl5Q=")</f>
        <v>#REF!</v>
      </c>
      <c r="ET91" t="e">
        <f>AND(#REF!,"Njx2VzSTl5U=")</f>
        <v>#REF!</v>
      </c>
      <c r="EU91" t="e">
        <f>AND(#REF!,"Njx2VzSTl5Y=")</f>
        <v>#REF!</v>
      </c>
      <c r="EV91" t="e">
        <f>AND(#REF!,"Njx2VzSTl5c=")</f>
        <v>#REF!</v>
      </c>
      <c r="EW91" t="e">
        <f>AND(#REF!,"Njx2VzSTl5g=")</f>
        <v>#REF!</v>
      </c>
      <c r="EX91" t="e">
        <f>AND(#REF!,"Njx2VzSTl5k=")</f>
        <v>#REF!</v>
      </c>
      <c r="EY91" t="e">
        <f>AND(#REF!,"Njx2VzSTl5o=")</f>
        <v>#REF!</v>
      </c>
      <c r="EZ91" t="e">
        <f>AND(#REF!,"Njx2VzSTl5s=")</f>
        <v>#REF!</v>
      </c>
      <c r="FA91" t="e">
        <f>AND(#REF!,"Njx2VzSTl5w=")</f>
        <v>#REF!</v>
      </c>
      <c r="FB91" t="e">
        <f>AND(#REF!,"Njx2VzSTl50=")</f>
        <v>#REF!</v>
      </c>
      <c r="FC91" t="e">
        <f>AND(#REF!,"Njx2VzSTl54=")</f>
        <v>#REF!</v>
      </c>
      <c r="FD91" t="e">
        <f>AND(#REF!,"Njx2VzSTl58=")</f>
        <v>#REF!</v>
      </c>
      <c r="FE91" t="e">
        <f>AND(#REF!,"Njx2VzSTl6A=")</f>
        <v>#REF!</v>
      </c>
      <c r="FF91" t="e">
        <f>AND(#REF!,"Njx2VzSTl6E=")</f>
        <v>#REF!</v>
      </c>
      <c r="FG91" t="e">
        <f>AND(#REF!,"Njx2VzSTl6I=")</f>
        <v>#REF!</v>
      </c>
      <c r="FH91" t="e">
        <f>AND(#REF!,"Njx2VzSTl6M=")</f>
        <v>#REF!</v>
      </c>
      <c r="FI91" t="e">
        <f>AND(#REF!,"Njx2VzSTl6Q=")</f>
        <v>#REF!</v>
      </c>
      <c r="FJ91" t="e">
        <f>AND(#REF!,"Njx2VzSTl6U=")</f>
        <v>#REF!</v>
      </c>
      <c r="FK91" t="e">
        <f>AND(#REF!,"Njx2VzSTl6Y=")</f>
        <v>#REF!</v>
      </c>
      <c r="FL91" t="e">
        <f>AND(#REF!,"Njx2VzSTl6c=")</f>
        <v>#REF!</v>
      </c>
      <c r="FM91" t="e">
        <f>AND(#REF!,"Njx2VzSTl6g=")</f>
        <v>#REF!</v>
      </c>
      <c r="FN91" t="e">
        <f>AND(#REF!,"Njx2VzSTl6k=")</f>
        <v>#REF!</v>
      </c>
      <c r="FO91" t="e">
        <f>AND(#REF!,"Njx2VzSTl6o=")</f>
        <v>#REF!</v>
      </c>
      <c r="FP91" t="e">
        <f>AND(#REF!,"Njx2VzSTl6s=")</f>
        <v>#REF!</v>
      </c>
      <c r="FQ91" t="e">
        <f>AND(#REF!,"Njx2VzSTl6w=")</f>
        <v>#REF!</v>
      </c>
      <c r="FR91" t="e">
        <f>AND(#REF!,"Njx2VzSTl60=")</f>
        <v>#REF!</v>
      </c>
      <c r="FS91" t="e">
        <f>AND(#REF!,"Njx2VzSTl64=")</f>
        <v>#REF!</v>
      </c>
      <c r="FT91" t="e">
        <f>AND(#REF!,"Njx2VzSTl68=")</f>
        <v>#REF!</v>
      </c>
      <c r="FU91" t="e">
        <f>AND(#REF!,"Njx2VzSTl7A=")</f>
        <v>#REF!</v>
      </c>
      <c r="FV91" t="e">
        <f>AND(#REF!,"Njx2VzSTl7E=")</f>
        <v>#REF!</v>
      </c>
      <c r="FW91" t="e">
        <f>AND(#REF!,"Njx2VzSTl7I=")</f>
        <v>#REF!</v>
      </c>
      <c r="FX91" t="e">
        <f>AND(#REF!,"Njx2VzSTl7M=")</f>
        <v>#REF!</v>
      </c>
      <c r="FY91" t="e">
        <f>AND(#REF!,"Njx2VzSTl7Q=")</f>
        <v>#REF!</v>
      </c>
      <c r="FZ91" t="e">
        <f>AND(#REF!,"Njx2VzSTl7U=")</f>
        <v>#REF!</v>
      </c>
      <c r="GA91" t="e">
        <f>AND(#REF!,"Njx2VzSTl7Y=")</f>
        <v>#REF!</v>
      </c>
      <c r="GB91" t="e">
        <f>AND(#REF!,"Njx2VzSTl7c=")</f>
        <v>#REF!</v>
      </c>
      <c r="GC91" t="e">
        <f>AND(#REF!,"Njx2VzSTl7g=")</f>
        <v>#REF!</v>
      </c>
      <c r="GD91" t="e">
        <f>AND(#REF!,"Njx2VzSTl7k=")</f>
        <v>#REF!</v>
      </c>
      <c r="GE91" t="e">
        <f>AND(#REF!,"Njx2VzSTl7o=")</f>
        <v>#REF!</v>
      </c>
      <c r="GF91" t="e">
        <f>AND(#REF!,"Njx2VzSTl7s=")</f>
        <v>#REF!</v>
      </c>
      <c r="GG91" t="e">
        <f>AND(#REF!,"Njx2VzSTl7w=")</f>
        <v>#REF!</v>
      </c>
      <c r="GH91" t="e">
        <f>IF(#REF!,"Njx2VzSTl70=",0)</f>
        <v>#REF!</v>
      </c>
      <c r="GI91" t="e">
        <f>AND(#REF!,"Njx2VzSTl74=")</f>
        <v>#REF!</v>
      </c>
      <c r="GJ91" t="e">
        <f>AND(#REF!,"Njx2VzSTl78=")</f>
        <v>#REF!</v>
      </c>
      <c r="GK91" t="e">
        <f>AND(#REF!,"Njx2VzSTl8A=")</f>
        <v>#REF!</v>
      </c>
      <c r="GL91" t="e">
        <f>AND(#REF!,"Njx2VzSTl8E=")</f>
        <v>#REF!</v>
      </c>
      <c r="GM91" t="e">
        <f>AND(#REF!,"Njx2VzSTl8I=")</f>
        <v>#REF!</v>
      </c>
      <c r="GN91" t="e">
        <f>AND(#REF!,"Njx2VzSTl8M=")</f>
        <v>#REF!</v>
      </c>
      <c r="GO91" t="e">
        <f>AND(#REF!,"Njx2VzSTl8Q=")</f>
        <v>#REF!</v>
      </c>
      <c r="GP91" t="e">
        <f>AND(#REF!,"Njx2VzSTl8U=")</f>
        <v>#REF!</v>
      </c>
      <c r="GQ91" t="e">
        <f>AND(#REF!,"Njx2VzSTl8Y=")</f>
        <v>#REF!</v>
      </c>
      <c r="GR91" t="e">
        <f>AND(#REF!,"Njx2VzSTl8c=")</f>
        <v>#REF!</v>
      </c>
      <c r="GS91" t="e">
        <f>AND(#REF!,"Njx2VzSTl8g=")</f>
        <v>#REF!</v>
      </c>
      <c r="GT91" t="e">
        <f>AND(#REF!,"Njx2VzSTl8k=")</f>
        <v>#REF!</v>
      </c>
      <c r="GU91" t="e">
        <f>AND(#REF!,"Njx2VzSTl8o=")</f>
        <v>#REF!</v>
      </c>
      <c r="GV91" t="e">
        <f>AND(#REF!,"Njx2VzSTl8s=")</f>
        <v>#REF!</v>
      </c>
      <c r="GW91" t="e">
        <f>AND(#REF!,"Njx2VzSTl8w=")</f>
        <v>#REF!</v>
      </c>
      <c r="GX91" t="e">
        <f>AND(#REF!,"Njx2VzSTl80=")</f>
        <v>#REF!</v>
      </c>
      <c r="GY91" t="e">
        <f>AND(#REF!,"Njx2VzSTl84=")</f>
        <v>#REF!</v>
      </c>
      <c r="GZ91" t="e">
        <f>AND(#REF!,"Njx2VzSTl88=")</f>
        <v>#REF!</v>
      </c>
      <c r="HA91" t="e">
        <f>AND(#REF!,"Njx2VzSTl9A=")</f>
        <v>#REF!</v>
      </c>
      <c r="HB91" t="e">
        <f>AND(#REF!,"Njx2VzSTl9E=")</f>
        <v>#REF!</v>
      </c>
      <c r="HC91" t="e">
        <f>AND(#REF!,"Njx2VzSTl9I=")</f>
        <v>#REF!</v>
      </c>
      <c r="HD91" t="e">
        <f>AND(#REF!,"Njx2VzSTl9M=")</f>
        <v>#REF!</v>
      </c>
      <c r="HE91" t="e">
        <f>AND(#REF!,"Njx2VzSTl9Q=")</f>
        <v>#REF!</v>
      </c>
      <c r="HF91" t="e">
        <f>AND(#REF!,"Njx2VzSTl9U=")</f>
        <v>#REF!</v>
      </c>
      <c r="HG91" t="e">
        <f>AND(#REF!,"Njx2VzSTl9Y=")</f>
        <v>#REF!</v>
      </c>
      <c r="HH91" t="e">
        <f>AND(#REF!,"Njx2VzSTl9c=")</f>
        <v>#REF!</v>
      </c>
      <c r="HI91" t="e">
        <f>AND(#REF!,"Njx2VzSTl9g=")</f>
        <v>#REF!</v>
      </c>
      <c r="HJ91" t="e">
        <f>AND(#REF!,"Njx2VzSTl9k=")</f>
        <v>#REF!</v>
      </c>
      <c r="HK91" t="e">
        <f>AND(#REF!,"Njx2VzSTl9o=")</f>
        <v>#REF!</v>
      </c>
      <c r="HL91" t="e">
        <f>AND(#REF!,"Njx2VzSTl9s=")</f>
        <v>#REF!</v>
      </c>
      <c r="HM91" t="e">
        <f>AND(#REF!,"Njx2VzSTl9w=")</f>
        <v>#REF!</v>
      </c>
      <c r="HN91" t="e">
        <f>AND(#REF!,"Njx2VzSTl90=")</f>
        <v>#REF!</v>
      </c>
      <c r="HO91" t="e">
        <f>AND(#REF!,"Njx2VzSTl94=")</f>
        <v>#REF!</v>
      </c>
      <c r="HP91" t="e">
        <f>AND(#REF!,"Njx2VzSTl98=")</f>
        <v>#REF!</v>
      </c>
      <c r="HQ91" t="e">
        <f>AND(#REF!,"Njx2VzSTl+A=")</f>
        <v>#REF!</v>
      </c>
      <c r="HR91" t="e">
        <f>AND(#REF!,"Njx2VzSTl+E=")</f>
        <v>#REF!</v>
      </c>
      <c r="HS91" t="e">
        <f>AND(#REF!,"Njx2VzSTl+I=")</f>
        <v>#REF!</v>
      </c>
      <c r="HT91" t="e">
        <f>AND(#REF!,"Njx2VzSTl+M=")</f>
        <v>#REF!</v>
      </c>
      <c r="HU91" t="e">
        <f>AND(#REF!,"Njx2VzSTl+Q=")</f>
        <v>#REF!</v>
      </c>
      <c r="HV91" t="e">
        <f>AND(#REF!,"Njx2VzSTl+U=")</f>
        <v>#REF!</v>
      </c>
      <c r="HW91" t="e">
        <f>AND(#REF!,"Njx2VzSTl+Y=")</f>
        <v>#REF!</v>
      </c>
      <c r="HX91" t="e">
        <f>AND(#REF!,"Njx2VzSTl+c=")</f>
        <v>#REF!</v>
      </c>
      <c r="HY91" t="e">
        <f>AND(#REF!,"Njx2VzSTl+g=")</f>
        <v>#REF!</v>
      </c>
      <c r="HZ91" t="e">
        <f>AND(#REF!,"Njx2VzSTl+k=")</f>
        <v>#REF!</v>
      </c>
      <c r="IA91" t="e">
        <f>AND(#REF!,"Njx2VzSTl+o=")</f>
        <v>#REF!</v>
      </c>
      <c r="IB91" t="e">
        <f>AND(#REF!,"Njx2VzSTl+s=")</f>
        <v>#REF!</v>
      </c>
      <c r="IC91" t="e">
        <f>AND(#REF!,"Njx2VzSTl+w=")</f>
        <v>#REF!</v>
      </c>
      <c r="ID91" t="e">
        <f>AND(#REF!,"Njx2VzSTl+0=")</f>
        <v>#REF!</v>
      </c>
      <c r="IE91" t="e">
        <f>AND(#REF!,"Njx2VzSTl+4=")</f>
        <v>#REF!</v>
      </c>
      <c r="IF91" t="e">
        <f>AND(#REF!,"Njx2VzSTl+8=")</f>
        <v>#REF!</v>
      </c>
      <c r="IG91" t="e">
        <f>AND(#REF!,"Njx2VzSTl/A=")</f>
        <v>#REF!</v>
      </c>
      <c r="IH91" t="e">
        <f>AND(#REF!,"Njx2VzSTl/E=")</f>
        <v>#REF!</v>
      </c>
      <c r="II91" t="e">
        <f>AND(#REF!,"Njx2VzSTl/I=")</f>
        <v>#REF!</v>
      </c>
      <c r="IJ91" t="e">
        <f>AND(#REF!,"Njx2VzSTl/M=")</f>
        <v>#REF!</v>
      </c>
      <c r="IK91" t="e">
        <f>AND(#REF!,"Njx2VzSTl/Q=")</f>
        <v>#REF!</v>
      </c>
      <c r="IL91" t="e">
        <f>AND(#REF!,"Njx2VzSTl/U=")</f>
        <v>#REF!</v>
      </c>
      <c r="IM91" t="e">
        <f>AND(#REF!,"Njx2VzSTl/Y=")</f>
        <v>#REF!</v>
      </c>
      <c r="IN91" t="e">
        <f>AND(#REF!,"Njx2VzSTl/c=")</f>
        <v>#REF!</v>
      </c>
      <c r="IO91" t="e">
        <f>AND(#REF!,"Njx2VzSTl/g=")</f>
        <v>#REF!</v>
      </c>
      <c r="IP91" t="e">
        <f>AND(#REF!,"Njx2VzSTl/k=")</f>
        <v>#REF!</v>
      </c>
      <c r="IQ91" t="e">
        <f>AND(#REF!,"Njx2VzSTl/o=")</f>
        <v>#REF!</v>
      </c>
      <c r="IR91" t="e">
        <f>AND(#REF!,"Njx2VzSTl/s=")</f>
        <v>#REF!</v>
      </c>
      <c r="IS91" t="e">
        <f>AND(#REF!,"Njx2VzSTl/w=")</f>
        <v>#REF!</v>
      </c>
      <c r="IT91" t="e">
        <f>AND(#REF!,"Njx2VzSTl/0=")</f>
        <v>#REF!</v>
      </c>
      <c r="IU91" t="e">
        <f>AND(#REF!,"Njx2VzSTl/4=")</f>
        <v>#REF!</v>
      </c>
      <c r="IV91" t="e">
        <f>AND(#REF!,"Njx2VzSTl/8=")</f>
        <v>#REF!</v>
      </c>
    </row>
    <row r="92" spans="1:256" x14ac:dyDescent="0.2">
      <c r="A92" t="e">
        <f>AND(#REF!,"Bx/9+w3cBwA=")</f>
        <v>#REF!</v>
      </c>
      <c r="B92" t="e">
        <f>AND(#REF!,"Bx/9+w3cBwE=")</f>
        <v>#REF!</v>
      </c>
      <c r="C92" t="e">
        <f>AND(#REF!,"Bx/9+w3cBwI=")</f>
        <v>#REF!</v>
      </c>
      <c r="D92" t="e">
        <f>AND(#REF!,"Bx/9+w3cBwM=")</f>
        <v>#REF!</v>
      </c>
      <c r="E92" t="e">
        <f>AND(#REF!,"Bx/9+w3cBwQ=")</f>
        <v>#REF!</v>
      </c>
      <c r="F92" t="e">
        <f>AND(#REF!,"Bx/9+w3cBwU=")</f>
        <v>#REF!</v>
      </c>
      <c r="G92" t="e">
        <f>AND(#REF!,"Bx/9+w3cBwY=")</f>
        <v>#REF!</v>
      </c>
      <c r="H92" t="e">
        <f>AND(#REF!,"Bx/9+w3cBwc=")</f>
        <v>#REF!</v>
      </c>
      <c r="I92" t="e">
        <f>AND(#REF!,"Bx/9+w3cBwg=")</f>
        <v>#REF!</v>
      </c>
      <c r="J92" t="e">
        <f>AND(#REF!,"Bx/9+w3cBwk=")</f>
        <v>#REF!</v>
      </c>
      <c r="K92" t="e">
        <f>AND(#REF!,"Bx/9+w3cBwo=")</f>
        <v>#REF!</v>
      </c>
      <c r="L92" t="e">
        <f>AND(#REF!,"Bx/9+w3cBws=")</f>
        <v>#REF!</v>
      </c>
      <c r="M92" t="e">
        <f>AND(#REF!,"Bx/9+w3cBww=")</f>
        <v>#REF!</v>
      </c>
      <c r="N92" t="e">
        <f>AND(#REF!,"Bx/9+w3cBw0=")</f>
        <v>#REF!</v>
      </c>
      <c r="O92" t="e">
        <f>AND(#REF!,"Bx/9+w3cBw4=")</f>
        <v>#REF!</v>
      </c>
      <c r="P92" t="e">
        <f>AND(#REF!,"Bx/9+w3cBw8=")</f>
        <v>#REF!</v>
      </c>
      <c r="Q92" t="e">
        <f>AND(#REF!,"Bx/9+w3cBxA=")</f>
        <v>#REF!</v>
      </c>
      <c r="R92" t="e">
        <f>AND(#REF!,"Bx/9+w3cBxE=")</f>
        <v>#REF!</v>
      </c>
      <c r="S92" t="e">
        <f>AND(#REF!,"Bx/9+w3cBxI=")</f>
        <v>#REF!</v>
      </c>
      <c r="T92" t="e">
        <f>AND(#REF!,"Bx/9+w3cBxM=")</f>
        <v>#REF!</v>
      </c>
      <c r="U92" t="e">
        <f>AND(#REF!,"Bx/9+w3cBxQ=")</f>
        <v>#REF!</v>
      </c>
      <c r="V92" t="e">
        <f>AND(#REF!,"Bx/9+w3cBxU=")</f>
        <v>#REF!</v>
      </c>
      <c r="W92" t="e">
        <f>AND(#REF!,"Bx/9+w3cBxY=")</f>
        <v>#REF!</v>
      </c>
      <c r="X92" t="e">
        <f>AND(#REF!,"Bx/9+w3cBxc=")</f>
        <v>#REF!</v>
      </c>
      <c r="Y92" t="e">
        <f>AND(#REF!,"Bx/9+w3cBxg=")</f>
        <v>#REF!</v>
      </c>
      <c r="Z92" t="e">
        <f>AND(#REF!,"Bx/9+w3cBxk=")</f>
        <v>#REF!</v>
      </c>
      <c r="AA92" t="e">
        <f>AND(#REF!,"Bx/9+w3cBxo=")</f>
        <v>#REF!</v>
      </c>
      <c r="AB92" t="e">
        <f>AND(#REF!,"Bx/9+w3cBxs=")</f>
        <v>#REF!</v>
      </c>
      <c r="AC92" t="e">
        <f>AND(#REF!,"Bx/9+w3cBxw=")</f>
        <v>#REF!</v>
      </c>
      <c r="AD92" t="e">
        <f>AND(#REF!,"Bx/9+w3cBx0=")</f>
        <v>#REF!</v>
      </c>
      <c r="AE92" t="e">
        <f>AND(#REF!,"Bx/9+w3cBx4=")</f>
        <v>#REF!</v>
      </c>
      <c r="AF92" t="e">
        <f>AND(#REF!,"Bx/9+w3cBx8=")</f>
        <v>#REF!</v>
      </c>
      <c r="AG92" t="e">
        <f>AND(#REF!,"Bx/9+w3cByA=")</f>
        <v>#REF!</v>
      </c>
      <c r="AH92" t="e">
        <f>AND(#REF!,"Bx/9+w3cByE=")</f>
        <v>#REF!</v>
      </c>
      <c r="AI92" t="e">
        <f>AND(#REF!,"Bx/9+w3cByI=")</f>
        <v>#REF!</v>
      </c>
      <c r="AJ92" t="e">
        <f>AND(#REF!,"Bx/9+w3cByM=")</f>
        <v>#REF!</v>
      </c>
      <c r="AK92" t="e">
        <f>AND(#REF!,"Bx/9+w3cByQ=")</f>
        <v>#REF!</v>
      </c>
      <c r="AL92" t="e">
        <f>AND(#REF!,"Bx/9+w3cByU=")</f>
        <v>#REF!</v>
      </c>
      <c r="AM92" t="e">
        <f>AND(#REF!,"Bx/9+w3cByY=")</f>
        <v>#REF!</v>
      </c>
      <c r="AN92" t="e">
        <f>AND(#REF!,"Bx/9+w3cByc=")</f>
        <v>#REF!</v>
      </c>
      <c r="AO92" t="e">
        <f>AND(#REF!,"Bx/9+w3cByg=")</f>
        <v>#REF!</v>
      </c>
      <c r="AP92" t="e">
        <f>AND(#REF!,"Bx/9+w3cByk=")</f>
        <v>#REF!</v>
      </c>
      <c r="AQ92" t="e">
        <f>AND(#REF!,"Bx/9+w3cByo=")</f>
        <v>#REF!</v>
      </c>
      <c r="AR92" t="e">
        <f>AND(#REF!,"Bx/9+w3cBys=")</f>
        <v>#REF!</v>
      </c>
      <c r="AS92" t="e">
        <f>AND(#REF!,"Bx/9+w3cByw=")</f>
        <v>#REF!</v>
      </c>
      <c r="AT92" t="e">
        <f>AND(#REF!,"Bx/9+w3cBy0=")</f>
        <v>#REF!</v>
      </c>
      <c r="AU92" t="e">
        <f>AND(#REF!,"Bx/9+w3cBy4=")</f>
        <v>#REF!</v>
      </c>
      <c r="AV92" t="e">
        <f>AND(#REF!,"Bx/9+w3cBy8=")</f>
        <v>#REF!</v>
      </c>
      <c r="AW92" t="e">
        <f>AND(#REF!,"Bx/9+w3cBzA=")</f>
        <v>#REF!</v>
      </c>
      <c r="AX92" t="e">
        <f>AND(#REF!,"Bx/9+w3cBzE=")</f>
        <v>#REF!</v>
      </c>
      <c r="AY92" t="e">
        <f>AND(#REF!,"Bx/9+w3cBzI=")</f>
        <v>#REF!</v>
      </c>
      <c r="AZ92" t="e">
        <f>AND(#REF!,"Bx/9+w3cBzM=")</f>
        <v>#REF!</v>
      </c>
      <c r="BA92" t="e">
        <f>AND(#REF!,"Bx/9+w3cBzQ=")</f>
        <v>#REF!</v>
      </c>
      <c r="BB92" t="e">
        <f>AND(#REF!,"Bx/9+w3cBzU=")</f>
        <v>#REF!</v>
      </c>
      <c r="BC92" t="e">
        <f>AND(#REF!,"Bx/9+w3cBzY=")</f>
        <v>#REF!</v>
      </c>
      <c r="BD92" t="e">
        <f>AND(#REF!,"Bx/9+w3cBzc=")</f>
        <v>#REF!</v>
      </c>
      <c r="BE92" t="e">
        <f>AND(#REF!,"Bx/9+w3cBzg=")</f>
        <v>#REF!</v>
      </c>
      <c r="BF92" t="e">
        <f>AND(#REF!,"Bx/9+w3cBzk=")</f>
        <v>#REF!</v>
      </c>
      <c r="BG92" t="e">
        <f>AND(#REF!,"Bx/9+w3cBzo=")</f>
        <v>#REF!</v>
      </c>
      <c r="BH92" t="e">
        <f>AND(#REF!,"Bx/9+w3cBzs=")</f>
        <v>#REF!</v>
      </c>
      <c r="BI92" t="e">
        <f>AND(#REF!,"Bx/9+w3cBzw=")</f>
        <v>#REF!</v>
      </c>
      <c r="BJ92" t="e">
        <f>AND(#REF!,"Bx/9+w3cBz0=")</f>
        <v>#REF!</v>
      </c>
      <c r="BK92" t="e">
        <f>AND(#REF!,"Bx/9+w3cBz4=")</f>
        <v>#REF!</v>
      </c>
      <c r="BL92" t="e">
        <f>AND(#REF!,"Bx/9+w3cBz8=")</f>
        <v>#REF!</v>
      </c>
      <c r="BM92" t="e">
        <f>AND(#REF!,"Bx/9+w3cB0A=")</f>
        <v>#REF!</v>
      </c>
      <c r="BN92" t="e">
        <f>AND(#REF!,"Bx/9+w3cB0E=")</f>
        <v>#REF!</v>
      </c>
      <c r="BO92" t="e">
        <f>AND(#REF!,"Bx/9+w3cB0I=")</f>
        <v>#REF!</v>
      </c>
      <c r="BP92" t="e">
        <f>AND(#REF!,"Bx/9+w3cB0M=")</f>
        <v>#REF!</v>
      </c>
      <c r="BQ92" t="e">
        <f>AND(#REF!,"Bx/9+w3cB0Q=")</f>
        <v>#REF!</v>
      </c>
      <c r="BR92" t="e">
        <f>AND(#REF!,"Bx/9+w3cB0U=")</f>
        <v>#REF!</v>
      </c>
      <c r="BS92" t="e">
        <f>AND(#REF!,"Bx/9+w3cB0Y=")</f>
        <v>#REF!</v>
      </c>
      <c r="BT92" t="e">
        <f>AND(#REF!,"Bx/9+w3cB0c=")</f>
        <v>#REF!</v>
      </c>
      <c r="BU92" t="e">
        <f>AND(#REF!,"Bx/9+w3cB0g=")</f>
        <v>#REF!</v>
      </c>
      <c r="BV92" t="e">
        <f>AND(#REF!,"Bx/9+w3cB0k=")</f>
        <v>#REF!</v>
      </c>
      <c r="BW92" t="e">
        <f>AND(#REF!,"Bx/9+w3cB0o=")</f>
        <v>#REF!</v>
      </c>
      <c r="BX92" t="e">
        <f>AND(#REF!,"Bx/9+w3cB0s=")</f>
        <v>#REF!</v>
      </c>
      <c r="BY92" t="e">
        <f>AND(#REF!,"Bx/9+w3cB0w=")</f>
        <v>#REF!</v>
      </c>
      <c r="BZ92" t="e">
        <f>AND(#REF!,"Bx/9+w3cB00=")</f>
        <v>#REF!</v>
      </c>
      <c r="CA92" t="e">
        <f>AND(#REF!,"Bx/9+w3cB04=")</f>
        <v>#REF!</v>
      </c>
      <c r="CB92" t="e">
        <f>AND(#REF!,"Bx/9+w3cB08=")</f>
        <v>#REF!</v>
      </c>
      <c r="CC92" t="e">
        <f>AND(#REF!,"Bx/9+w3cB1A=")</f>
        <v>#REF!</v>
      </c>
      <c r="CD92" t="e">
        <f>AND(#REF!,"Bx/9+w3cB1E=")</f>
        <v>#REF!</v>
      </c>
      <c r="CE92" t="e">
        <f>AND(#REF!,"Bx/9+w3cB1I=")</f>
        <v>#REF!</v>
      </c>
      <c r="CF92" t="e">
        <f>AND(#REF!,"Bx/9+w3cB1M=")</f>
        <v>#REF!</v>
      </c>
      <c r="CG92" t="e">
        <f>AND(#REF!,"Bx/9+w3cB1Q=")</f>
        <v>#REF!</v>
      </c>
      <c r="CH92" t="e">
        <f>AND(#REF!,"Bx/9+w3cB1U=")</f>
        <v>#REF!</v>
      </c>
      <c r="CI92" t="e">
        <f>AND(#REF!,"Bx/9+w3cB1Y=")</f>
        <v>#REF!</v>
      </c>
      <c r="CJ92" t="e">
        <f>AND(#REF!,"Bx/9+w3cB1c=")</f>
        <v>#REF!</v>
      </c>
      <c r="CK92" t="e">
        <f>AND(#REF!,"Bx/9+w3cB1g=")</f>
        <v>#REF!</v>
      </c>
      <c r="CL92" t="e">
        <f>AND(#REF!,"Bx/9+w3cB1k=")</f>
        <v>#REF!</v>
      </c>
      <c r="CM92" t="e">
        <f>AND(#REF!,"Bx/9+w3cB1o=")</f>
        <v>#REF!</v>
      </c>
      <c r="CN92" t="e">
        <f>AND(#REF!,"Bx/9+w3cB1s=")</f>
        <v>#REF!</v>
      </c>
      <c r="CO92" t="e">
        <f>AND(#REF!,"Bx/9+w3cB1w=")</f>
        <v>#REF!</v>
      </c>
      <c r="CP92" t="e">
        <f>AND(#REF!,"Bx/9+w3cB10=")</f>
        <v>#REF!</v>
      </c>
      <c r="CQ92" t="e">
        <f>AND(#REF!,"Bx/9+w3cB14=")</f>
        <v>#REF!</v>
      </c>
      <c r="CR92" t="e">
        <f>AND(#REF!,"Bx/9+w3cB18=")</f>
        <v>#REF!</v>
      </c>
      <c r="CS92" t="e">
        <f>AND(#REF!,"Bx/9+w3cB2A=")</f>
        <v>#REF!</v>
      </c>
      <c r="CT92" t="e">
        <f>AND(#REF!,"Bx/9+w3cB2E=")</f>
        <v>#REF!</v>
      </c>
      <c r="CU92" t="e">
        <f>AND(#REF!,"Bx/9+w3cB2I=")</f>
        <v>#REF!</v>
      </c>
      <c r="CV92" t="e">
        <f>AND(#REF!,"Bx/9+w3cB2M=")</f>
        <v>#REF!</v>
      </c>
      <c r="CW92" t="e">
        <f>AND(#REF!,"Bx/9+w3cB2Q=")</f>
        <v>#REF!</v>
      </c>
      <c r="CX92" t="e">
        <f>AND(#REF!,"Bx/9+w3cB2U=")</f>
        <v>#REF!</v>
      </c>
      <c r="CY92" t="e">
        <f>AND(#REF!,"Bx/9+w3cB2Y=")</f>
        <v>#REF!</v>
      </c>
      <c r="CZ92" t="e">
        <f>AND(#REF!,"Bx/9+w3cB2c=")</f>
        <v>#REF!</v>
      </c>
      <c r="DA92" t="e">
        <f>AND(#REF!,"Bx/9+w3cB2g=")</f>
        <v>#REF!</v>
      </c>
      <c r="DB92" t="e">
        <f>AND(#REF!,"Bx/9+w3cB2k=")</f>
        <v>#REF!</v>
      </c>
      <c r="DC92" t="e">
        <f>AND(#REF!,"Bx/9+w3cB2o=")</f>
        <v>#REF!</v>
      </c>
      <c r="DD92" t="e">
        <f>AND(#REF!,"Bx/9+w3cB2s=")</f>
        <v>#REF!</v>
      </c>
      <c r="DE92" t="e">
        <f>AND(#REF!,"Bx/9+w3cB2w=")</f>
        <v>#REF!</v>
      </c>
      <c r="DF92" t="e">
        <f>AND(#REF!,"Bx/9+w3cB20=")</f>
        <v>#REF!</v>
      </c>
      <c r="DG92" t="e">
        <f>AND(#REF!,"Bx/9+w3cB24=")</f>
        <v>#REF!</v>
      </c>
      <c r="DH92" t="e">
        <f>AND(#REF!,"Bx/9+w3cB28=")</f>
        <v>#REF!</v>
      </c>
      <c r="DI92" t="e">
        <f>AND(#REF!,"Bx/9+w3cB3A=")</f>
        <v>#REF!</v>
      </c>
      <c r="DJ92" t="e">
        <f>AND(#REF!,"Bx/9+w3cB3E=")</f>
        <v>#REF!</v>
      </c>
      <c r="DK92" t="e">
        <f>AND(#REF!,"Bx/9+w3cB3I=")</f>
        <v>#REF!</v>
      </c>
      <c r="DL92" t="e">
        <f>AND(#REF!,"Bx/9+w3cB3M=")</f>
        <v>#REF!</v>
      </c>
      <c r="DM92" t="e">
        <f>AND(#REF!,"Bx/9+w3cB3Q=")</f>
        <v>#REF!</v>
      </c>
      <c r="DN92" t="e">
        <f>AND(#REF!,"Bx/9+w3cB3U=")</f>
        <v>#REF!</v>
      </c>
      <c r="DO92" t="e">
        <f>AND(#REF!,"Bx/9+w3cB3Y=")</f>
        <v>#REF!</v>
      </c>
      <c r="DP92" t="e">
        <f>AND(#REF!,"Bx/9+w3cB3c=")</f>
        <v>#REF!</v>
      </c>
      <c r="DQ92" t="e">
        <f>AND(#REF!,"Bx/9+w3cB3g=")</f>
        <v>#REF!</v>
      </c>
      <c r="DR92" t="e">
        <f>AND(#REF!,"Bx/9+w3cB3k=")</f>
        <v>#REF!</v>
      </c>
      <c r="DS92" t="e">
        <f>AND(#REF!,"Bx/9+w3cB3o=")</f>
        <v>#REF!</v>
      </c>
      <c r="DT92" t="e">
        <f>AND(#REF!,"Bx/9+w3cB3s=")</f>
        <v>#REF!</v>
      </c>
      <c r="DU92" t="e">
        <f>AND(#REF!,"Bx/9+w3cB3w=")</f>
        <v>#REF!</v>
      </c>
      <c r="DV92" t="e">
        <f>AND(#REF!,"Bx/9+w3cB30=")</f>
        <v>#REF!</v>
      </c>
      <c r="DW92" t="e">
        <f>AND(#REF!,"Bx/9+w3cB34=")</f>
        <v>#REF!</v>
      </c>
      <c r="DX92" t="e">
        <f>AND(#REF!,"Bx/9+w3cB38=")</f>
        <v>#REF!</v>
      </c>
      <c r="DY92" t="e">
        <f>AND(#REF!,"Bx/9+w3cB4A=")</f>
        <v>#REF!</v>
      </c>
      <c r="DZ92" t="e">
        <f>AND(#REF!,"Bx/9+w3cB4E=")</f>
        <v>#REF!</v>
      </c>
      <c r="EA92" t="e">
        <f>AND(#REF!,"Bx/9+w3cB4I=")</f>
        <v>#REF!</v>
      </c>
      <c r="EB92" t="e">
        <f>AND(#REF!,"Bx/9+w3cB4M=")</f>
        <v>#REF!</v>
      </c>
      <c r="EC92" t="e">
        <f>IF(#REF!,"Bx/9+w3cB4Q=",0)</f>
        <v>#REF!</v>
      </c>
      <c r="ED92" t="e">
        <f>AND(#REF!,"Bx/9+w3cB4U=")</f>
        <v>#REF!</v>
      </c>
      <c r="EE92" t="e">
        <f>AND(#REF!,"Bx/9+w3cB4Y=")</f>
        <v>#REF!</v>
      </c>
      <c r="EF92" t="e">
        <f>AND(#REF!,"Bx/9+w3cB4c=")</f>
        <v>#REF!</v>
      </c>
      <c r="EG92" t="e">
        <f>AND(#REF!,"Bx/9+w3cB4g=")</f>
        <v>#REF!</v>
      </c>
      <c r="EH92" t="e">
        <f>AND(#REF!,"Bx/9+w3cB4k=")</f>
        <v>#REF!</v>
      </c>
      <c r="EI92" t="e">
        <f>AND(#REF!,"Bx/9+w3cB4o=")</f>
        <v>#REF!</v>
      </c>
      <c r="EJ92" t="e">
        <f>AND(#REF!,"Bx/9+w3cB4s=")</f>
        <v>#REF!</v>
      </c>
      <c r="EK92" t="e">
        <f>AND(#REF!,"Bx/9+w3cB4w=")</f>
        <v>#REF!</v>
      </c>
      <c r="EL92" t="e">
        <f>AND(#REF!,"Bx/9+w3cB40=")</f>
        <v>#REF!</v>
      </c>
      <c r="EM92" t="e">
        <f>AND(#REF!,"Bx/9+w3cB44=")</f>
        <v>#REF!</v>
      </c>
      <c r="EN92" t="e">
        <f>AND(#REF!,"Bx/9+w3cB48=")</f>
        <v>#REF!</v>
      </c>
      <c r="EO92" t="e">
        <f>AND(#REF!,"Bx/9+w3cB5A=")</f>
        <v>#REF!</v>
      </c>
      <c r="EP92" t="e">
        <f>AND(#REF!,"Bx/9+w3cB5E=")</f>
        <v>#REF!</v>
      </c>
      <c r="EQ92" t="e">
        <f>AND(#REF!,"Bx/9+w3cB5I=")</f>
        <v>#REF!</v>
      </c>
      <c r="ER92" t="e">
        <f>AND(#REF!,"Bx/9+w3cB5M=")</f>
        <v>#REF!</v>
      </c>
      <c r="ES92" t="e">
        <f>AND(#REF!,"Bx/9+w3cB5Q=")</f>
        <v>#REF!</v>
      </c>
      <c r="ET92" t="e">
        <f>AND(#REF!,"Bx/9+w3cB5U=")</f>
        <v>#REF!</v>
      </c>
      <c r="EU92" t="e">
        <f>AND(#REF!,"Bx/9+w3cB5Y=")</f>
        <v>#REF!</v>
      </c>
      <c r="EV92" t="e">
        <f>AND(#REF!,"Bx/9+w3cB5c=")</f>
        <v>#REF!</v>
      </c>
      <c r="EW92" t="e">
        <f>AND(#REF!,"Bx/9+w3cB5g=")</f>
        <v>#REF!</v>
      </c>
      <c r="EX92" t="e">
        <f>AND(#REF!,"Bx/9+w3cB5k=")</f>
        <v>#REF!</v>
      </c>
      <c r="EY92" t="e">
        <f>AND(#REF!,"Bx/9+w3cB5o=")</f>
        <v>#REF!</v>
      </c>
      <c r="EZ92" t="e">
        <f>AND(#REF!,"Bx/9+w3cB5s=")</f>
        <v>#REF!</v>
      </c>
      <c r="FA92" t="e">
        <f>AND(#REF!,"Bx/9+w3cB5w=")</f>
        <v>#REF!</v>
      </c>
      <c r="FB92" t="e">
        <f>AND(#REF!,"Bx/9+w3cB50=")</f>
        <v>#REF!</v>
      </c>
      <c r="FC92" t="e">
        <f>AND(#REF!,"Bx/9+w3cB54=")</f>
        <v>#REF!</v>
      </c>
      <c r="FD92" t="e">
        <f>AND(#REF!,"Bx/9+w3cB58=")</f>
        <v>#REF!</v>
      </c>
      <c r="FE92" t="e">
        <f>AND(#REF!,"Bx/9+w3cB6A=")</f>
        <v>#REF!</v>
      </c>
      <c r="FF92" t="e">
        <f>AND(#REF!,"Bx/9+w3cB6E=")</f>
        <v>#REF!</v>
      </c>
      <c r="FG92" t="e">
        <f>AND(#REF!,"Bx/9+w3cB6I=")</f>
        <v>#REF!</v>
      </c>
      <c r="FH92" t="e">
        <f>AND(#REF!,"Bx/9+w3cB6M=")</f>
        <v>#REF!</v>
      </c>
      <c r="FI92" t="e">
        <f>AND(#REF!,"Bx/9+w3cB6Q=")</f>
        <v>#REF!</v>
      </c>
      <c r="FJ92" t="e">
        <f>AND(#REF!,"Bx/9+w3cB6U=")</f>
        <v>#REF!</v>
      </c>
      <c r="FK92" t="e">
        <f>AND(#REF!,"Bx/9+w3cB6Y=")</f>
        <v>#REF!</v>
      </c>
      <c r="FL92" t="e">
        <f>AND(#REF!,"Bx/9+w3cB6c=")</f>
        <v>#REF!</v>
      </c>
      <c r="FM92" t="e">
        <f>AND(#REF!,"Bx/9+w3cB6g=")</f>
        <v>#REF!</v>
      </c>
      <c r="FN92" t="e">
        <f>AND(#REF!,"Bx/9+w3cB6k=")</f>
        <v>#REF!</v>
      </c>
      <c r="FO92" t="e">
        <f>AND(#REF!,"Bx/9+w3cB6o=")</f>
        <v>#REF!</v>
      </c>
      <c r="FP92" t="e">
        <f>AND(#REF!,"Bx/9+w3cB6s=")</f>
        <v>#REF!</v>
      </c>
      <c r="FQ92" t="e">
        <f>AND(#REF!,"Bx/9+w3cB6w=")</f>
        <v>#REF!</v>
      </c>
      <c r="FR92" t="e">
        <f>AND(#REF!,"Bx/9+w3cB60=")</f>
        <v>#REF!</v>
      </c>
      <c r="FS92" t="e">
        <f>AND(#REF!,"Bx/9+w3cB64=")</f>
        <v>#REF!</v>
      </c>
      <c r="FT92" t="e">
        <f>AND(#REF!,"Bx/9+w3cB68=")</f>
        <v>#REF!</v>
      </c>
      <c r="FU92" t="e">
        <f>AND(#REF!,"Bx/9+w3cB7A=")</f>
        <v>#REF!</v>
      </c>
      <c r="FV92" t="e">
        <f>AND(#REF!,"Bx/9+w3cB7E=")</f>
        <v>#REF!</v>
      </c>
      <c r="FW92" t="e">
        <f>AND(#REF!,"Bx/9+w3cB7I=")</f>
        <v>#REF!</v>
      </c>
      <c r="FX92" t="e">
        <f>AND(#REF!,"Bx/9+w3cB7M=")</f>
        <v>#REF!</v>
      </c>
      <c r="FY92" t="e">
        <f>AND(#REF!,"Bx/9+w3cB7Q=")</f>
        <v>#REF!</v>
      </c>
      <c r="FZ92" t="e">
        <f>AND(#REF!,"Bx/9+w3cB7U=")</f>
        <v>#REF!</v>
      </c>
      <c r="GA92" t="e">
        <f>AND(#REF!,"Bx/9+w3cB7Y=")</f>
        <v>#REF!</v>
      </c>
      <c r="GB92" t="e">
        <f>AND(#REF!,"Bx/9+w3cB7c=")</f>
        <v>#REF!</v>
      </c>
      <c r="GC92" t="e">
        <f>AND(#REF!,"Bx/9+w3cB7g=")</f>
        <v>#REF!</v>
      </c>
      <c r="GD92" t="e">
        <f>AND(#REF!,"Bx/9+w3cB7k=")</f>
        <v>#REF!</v>
      </c>
      <c r="GE92" t="e">
        <f>AND(#REF!,"Bx/9+w3cB7o=")</f>
        <v>#REF!</v>
      </c>
      <c r="GF92" t="e">
        <f>AND(#REF!,"Bx/9+w3cB7s=")</f>
        <v>#REF!</v>
      </c>
      <c r="GG92" t="e">
        <f>AND(#REF!,"Bx/9+w3cB7w=")</f>
        <v>#REF!</v>
      </c>
      <c r="GH92" t="e">
        <f>AND(#REF!,"Bx/9+w3cB70=")</f>
        <v>#REF!</v>
      </c>
      <c r="GI92" t="e">
        <f>AND(#REF!,"Bx/9+w3cB74=")</f>
        <v>#REF!</v>
      </c>
      <c r="GJ92" t="e">
        <f>AND(#REF!,"Bx/9+w3cB78=")</f>
        <v>#REF!</v>
      </c>
      <c r="GK92" t="e">
        <f>AND(#REF!,"Bx/9+w3cB8A=")</f>
        <v>#REF!</v>
      </c>
      <c r="GL92" t="e">
        <f>AND(#REF!,"Bx/9+w3cB8E=")</f>
        <v>#REF!</v>
      </c>
      <c r="GM92" t="e">
        <f>AND(#REF!,"Bx/9+w3cB8I=")</f>
        <v>#REF!</v>
      </c>
      <c r="GN92" t="e">
        <f>AND(#REF!,"Bx/9+w3cB8M=")</f>
        <v>#REF!</v>
      </c>
      <c r="GO92" t="e">
        <f>AND(#REF!,"Bx/9+w3cB8Q=")</f>
        <v>#REF!</v>
      </c>
      <c r="GP92" t="e">
        <f>AND(#REF!,"Bx/9+w3cB8U=")</f>
        <v>#REF!</v>
      </c>
      <c r="GQ92" t="e">
        <f>AND(#REF!,"Bx/9+w3cB8Y=")</f>
        <v>#REF!</v>
      </c>
      <c r="GR92" t="e">
        <f>AND(#REF!,"Bx/9+w3cB8c=")</f>
        <v>#REF!</v>
      </c>
      <c r="GS92" t="e">
        <f>AND(#REF!,"Bx/9+w3cB8g=")</f>
        <v>#REF!</v>
      </c>
      <c r="GT92" t="e">
        <f>AND(#REF!,"Bx/9+w3cB8k=")</f>
        <v>#REF!</v>
      </c>
      <c r="GU92" t="e">
        <f>AND(#REF!,"Bx/9+w3cB8o=")</f>
        <v>#REF!</v>
      </c>
      <c r="GV92" t="e">
        <f>AND(#REF!,"Bx/9+w3cB8s=")</f>
        <v>#REF!</v>
      </c>
      <c r="GW92" t="e">
        <f>AND(#REF!,"Bx/9+w3cB8w=")</f>
        <v>#REF!</v>
      </c>
      <c r="GX92" t="e">
        <f>AND(#REF!,"Bx/9+w3cB80=")</f>
        <v>#REF!</v>
      </c>
      <c r="GY92" t="e">
        <f>AND(#REF!,"Bx/9+w3cB84=")</f>
        <v>#REF!</v>
      </c>
      <c r="GZ92" t="e">
        <f>AND(#REF!,"Bx/9+w3cB88=")</f>
        <v>#REF!</v>
      </c>
      <c r="HA92" t="e">
        <f>AND(#REF!,"Bx/9+w3cB9A=")</f>
        <v>#REF!</v>
      </c>
      <c r="HB92" t="e">
        <f>AND(#REF!,"Bx/9+w3cB9E=")</f>
        <v>#REF!</v>
      </c>
      <c r="HC92" t="e">
        <f>AND(#REF!,"Bx/9+w3cB9I=")</f>
        <v>#REF!</v>
      </c>
      <c r="HD92" t="e">
        <f>AND(#REF!,"Bx/9+w3cB9M=")</f>
        <v>#REF!</v>
      </c>
      <c r="HE92" t="e">
        <f>AND(#REF!,"Bx/9+w3cB9Q=")</f>
        <v>#REF!</v>
      </c>
      <c r="HF92" t="e">
        <f>AND(#REF!,"Bx/9+w3cB9U=")</f>
        <v>#REF!</v>
      </c>
      <c r="HG92" t="e">
        <f>AND(#REF!,"Bx/9+w3cB9Y=")</f>
        <v>#REF!</v>
      </c>
      <c r="HH92" t="e">
        <f>AND(#REF!,"Bx/9+w3cB9c=")</f>
        <v>#REF!</v>
      </c>
      <c r="HI92" t="e">
        <f>AND(#REF!,"Bx/9+w3cB9g=")</f>
        <v>#REF!</v>
      </c>
      <c r="HJ92" t="e">
        <f>AND(#REF!,"Bx/9+w3cB9k=")</f>
        <v>#REF!</v>
      </c>
      <c r="HK92" t="e">
        <f>AND(#REF!,"Bx/9+w3cB9o=")</f>
        <v>#REF!</v>
      </c>
      <c r="HL92" t="e">
        <f>AND(#REF!,"Bx/9+w3cB9s=")</f>
        <v>#REF!</v>
      </c>
      <c r="HM92" t="e">
        <f>AND(#REF!,"Bx/9+w3cB9w=")</f>
        <v>#REF!</v>
      </c>
      <c r="HN92" t="e">
        <f>AND(#REF!,"Bx/9+w3cB90=")</f>
        <v>#REF!</v>
      </c>
      <c r="HO92" t="e">
        <f>AND(#REF!,"Bx/9+w3cB94=")</f>
        <v>#REF!</v>
      </c>
      <c r="HP92" t="e">
        <f>AND(#REF!,"Bx/9+w3cB98=")</f>
        <v>#REF!</v>
      </c>
      <c r="HQ92" t="e">
        <f>AND(#REF!,"Bx/9+w3cB+A=")</f>
        <v>#REF!</v>
      </c>
      <c r="HR92" t="e">
        <f>AND(#REF!,"Bx/9+w3cB+E=")</f>
        <v>#REF!</v>
      </c>
      <c r="HS92" t="e">
        <f>AND(#REF!,"Bx/9+w3cB+I=")</f>
        <v>#REF!</v>
      </c>
      <c r="HT92" t="e">
        <f>AND(#REF!,"Bx/9+w3cB+M=")</f>
        <v>#REF!</v>
      </c>
      <c r="HU92" t="e">
        <f>AND(#REF!,"Bx/9+w3cB+Q=")</f>
        <v>#REF!</v>
      </c>
      <c r="HV92" t="e">
        <f>AND(#REF!,"Bx/9+w3cB+U=")</f>
        <v>#REF!</v>
      </c>
      <c r="HW92" t="e">
        <f>AND(#REF!,"Bx/9+w3cB+Y=")</f>
        <v>#REF!</v>
      </c>
      <c r="HX92" t="e">
        <f>AND(#REF!,"Bx/9+w3cB+c=")</f>
        <v>#REF!</v>
      </c>
      <c r="HY92" t="e">
        <f>AND(#REF!,"Bx/9+w3cB+g=")</f>
        <v>#REF!</v>
      </c>
      <c r="HZ92" t="e">
        <f>AND(#REF!,"Bx/9+w3cB+k=")</f>
        <v>#REF!</v>
      </c>
      <c r="IA92" t="e">
        <f>AND(#REF!,"Bx/9+w3cB+o=")</f>
        <v>#REF!</v>
      </c>
      <c r="IB92" t="e">
        <f>AND(#REF!,"Bx/9+w3cB+s=")</f>
        <v>#REF!</v>
      </c>
      <c r="IC92" t="e">
        <f>AND(#REF!,"Bx/9+w3cB+w=")</f>
        <v>#REF!</v>
      </c>
      <c r="ID92" t="e">
        <f>AND(#REF!,"Bx/9+w3cB+0=")</f>
        <v>#REF!</v>
      </c>
      <c r="IE92" t="e">
        <f>AND(#REF!,"Bx/9+w3cB+4=")</f>
        <v>#REF!</v>
      </c>
      <c r="IF92" t="e">
        <f>AND(#REF!,"Bx/9+w3cB+8=")</f>
        <v>#REF!</v>
      </c>
      <c r="IG92" t="e">
        <f>AND(#REF!,"Bx/9+w3cB/A=")</f>
        <v>#REF!</v>
      </c>
      <c r="IH92" t="e">
        <f>AND(#REF!,"Bx/9+w3cB/E=")</f>
        <v>#REF!</v>
      </c>
      <c r="II92" t="e">
        <f>AND(#REF!,"Bx/9+w3cB/I=")</f>
        <v>#REF!</v>
      </c>
      <c r="IJ92" t="e">
        <f>AND(#REF!,"Bx/9+w3cB/M=")</f>
        <v>#REF!</v>
      </c>
      <c r="IK92" t="e">
        <f>AND(#REF!,"Bx/9+w3cB/Q=")</f>
        <v>#REF!</v>
      </c>
      <c r="IL92" t="e">
        <f>AND(#REF!,"Bx/9+w3cB/U=")</f>
        <v>#REF!</v>
      </c>
      <c r="IM92" t="e">
        <f>AND(#REF!,"Bx/9+w3cB/Y=")</f>
        <v>#REF!</v>
      </c>
      <c r="IN92" t="e">
        <f>AND(#REF!,"Bx/9+w3cB/c=")</f>
        <v>#REF!</v>
      </c>
      <c r="IO92" t="e">
        <f>AND(#REF!,"Bx/9+w3cB/g=")</f>
        <v>#REF!</v>
      </c>
      <c r="IP92" t="e">
        <f>AND(#REF!,"Bx/9+w3cB/k=")</f>
        <v>#REF!</v>
      </c>
      <c r="IQ92" t="e">
        <f>AND(#REF!,"Bx/9+w3cB/o=")</f>
        <v>#REF!</v>
      </c>
      <c r="IR92" t="e">
        <f>AND(#REF!,"Bx/9+w3cB/s=")</f>
        <v>#REF!</v>
      </c>
      <c r="IS92" t="e">
        <f>AND(#REF!,"Bx/9+w3cB/w=")</f>
        <v>#REF!</v>
      </c>
      <c r="IT92" t="e">
        <f>AND(#REF!,"Bx/9+w3cB/0=")</f>
        <v>#REF!</v>
      </c>
      <c r="IU92" t="e">
        <f>AND(#REF!,"Bx/9+w3cB/4=")</f>
        <v>#REF!</v>
      </c>
      <c r="IV92" t="e">
        <f>AND(#REF!,"Bx/9+w3cB/8=")</f>
        <v>#REF!</v>
      </c>
    </row>
    <row r="93" spans="1:256" x14ac:dyDescent="0.2">
      <c r="A93" t="e">
        <f>AND(#REF!,"bGUemRwrMwA=")</f>
        <v>#REF!</v>
      </c>
      <c r="B93" t="e">
        <f>AND(#REF!,"bGUemRwrMwE=")</f>
        <v>#REF!</v>
      </c>
      <c r="C93" t="e">
        <f>AND(#REF!,"bGUemRwrMwI=")</f>
        <v>#REF!</v>
      </c>
      <c r="D93" t="e">
        <f>AND(#REF!,"bGUemRwrMwM=")</f>
        <v>#REF!</v>
      </c>
      <c r="E93" t="e">
        <f>AND(#REF!,"bGUemRwrMwQ=")</f>
        <v>#REF!</v>
      </c>
      <c r="F93" t="e">
        <f>AND(#REF!,"bGUemRwrMwU=")</f>
        <v>#REF!</v>
      </c>
      <c r="G93" t="e">
        <f>AND(#REF!,"bGUemRwrMwY=")</f>
        <v>#REF!</v>
      </c>
      <c r="H93" t="e">
        <f>AND(#REF!,"bGUemRwrMwc=")</f>
        <v>#REF!</v>
      </c>
      <c r="I93" t="e">
        <f>AND(#REF!,"bGUemRwrMwg=")</f>
        <v>#REF!</v>
      </c>
      <c r="J93" t="e">
        <f>AND(#REF!,"bGUemRwrMwk=")</f>
        <v>#REF!</v>
      </c>
      <c r="K93" t="e">
        <f>AND(#REF!,"bGUemRwrMwo=")</f>
        <v>#REF!</v>
      </c>
      <c r="L93" t="e">
        <f>AND(#REF!,"bGUemRwrMws=")</f>
        <v>#REF!</v>
      </c>
      <c r="M93" t="e">
        <f>AND(#REF!,"bGUemRwrMww=")</f>
        <v>#REF!</v>
      </c>
      <c r="N93" t="e">
        <f>AND(#REF!,"bGUemRwrMw0=")</f>
        <v>#REF!</v>
      </c>
      <c r="O93" t="e">
        <f>AND(#REF!,"bGUemRwrMw4=")</f>
        <v>#REF!</v>
      </c>
      <c r="P93" t="e">
        <f>AND(#REF!,"bGUemRwrMw8=")</f>
        <v>#REF!</v>
      </c>
      <c r="Q93" t="e">
        <f>AND(#REF!,"bGUemRwrMxA=")</f>
        <v>#REF!</v>
      </c>
      <c r="R93" t="e">
        <f>AND(#REF!,"bGUemRwrMxE=")</f>
        <v>#REF!</v>
      </c>
      <c r="S93" t="e">
        <f>AND(#REF!,"bGUemRwrMxI=")</f>
        <v>#REF!</v>
      </c>
      <c r="T93" t="e">
        <f>AND(#REF!,"bGUemRwrMxM=")</f>
        <v>#REF!</v>
      </c>
      <c r="U93" t="e">
        <f>AND(#REF!,"bGUemRwrMxQ=")</f>
        <v>#REF!</v>
      </c>
      <c r="V93" t="e">
        <f>AND(#REF!,"bGUemRwrMxU=")</f>
        <v>#REF!</v>
      </c>
      <c r="W93" t="e">
        <f>AND(#REF!,"bGUemRwrMxY=")</f>
        <v>#REF!</v>
      </c>
      <c r="X93" t="e">
        <f>AND(#REF!,"bGUemRwrMxc=")</f>
        <v>#REF!</v>
      </c>
      <c r="Y93" t="e">
        <f>AND(#REF!,"bGUemRwrMxg=")</f>
        <v>#REF!</v>
      </c>
      <c r="Z93" t="e">
        <f>AND(#REF!,"bGUemRwrMxk=")</f>
        <v>#REF!</v>
      </c>
      <c r="AA93" t="e">
        <f>AND(#REF!,"bGUemRwrMxo=")</f>
        <v>#REF!</v>
      </c>
      <c r="AB93" t="e">
        <f>AND(#REF!,"bGUemRwrMxs=")</f>
        <v>#REF!</v>
      </c>
      <c r="AC93" t="e">
        <f>AND(#REF!,"bGUemRwrMxw=")</f>
        <v>#REF!</v>
      </c>
      <c r="AD93" t="e">
        <f>AND(#REF!,"bGUemRwrMx0=")</f>
        <v>#REF!</v>
      </c>
      <c r="AE93" t="e">
        <f>AND(#REF!,"bGUemRwrMx4=")</f>
        <v>#REF!</v>
      </c>
      <c r="AF93" t="e">
        <f>AND(#REF!,"bGUemRwrMx8=")</f>
        <v>#REF!</v>
      </c>
      <c r="AG93" t="e">
        <f>AND(#REF!,"bGUemRwrMyA=")</f>
        <v>#REF!</v>
      </c>
      <c r="AH93" t="e">
        <f>AND(#REF!,"bGUemRwrMyE=")</f>
        <v>#REF!</v>
      </c>
      <c r="AI93" t="e">
        <f>AND(#REF!,"bGUemRwrMyI=")</f>
        <v>#REF!</v>
      </c>
      <c r="AJ93" t="e">
        <f>AND(#REF!,"bGUemRwrMyM=")</f>
        <v>#REF!</v>
      </c>
      <c r="AK93" t="e">
        <f>AND(#REF!,"bGUemRwrMyQ=")</f>
        <v>#REF!</v>
      </c>
      <c r="AL93" t="e">
        <f>AND(#REF!,"bGUemRwrMyU=")</f>
        <v>#REF!</v>
      </c>
      <c r="AM93" t="e">
        <f>AND(#REF!,"bGUemRwrMyY=")</f>
        <v>#REF!</v>
      </c>
      <c r="AN93" t="e">
        <f>AND(#REF!,"bGUemRwrMyc=")</f>
        <v>#REF!</v>
      </c>
      <c r="AO93" t="e">
        <f>AND(#REF!,"bGUemRwrMyg=")</f>
        <v>#REF!</v>
      </c>
      <c r="AP93" t="e">
        <f>AND(#REF!,"bGUemRwrMyk=")</f>
        <v>#REF!</v>
      </c>
      <c r="AQ93" t="e">
        <f>AND(#REF!,"bGUemRwrMyo=")</f>
        <v>#REF!</v>
      </c>
      <c r="AR93" t="e">
        <f>AND(#REF!,"bGUemRwrMys=")</f>
        <v>#REF!</v>
      </c>
      <c r="AS93" t="e">
        <f>AND(#REF!,"bGUemRwrMyw=")</f>
        <v>#REF!</v>
      </c>
      <c r="AT93" t="e">
        <f>AND(#REF!,"bGUemRwrMy0=")</f>
        <v>#REF!</v>
      </c>
      <c r="AU93" t="e">
        <f>AND(#REF!,"bGUemRwrMy4=")</f>
        <v>#REF!</v>
      </c>
      <c r="AV93" t="e">
        <f>AND(#REF!,"bGUemRwrMy8=")</f>
        <v>#REF!</v>
      </c>
      <c r="AW93" t="e">
        <f>AND(#REF!,"bGUemRwrMzA=")</f>
        <v>#REF!</v>
      </c>
      <c r="AX93" t="e">
        <f>AND(#REF!,"bGUemRwrMzE=")</f>
        <v>#REF!</v>
      </c>
      <c r="AY93" t="e">
        <f>AND(#REF!,"bGUemRwrMzI=")</f>
        <v>#REF!</v>
      </c>
      <c r="AZ93" t="e">
        <f>AND(#REF!,"bGUemRwrMzM=")</f>
        <v>#REF!</v>
      </c>
      <c r="BA93" t="e">
        <f>AND(#REF!,"bGUemRwrMzQ=")</f>
        <v>#REF!</v>
      </c>
      <c r="BB93" t="e">
        <f>AND(#REF!,"bGUemRwrMzU=")</f>
        <v>#REF!</v>
      </c>
      <c r="BC93" t="e">
        <f>AND(#REF!,"bGUemRwrMzY=")</f>
        <v>#REF!</v>
      </c>
      <c r="BD93" t="e">
        <f>AND(#REF!,"bGUemRwrMzc=")</f>
        <v>#REF!</v>
      </c>
      <c r="BE93" t="e">
        <f>AND(#REF!,"bGUemRwrMzg=")</f>
        <v>#REF!</v>
      </c>
      <c r="BF93" t="e">
        <f>AND(#REF!,"bGUemRwrMzk=")</f>
        <v>#REF!</v>
      </c>
      <c r="BG93" t="e">
        <f>AND(#REF!,"bGUemRwrMzo=")</f>
        <v>#REF!</v>
      </c>
      <c r="BH93" t="e">
        <f>AND(#REF!,"bGUemRwrMzs=")</f>
        <v>#REF!</v>
      </c>
      <c r="BI93" t="e">
        <f>AND(#REF!,"bGUemRwrMzw=")</f>
        <v>#REF!</v>
      </c>
      <c r="BJ93" t="e">
        <f>AND(#REF!,"bGUemRwrMz0=")</f>
        <v>#REF!</v>
      </c>
      <c r="BK93" t="e">
        <f>AND(#REF!,"bGUemRwrMz4=")</f>
        <v>#REF!</v>
      </c>
      <c r="BL93" t="e">
        <f>AND(#REF!,"bGUemRwrMz8=")</f>
        <v>#REF!</v>
      </c>
      <c r="BM93" t="e">
        <f>AND(#REF!,"bGUemRwrM0A=")</f>
        <v>#REF!</v>
      </c>
      <c r="BN93" t="e">
        <f>AND(#REF!,"bGUemRwrM0E=")</f>
        <v>#REF!</v>
      </c>
      <c r="BO93" t="e">
        <f>AND(#REF!,"bGUemRwrM0I=")</f>
        <v>#REF!</v>
      </c>
      <c r="BP93" t="e">
        <f>AND(#REF!,"bGUemRwrM0M=")</f>
        <v>#REF!</v>
      </c>
      <c r="BQ93" t="e">
        <f>AND(#REF!,"bGUemRwrM0Q=")</f>
        <v>#REF!</v>
      </c>
      <c r="BR93" t="e">
        <f>AND(#REF!,"bGUemRwrM0U=")</f>
        <v>#REF!</v>
      </c>
      <c r="BS93" t="e">
        <f>AND(#REF!,"bGUemRwrM0Y=")</f>
        <v>#REF!</v>
      </c>
      <c r="BT93" t="e">
        <f>AND(#REF!,"bGUemRwrM0c=")</f>
        <v>#REF!</v>
      </c>
      <c r="BU93" t="e">
        <f>AND(#REF!,"bGUemRwrM0g=")</f>
        <v>#REF!</v>
      </c>
      <c r="BV93" t="e">
        <f>AND(#REF!,"bGUemRwrM0k=")</f>
        <v>#REF!</v>
      </c>
      <c r="BW93" t="e">
        <f>AND(#REF!,"bGUemRwrM0o=")</f>
        <v>#REF!</v>
      </c>
      <c r="BX93" t="e">
        <f>IF(#REF!,"bGUemRwrM0s=",0)</f>
        <v>#REF!</v>
      </c>
      <c r="BY93" t="e">
        <f>AND(#REF!,"bGUemRwrM0w=")</f>
        <v>#REF!</v>
      </c>
      <c r="BZ93" t="e">
        <f>AND(#REF!,"bGUemRwrM00=")</f>
        <v>#REF!</v>
      </c>
      <c r="CA93" t="e">
        <f>AND(#REF!,"bGUemRwrM04=")</f>
        <v>#REF!</v>
      </c>
      <c r="CB93" t="e">
        <f>AND(#REF!,"bGUemRwrM08=")</f>
        <v>#REF!</v>
      </c>
      <c r="CC93" t="e">
        <f>AND(#REF!,"bGUemRwrM1A=")</f>
        <v>#REF!</v>
      </c>
      <c r="CD93" t="e">
        <f>AND(#REF!,"bGUemRwrM1E=")</f>
        <v>#REF!</v>
      </c>
      <c r="CE93" t="e">
        <f>AND(#REF!,"bGUemRwrM1I=")</f>
        <v>#REF!</v>
      </c>
      <c r="CF93" t="e">
        <f>AND(#REF!,"bGUemRwrM1M=")</f>
        <v>#REF!</v>
      </c>
      <c r="CG93" t="e">
        <f>AND(#REF!,"bGUemRwrM1Q=")</f>
        <v>#REF!</v>
      </c>
      <c r="CH93" t="e">
        <f>AND(#REF!,"bGUemRwrM1U=")</f>
        <v>#REF!</v>
      </c>
      <c r="CI93" t="e">
        <f>AND(#REF!,"bGUemRwrM1Y=")</f>
        <v>#REF!</v>
      </c>
      <c r="CJ93" t="e">
        <f>AND(#REF!,"bGUemRwrM1c=")</f>
        <v>#REF!</v>
      </c>
      <c r="CK93" t="e">
        <f>AND(#REF!,"bGUemRwrM1g=")</f>
        <v>#REF!</v>
      </c>
      <c r="CL93" t="e">
        <f>AND(#REF!,"bGUemRwrM1k=")</f>
        <v>#REF!</v>
      </c>
      <c r="CM93" t="e">
        <f>AND(#REF!,"bGUemRwrM1o=")</f>
        <v>#REF!</v>
      </c>
      <c r="CN93" t="e">
        <f>AND(#REF!,"bGUemRwrM1s=")</f>
        <v>#REF!</v>
      </c>
      <c r="CO93" t="e">
        <f>AND(#REF!,"bGUemRwrM1w=")</f>
        <v>#REF!</v>
      </c>
      <c r="CP93" t="e">
        <f>AND(#REF!,"bGUemRwrM10=")</f>
        <v>#REF!</v>
      </c>
      <c r="CQ93" t="e">
        <f>AND(#REF!,"bGUemRwrM14=")</f>
        <v>#REF!</v>
      </c>
      <c r="CR93" t="e">
        <f>AND(#REF!,"bGUemRwrM18=")</f>
        <v>#REF!</v>
      </c>
      <c r="CS93" t="e">
        <f>AND(#REF!,"bGUemRwrM2A=")</f>
        <v>#REF!</v>
      </c>
      <c r="CT93" t="e">
        <f>AND(#REF!,"bGUemRwrM2E=")</f>
        <v>#REF!</v>
      </c>
      <c r="CU93" t="e">
        <f>AND(#REF!,"bGUemRwrM2I=")</f>
        <v>#REF!</v>
      </c>
      <c r="CV93" t="e">
        <f>AND(#REF!,"bGUemRwrM2M=")</f>
        <v>#REF!</v>
      </c>
      <c r="CW93" t="e">
        <f>AND(#REF!,"bGUemRwrM2Q=")</f>
        <v>#REF!</v>
      </c>
      <c r="CX93" t="e">
        <f>AND(#REF!,"bGUemRwrM2U=")</f>
        <v>#REF!</v>
      </c>
      <c r="CY93" t="e">
        <f>AND(#REF!,"bGUemRwrM2Y=")</f>
        <v>#REF!</v>
      </c>
      <c r="CZ93" t="e">
        <f>AND(#REF!,"bGUemRwrM2c=")</f>
        <v>#REF!</v>
      </c>
      <c r="DA93" t="e">
        <f>AND(#REF!,"bGUemRwrM2g=")</f>
        <v>#REF!</v>
      </c>
      <c r="DB93" t="e">
        <f>AND(#REF!,"bGUemRwrM2k=")</f>
        <v>#REF!</v>
      </c>
      <c r="DC93" t="e">
        <f>AND(#REF!,"bGUemRwrM2o=")</f>
        <v>#REF!</v>
      </c>
      <c r="DD93" t="e">
        <f>AND(#REF!,"bGUemRwrM2s=")</f>
        <v>#REF!</v>
      </c>
      <c r="DE93" t="e">
        <f>AND(#REF!,"bGUemRwrM2w=")</f>
        <v>#REF!</v>
      </c>
      <c r="DF93" t="e">
        <f>AND(#REF!,"bGUemRwrM20=")</f>
        <v>#REF!</v>
      </c>
      <c r="DG93" t="e">
        <f>AND(#REF!,"bGUemRwrM24=")</f>
        <v>#REF!</v>
      </c>
      <c r="DH93" t="e">
        <f>AND(#REF!,"bGUemRwrM28=")</f>
        <v>#REF!</v>
      </c>
      <c r="DI93" t="e">
        <f>AND(#REF!,"bGUemRwrM3A=")</f>
        <v>#REF!</v>
      </c>
      <c r="DJ93" t="e">
        <f>AND(#REF!,"bGUemRwrM3E=")</f>
        <v>#REF!</v>
      </c>
      <c r="DK93" t="e">
        <f>AND(#REF!,"bGUemRwrM3I=")</f>
        <v>#REF!</v>
      </c>
      <c r="DL93" t="e">
        <f>AND(#REF!,"bGUemRwrM3M=")</f>
        <v>#REF!</v>
      </c>
      <c r="DM93" t="e">
        <f>AND(#REF!,"bGUemRwrM3Q=")</f>
        <v>#REF!</v>
      </c>
      <c r="DN93" t="e">
        <f>AND(#REF!,"bGUemRwrM3U=")</f>
        <v>#REF!</v>
      </c>
      <c r="DO93" t="e">
        <f>AND(#REF!,"bGUemRwrM3Y=")</f>
        <v>#REF!</v>
      </c>
      <c r="DP93" t="e">
        <f>AND(#REF!,"bGUemRwrM3c=")</f>
        <v>#REF!</v>
      </c>
      <c r="DQ93" t="e">
        <f>AND(#REF!,"bGUemRwrM3g=")</f>
        <v>#REF!</v>
      </c>
      <c r="DR93" t="e">
        <f>AND(#REF!,"bGUemRwrM3k=")</f>
        <v>#REF!</v>
      </c>
      <c r="DS93" t="e">
        <f>AND(#REF!,"bGUemRwrM3o=")</f>
        <v>#REF!</v>
      </c>
      <c r="DT93" t="e">
        <f>AND(#REF!,"bGUemRwrM3s=")</f>
        <v>#REF!</v>
      </c>
      <c r="DU93" t="e">
        <f>AND(#REF!,"bGUemRwrM3w=")</f>
        <v>#REF!</v>
      </c>
      <c r="DV93" t="e">
        <f>AND(#REF!,"bGUemRwrM30=")</f>
        <v>#REF!</v>
      </c>
      <c r="DW93" t="e">
        <f>AND(#REF!,"bGUemRwrM34=")</f>
        <v>#REF!</v>
      </c>
      <c r="DX93" t="e">
        <f>AND(#REF!,"bGUemRwrM38=")</f>
        <v>#REF!</v>
      </c>
      <c r="DY93" t="e">
        <f>AND(#REF!,"bGUemRwrM4A=")</f>
        <v>#REF!</v>
      </c>
      <c r="DZ93" t="e">
        <f>AND(#REF!,"bGUemRwrM4E=")</f>
        <v>#REF!</v>
      </c>
      <c r="EA93" t="e">
        <f>AND(#REF!,"bGUemRwrM4I=")</f>
        <v>#REF!</v>
      </c>
      <c r="EB93" t="e">
        <f>AND(#REF!,"bGUemRwrM4M=")</f>
        <v>#REF!</v>
      </c>
      <c r="EC93" t="e">
        <f>AND(#REF!,"bGUemRwrM4Q=")</f>
        <v>#REF!</v>
      </c>
      <c r="ED93" t="e">
        <f>AND(#REF!,"bGUemRwrM4U=")</f>
        <v>#REF!</v>
      </c>
      <c r="EE93" t="e">
        <f>AND(#REF!,"bGUemRwrM4Y=")</f>
        <v>#REF!</v>
      </c>
      <c r="EF93" t="e">
        <f>AND(#REF!,"bGUemRwrM4c=")</f>
        <v>#REF!</v>
      </c>
      <c r="EG93" t="e">
        <f>AND(#REF!,"bGUemRwrM4g=")</f>
        <v>#REF!</v>
      </c>
      <c r="EH93" t="e">
        <f>AND(#REF!,"bGUemRwrM4k=")</f>
        <v>#REF!</v>
      </c>
      <c r="EI93" t="e">
        <f>AND(#REF!,"bGUemRwrM4o=")</f>
        <v>#REF!</v>
      </c>
      <c r="EJ93" t="e">
        <f>AND(#REF!,"bGUemRwrM4s=")</f>
        <v>#REF!</v>
      </c>
      <c r="EK93" t="e">
        <f>AND(#REF!,"bGUemRwrM4w=")</f>
        <v>#REF!</v>
      </c>
      <c r="EL93" t="e">
        <f>AND(#REF!,"bGUemRwrM40=")</f>
        <v>#REF!</v>
      </c>
      <c r="EM93" t="e">
        <f>AND(#REF!,"bGUemRwrM44=")</f>
        <v>#REF!</v>
      </c>
      <c r="EN93" t="e">
        <f>AND(#REF!,"bGUemRwrM48=")</f>
        <v>#REF!</v>
      </c>
      <c r="EO93" t="e">
        <f>AND(#REF!,"bGUemRwrM5A=")</f>
        <v>#REF!</v>
      </c>
      <c r="EP93" t="e">
        <f>AND(#REF!,"bGUemRwrM5E=")</f>
        <v>#REF!</v>
      </c>
      <c r="EQ93" t="e">
        <f>AND(#REF!,"bGUemRwrM5I=")</f>
        <v>#REF!</v>
      </c>
      <c r="ER93" t="e">
        <f>AND(#REF!,"bGUemRwrM5M=")</f>
        <v>#REF!</v>
      </c>
      <c r="ES93" t="e">
        <f>AND(#REF!,"bGUemRwrM5Q=")</f>
        <v>#REF!</v>
      </c>
      <c r="ET93" t="e">
        <f>AND(#REF!,"bGUemRwrM5U=")</f>
        <v>#REF!</v>
      </c>
      <c r="EU93" t="e">
        <f>AND(#REF!,"bGUemRwrM5Y=")</f>
        <v>#REF!</v>
      </c>
      <c r="EV93" t="e">
        <f>AND(#REF!,"bGUemRwrM5c=")</f>
        <v>#REF!</v>
      </c>
      <c r="EW93" t="e">
        <f>AND(#REF!,"bGUemRwrM5g=")</f>
        <v>#REF!</v>
      </c>
      <c r="EX93" t="e">
        <f>AND(#REF!,"bGUemRwrM5k=")</f>
        <v>#REF!</v>
      </c>
      <c r="EY93" t="e">
        <f>AND(#REF!,"bGUemRwrM5o=")</f>
        <v>#REF!</v>
      </c>
      <c r="EZ93" t="e">
        <f>AND(#REF!,"bGUemRwrM5s=")</f>
        <v>#REF!</v>
      </c>
      <c r="FA93" t="e">
        <f>AND(#REF!,"bGUemRwrM5w=")</f>
        <v>#REF!</v>
      </c>
      <c r="FB93" t="e">
        <f>AND(#REF!,"bGUemRwrM50=")</f>
        <v>#REF!</v>
      </c>
      <c r="FC93" t="e">
        <f>AND(#REF!,"bGUemRwrM54=")</f>
        <v>#REF!</v>
      </c>
      <c r="FD93" t="e">
        <f>AND(#REF!,"bGUemRwrM58=")</f>
        <v>#REF!</v>
      </c>
      <c r="FE93" t="e">
        <f>AND(#REF!,"bGUemRwrM6A=")</f>
        <v>#REF!</v>
      </c>
      <c r="FF93" t="e">
        <f>AND(#REF!,"bGUemRwrM6E=")</f>
        <v>#REF!</v>
      </c>
      <c r="FG93" t="e">
        <f>AND(#REF!,"bGUemRwrM6I=")</f>
        <v>#REF!</v>
      </c>
      <c r="FH93" t="e">
        <f>AND(#REF!,"bGUemRwrM6M=")</f>
        <v>#REF!</v>
      </c>
      <c r="FI93" t="e">
        <f>AND(#REF!,"bGUemRwrM6Q=")</f>
        <v>#REF!</v>
      </c>
      <c r="FJ93" t="e">
        <f>AND(#REF!,"bGUemRwrM6U=")</f>
        <v>#REF!</v>
      </c>
      <c r="FK93" t="e">
        <f>AND(#REF!,"bGUemRwrM6Y=")</f>
        <v>#REF!</v>
      </c>
      <c r="FL93" t="e">
        <f>AND(#REF!,"bGUemRwrM6c=")</f>
        <v>#REF!</v>
      </c>
      <c r="FM93" t="e">
        <f>AND(#REF!,"bGUemRwrM6g=")</f>
        <v>#REF!</v>
      </c>
      <c r="FN93" t="e">
        <f>AND(#REF!,"bGUemRwrM6k=")</f>
        <v>#REF!</v>
      </c>
      <c r="FO93" t="e">
        <f>AND(#REF!,"bGUemRwrM6o=")</f>
        <v>#REF!</v>
      </c>
      <c r="FP93" t="e">
        <f>AND(#REF!,"bGUemRwrM6s=")</f>
        <v>#REF!</v>
      </c>
      <c r="FQ93" t="e">
        <f>AND(#REF!,"bGUemRwrM6w=")</f>
        <v>#REF!</v>
      </c>
      <c r="FR93" t="e">
        <f>AND(#REF!,"bGUemRwrM60=")</f>
        <v>#REF!</v>
      </c>
      <c r="FS93" t="e">
        <f>AND(#REF!,"bGUemRwrM64=")</f>
        <v>#REF!</v>
      </c>
      <c r="FT93" t="e">
        <f>AND(#REF!,"bGUemRwrM68=")</f>
        <v>#REF!</v>
      </c>
      <c r="FU93" t="e">
        <f>AND(#REF!,"bGUemRwrM7A=")</f>
        <v>#REF!</v>
      </c>
      <c r="FV93" t="e">
        <f>AND(#REF!,"bGUemRwrM7E=")</f>
        <v>#REF!</v>
      </c>
      <c r="FW93" t="e">
        <f>AND(#REF!,"bGUemRwrM7I=")</f>
        <v>#REF!</v>
      </c>
      <c r="FX93" t="e">
        <f>AND(#REF!,"bGUemRwrM7M=")</f>
        <v>#REF!</v>
      </c>
      <c r="FY93" t="e">
        <f>AND(#REF!,"bGUemRwrM7Q=")</f>
        <v>#REF!</v>
      </c>
      <c r="FZ93" t="e">
        <f>AND(#REF!,"bGUemRwrM7U=")</f>
        <v>#REF!</v>
      </c>
      <c r="GA93" t="e">
        <f>AND(#REF!,"bGUemRwrM7Y=")</f>
        <v>#REF!</v>
      </c>
      <c r="GB93" t="e">
        <f>AND(#REF!,"bGUemRwrM7c=")</f>
        <v>#REF!</v>
      </c>
      <c r="GC93" t="e">
        <f>AND(#REF!,"bGUemRwrM7g=")</f>
        <v>#REF!</v>
      </c>
      <c r="GD93" t="e">
        <f>AND(#REF!,"bGUemRwrM7k=")</f>
        <v>#REF!</v>
      </c>
      <c r="GE93" t="e">
        <f>AND(#REF!,"bGUemRwrM7o=")</f>
        <v>#REF!</v>
      </c>
      <c r="GF93" t="e">
        <f>AND(#REF!,"bGUemRwrM7s=")</f>
        <v>#REF!</v>
      </c>
      <c r="GG93" t="e">
        <f>AND(#REF!,"bGUemRwrM7w=")</f>
        <v>#REF!</v>
      </c>
      <c r="GH93" t="e">
        <f>AND(#REF!,"bGUemRwrM70=")</f>
        <v>#REF!</v>
      </c>
      <c r="GI93" t="e">
        <f>AND(#REF!,"bGUemRwrM74=")</f>
        <v>#REF!</v>
      </c>
      <c r="GJ93" t="e">
        <f>AND(#REF!,"bGUemRwrM78=")</f>
        <v>#REF!</v>
      </c>
      <c r="GK93" t="e">
        <f>AND(#REF!,"bGUemRwrM8A=")</f>
        <v>#REF!</v>
      </c>
      <c r="GL93" t="e">
        <f>AND(#REF!,"bGUemRwrM8E=")</f>
        <v>#REF!</v>
      </c>
      <c r="GM93" t="e">
        <f>AND(#REF!,"bGUemRwrM8I=")</f>
        <v>#REF!</v>
      </c>
      <c r="GN93" t="e">
        <f>AND(#REF!,"bGUemRwrM8M=")</f>
        <v>#REF!</v>
      </c>
      <c r="GO93" t="e">
        <f>AND(#REF!,"bGUemRwrM8Q=")</f>
        <v>#REF!</v>
      </c>
      <c r="GP93" t="e">
        <f>AND(#REF!,"bGUemRwrM8U=")</f>
        <v>#REF!</v>
      </c>
      <c r="GQ93" t="e">
        <f>AND(#REF!,"bGUemRwrM8Y=")</f>
        <v>#REF!</v>
      </c>
      <c r="GR93" t="e">
        <f>AND(#REF!,"bGUemRwrM8c=")</f>
        <v>#REF!</v>
      </c>
      <c r="GS93" t="e">
        <f>AND(#REF!,"bGUemRwrM8g=")</f>
        <v>#REF!</v>
      </c>
      <c r="GT93" t="e">
        <f>AND(#REF!,"bGUemRwrM8k=")</f>
        <v>#REF!</v>
      </c>
      <c r="GU93" t="e">
        <f>AND(#REF!,"bGUemRwrM8o=")</f>
        <v>#REF!</v>
      </c>
      <c r="GV93" t="e">
        <f>AND(#REF!,"bGUemRwrM8s=")</f>
        <v>#REF!</v>
      </c>
      <c r="GW93" t="e">
        <f>AND(#REF!,"bGUemRwrM8w=")</f>
        <v>#REF!</v>
      </c>
      <c r="GX93" t="e">
        <f>AND(#REF!,"bGUemRwrM80=")</f>
        <v>#REF!</v>
      </c>
      <c r="GY93" t="e">
        <f>AND(#REF!,"bGUemRwrM84=")</f>
        <v>#REF!</v>
      </c>
      <c r="GZ93" t="e">
        <f>AND(#REF!,"bGUemRwrM88=")</f>
        <v>#REF!</v>
      </c>
      <c r="HA93" t="e">
        <f>AND(#REF!,"bGUemRwrM9A=")</f>
        <v>#REF!</v>
      </c>
      <c r="HB93" t="e">
        <f>AND(#REF!,"bGUemRwrM9E=")</f>
        <v>#REF!</v>
      </c>
      <c r="HC93" t="e">
        <f>AND(#REF!,"bGUemRwrM9I=")</f>
        <v>#REF!</v>
      </c>
      <c r="HD93" t="e">
        <f>AND(#REF!,"bGUemRwrM9M=")</f>
        <v>#REF!</v>
      </c>
      <c r="HE93" t="e">
        <f>AND(#REF!,"bGUemRwrM9Q=")</f>
        <v>#REF!</v>
      </c>
      <c r="HF93" t="e">
        <f>AND(#REF!,"bGUemRwrM9U=")</f>
        <v>#REF!</v>
      </c>
      <c r="HG93" t="e">
        <f>AND(#REF!,"bGUemRwrM9Y=")</f>
        <v>#REF!</v>
      </c>
      <c r="HH93" t="e">
        <f>AND(#REF!,"bGUemRwrM9c=")</f>
        <v>#REF!</v>
      </c>
      <c r="HI93" t="e">
        <f>AND(#REF!,"bGUemRwrM9g=")</f>
        <v>#REF!</v>
      </c>
      <c r="HJ93" t="e">
        <f>AND(#REF!,"bGUemRwrM9k=")</f>
        <v>#REF!</v>
      </c>
      <c r="HK93" t="e">
        <f>AND(#REF!,"bGUemRwrM9o=")</f>
        <v>#REF!</v>
      </c>
      <c r="HL93" t="e">
        <f>AND(#REF!,"bGUemRwrM9s=")</f>
        <v>#REF!</v>
      </c>
      <c r="HM93" t="e">
        <f>AND(#REF!,"bGUemRwrM9w=")</f>
        <v>#REF!</v>
      </c>
      <c r="HN93" t="e">
        <f>AND(#REF!,"bGUemRwrM90=")</f>
        <v>#REF!</v>
      </c>
      <c r="HO93" t="e">
        <f>AND(#REF!,"bGUemRwrM94=")</f>
        <v>#REF!</v>
      </c>
      <c r="HP93" t="e">
        <f>AND(#REF!,"bGUemRwrM98=")</f>
        <v>#REF!</v>
      </c>
      <c r="HQ93" t="e">
        <f>AND(#REF!,"bGUemRwrM+A=")</f>
        <v>#REF!</v>
      </c>
      <c r="HR93" t="e">
        <f>AND(#REF!,"bGUemRwrM+E=")</f>
        <v>#REF!</v>
      </c>
      <c r="HS93" t="e">
        <f>AND(#REF!,"bGUemRwrM+I=")</f>
        <v>#REF!</v>
      </c>
      <c r="HT93" t="e">
        <f>AND(#REF!,"bGUemRwrM+M=")</f>
        <v>#REF!</v>
      </c>
      <c r="HU93" t="e">
        <f>AND(#REF!,"bGUemRwrM+Q=")</f>
        <v>#REF!</v>
      </c>
      <c r="HV93" t="e">
        <f>AND(#REF!,"bGUemRwrM+U=")</f>
        <v>#REF!</v>
      </c>
      <c r="HW93" t="e">
        <f>AND(#REF!,"bGUemRwrM+Y=")</f>
        <v>#REF!</v>
      </c>
      <c r="HX93" t="e">
        <f>AND(#REF!,"bGUemRwrM+c=")</f>
        <v>#REF!</v>
      </c>
      <c r="HY93" t="e">
        <f>AND(#REF!,"bGUemRwrM+g=")</f>
        <v>#REF!</v>
      </c>
      <c r="HZ93" t="e">
        <f>AND(#REF!,"bGUemRwrM+k=")</f>
        <v>#REF!</v>
      </c>
      <c r="IA93" t="e">
        <f>AND(#REF!,"bGUemRwrM+o=")</f>
        <v>#REF!</v>
      </c>
      <c r="IB93" t="e">
        <f>AND(#REF!,"bGUemRwrM+s=")</f>
        <v>#REF!</v>
      </c>
      <c r="IC93" t="e">
        <f>AND(#REF!,"bGUemRwrM+w=")</f>
        <v>#REF!</v>
      </c>
      <c r="ID93" t="e">
        <f>AND(#REF!,"bGUemRwrM+0=")</f>
        <v>#REF!</v>
      </c>
      <c r="IE93" t="e">
        <f>AND(#REF!,"bGUemRwrM+4=")</f>
        <v>#REF!</v>
      </c>
      <c r="IF93" t="e">
        <f>AND(#REF!,"bGUemRwrM+8=")</f>
        <v>#REF!</v>
      </c>
      <c r="IG93" t="e">
        <f>AND(#REF!,"bGUemRwrM/A=")</f>
        <v>#REF!</v>
      </c>
      <c r="IH93" t="e">
        <f>AND(#REF!,"bGUemRwrM/E=")</f>
        <v>#REF!</v>
      </c>
      <c r="II93" t="e">
        <f>AND(#REF!,"bGUemRwrM/I=")</f>
        <v>#REF!</v>
      </c>
      <c r="IJ93" t="e">
        <f>AND(#REF!,"bGUemRwrM/M=")</f>
        <v>#REF!</v>
      </c>
      <c r="IK93" t="e">
        <f>AND(#REF!,"bGUemRwrM/Q=")</f>
        <v>#REF!</v>
      </c>
      <c r="IL93" t="e">
        <f>AND(#REF!,"bGUemRwrM/U=")</f>
        <v>#REF!</v>
      </c>
      <c r="IM93" t="e">
        <f>AND(#REF!,"bGUemRwrM/Y=")</f>
        <v>#REF!</v>
      </c>
      <c r="IN93" t="e">
        <f>AND(#REF!,"bGUemRwrM/c=")</f>
        <v>#REF!</v>
      </c>
      <c r="IO93" t="e">
        <f>AND(#REF!,"bGUemRwrM/g=")</f>
        <v>#REF!</v>
      </c>
      <c r="IP93" t="e">
        <f>AND(#REF!,"bGUemRwrM/k=")</f>
        <v>#REF!</v>
      </c>
      <c r="IQ93" t="e">
        <f>AND(#REF!,"bGUemRwrM/o=")</f>
        <v>#REF!</v>
      </c>
      <c r="IR93" t="e">
        <f>AND(#REF!,"bGUemRwrM/s=")</f>
        <v>#REF!</v>
      </c>
      <c r="IS93" t="e">
        <f>AND(#REF!,"bGUemRwrM/w=")</f>
        <v>#REF!</v>
      </c>
      <c r="IT93" t="e">
        <f>AND(#REF!,"bGUemRwrM/0=")</f>
        <v>#REF!</v>
      </c>
      <c r="IU93" t="e">
        <f>AND(#REF!,"bGUemRwrM/4=")</f>
        <v>#REF!</v>
      </c>
      <c r="IV93" t="e">
        <f>AND(#REF!,"bGUemRwrM/8=")</f>
        <v>#REF!</v>
      </c>
    </row>
    <row r="94" spans="1:256" x14ac:dyDescent="0.2">
      <c r="A94" t="e">
        <f>AND(#REF!,"Q1ZXETq2VgA=")</f>
        <v>#REF!</v>
      </c>
      <c r="B94" t="e">
        <f>AND(#REF!,"Q1ZXETq2VgE=")</f>
        <v>#REF!</v>
      </c>
      <c r="C94" t="e">
        <f>AND(#REF!,"Q1ZXETq2VgI=")</f>
        <v>#REF!</v>
      </c>
      <c r="D94" t="e">
        <f>AND(#REF!,"Q1ZXETq2VgM=")</f>
        <v>#REF!</v>
      </c>
      <c r="E94" t="e">
        <f>AND(#REF!,"Q1ZXETq2VgQ=")</f>
        <v>#REF!</v>
      </c>
      <c r="F94" t="e">
        <f>AND(#REF!,"Q1ZXETq2VgU=")</f>
        <v>#REF!</v>
      </c>
      <c r="G94" t="e">
        <f>AND(#REF!,"Q1ZXETq2VgY=")</f>
        <v>#REF!</v>
      </c>
      <c r="H94" t="e">
        <f>AND(#REF!,"Q1ZXETq2Vgc=")</f>
        <v>#REF!</v>
      </c>
      <c r="I94" t="e">
        <f>AND(#REF!,"Q1ZXETq2Vgg=")</f>
        <v>#REF!</v>
      </c>
      <c r="J94" t="e">
        <f>AND(#REF!,"Q1ZXETq2Vgk=")</f>
        <v>#REF!</v>
      </c>
      <c r="K94" t="e">
        <f>AND(#REF!,"Q1ZXETq2Vgo=")</f>
        <v>#REF!</v>
      </c>
      <c r="L94" t="e">
        <f>AND(#REF!,"Q1ZXETq2Vgs=")</f>
        <v>#REF!</v>
      </c>
      <c r="M94" t="e">
        <f>AND(#REF!,"Q1ZXETq2Vgw=")</f>
        <v>#REF!</v>
      </c>
      <c r="N94" t="e">
        <f>AND(#REF!,"Q1ZXETq2Vg0=")</f>
        <v>#REF!</v>
      </c>
      <c r="O94" t="e">
        <f>AND(#REF!,"Q1ZXETq2Vg4=")</f>
        <v>#REF!</v>
      </c>
      <c r="P94" t="e">
        <f>AND(#REF!,"Q1ZXETq2Vg8=")</f>
        <v>#REF!</v>
      </c>
      <c r="Q94" t="e">
        <f>AND(#REF!,"Q1ZXETq2VhA=")</f>
        <v>#REF!</v>
      </c>
      <c r="R94" t="e">
        <f>AND(#REF!,"Q1ZXETq2VhE=")</f>
        <v>#REF!</v>
      </c>
      <c r="S94" t="e">
        <f>IF(#REF!,"Q1ZXETq2VhI=",0)</f>
        <v>#REF!</v>
      </c>
      <c r="T94" t="e">
        <f>AND(#REF!,"Q1ZXETq2VhM=")</f>
        <v>#REF!</v>
      </c>
      <c r="U94" t="e">
        <f>AND(#REF!,"Q1ZXETq2VhQ=")</f>
        <v>#REF!</v>
      </c>
      <c r="V94" t="e">
        <f>AND(#REF!,"Q1ZXETq2VhU=")</f>
        <v>#REF!</v>
      </c>
      <c r="W94" t="e">
        <f>AND(#REF!,"Q1ZXETq2VhY=")</f>
        <v>#REF!</v>
      </c>
      <c r="X94" t="e">
        <f>AND(#REF!,"Q1ZXETq2Vhc=")</f>
        <v>#REF!</v>
      </c>
      <c r="Y94" t="e">
        <f>AND(#REF!,"Q1ZXETq2Vhg=")</f>
        <v>#REF!</v>
      </c>
      <c r="Z94" t="e">
        <f>AND(#REF!,"Q1ZXETq2Vhk=")</f>
        <v>#REF!</v>
      </c>
      <c r="AA94" t="e">
        <f>AND(#REF!,"Q1ZXETq2Vho=")</f>
        <v>#REF!</v>
      </c>
      <c r="AB94" t="e">
        <f>AND(#REF!,"Q1ZXETq2Vhs=")</f>
        <v>#REF!</v>
      </c>
      <c r="AC94" t="e">
        <f>AND(#REF!,"Q1ZXETq2Vhw=")</f>
        <v>#REF!</v>
      </c>
      <c r="AD94" t="e">
        <f>AND(#REF!,"Q1ZXETq2Vh0=")</f>
        <v>#REF!</v>
      </c>
      <c r="AE94" t="e">
        <f>AND(#REF!,"Q1ZXETq2Vh4=")</f>
        <v>#REF!</v>
      </c>
      <c r="AF94" t="e">
        <f>AND(#REF!,"Q1ZXETq2Vh8=")</f>
        <v>#REF!</v>
      </c>
      <c r="AG94" t="e">
        <f>AND(#REF!,"Q1ZXETq2ViA=")</f>
        <v>#REF!</v>
      </c>
      <c r="AH94" t="e">
        <f>AND(#REF!,"Q1ZXETq2ViE=")</f>
        <v>#REF!</v>
      </c>
      <c r="AI94" t="e">
        <f>AND(#REF!,"Q1ZXETq2ViI=")</f>
        <v>#REF!</v>
      </c>
      <c r="AJ94" t="e">
        <f>AND(#REF!,"Q1ZXETq2ViM=")</f>
        <v>#REF!</v>
      </c>
      <c r="AK94" t="e">
        <f>AND(#REF!,"Q1ZXETq2ViQ=")</f>
        <v>#REF!</v>
      </c>
      <c r="AL94" t="e">
        <f>AND(#REF!,"Q1ZXETq2ViU=")</f>
        <v>#REF!</v>
      </c>
      <c r="AM94" t="e">
        <f>AND(#REF!,"Q1ZXETq2ViY=")</f>
        <v>#REF!</v>
      </c>
      <c r="AN94" t="e">
        <f>AND(#REF!,"Q1ZXETq2Vic=")</f>
        <v>#REF!</v>
      </c>
      <c r="AO94" t="e">
        <f>AND(#REF!,"Q1ZXETq2Vig=")</f>
        <v>#REF!</v>
      </c>
      <c r="AP94" t="e">
        <f>AND(#REF!,"Q1ZXETq2Vik=")</f>
        <v>#REF!</v>
      </c>
      <c r="AQ94" t="e">
        <f>AND(#REF!,"Q1ZXETq2Vio=")</f>
        <v>#REF!</v>
      </c>
      <c r="AR94" t="e">
        <f>AND(#REF!,"Q1ZXETq2Vis=")</f>
        <v>#REF!</v>
      </c>
      <c r="AS94" t="e">
        <f>AND(#REF!,"Q1ZXETq2Viw=")</f>
        <v>#REF!</v>
      </c>
      <c r="AT94" t="e">
        <f>AND(#REF!,"Q1ZXETq2Vi0=")</f>
        <v>#REF!</v>
      </c>
      <c r="AU94" t="e">
        <f>AND(#REF!,"Q1ZXETq2Vi4=")</f>
        <v>#REF!</v>
      </c>
      <c r="AV94" t="e">
        <f>AND(#REF!,"Q1ZXETq2Vi8=")</f>
        <v>#REF!</v>
      </c>
      <c r="AW94" t="e">
        <f>AND(#REF!,"Q1ZXETq2VjA=")</f>
        <v>#REF!</v>
      </c>
      <c r="AX94" t="e">
        <f>AND(#REF!,"Q1ZXETq2VjE=")</f>
        <v>#REF!</v>
      </c>
      <c r="AY94" t="e">
        <f>AND(#REF!,"Q1ZXETq2VjI=")</f>
        <v>#REF!</v>
      </c>
      <c r="AZ94" t="e">
        <f>AND(#REF!,"Q1ZXETq2VjM=")</f>
        <v>#REF!</v>
      </c>
      <c r="BA94" t="e">
        <f>AND(#REF!,"Q1ZXETq2VjQ=")</f>
        <v>#REF!</v>
      </c>
      <c r="BB94" t="e">
        <f>AND(#REF!,"Q1ZXETq2VjU=")</f>
        <v>#REF!</v>
      </c>
      <c r="BC94" t="e">
        <f>AND(#REF!,"Q1ZXETq2VjY=")</f>
        <v>#REF!</v>
      </c>
      <c r="BD94" t="e">
        <f>AND(#REF!,"Q1ZXETq2Vjc=")</f>
        <v>#REF!</v>
      </c>
      <c r="BE94" t="e">
        <f>AND(#REF!,"Q1ZXETq2Vjg=")</f>
        <v>#REF!</v>
      </c>
      <c r="BF94" t="e">
        <f>AND(#REF!,"Q1ZXETq2Vjk=")</f>
        <v>#REF!</v>
      </c>
      <c r="BG94" t="e">
        <f>AND(#REF!,"Q1ZXETq2Vjo=")</f>
        <v>#REF!</v>
      </c>
      <c r="BH94" t="e">
        <f>AND(#REF!,"Q1ZXETq2Vjs=")</f>
        <v>#REF!</v>
      </c>
      <c r="BI94" t="e">
        <f>AND(#REF!,"Q1ZXETq2Vjw=")</f>
        <v>#REF!</v>
      </c>
      <c r="BJ94" t="e">
        <f>AND(#REF!,"Q1ZXETq2Vj0=")</f>
        <v>#REF!</v>
      </c>
      <c r="BK94" t="e">
        <f>AND(#REF!,"Q1ZXETq2Vj4=")</f>
        <v>#REF!</v>
      </c>
      <c r="BL94" t="e">
        <f>AND(#REF!,"Q1ZXETq2Vj8=")</f>
        <v>#REF!</v>
      </c>
      <c r="BM94" t="e">
        <f>AND(#REF!,"Q1ZXETq2VkA=")</f>
        <v>#REF!</v>
      </c>
      <c r="BN94" t="e">
        <f>AND(#REF!,"Q1ZXETq2VkE=")</f>
        <v>#REF!</v>
      </c>
      <c r="BO94" t="e">
        <f>AND(#REF!,"Q1ZXETq2VkI=")</f>
        <v>#REF!</v>
      </c>
      <c r="BP94" t="e">
        <f>AND(#REF!,"Q1ZXETq2VkM=")</f>
        <v>#REF!</v>
      </c>
      <c r="BQ94" t="e">
        <f>AND(#REF!,"Q1ZXETq2VkQ=")</f>
        <v>#REF!</v>
      </c>
      <c r="BR94" t="e">
        <f>AND(#REF!,"Q1ZXETq2VkU=")</f>
        <v>#REF!</v>
      </c>
      <c r="BS94" t="e">
        <f>AND(#REF!,"Q1ZXETq2VkY=")</f>
        <v>#REF!</v>
      </c>
      <c r="BT94" t="e">
        <f>AND(#REF!,"Q1ZXETq2Vkc=")</f>
        <v>#REF!</v>
      </c>
      <c r="BU94" t="e">
        <f>AND(#REF!,"Q1ZXETq2Vkg=")</f>
        <v>#REF!</v>
      </c>
      <c r="BV94" t="e">
        <f>AND(#REF!,"Q1ZXETq2Vkk=")</f>
        <v>#REF!</v>
      </c>
      <c r="BW94" t="e">
        <f>AND(#REF!,"Q1ZXETq2Vko=")</f>
        <v>#REF!</v>
      </c>
      <c r="BX94" t="e">
        <f>AND(#REF!,"Q1ZXETq2Vks=")</f>
        <v>#REF!</v>
      </c>
      <c r="BY94" t="e">
        <f>AND(#REF!,"Q1ZXETq2Vkw=")</f>
        <v>#REF!</v>
      </c>
      <c r="BZ94" t="e">
        <f>AND(#REF!,"Q1ZXETq2Vk0=")</f>
        <v>#REF!</v>
      </c>
      <c r="CA94" t="e">
        <f>AND(#REF!,"Q1ZXETq2Vk4=")</f>
        <v>#REF!</v>
      </c>
      <c r="CB94" t="e">
        <f>AND(#REF!,"Q1ZXETq2Vk8=")</f>
        <v>#REF!</v>
      </c>
      <c r="CC94" t="e">
        <f>AND(#REF!,"Q1ZXETq2VlA=")</f>
        <v>#REF!</v>
      </c>
      <c r="CD94" t="e">
        <f>AND(#REF!,"Q1ZXETq2VlE=")</f>
        <v>#REF!</v>
      </c>
      <c r="CE94" t="e">
        <f>AND(#REF!,"Q1ZXETq2VlI=")</f>
        <v>#REF!</v>
      </c>
      <c r="CF94" t="e">
        <f>AND(#REF!,"Q1ZXETq2VlM=")</f>
        <v>#REF!</v>
      </c>
      <c r="CG94" t="e">
        <f>AND(#REF!,"Q1ZXETq2VlQ=")</f>
        <v>#REF!</v>
      </c>
      <c r="CH94" t="e">
        <f>AND(#REF!,"Q1ZXETq2VlU=")</f>
        <v>#REF!</v>
      </c>
      <c r="CI94" t="e">
        <f>AND(#REF!,"Q1ZXETq2VlY=")</f>
        <v>#REF!</v>
      </c>
      <c r="CJ94" t="e">
        <f>AND(#REF!,"Q1ZXETq2Vlc=")</f>
        <v>#REF!</v>
      </c>
      <c r="CK94" t="e">
        <f>AND(#REF!,"Q1ZXETq2Vlg=")</f>
        <v>#REF!</v>
      </c>
      <c r="CL94" t="e">
        <f>AND(#REF!,"Q1ZXETq2Vlk=")</f>
        <v>#REF!</v>
      </c>
      <c r="CM94" t="e">
        <f>AND(#REF!,"Q1ZXETq2Vlo=")</f>
        <v>#REF!</v>
      </c>
      <c r="CN94" t="e">
        <f>AND(#REF!,"Q1ZXETq2Vls=")</f>
        <v>#REF!</v>
      </c>
      <c r="CO94" t="e">
        <f>AND(#REF!,"Q1ZXETq2Vlw=")</f>
        <v>#REF!</v>
      </c>
      <c r="CP94" t="e">
        <f>AND(#REF!,"Q1ZXETq2Vl0=")</f>
        <v>#REF!</v>
      </c>
      <c r="CQ94" t="e">
        <f>AND(#REF!,"Q1ZXETq2Vl4=")</f>
        <v>#REF!</v>
      </c>
      <c r="CR94" t="e">
        <f>AND(#REF!,"Q1ZXETq2Vl8=")</f>
        <v>#REF!</v>
      </c>
      <c r="CS94" t="e">
        <f>AND(#REF!,"Q1ZXETq2VmA=")</f>
        <v>#REF!</v>
      </c>
      <c r="CT94" t="e">
        <f>AND(#REF!,"Q1ZXETq2VmE=")</f>
        <v>#REF!</v>
      </c>
      <c r="CU94" t="e">
        <f>AND(#REF!,"Q1ZXETq2VmI=")</f>
        <v>#REF!</v>
      </c>
      <c r="CV94" t="e">
        <f>AND(#REF!,"Q1ZXETq2VmM=")</f>
        <v>#REF!</v>
      </c>
      <c r="CW94" t="e">
        <f>AND(#REF!,"Q1ZXETq2VmQ=")</f>
        <v>#REF!</v>
      </c>
      <c r="CX94" t="e">
        <f>AND(#REF!,"Q1ZXETq2VmU=")</f>
        <v>#REF!</v>
      </c>
      <c r="CY94" t="e">
        <f>AND(#REF!,"Q1ZXETq2VmY=")</f>
        <v>#REF!</v>
      </c>
      <c r="CZ94" t="e">
        <f>AND(#REF!,"Q1ZXETq2Vmc=")</f>
        <v>#REF!</v>
      </c>
      <c r="DA94" t="e">
        <f>AND(#REF!,"Q1ZXETq2Vmg=")</f>
        <v>#REF!</v>
      </c>
      <c r="DB94" t="e">
        <f>AND(#REF!,"Q1ZXETq2Vmk=")</f>
        <v>#REF!</v>
      </c>
      <c r="DC94" t="e">
        <f>AND(#REF!,"Q1ZXETq2Vmo=")</f>
        <v>#REF!</v>
      </c>
      <c r="DD94" t="e">
        <f>AND(#REF!,"Q1ZXETq2Vms=")</f>
        <v>#REF!</v>
      </c>
      <c r="DE94" t="e">
        <f>AND(#REF!,"Q1ZXETq2Vmw=")</f>
        <v>#REF!</v>
      </c>
      <c r="DF94" t="e">
        <f>AND(#REF!,"Q1ZXETq2Vm0=")</f>
        <v>#REF!</v>
      </c>
      <c r="DG94" t="e">
        <f>AND(#REF!,"Q1ZXETq2Vm4=")</f>
        <v>#REF!</v>
      </c>
      <c r="DH94" t="e">
        <f>AND(#REF!,"Q1ZXETq2Vm8=")</f>
        <v>#REF!</v>
      </c>
      <c r="DI94" t="e">
        <f>AND(#REF!,"Q1ZXETq2VnA=")</f>
        <v>#REF!</v>
      </c>
      <c r="DJ94" t="e">
        <f>AND(#REF!,"Q1ZXETq2VnE=")</f>
        <v>#REF!</v>
      </c>
      <c r="DK94" t="e">
        <f>AND(#REF!,"Q1ZXETq2VnI=")</f>
        <v>#REF!</v>
      </c>
      <c r="DL94" t="e">
        <f>AND(#REF!,"Q1ZXETq2VnM=")</f>
        <v>#REF!</v>
      </c>
      <c r="DM94" t="e">
        <f>AND(#REF!,"Q1ZXETq2VnQ=")</f>
        <v>#REF!</v>
      </c>
      <c r="DN94" t="e">
        <f>AND(#REF!,"Q1ZXETq2VnU=")</f>
        <v>#REF!</v>
      </c>
      <c r="DO94" t="e">
        <f>AND(#REF!,"Q1ZXETq2VnY=")</f>
        <v>#REF!</v>
      </c>
      <c r="DP94" t="e">
        <f>AND(#REF!,"Q1ZXETq2Vnc=")</f>
        <v>#REF!</v>
      </c>
      <c r="DQ94" t="e">
        <f>AND(#REF!,"Q1ZXETq2Vng=")</f>
        <v>#REF!</v>
      </c>
      <c r="DR94" t="e">
        <f>AND(#REF!,"Q1ZXETq2Vnk=")</f>
        <v>#REF!</v>
      </c>
      <c r="DS94" t="e">
        <f>AND(#REF!,"Q1ZXETq2Vno=")</f>
        <v>#REF!</v>
      </c>
      <c r="DT94" t="e">
        <f>AND(#REF!,"Q1ZXETq2Vns=")</f>
        <v>#REF!</v>
      </c>
      <c r="DU94" t="e">
        <f>AND(#REF!,"Q1ZXETq2Vnw=")</f>
        <v>#REF!</v>
      </c>
      <c r="DV94" t="e">
        <f>AND(#REF!,"Q1ZXETq2Vn0=")</f>
        <v>#REF!</v>
      </c>
      <c r="DW94" t="e">
        <f>AND(#REF!,"Q1ZXETq2Vn4=")</f>
        <v>#REF!</v>
      </c>
      <c r="DX94" t="e">
        <f>AND(#REF!,"Q1ZXETq2Vn8=")</f>
        <v>#REF!</v>
      </c>
      <c r="DY94" t="e">
        <f>AND(#REF!,"Q1ZXETq2VoA=")</f>
        <v>#REF!</v>
      </c>
      <c r="DZ94" t="e">
        <f>AND(#REF!,"Q1ZXETq2VoE=")</f>
        <v>#REF!</v>
      </c>
      <c r="EA94" t="e">
        <f>AND(#REF!,"Q1ZXETq2VoI=")</f>
        <v>#REF!</v>
      </c>
      <c r="EB94" t="e">
        <f>AND(#REF!,"Q1ZXETq2VoM=")</f>
        <v>#REF!</v>
      </c>
      <c r="EC94" t="e">
        <f>AND(#REF!,"Q1ZXETq2VoQ=")</f>
        <v>#REF!</v>
      </c>
      <c r="ED94" t="e">
        <f>AND(#REF!,"Q1ZXETq2VoU=")</f>
        <v>#REF!</v>
      </c>
      <c r="EE94" t="e">
        <f>AND(#REF!,"Q1ZXETq2VoY=")</f>
        <v>#REF!</v>
      </c>
      <c r="EF94" t="e">
        <f>AND(#REF!,"Q1ZXETq2Voc=")</f>
        <v>#REF!</v>
      </c>
      <c r="EG94" t="e">
        <f>AND(#REF!,"Q1ZXETq2Vog=")</f>
        <v>#REF!</v>
      </c>
      <c r="EH94" t="e">
        <f>AND(#REF!,"Q1ZXETq2Vok=")</f>
        <v>#REF!</v>
      </c>
      <c r="EI94" t="e">
        <f>AND(#REF!,"Q1ZXETq2Voo=")</f>
        <v>#REF!</v>
      </c>
      <c r="EJ94" t="e">
        <f>AND(#REF!,"Q1ZXETq2Vos=")</f>
        <v>#REF!</v>
      </c>
      <c r="EK94" t="e">
        <f>AND(#REF!,"Q1ZXETq2Vow=")</f>
        <v>#REF!</v>
      </c>
      <c r="EL94" t="e">
        <f>AND(#REF!,"Q1ZXETq2Vo0=")</f>
        <v>#REF!</v>
      </c>
      <c r="EM94" t="e">
        <f>AND(#REF!,"Q1ZXETq2Vo4=")</f>
        <v>#REF!</v>
      </c>
      <c r="EN94" t="e">
        <f>AND(#REF!,"Q1ZXETq2Vo8=")</f>
        <v>#REF!</v>
      </c>
      <c r="EO94" t="e">
        <f>AND(#REF!,"Q1ZXETq2VpA=")</f>
        <v>#REF!</v>
      </c>
      <c r="EP94" t="e">
        <f>AND(#REF!,"Q1ZXETq2VpE=")</f>
        <v>#REF!</v>
      </c>
      <c r="EQ94" t="e">
        <f>AND(#REF!,"Q1ZXETq2VpI=")</f>
        <v>#REF!</v>
      </c>
      <c r="ER94" t="e">
        <f>AND(#REF!,"Q1ZXETq2VpM=")</f>
        <v>#REF!</v>
      </c>
      <c r="ES94" t="e">
        <f>AND(#REF!,"Q1ZXETq2VpQ=")</f>
        <v>#REF!</v>
      </c>
      <c r="ET94" t="e">
        <f>AND(#REF!,"Q1ZXETq2VpU=")</f>
        <v>#REF!</v>
      </c>
      <c r="EU94" t="e">
        <f>AND(#REF!,"Q1ZXETq2VpY=")</f>
        <v>#REF!</v>
      </c>
      <c r="EV94" t="e">
        <f>AND(#REF!,"Q1ZXETq2Vpc=")</f>
        <v>#REF!</v>
      </c>
      <c r="EW94" t="e">
        <f>AND(#REF!,"Q1ZXETq2Vpg=")</f>
        <v>#REF!</v>
      </c>
      <c r="EX94" t="e">
        <f>AND(#REF!,"Q1ZXETq2Vpk=")</f>
        <v>#REF!</v>
      </c>
      <c r="EY94" t="e">
        <f>AND(#REF!,"Q1ZXETq2Vpo=")</f>
        <v>#REF!</v>
      </c>
      <c r="EZ94" t="e">
        <f>AND(#REF!,"Q1ZXETq2Vps=")</f>
        <v>#REF!</v>
      </c>
      <c r="FA94" t="e">
        <f>AND(#REF!,"Q1ZXETq2Vpw=")</f>
        <v>#REF!</v>
      </c>
      <c r="FB94" t="e">
        <f>AND(#REF!,"Q1ZXETq2Vp0=")</f>
        <v>#REF!</v>
      </c>
      <c r="FC94" t="e">
        <f>AND(#REF!,"Q1ZXETq2Vp4=")</f>
        <v>#REF!</v>
      </c>
      <c r="FD94" t="e">
        <f>AND(#REF!,"Q1ZXETq2Vp8=")</f>
        <v>#REF!</v>
      </c>
      <c r="FE94" t="e">
        <f>AND(#REF!,"Q1ZXETq2VqA=")</f>
        <v>#REF!</v>
      </c>
      <c r="FF94" t="e">
        <f>AND(#REF!,"Q1ZXETq2VqE=")</f>
        <v>#REF!</v>
      </c>
      <c r="FG94" t="e">
        <f>AND(#REF!,"Q1ZXETq2VqI=")</f>
        <v>#REF!</v>
      </c>
      <c r="FH94" t="e">
        <f>AND(#REF!,"Q1ZXETq2VqM=")</f>
        <v>#REF!</v>
      </c>
      <c r="FI94" t="e">
        <f>AND(#REF!,"Q1ZXETq2VqQ=")</f>
        <v>#REF!</v>
      </c>
      <c r="FJ94" t="e">
        <f>AND(#REF!,"Q1ZXETq2VqU=")</f>
        <v>#REF!</v>
      </c>
      <c r="FK94" t="e">
        <f>AND(#REF!,"Q1ZXETq2VqY=")</f>
        <v>#REF!</v>
      </c>
      <c r="FL94" t="e">
        <f>AND(#REF!,"Q1ZXETq2Vqc=")</f>
        <v>#REF!</v>
      </c>
      <c r="FM94" t="e">
        <f>AND(#REF!,"Q1ZXETq2Vqg=")</f>
        <v>#REF!</v>
      </c>
      <c r="FN94" t="e">
        <f>AND(#REF!,"Q1ZXETq2Vqk=")</f>
        <v>#REF!</v>
      </c>
      <c r="FO94" t="e">
        <f>AND(#REF!,"Q1ZXETq2Vqo=")</f>
        <v>#REF!</v>
      </c>
      <c r="FP94" t="e">
        <f>AND(#REF!,"Q1ZXETq2Vqs=")</f>
        <v>#REF!</v>
      </c>
      <c r="FQ94" t="e">
        <f>AND(#REF!,"Q1ZXETq2Vqw=")</f>
        <v>#REF!</v>
      </c>
      <c r="FR94" t="e">
        <f>AND(#REF!,"Q1ZXETq2Vq0=")</f>
        <v>#REF!</v>
      </c>
      <c r="FS94" t="e">
        <f>AND(#REF!,"Q1ZXETq2Vq4=")</f>
        <v>#REF!</v>
      </c>
      <c r="FT94" t="e">
        <f>AND(#REF!,"Q1ZXETq2Vq8=")</f>
        <v>#REF!</v>
      </c>
      <c r="FU94" t="e">
        <f>AND(#REF!,"Q1ZXETq2VrA=")</f>
        <v>#REF!</v>
      </c>
      <c r="FV94" t="e">
        <f>AND(#REF!,"Q1ZXETq2VrE=")</f>
        <v>#REF!</v>
      </c>
      <c r="FW94" t="e">
        <f>AND(#REF!,"Q1ZXETq2VrI=")</f>
        <v>#REF!</v>
      </c>
      <c r="FX94" t="e">
        <f>AND(#REF!,"Q1ZXETq2VrM=")</f>
        <v>#REF!</v>
      </c>
      <c r="FY94" t="e">
        <f>AND(#REF!,"Q1ZXETq2VrQ=")</f>
        <v>#REF!</v>
      </c>
      <c r="FZ94" t="e">
        <f>AND(#REF!,"Q1ZXETq2VrU=")</f>
        <v>#REF!</v>
      </c>
      <c r="GA94" t="e">
        <f>AND(#REF!,"Q1ZXETq2VrY=")</f>
        <v>#REF!</v>
      </c>
      <c r="GB94" t="e">
        <f>AND(#REF!,"Q1ZXETq2Vrc=")</f>
        <v>#REF!</v>
      </c>
      <c r="GC94" t="e">
        <f>AND(#REF!,"Q1ZXETq2Vrg=")</f>
        <v>#REF!</v>
      </c>
      <c r="GD94" t="e">
        <f>AND(#REF!,"Q1ZXETq2Vrk=")</f>
        <v>#REF!</v>
      </c>
      <c r="GE94" t="e">
        <f>AND(#REF!,"Q1ZXETq2Vro=")</f>
        <v>#REF!</v>
      </c>
      <c r="GF94" t="e">
        <f>AND(#REF!,"Q1ZXETq2Vrs=")</f>
        <v>#REF!</v>
      </c>
      <c r="GG94" t="e">
        <f>AND(#REF!,"Q1ZXETq2Vrw=")</f>
        <v>#REF!</v>
      </c>
      <c r="GH94" t="e">
        <f>AND(#REF!,"Q1ZXETq2Vr0=")</f>
        <v>#REF!</v>
      </c>
      <c r="GI94" t="e">
        <f>AND(#REF!,"Q1ZXETq2Vr4=")</f>
        <v>#REF!</v>
      </c>
      <c r="GJ94" t="e">
        <f>AND(#REF!,"Q1ZXETq2Vr8=")</f>
        <v>#REF!</v>
      </c>
      <c r="GK94" t="e">
        <f>AND(#REF!,"Q1ZXETq2VsA=")</f>
        <v>#REF!</v>
      </c>
      <c r="GL94" t="e">
        <f>AND(#REF!,"Q1ZXETq2VsE=")</f>
        <v>#REF!</v>
      </c>
      <c r="GM94" t="e">
        <f>AND(#REF!,"Q1ZXETq2VsI=")</f>
        <v>#REF!</v>
      </c>
      <c r="GN94" t="e">
        <f>AND(#REF!,"Q1ZXETq2VsM=")</f>
        <v>#REF!</v>
      </c>
      <c r="GO94" t="e">
        <f>AND(#REF!,"Q1ZXETq2VsQ=")</f>
        <v>#REF!</v>
      </c>
      <c r="GP94" t="e">
        <f>AND(#REF!,"Q1ZXETq2VsU=")</f>
        <v>#REF!</v>
      </c>
      <c r="GQ94" t="e">
        <f>AND(#REF!,"Q1ZXETq2VsY=")</f>
        <v>#REF!</v>
      </c>
      <c r="GR94" t="e">
        <f>AND(#REF!,"Q1ZXETq2Vsc=")</f>
        <v>#REF!</v>
      </c>
      <c r="GS94" t="e">
        <f>AND(#REF!,"Q1ZXETq2Vsg=")</f>
        <v>#REF!</v>
      </c>
      <c r="GT94" t="e">
        <f>AND(#REF!,"Q1ZXETq2Vsk=")</f>
        <v>#REF!</v>
      </c>
      <c r="GU94" t="e">
        <f>AND(#REF!,"Q1ZXETq2Vso=")</f>
        <v>#REF!</v>
      </c>
      <c r="GV94" t="e">
        <f>AND(#REF!,"Q1ZXETq2Vss=")</f>
        <v>#REF!</v>
      </c>
      <c r="GW94" t="e">
        <f>AND(#REF!,"Q1ZXETq2Vsw=")</f>
        <v>#REF!</v>
      </c>
      <c r="GX94" t="e">
        <f>AND(#REF!,"Q1ZXETq2Vs0=")</f>
        <v>#REF!</v>
      </c>
      <c r="GY94" t="e">
        <f>AND(#REF!,"Q1ZXETq2Vs4=")</f>
        <v>#REF!</v>
      </c>
      <c r="GZ94" t="e">
        <f>AND(#REF!,"Q1ZXETq2Vs8=")</f>
        <v>#REF!</v>
      </c>
      <c r="HA94" t="e">
        <f>AND(#REF!,"Q1ZXETq2VtA=")</f>
        <v>#REF!</v>
      </c>
      <c r="HB94" t="e">
        <f>AND(#REF!,"Q1ZXETq2VtE=")</f>
        <v>#REF!</v>
      </c>
      <c r="HC94" t="e">
        <f>AND(#REF!,"Q1ZXETq2VtI=")</f>
        <v>#REF!</v>
      </c>
      <c r="HD94" t="e">
        <f>AND(#REF!,"Q1ZXETq2VtM=")</f>
        <v>#REF!</v>
      </c>
      <c r="HE94" t="e">
        <f>AND(#REF!,"Q1ZXETq2VtQ=")</f>
        <v>#REF!</v>
      </c>
      <c r="HF94" t="e">
        <f>AND(#REF!,"Q1ZXETq2VtU=")</f>
        <v>#REF!</v>
      </c>
      <c r="HG94" t="e">
        <f>AND(#REF!,"Q1ZXETq2VtY=")</f>
        <v>#REF!</v>
      </c>
      <c r="HH94" t="e">
        <f>AND(#REF!,"Q1ZXETq2Vtc=")</f>
        <v>#REF!</v>
      </c>
      <c r="HI94" t="e">
        <f>AND(#REF!,"Q1ZXETq2Vtg=")</f>
        <v>#REF!</v>
      </c>
      <c r="HJ94" t="e">
        <f>IF(#REF!,"Q1ZXETq2Vtk=",0)</f>
        <v>#REF!</v>
      </c>
      <c r="HK94" t="e">
        <f>AND(#REF!,"Q1ZXETq2Vto=")</f>
        <v>#REF!</v>
      </c>
      <c r="HL94" t="e">
        <f>AND(#REF!,"Q1ZXETq2Vts=")</f>
        <v>#REF!</v>
      </c>
      <c r="HM94" t="e">
        <f>AND(#REF!,"Q1ZXETq2Vtw=")</f>
        <v>#REF!</v>
      </c>
      <c r="HN94" t="e">
        <f>AND(#REF!,"Q1ZXETq2Vt0=")</f>
        <v>#REF!</v>
      </c>
      <c r="HO94" t="e">
        <f>AND(#REF!,"Q1ZXETq2Vt4=")</f>
        <v>#REF!</v>
      </c>
      <c r="HP94" t="e">
        <f>AND(#REF!,"Q1ZXETq2Vt8=")</f>
        <v>#REF!</v>
      </c>
      <c r="HQ94" t="e">
        <f>AND(#REF!,"Q1ZXETq2VuA=")</f>
        <v>#REF!</v>
      </c>
      <c r="HR94" t="e">
        <f>AND(#REF!,"Q1ZXETq2VuE=")</f>
        <v>#REF!</v>
      </c>
      <c r="HS94" t="e">
        <f>AND(#REF!,"Q1ZXETq2VuI=")</f>
        <v>#REF!</v>
      </c>
      <c r="HT94" t="e">
        <f>AND(#REF!,"Q1ZXETq2VuM=")</f>
        <v>#REF!</v>
      </c>
      <c r="HU94" t="e">
        <f>AND(#REF!,"Q1ZXETq2VuQ=")</f>
        <v>#REF!</v>
      </c>
      <c r="HV94" t="e">
        <f>AND(#REF!,"Q1ZXETq2VuU=")</f>
        <v>#REF!</v>
      </c>
      <c r="HW94" t="e">
        <f>AND(#REF!,"Q1ZXETq2VuY=")</f>
        <v>#REF!</v>
      </c>
      <c r="HX94" t="e">
        <f>AND(#REF!,"Q1ZXETq2Vuc=")</f>
        <v>#REF!</v>
      </c>
      <c r="HY94" t="e">
        <f>AND(#REF!,"Q1ZXETq2Vug=")</f>
        <v>#REF!</v>
      </c>
      <c r="HZ94" t="e">
        <f>AND(#REF!,"Q1ZXETq2Vuk=")</f>
        <v>#REF!</v>
      </c>
      <c r="IA94" t="e">
        <f>AND(#REF!,"Q1ZXETq2Vuo=")</f>
        <v>#REF!</v>
      </c>
      <c r="IB94" t="e">
        <f>AND(#REF!,"Q1ZXETq2Vus=")</f>
        <v>#REF!</v>
      </c>
      <c r="IC94" t="e">
        <f>AND(#REF!,"Q1ZXETq2Vuw=")</f>
        <v>#REF!</v>
      </c>
      <c r="ID94" t="e">
        <f>AND(#REF!,"Q1ZXETq2Vu0=")</f>
        <v>#REF!</v>
      </c>
      <c r="IE94" t="e">
        <f>AND(#REF!,"Q1ZXETq2Vu4=")</f>
        <v>#REF!</v>
      </c>
      <c r="IF94" t="e">
        <f>AND(#REF!,"Q1ZXETq2Vu8=")</f>
        <v>#REF!</v>
      </c>
      <c r="IG94" t="e">
        <f>AND(#REF!,"Q1ZXETq2VvA=")</f>
        <v>#REF!</v>
      </c>
      <c r="IH94" t="e">
        <f>AND(#REF!,"Q1ZXETq2VvE=")</f>
        <v>#REF!</v>
      </c>
      <c r="II94" t="e">
        <f>AND(#REF!,"Q1ZXETq2VvI=")</f>
        <v>#REF!</v>
      </c>
      <c r="IJ94" t="e">
        <f>AND(#REF!,"Q1ZXETq2VvM=")</f>
        <v>#REF!</v>
      </c>
      <c r="IK94" t="e">
        <f>AND(#REF!,"Q1ZXETq2VvQ=")</f>
        <v>#REF!</v>
      </c>
      <c r="IL94" t="e">
        <f>AND(#REF!,"Q1ZXETq2VvU=")</f>
        <v>#REF!</v>
      </c>
      <c r="IM94" t="e">
        <f>AND(#REF!,"Q1ZXETq2VvY=")</f>
        <v>#REF!</v>
      </c>
      <c r="IN94" t="e">
        <f>AND(#REF!,"Q1ZXETq2Vvc=")</f>
        <v>#REF!</v>
      </c>
      <c r="IO94" t="e">
        <f>AND(#REF!,"Q1ZXETq2Vvg=")</f>
        <v>#REF!</v>
      </c>
      <c r="IP94" t="e">
        <f>AND(#REF!,"Q1ZXETq2Vvk=")</f>
        <v>#REF!</v>
      </c>
      <c r="IQ94" t="e">
        <f>AND(#REF!,"Q1ZXETq2Vvo=")</f>
        <v>#REF!</v>
      </c>
      <c r="IR94" t="e">
        <f>AND(#REF!,"Q1ZXETq2Vvs=")</f>
        <v>#REF!</v>
      </c>
      <c r="IS94" t="e">
        <f>AND(#REF!,"Q1ZXETq2Vvw=")</f>
        <v>#REF!</v>
      </c>
      <c r="IT94" t="e">
        <f>AND(#REF!,"Q1ZXETq2Vv0=")</f>
        <v>#REF!</v>
      </c>
      <c r="IU94" t="e">
        <f>AND(#REF!,"Q1ZXETq2Vv4=")</f>
        <v>#REF!</v>
      </c>
      <c r="IV94" t="e">
        <f>AND(#REF!,"Q1ZXETq2Vv8=")</f>
        <v>#REF!</v>
      </c>
    </row>
    <row r="95" spans="1:256" x14ac:dyDescent="0.2">
      <c r="A95" t="e">
        <f>AND(#REF!,"AOWos1OgigA=")</f>
        <v>#REF!</v>
      </c>
      <c r="B95" t="e">
        <f>AND(#REF!,"AOWos1OgigE=")</f>
        <v>#REF!</v>
      </c>
      <c r="C95" t="e">
        <f>AND(#REF!,"AOWos1OgigI=")</f>
        <v>#REF!</v>
      </c>
      <c r="D95" t="e">
        <f>AND(#REF!,"AOWos1OgigM=")</f>
        <v>#REF!</v>
      </c>
      <c r="E95" t="e">
        <f>AND(#REF!,"AOWos1OgigQ=")</f>
        <v>#REF!</v>
      </c>
      <c r="F95" t="e">
        <f>AND(#REF!,"AOWos1OgigU=")</f>
        <v>#REF!</v>
      </c>
      <c r="G95" t="e">
        <f>AND(#REF!,"AOWos1OgigY=")</f>
        <v>#REF!</v>
      </c>
      <c r="H95" t="e">
        <f>AND(#REF!,"AOWos1Ogigc=")</f>
        <v>#REF!</v>
      </c>
      <c r="I95" t="e">
        <f>AND(#REF!,"AOWos1Ogigg=")</f>
        <v>#REF!</v>
      </c>
      <c r="J95" t="e">
        <f>AND(#REF!,"AOWos1Ogigk=")</f>
        <v>#REF!</v>
      </c>
      <c r="K95" t="e">
        <f>AND(#REF!,"AOWos1Ogigo=")</f>
        <v>#REF!</v>
      </c>
      <c r="L95" t="e">
        <f>AND(#REF!,"AOWos1Ogigs=")</f>
        <v>#REF!</v>
      </c>
      <c r="M95" t="e">
        <f>AND(#REF!,"AOWos1Ogigw=")</f>
        <v>#REF!</v>
      </c>
      <c r="N95" t="e">
        <f>AND(#REF!,"AOWos1Ogig0=")</f>
        <v>#REF!</v>
      </c>
      <c r="O95" t="e">
        <f>AND(#REF!,"AOWos1Ogig4=")</f>
        <v>#REF!</v>
      </c>
      <c r="P95" t="e">
        <f>AND(#REF!,"AOWos1Ogig8=")</f>
        <v>#REF!</v>
      </c>
      <c r="Q95" t="e">
        <f>AND(#REF!,"AOWos1OgihA=")</f>
        <v>#REF!</v>
      </c>
      <c r="R95" t="e">
        <f>AND(#REF!,"AOWos1OgihE=")</f>
        <v>#REF!</v>
      </c>
      <c r="S95" t="e">
        <f>AND(#REF!,"AOWos1OgihI=")</f>
        <v>#REF!</v>
      </c>
      <c r="T95" t="e">
        <f>AND(#REF!,"AOWos1OgihM=")</f>
        <v>#REF!</v>
      </c>
      <c r="U95" t="e">
        <f>AND(#REF!,"AOWos1OgihQ=")</f>
        <v>#REF!</v>
      </c>
      <c r="V95" t="e">
        <f>AND(#REF!,"AOWos1OgihU=")</f>
        <v>#REF!</v>
      </c>
      <c r="W95" t="e">
        <f>AND(#REF!,"AOWos1OgihY=")</f>
        <v>#REF!</v>
      </c>
      <c r="X95" t="e">
        <f>AND(#REF!,"AOWos1Ogihc=")</f>
        <v>#REF!</v>
      </c>
      <c r="Y95" t="e">
        <f>AND(#REF!,"AOWos1Ogihg=")</f>
        <v>#REF!</v>
      </c>
      <c r="Z95" t="e">
        <f>AND(#REF!,"AOWos1Ogihk=")</f>
        <v>#REF!</v>
      </c>
      <c r="AA95" t="e">
        <f>AND(#REF!,"AOWos1Ogiho=")</f>
        <v>#REF!</v>
      </c>
      <c r="AB95" t="e">
        <f>AND(#REF!,"AOWos1Ogihs=")</f>
        <v>#REF!</v>
      </c>
      <c r="AC95" t="e">
        <f>AND(#REF!,"AOWos1Ogihw=")</f>
        <v>#REF!</v>
      </c>
      <c r="AD95" t="e">
        <f>AND(#REF!,"AOWos1Ogih0=")</f>
        <v>#REF!</v>
      </c>
      <c r="AE95" t="e">
        <f>AND(#REF!,"AOWos1Ogih4=")</f>
        <v>#REF!</v>
      </c>
      <c r="AF95" t="e">
        <f>AND(#REF!,"AOWos1Ogih8=")</f>
        <v>#REF!</v>
      </c>
      <c r="AG95" t="e">
        <f>AND(#REF!,"AOWos1OgiiA=")</f>
        <v>#REF!</v>
      </c>
      <c r="AH95" t="e">
        <f>AND(#REF!,"AOWos1OgiiE=")</f>
        <v>#REF!</v>
      </c>
      <c r="AI95" t="e">
        <f>AND(#REF!,"AOWos1OgiiI=")</f>
        <v>#REF!</v>
      </c>
      <c r="AJ95" t="e">
        <f>AND(#REF!,"AOWos1OgiiM=")</f>
        <v>#REF!</v>
      </c>
      <c r="AK95" t="e">
        <f>AND(#REF!,"AOWos1OgiiQ=")</f>
        <v>#REF!</v>
      </c>
      <c r="AL95" t="e">
        <f>AND(#REF!,"AOWos1OgiiU=")</f>
        <v>#REF!</v>
      </c>
      <c r="AM95" t="e">
        <f>AND(#REF!,"AOWos1OgiiY=")</f>
        <v>#REF!</v>
      </c>
      <c r="AN95" t="e">
        <f>AND(#REF!,"AOWos1Ogiic=")</f>
        <v>#REF!</v>
      </c>
      <c r="AO95" t="e">
        <f>AND(#REF!,"AOWos1Ogiig=")</f>
        <v>#REF!</v>
      </c>
      <c r="AP95" t="e">
        <f>AND(#REF!,"AOWos1Ogiik=")</f>
        <v>#REF!</v>
      </c>
      <c r="AQ95" t="e">
        <f>AND(#REF!,"AOWos1Ogiio=")</f>
        <v>#REF!</v>
      </c>
      <c r="AR95" t="e">
        <f>AND(#REF!,"AOWos1Ogiis=")</f>
        <v>#REF!</v>
      </c>
      <c r="AS95" t="e">
        <f>AND(#REF!,"AOWos1Ogiiw=")</f>
        <v>#REF!</v>
      </c>
      <c r="AT95" t="e">
        <f>AND(#REF!,"AOWos1Ogii0=")</f>
        <v>#REF!</v>
      </c>
      <c r="AU95" t="e">
        <f>AND(#REF!,"AOWos1Ogii4=")</f>
        <v>#REF!</v>
      </c>
      <c r="AV95" t="e">
        <f>AND(#REF!,"AOWos1Ogii8=")</f>
        <v>#REF!</v>
      </c>
      <c r="AW95" t="e">
        <f>AND(#REF!,"AOWos1OgijA=")</f>
        <v>#REF!</v>
      </c>
      <c r="AX95" t="e">
        <f>AND(#REF!,"AOWos1OgijE=")</f>
        <v>#REF!</v>
      </c>
      <c r="AY95" t="e">
        <f>AND(#REF!,"AOWos1OgijI=")</f>
        <v>#REF!</v>
      </c>
      <c r="AZ95" t="e">
        <f>AND(#REF!,"AOWos1OgijM=")</f>
        <v>#REF!</v>
      </c>
      <c r="BA95" t="e">
        <f>AND(#REF!,"AOWos1OgijQ=")</f>
        <v>#REF!</v>
      </c>
      <c r="BB95" t="e">
        <f>AND(#REF!,"AOWos1OgijU=")</f>
        <v>#REF!</v>
      </c>
      <c r="BC95" t="e">
        <f>AND(#REF!,"AOWos1OgijY=")</f>
        <v>#REF!</v>
      </c>
      <c r="BD95" t="e">
        <f>AND(#REF!,"AOWos1Ogijc=")</f>
        <v>#REF!</v>
      </c>
      <c r="BE95" t="e">
        <f>AND(#REF!,"AOWos1Ogijg=")</f>
        <v>#REF!</v>
      </c>
      <c r="BF95" t="e">
        <f>AND(#REF!,"AOWos1Ogijk=")</f>
        <v>#REF!</v>
      </c>
      <c r="BG95" t="e">
        <f>AND(#REF!,"AOWos1Ogijo=")</f>
        <v>#REF!</v>
      </c>
      <c r="BH95" t="e">
        <f>AND(#REF!,"AOWos1Ogijs=")</f>
        <v>#REF!</v>
      </c>
      <c r="BI95" t="e">
        <f>AND(#REF!,"AOWos1Ogijw=")</f>
        <v>#REF!</v>
      </c>
      <c r="BJ95" t="e">
        <f>AND(#REF!,"AOWos1Ogij0=")</f>
        <v>#REF!</v>
      </c>
      <c r="BK95" t="e">
        <f>AND(#REF!,"AOWos1Ogij4=")</f>
        <v>#REF!</v>
      </c>
      <c r="BL95" t="e">
        <f>AND(#REF!,"AOWos1Ogij8=")</f>
        <v>#REF!</v>
      </c>
      <c r="BM95" t="e">
        <f>AND(#REF!,"AOWos1OgikA=")</f>
        <v>#REF!</v>
      </c>
      <c r="BN95" t="e">
        <f>AND(#REF!,"AOWos1OgikE=")</f>
        <v>#REF!</v>
      </c>
      <c r="BO95" t="e">
        <f>AND(#REF!,"AOWos1OgikI=")</f>
        <v>#REF!</v>
      </c>
      <c r="BP95" t="e">
        <f>AND(#REF!,"AOWos1OgikM=")</f>
        <v>#REF!</v>
      </c>
      <c r="BQ95" t="e">
        <f>AND(#REF!,"AOWos1OgikQ=")</f>
        <v>#REF!</v>
      </c>
      <c r="BR95" t="e">
        <f>AND(#REF!,"AOWos1OgikU=")</f>
        <v>#REF!</v>
      </c>
      <c r="BS95" t="e">
        <f>AND(#REF!,"AOWos1OgikY=")</f>
        <v>#REF!</v>
      </c>
      <c r="BT95" t="e">
        <f>AND(#REF!,"AOWos1Ogikc=")</f>
        <v>#REF!</v>
      </c>
      <c r="BU95" t="e">
        <f>AND(#REF!,"AOWos1Ogikg=")</f>
        <v>#REF!</v>
      </c>
      <c r="BV95" t="e">
        <f>AND(#REF!,"AOWos1Ogikk=")</f>
        <v>#REF!</v>
      </c>
      <c r="BW95" t="e">
        <f>AND(#REF!,"AOWos1Ogiko=")</f>
        <v>#REF!</v>
      </c>
      <c r="BX95" t="e">
        <f>AND(#REF!,"AOWos1Ogiks=")</f>
        <v>#REF!</v>
      </c>
      <c r="BY95" t="e">
        <f>AND(#REF!,"AOWos1Ogikw=")</f>
        <v>#REF!</v>
      </c>
      <c r="BZ95" t="e">
        <f>AND(#REF!,"AOWos1Ogik0=")</f>
        <v>#REF!</v>
      </c>
      <c r="CA95" t="e">
        <f>AND(#REF!,"AOWos1Ogik4=")</f>
        <v>#REF!</v>
      </c>
      <c r="CB95" t="e">
        <f>AND(#REF!,"AOWos1Ogik8=")</f>
        <v>#REF!</v>
      </c>
      <c r="CC95" t="e">
        <f>AND(#REF!,"AOWos1OgilA=")</f>
        <v>#REF!</v>
      </c>
      <c r="CD95" t="e">
        <f>AND(#REF!,"AOWos1OgilE=")</f>
        <v>#REF!</v>
      </c>
      <c r="CE95" t="e">
        <f>AND(#REF!,"AOWos1OgilI=")</f>
        <v>#REF!</v>
      </c>
      <c r="CF95" t="e">
        <f>AND(#REF!,"AOWos1OgilM=")</f>
        <v>#REF!</v>
      </c>
      <c r="CG95" t="e">
        <f>AND(#REF!,"AOWos1OgilQ=")</f>
        <v>#REF!</v>
      </c>
      <c r="CH95" t="e">
        <f>AND(#REF!,"AOWos1OgilU=")</f>
        <v>#REF!</v>
      </c>
      <c r="CI95" t="e">
        <f>AND(#REF!,"AOWos1OgilY=")</f>
        <v>#REF!</v>
      </c>
      <c r="CJ95" t="e">
        <f>AND(#REF!,"AOWos1Ogilc=")</f>
        <v>#REF!</v>
      </c>
      <c r="CK95" t="e">
        <f>AND(#REF!,"AOWos1Ogilg=")</f>
        <v>#REF!</v>
      </c>
      <c r="CL95" t="e">
        <f>AND(#REF!,"AOWos1Ogilk=")</f>
        <v>#REF!</v>
      </c>
      <c r="CM95" t="e">
        <f>AND(#REF!,"AOWos1Ogilo=")</f>
        <v>#REF!</v>
      </c>
      <c r="CN95" t="e">
        <f>AND(#REF!,"AOWos1Ogils=")</f>
        <v>#REF!</v>
      </c>
      <c r="CO95" t="e">
        <f>AND(#REF!,"AOWos1Ogilw=")</f>
        <v>#REF!</v>
      </c>
      <c r="CP95" t="e">
        <f>AND(#REF!,"AOWos1Ogil0=")</f>
        <v>#REF!</v>
      </c>
      <c r="CQ95" t="e">
        <f>AND(#REF!,"AOWos1Ogil4=")</f>
        <v>#REF!</v>
      </c>
      <c r="CR95" t="e">
        <f>AND(#REF!,"AOWos1Ogil8=")</f>
        <v>#REF!</v>
      </c>
      <c r="CS95" t="e">
        <f>AND(#REF!,"AOWos1OgimA=")</f>
        <v>#REF!</v>
      </c>
      <c r="CT95" t="e">
        <f>AND(#REF!,"AOWos1OgimE=")</f>
        <v>#REF!</v>
      </c>
      <c r="CU95" t="e">
        <f>AND(#REF!,"AOWos1OgimI=")</f>
        <v>#REF!</v>
      </c>
      <c r="CV95" t="e">
        <f>AND(#REF!,"AOWos1OgimM=")</f>
        <v>#REF!</v>
      </c>
      <c r="CW95" t="e">
        <f>AND(#REF!,"AOWos1OgimQ=")</f>
        <v>#REF!</v>
      </c>
      <c r="CX95" t="e">
        <f>AND(#REF!,"AOWos1OgimU=")</f>
        <v>#REF!</v>
      </c>
      <c r="CY95" t="e">
        <f>AND(#REF!,"AOWos1OgimY=")</f>
        <v>#REF!</v>
      </c>
      <c r="CZ95" t="e">
        <f>AND(#REF!,"AOWos1Ogimc=")</f>
        <v>#REF!</v>
      </c>
      <c r="DA95" t="e">
        <f>AND(#REF!,"AOWos1Ogimg=")</f>
        <v>#REF!</v>
      </c>
      <c r="DB95" t="e">
        <f>AND(#REF!,"AOWos1Ogimk=")</f>
        <v>#REF!</v>
      </c>
      <c r="DC95" t="e">
        <f>AND(#REF!,"AOWos1Ogimo=")</f>
        <v>#REF!</v>
      </c>
      <c r="DD95" t="e">
        <f>AND(#REF!,"AOWos1Ogims=")</f>
        <v>#REF!</v>
      </c>
      <c r="DE95" t="e">
        <f>AND(#REF!,"AOWos1Ogimw=")</f>
        <v>#REF!</v>
      </c>
      <c r="DF95" t="e">
        <f>AND(#REF!,"AOWos1Ogim0=")</f>
        <v>#REF!</v>
      </c>
      <c r="DG95" t="e">
        <f>AND(#REF!,"AOWos1Ogim4=")</f>
        <v>#REF!</v>
      </c>
      <c r="DH95" t="e">
        <f>AND(#REF!,"AOWos1Ogim8=")</f>
        <v>#REF!</v>
      </c>
      <c r="DI95" t="e">
        <f>AND(#REF!,"AOWos1OginA=")</f>
        <v>#REF!</v>
      </c>
      <c r="DJ95" t="e">
        <f>AND(#REF!,"AOWos1OginE=")</f>
        <v>#REF!</v>
      </c>
      <c r="DK95" t="e">
        <f>AND(#REF!,"AOWos1OginI=")</f>
        <v>#REF!</v>
      </c>
      <c r="DL95" t="e">
        <f>AND(#REF!,"AOWos1OginM=")</f>
        <v>#REF!</v>
      </c>
      <c r="DM95" t="e">
        <f>AND(#REF!,"AOWos1OginQ=")</f>
        <v>#REF!</v>
      </c>
      <c r="DN95" t="e">
        <f>AND(#REF!,"AOWos1OginU=")</f>
        <v>#REF!</v>
      </c>
      <c r="DO95" t="e">
        <f>AND(#REF!,"AOWos1OginY=")</f>
        <v>#REF!</v>
      </c>
      <c r="DP95" t="e">
        <f>AND(#REF!,"AOWos1Oginc=")</f>
        <v>#REF!</v>
      </c>
      <c r="DQ95" t="e">
        <f>AND(#REF!,"AOWos1Oging=")</f>
        <v>#REF!</v>
      </c>
      <c r="DR95" t="e">
        <f>AND(#REF!,"AOWos1Ogink=")</f>
        <v>#REF!</v>
      </c>
      <c r="DS95" t="e">
        <f>AND(#REF!,"AOWos1Ogino=")</f>
        <v>#REF!</v>
      </c>
      <c r="DT95" t="e">
        <f>AND(#REF!,"AOWos1Ogins=")</f>
        <v>#REF!</v>
      </c>
      <c r="DU95" t="e">
        <f>AND(#REF!,"AOWos1Oginw=")</f>
        <v>#REF!</v>
      </c>
      <c r="DV95" t="e">
        <f>AND(#REF!,"AOWos1Ogin0=")</f>
        <v>#REF!</v>
      </c>
      <c r="DW95" t="e">
        <f>AND(#REF!,"AOWos1Ogin4=")</f>
        <v>#REF!</v>
      </c>
      <c r="DX95" t="e">
        <f>AND(#REF!,"AOWos1Ogin8=")</f>
        <v>#REF!</v>
      </c>
      <c r="DY95" t="e">
        <f>AND(#REF!,"AOWos1OgioA=")</f>
        <v>#REF!</v>
      </c>
      <c r="DZ95" t="e">
        <f>AND(#REF!,"AOWos1OgioE=")</f>
        <v>#REF!</v>
      </c>
      <c r="EA95" t="e">
        <f>AND(#REF!,"AOWos1OgioI=")</f>
        <v>#REF!</v>
      </c>
      <c r="EB95" t="e">
        <f>AND(#REF!,"AOWos1OgioM=")</f>
        <v>#REF!</v>
      </c>
      <c r="EC95" t="e">
        <f>AND(#REF!,"AOWos1OgioQ=")</f>
        <v>#REF!</v>
      </c>
      <c r="ED95" t="e">
        <f>AND(#REF!,"AOWos1OgioU=")</f>
        <v>#REF!</v>
      </c>
      <c r="EE95" t="e">
        <f>AND(#REF!,"AOWos1OgioY=")</f>
        <v>#REF!</v>
      </c>
      <c r="EF95" t="e">
        <f>AND(#REF!,"AOWos1Ogioc=")</f>
        <v>#REF!</v>
      </c>
      <c r="EG95" t="e">
        <f>AND(#REF!,"AOWos1Ogiog=")</f>
        <v>#REF!</v>
      </c>
      <c r="EH95" t="e">
        <f>AND(#REF!,"AOWos1Ogiok=")</f>
        <v>#REF!</v>
      </c>
      <c r="EI95" t="e">
        <f>AND(#REF!,"AOWos1Ogioo=")</f>
        <v>#REF!</v>
      </c>
      <c r="EJ95" t="e">
        <f>AND(#REF!,"AOWos1Ogios=")</f>
        <v>#REF!</v>
      </c>
      <c r="EK95" t="e">
        <f>AND(#REF!,"AOWos1Ogiow=")</f>
        <v>#REF!</v>
      </c>
      <c r="EL95" t="e">
        <f>AND(#REF!,"AOWos1Ogio0=")</f>
        <v>#REF!</v>
      </c>
      <c r="EM95" t="e">
        <f>AND(#REF!,"AOWos1Ogio4=")</f>
        <v>#REF!</v>
      </c>
      <c r="EN95" t="e">
        <f>AND(#REF!,"AOWos1Ogio8=")</f>
        <v>#REF!</v>
      </c>
      <c r="EO95" t="e">
        <f>AND(#REF!,"AOWos1OgipA=")</f>
        <v>#REF!</v>
      </c>
      <c r="EP95" t="e">
        <f>AND(#REF!,"AOWos1OgipE=")</f>
        <v>#REF!</v>
      </c>
      <c r="EQ95" t="e">
        <f>AND(#REF!,"AOWos1OgipI=")</f>
        <v>#REF!</v>
      </c>
      <c r="ER95" t="e">
        <f>AND(#REF!,"AOWos1OgipM=")</f>
        <v>#REF!</v>
      </c>
      <c r="ES95" t="e">
        <f>AND(#REF!,"AOWos1OgipQ=")</f>
        <v>#REF!</v>
      </c>
      <c r="ET95" t="e">
        <f>AND(#REF!,"AOWos1OgipU=")</f>
        <v>#REF!</v>
      </c>
      <c r="EU95" t="e">
        <f>AND(#REF!,"AOWos1OgipY=")</f>
        <v>#REF!</v>
      </c>
      <c r="EV95" t="e">
        <f>AND(#REF!,"AOWos1Ogipc=")</f>
        <v>#REF!</v>
      </c>
      <c r="EW95" t="e">
        <f>AND(#REF!,"AOWos1Ogipg=")</f>
        <v>#REF!</v>
      </c>
      <c r="EX95" t="e">
        <f>AND(#REF!,"AOWos1Ogipk=")</f>
        <v>#REF!</v>
      </c>
      <c r="EY95" t="e">
        <f>AND(#REF!,"AOWos1Ogipo=")</f>
        <v>#REF!</v>
      </c>
      <c r="EZ95" t="e">
        <f>AND(#REF!,"AOWos1Ogips=")</f>
        <v>#REF!</v>
      </c>
      <c r="FA95" t="e">
        <f>AND(#REF!,"AOWos1Ogipw=")</f>
        <v>#REF!</v>
      </c>
      <c r="FB95" t="e">
        <f>AND(#REF!,"AOWos1Ogip0=")</f>
        <v>#REF!</v>
      </c>
      <c r="FC95" t="e">
        <f>AND(#REF!,"AOWos1Ogip4=")</f>
        <v>#REF!</v>
      </c>
      <c r="FD95" t="e">
        <f>AND(#REF!,"AOWos1Ogip8=")</f>
        <v>#REF!</v>
      </c>
      <c r="FE95" t="e">
        <f>IF(#REF!,"AOWos1OgiqA=",0)</f>
        <v>#REF!</v>
      </c>
      <c r="FF95" t="e">
        <f>AND(#REF!,"AOWos1OgiqE=")</f>
        <v>#REF!</v>
      </c>
      <c r="FG95" t="e">
        <f>AND(#REF!,"AOWos1OgiqI=")</f>
        <v>#REF!</v>
      </c>
      <c r="FH95" t="e">
        <f>AND(#REF!,"AOWos1OgiqM=")</f>
        <v>#REF!</v>
      </c>
      <c r="FI95" t="e">
        <f>AND(#REF!,"AOWos1OgiqQ=")</f>
        <v>#REF!</v>
      </c>
      <c r="FJ95" t="e">
        <f>AND(#REF!,"AOWos1OgiqU=")</f>
        <v>#REF!</v>
      </c>
      <c r="FK95" t="e">
        <f>AND(#REF!,"AOWos1OgiqY=")</f>
        <v>#REF!</v>
      </c>
      <c r="FL95" t="e">
        <f>AND(#REF!,"AOWos1Ogiqc=")</f>
        <v>#REF!</v>
      </c>
      <c r="FM95" t="e">
        <f>AND(#REF!,"AOWos1Ogiqg=")</f>
        <v>#REF!</v>
      </c>
      <c r="FN95" t="e">
        <f>AND(#REF!,"AOWos1Ogiqk=")</f>
        <v>#REF!</v>
      </c>
      <c r="FO95" t="e">
        <f>AND(#REF!,"AOWos1Ogiqo=")</f>
        <v>#REF!</v>
      </c>
      <c r="FP95" t="e">
        <f>AND(#REF!,"AOWos1Ogiqs=")</f>
        <v>#REF!</v>
      </c>
      <c r="FQ95" t="e">
        <f>AND(#REF!,"AOWos1Ogiqw=")</f>
        <v>#REF!</v>
      </c>
      <c r="FR95" t="e">
        <f>AND(#REF!,"AOWos1Ogiq0=")</f>
        <v>#REF!</v>
      </c>
      <c r="FS95" t="e">
        <f>AND(#REF!,"AOWos1Ogiq4=")</f>
        <v>#REF!</v>
      </c>
      <c r="FT95" t="e">
        <f>AND(#REF!,"AOWos1Ogiq8=")</f>
        <v>#REF!</v>
      </c>
      <c r="FU95" t="e">
        <f>AND(#REF!,"AOWos1OgirA=")</f>
        <v>#REF!</v>
      </c>
      <c r="FV95" t="e">
        <f>AND(#REF!,"AOWos1OgirE=")</f>
        <v>#REF!</v>
      </c>
      <c r="FW95" t="e">
        <f>AND(#REF!,"AOWos1OgirI=")</f>
        <v>#REF!</v>
      </c>
      <c r="FX95" t="e">
        <f>AND(#REF!,"AOWos1OgirM=")</f>
        <v>#REF!</v>
      </c>
      <c r="FY95" t="e">
        <f>AND(#REF!,"AOWos1OgirQ=")</f>
        <v>#REF!</v>
      </c>
      <c r="FZ95" t="e">
        <f>AND(#REF!,"AOWos1OgirU=")</f>
        <v>#REF!</v>
      </c>
      <c r="GA95" t="e">
        <f>AND(#REF!,"AOWos1OgirY=")</f>
        <v>#REF!</v>
      </c>
      <c r="GB95" t="e">
        <f>AND(#REF!,"AOWos1Ogirc=")</f>
        <v>#REF!</v>
      </c>
      <c r="GC95" t="e">
        <f>AND(#REF!,"AOWos1Ogirg=")</f>
        <v>#REF!</v>
      </c>
      <c r="GD95" t="e">
        <f>AND(#REF!,"AOWos1Ogirk=")</f>
        <v>#REF!</v>
      </c>
      <c r="GE95" t="e">
        <f>AND(#REF!,"AOWos1Ogiro=")</f>
        <v>#REF!</v>
      </c>
      <c r="GF95" t="e">
        <f>AND(#REF!,"AOWos1Ogirs=")</f>
        <v>#REF!</v>
      </c>
      <c r="GG95" t="e">
        <f>AND(#REF!,"AOWos1Ogirw=")</f>
        <v>#REF!</v>
      </c>
      <c r="GH95" t="e">
        <f>AND(#REF!,"AOWos1Ogir0=")</f>
        <v>#REF!</v>
      </c>
      <c r="GI95" t="e">
        <f>AND(#REF!,"AOWos1Ogir4=")</f>
        <v>#REF!</v>
      </c>
      <c r="GJ95" t="e">
        <f>AND(#REF!,"AOWos1Ogir8=")</f>
        <v>#REF!</v>
      </c>
      <c r="GK95" t="e">
        <f>AND(#REF!,"AOWos1OgisA=")</f>
        <v>#REF!</v>
      </c>
      <c r="GL95" t="e">
        <f>AND(#REF!,"AOWos1OgisE=")</f>
        <v>#REF!</v>
      </c>
      <c r="GM95" t="e">
        <f>AND(#REF!,"AOWos1OgisI=")</f>
        <v>#REF!</v>
      </c>
      <c r="GN95" t="e">
        <f>AND(#REF!,"AOWos1OgisM=")</f>
        <v>#REF!</v>
      </c>
      <c r="GO95" t="e">
        <f>AND(#REF!,"AOWos1OgisQ=")</f>
        <v>#REF!</v>
      </c>
      <c r="GP95" t="e">
        <f>AND(#REF!,"AOWos1OgisU=")</f>
        <v>#REF!</v>
      </c>
      <c r="GQ95" t="e">
        <f>AND(#REF!,"AOWos1OgisY=")</f>
        <v>#REF!</v>
      </c>
      <c r="GR95" t="e">
        <f>AND(#REF!,"AOWos1Ogisc=")</f>
        <v>#REF!</v>
      </c>
      <c r="GS95" t="e">
        <f>AND(#REF!,"AOWos1Ogisg=")</f>
        <v>#REF!</v>
      </c>
      <c r="GT95" t="e">
        <f>AND(#REF!,"AOWos1Ogisk=")</f>
        <v>#REF!</v>
      </c>
      <c r="GU95" t="e">
        <f>AND(#REF!,"AOWos1Ogiso=")</f>
        <v>#REF!</v>
      </c>
      <c r="GV95" t="e">
        <f>AND(#REF!,"AOWos1Ogiss=")</f>
        <v>#REF!</v>
      </c>
      <c r="GW95" t="e">
        <f>AND(#REF!,"AOWos1Ogisw=")</f>
        <v>#REF!</v>
      </c>
      <c r="GX95" t="e">
        <f>AND(#REF!,"AOWos1Ogis0=")</f>
        <v>#REF!</v>
      </c>
      <c r="GY95" t="e">
        <f>AND(#REF!,"AOWos1Ogis4=")</f>
        <v>#REF!</v>
      </c>
      <c r="GZ95" t="e">
        <f>AND(#REF!,"AOWos1Ogis8=")</f>
        <v>#REF!</v>
      </c>
      <c r="HA95" t="e">
        <f>AND(#REF!,"AOWos1OgitA=")</f>
        <v>#REF!</v>
      </c>
      <c r="HB95" t="e">
        <f>AND(#REF!,"AOWos1OgitE=")</f>
        <v>#REF!</v>
      </c>
      <c r="HC95" t="e">
        <f>AND(#REF!,"AOWos1OgitI=")</f>
        <v>#REF!</v>
      </c>
      <c r="HD95" t="e">
        <f>AND(#REF!,"AOWos1OgitM=")</f>
        <v>#REF!</v>
      </c>
      <c r="HE95" t="e">
        <f>AND(#REF!,"AOWos1OgitQ=")</f>
        <v>#REF!</v>
      </c>
      <c r="HF95" t="e">
        <f>AND(#REF!,"AOWos1OgitU=")</f>
        <v>#REF!</v>
      </c>
      <c r="HG95" t="e">
        <f>AND(#REF!,"AOWos1OgitY=")</f>
        <v>#REF!</v>
      </c>
      <c r="HH95" t="e">
        <f>AND(#REF!,"AOWos1Ogitc=")</f>
        <v>#REF!</v>
      </c>
      <c r="HI95" t="e">
        <f>AND(#REF!,"AOWos1Ogitg=")</f>
        <v>#REF!</v>
      </c>
      <c r="HJ95" t="e">
        <f>AND(#REF!,"AOWos1Ogitk=")</f>
        <v>#REF!</v>
      </c>
      <c r="HK95" t="e">
        <f>AND(#REF!,"AOWos1Ogito=")</f>
        <v>#REF!</v>
      </c>
      <c r="HL95" t="e">
        <f>AND(#REF!,"AOWos1Ogits=")</f>
        <v>#REF!</v>
      </c>
      <c r="HM95" t="e">
        <f>AND(#REF!,"AOWos1Ogitw=")</f>
        <v>#REF!</v>
      </c>
      <c r="HN95" t="e">
        <f>AND(#REF!,"AOWos1Ogit0=")</f>
        <v>#REF!</v>
      </c>
      <c r="HO95" t="e">
        <f>AND(#REF!,"AOWos1Ogit4=")</f>
        <v>#REF!</v>
      </c>
      <c r="HP95" t="e">
        <f>AND(#REF!,"AOWos1Ogit8=")</f>
        <v>#REF!</v>
      </c>
      <c r="HQ95" t="e">
        <f>AND(#REF!,"AOWos1OgiuA=")</f>
        <v>#REF!</v>
      </c>
      <c r="HR95" t="e">
        <f>AND(#REF!,"AOWos1OgiuE=")</f>
        <v>#REF!</v>
      </c>
      <c r="HS95" t="e">
        <f>AND(#REF!,"AOWos1OgiuI=")</f>
        <v>#REF!</v>
      </c>
      <c r="HT95" t="e">
        <f>AND(#REF!,"AOWos1OgiuM=")</f>
        <v>#REF!</v>
      </c>
      <c r="HU95" t="e">
        <f>AND(#REF!,"AOWos1OgiuQ=")</f>
        <v>#REF!</v>
      </c>
      <c r="HV95" t="e">
        <f>AND(#REF!,"AOWos1OgiuU=")</f>
        <v>#REF!</v>
      </c>
      <c r="HW95" t="e">
        <f>AND(#REF!,"AOWos1OgiuY=")</f>
        <v>#REF!</v>
      </c>
      <c r="HX95" t="e">
        <f>AND(#REF!,"AOWos1Ogiuc=")</f>
        <v>#REF!</v>
      </c>
      <c r="HY95" t="e">
        <f>AND(#REF!,"AOWos1Ogiug=")</f>
        <v>#REF!</v>
      </c>
      <c r="HZ95" t="e">
        <f>AND(#REF!,"AOWos1Ogiuk=")</f>
        <v>#REF!</v>
      </c>
      <c r="IA95" t="e">
        <f>AND(#REF!,"AOWos1Ogiuo=")</f>
        <v>#REF!</v>
      </c>
      <c r="IB95" t="e">
        <f>AND(#REF!,"AOWos1Ogius=")</f>
        <v>#REF!</v>
      </c>
      <c r="IC95" t="e">
        <f>AND(#REF!,"AOWos1Ogiuw=")</f>
        <v>#REF!</v>
      </c>
      <c r="ID95" t="e">
        <f>AND(#REF!,"AOWos1Ogiu0=")</f>
        <v>#REF!</v>
      </c>
      <c r="IE95" t="e">
        <f>AND(#REF!,"AOWos1Ogiu4=")</f>
        <v>#REF!</v>
      </c>
      <c r="IF95" t="e">
        <f>AND(#REF!,"AOWos1Ogiu8=")</f>
        <v>#REF!</v>
      </c>
      <c r="IG95" t="e">
        <f>AND(#REF!,"AOWos1OgivA=")</f>
        <v>#REF!</v>
      </c>
      <c r="IH95" t="e">
        <f>AND(#REF!,"AOWos1OgivE=")</f>
        <v>#REF!</v>
      </c>
      <c r="II95" t="e">
        <f>AND(#REF!,"AOWos1OgivI=")</f>
        <v>#REF!</v>
      </c>
      <c r="IJ95" t="e">
        <f>AND(#REF!,"AOWos1OgivM=")</f>
        <v>#REF!</v>
      </c>
      <c r="IK95" t="e">
        <f>AND(#REF!,"AOWos1OgivQ=")</f>
        <v>#REF!</v>
      </c>
      <c r="IL95" t="e">
        <f>AND(#REF!,"AOWos1OgivU=")</f>
        <v>#REF!</v>
      </c>
      <c r="IM95" t="e">
        <f>AND(#REF!,"AOWos1OgivY=")</f>
        <v>#REF!</v>
      </c>
      <c r="IN95" t="e">
        <f>AND(#REF!,"AOWos1Ogivc=")</f>
        <v>#REF!</v>
      </c>
      <c r="IO95" t="e">
        <f>AND(#REF!,"AOWos1Ogivg=")</f>
        <v>#REF!</v>
      </c>
      <c r="IP95" t="e">
        <f>AND(#REF!,"AOWos1Ogivk=")</f>
        <v>#REF!</v>
      </c>
      <c r="IQ95" t="e">
        <f>AND(#REF!,"AOWos1Ogivo=")</f>
        <v>#REF!</v>
      </c>
      <c r="IR95" t="e">
        <f>AND(#REF!,"AOWos1Ogivs=")</f>
        <v>#REF!</v>
      </c>
      <c r="IS95" t="e">
        <f>AND(#REF!,"AOWos1Ogivw=")</f>
        <v>#REF!</v>
      </c>
      <c r="IT95" t="e">
        <f>AND(#REF!,"AOWos1Ogiv0=")</f>
        <v>#REF!</v>
      </c>
      <c r="IU95" t="e">
        <f>AND(#REF!,"AOWos1Ogiv4=")</f>
        <v>#REF!</v>
      </c>
      <c r="IV95" t="e">
        <f>AND(#REF!,"AOWos1Ogiv8=")</f>
        <v>#REF!</v>
      </c>
    </row>
    <row r="96" spans="1:256" x14ac:dyDescent="0.2">
      <c r="A96" t="e">
        <f>AND(#REF!,"NxvzllOYvAA=")</f>
        <v>#REF!</v>
      </c>
      <c r="B96" t="e">
        <f>AND(#REF!,"NxvzllOYvAE=")</f>
        <v>#REF!</v>
      </c>
      <c r="C96" t="e">
        <f>AND(#REF!,"NxvzllOYvAI=")</f>
        <v>#REF!</v>
      </c>
      <c r="D96" t="e">
        <f>AND(#REF!,"NxvzllOYvAM=")</f>
        <v>#REF!</v>
      </c>
      <c r="E96" t="e">
        <f>AND(#REF!,"NxvzllOYvAQ=")</f>
        <v>#REF!</v>
      </c>
      <c r="F96" t="e">
        <f>AND(#REF!,"NxvzllOYvAU=")</f>
        <v>#REF!</v>
      </c>
      <c r="G96" t="e">
        <f>AND(#REF!,"NxvzllOYvAY=")</f>
        <v>#REF!</v>
      </c>
      <c r="H96" t="e">
        <f>AND(#REF!,"NxvzllOYvAc=")</f>
        <v>#REF!</v>
      </c>
      <c r="I96" t="e">
        <f>AND(#REF!,"NxvzllOYvAg=")</f>
        <v>#REF!</v>
      </c>
      <c r="J96" t="e">
        <f>AND(#REF!,"NxvzllOYvAk=")</f>
        <v>#REF!</v>
      </c>
      <c r="K96" t="e">
        <f>AND(#REF!,"NxvzllOYvAo=")</f>
        <v>#REF!</v>
      </c>
      <c r="L96" t="e">
        <f>AND(#REF!,"NxvzllOYvAs=")</f>
        <v>#REF!</v>
      </c>
      <c r="M96" t="e">
        <f>AND(#REF!,"NxvzllOYvAw=")</f>
        <v>#REF!</v>
      </c>
      <c r="N96" t="e">
        <f>AND(#REF!,"NxvzllOYvA0=")</f>
        <v>#REF!</v>
      </c>
      <c r="O96" t="e">
        <f>AND(#REF!,"NxvzllOYvA4=")</f>
        <v>#REF!</v>
      </c>
      <c r="P96" t="e">
        <f>AND(#REF!,"NxvzllOYvA8=")</f>
        <v>#REF!</v>
      </c>
      <c r="Q96" t="e">
        <f>AND(#REF!,"NxvzllOYvBA=")</f>
        <v>#REF!</v>
      </c>
      <c r="R96" t="e">
        <f>AND(#REF!,"NxvzllOYvBE=")</f>
        <v>#REF!</v>
      </c>
      <c r="S96" t="e">
        <f>AND(#REF!,"NxvzllOYvBI=")</f>
        <v>#REF!</v>
      </c>
      <c r="T96" t="e">
        <f>AND(#REF!,"NxvzllOYvBM=")</f>
        <v>#REF!</v>
      </c>
      <c r="U96" t="e">
        <f>AND(#REF!,"NxvzllOYvBQ=")</f>
        <v>#REF!</v>
      </c>
      <c r="V96" t="e">
        <f>AND(#REF!,"NxvzllOYvBU=")</f>
        <v>#REF!</v>
      </c>
      <c r="W96" t="e">
        <f>AND(#REF!,"NxvzllOYvBY=")</f>
        <v>#REF!</v>
      </c>
      <c r="X96" t="e">
        <f>AND(#REF!,"NxvzllOYvBc=")</f>
        <v>#REF!</v>
      </c>
      <c r="Y96" t="e">
        <f>AND(#REF!,"NxvzllOYvBg=")</f>
        <v>#REF!</v>
      </c>
      <c r="Z96" t="e">
        <f>AND(#REF!,"NxvzllOYvBk=")</f>
        <v>#REF!</v>
      </c>
      <c r="AA96" t="e">
        <f>AND(#REF!,"NxvzllOYvBo=")</f>
        <v>#REF!</v>
      </c>
      <c r="AB96" t="e">
        <f>AND(#REF!,"NxvzllOYvBs=")</f>
        <v>#REF!</v>
      </c>
      <c r="AC96" t="e">
        <f>AND(#REF!,"NxvzllOYvBw=")</f>
        <v>#REF!</v>
      </c>
      <c r="AD96" t="e">
        <f>AND(#REF!,"NxvzllOYvB0=")</f>
        <v>#REF!</v>
      </c>
      <c r="AE96" t="e">
        <f>AND(#REF!,"NxvzllOYvB4=")</f>
        <v>#REF!</v>
      </c>
      <c r="AF96" t="e">
        <f>AND(#REF!,"NxvzllOYvB8=")</f>
        <v>#REF!</v>
      </c>
      <c r="AG96" t="e">
        <f>AND(#REF!,"NxvzllOYvCA=")</f>
        <v>#REF!</v>
      </c>
      <c r="AH96" t="e">
        <f>AND(#REF!,"NxvzllOYvCE=")</f>
        <v>#REF!</v>
      </c>
      <c r="AI96" t="e">
        <f>AND(#REF!,"NxvzllOYvCI=")</f>
        <v>#REF!</v>
      </c>
      <c r="AJ96" t="e">
        <f>AND(#REF!,"NxvzllOYvCM=")</f>
        <v>#REF!</v>
      </c>
      <c r="AK96" t="e">
        <f>AND(#REF!,"NxvzllOYvCQ=")</f>
        <v>#REF!</v>
      </c>
      <c r="AL96" t="e">
        <f>AND(#REF!,"NxvzllOYvCU=")</f>
        <v>#REF!</v>
      </c>
      <c r="AM96" t="e">
        <f>AND(#REF!,"NxvzllOYvCY=")</f>
        <v>#REF!</v>
      </c>
      <c r="AN96" t="e">
        <f>AND(#REF!,"NxvzllOYvCc=")</f>
        <v>#REF!</v>
      </c>
      <c r="AO96" t="e">
        <f>AND(#REF!,"NxvzllOYvCg=")</f>
        <v>#REF!</v>
      </c>
      <c r="AP96" t="e">
        <f>AND(#REF!,"NxvzllOYvCk=")</f>
        <v>#REF!</v>
      </c>
      <c r="AQ96" t="e">
        <f>AND(#REF!,"NxvzllOYvCo=")</f>
        <v>#REF!</v>
      </c>
      <c r="AR96" t="e">
        <f>AND(#REF!,"NxvzllOYvCs=")</f>
        <v>#REF!</v>
      </c>
      <c r="AS96" t="e">
        <f>AND(#REF!,"NxvzllOYvCw=")</f>
        <v>#REF!</v>
      </c>
      <c r="AT96" t="e">
        <f>AND(#REF!,"NxvzllOYvC0=")</f>
        <v>#REF!</v>
      </c>
      <c r="AU96" t="e">
        <f>AND(#REF!,"NxvzllOYvC4=")</f>
        <v>#REF!</v>
      </c>
      <c r="AV96" t="e">
        <f>AND(#REF!,"NxvzllOYvC8=")</f>
        <v>#REF!</v>
      </c>
      <c r="AW96" t="e">
        <f>AND(#REF!,"NxvzllOYvDA=")</f>
        <v>#REF!</v>
      </c>
      <c r="AX96" t="e">
        <f>AND(#REF!,"NxvzllOYvDE=")</f>
        <v>#REF!</v>
      </c>
      <c r="AY96" t="e">
        <f>AND(#REF!,"NxvzllOYvDI=")</f>
        <v>#REF!</v>
      </c>
      <c r="AZ96" t="e">
        <f>AND(#REF!,"NxvzllOYvDM=")</f>
        <v>#REF!</v>
      </c>
      <c r="BA96" t="e">
        <f>AND(#REF!,"NxvzllOYvDQ=")</f>
        <v>#REF!</v>
      </c>
      <c r="BB96" t="e">
        <f>AND(#REF!,"NxvzllOYvDU=")</f>
        <v>#REF!</v>
      </c>
      <c r="BC96" t="e">
        <f>AND(#REF!,"NxvzllOYvDY=")</f>
        <v>#REF!</v>
      </c>
      <c r="BD96" t="e">
        <f>AND(#REF!,"NxvzllOYvDc=")</f>
        <v>#REF!</v>
      </c>
      <c r="BE96" t="e">
        <f>AND(#REF!,"NxvzllOYvDg=")</f>
        <v>#REF!</v>
      </c>
      <c r="BF96" t="e">
        <f>AND(#REF!,"NxvzllOYvDk=")</f>
        <v>#REF!</v>
      </c>
      <c r="BG96" t="e">
        <f>AND(#REF!,"NxvzllOYvDo=")</f>
        <v>#REF!</v>
      </c>
      <c r="BH96" t="e">
        <f>AND(#REF!,"NxvzllOYvDs=")</f>
        <v>#REF!</v>
      </c>
      <c r="BI96" t="e">
        <f>AND(#REF!,"NxvzllOYvDw=")</f>
        <v>#REF!</v>
      </c>
      <c r="BJ96" t="e">
        <f>AND(#REF!,"NxvzllOYvD0=")</f>
        <v>#REF!</v>
      </c>
      <c r="BK96" t="e">
        <f>AND(#REF!,"NxvzllOYvD4=")</f>
        <v>#REF!</v>
      </c>
      <c r="BL96" t="e">
        <f>AND(#REF!,"NxvzllOYvD8=")</f>
        <v>#REF!</v>
      </c>
      <c r="BM96" t="e">
        <f>AND(#REF!,"NxvzllOYvEA=")</f>
        <v>#REF!</v>
      </c>
      <c r="BN96" t="e">
        <f>AND(#REF!,"NxvzllOYvEE=")</f>
        <v>#REF!</v>
      </c>
      <c r="BO96" t="e">
        <f>AND(#REF!,"NxvzllOYvEI=")</f>
        <v>#REF!</v>
      </c>
      <c r="BP96" t="e">
        <f>AND(#REF!,"NxvzllOYvEM=")</f>
        <v>#REF!</v>
      </c>
      <c r="BQ96" t="e">
        <f>AND(#REF!,"NxvzllOYvEQ=")</f>
        <v>#REF!</v>
      </c>
      <c r="BR96" t="e">
        <f>AND(#REF!,"NxvzllOYvEU=")</f>
        <v>#REF!</v>
      </c>
      <c r="BS96" t="e">
        <f>AND(#REF!,"NxvzllOYvEY=")</f>
        <v>#REF!</v>
      </c>
      <c r="BT96" t="e">
        <f>AND(#REF!,"NxvzllOYvEc=")</f>
        <v>#REF!</v>
      </c>
      <c r="BU96" t="e">
        <f>AND(#REF!,"NxvzllOYvEg=")</f>
        <v>#REF!</v>
      </c>
      <c r="BV96" t="e">
        <f>AND(#REF!,"NxvzllOYvEk=")</f>
        <v>#REF!</v>
      </c>
      <c r="BW96" t="e">
        <f>AND(#REF!,"NxvzllOYvEo=")</f>
        <v>#REF!</v>
      </c>
      <c r="BX96" t="e">
        <f>AND(#REF!,"NxvzllOYvEs=")</f>
        <v>#REF!</v>
      </c>
      <c r="BY96" t="e">
        <f>AND(#REF!,"NxvzllOYvEw=")</f>
        <v>#REF!</v>
      </c>
      <c r="BZ96" t="e">
        <f>AND(#REF!,"NxvzllOYvE0=")</f>
        <v>#REF!</v>
      </c>
      <c r="CA96" t="e">
        <f>AND(#REF!,"NxvzllOYvE4=")</f>
        <v>#REF!</v>
      </c>
      <c r="CB96" t="e">
        <f>AND(#REF!,"NxvzllOYvE8=")</f>
        <v>#REF!</v>
      </c>
      <c r="CC96" t="e">
        <f>AND(#REF!,"NxvzllOYvFA=")</f>
        <v>#REF!</v>
      </c>
      <c r="CD96" t="e">
        <f>AND(#REF!,"NxvzllOYvFE=")</f>
        <v>#REF!</v>
      </c>
      <c r="CE96" t="e">
        <f>AND(#REF!,"NxvzllOYvFI=")</f>
        <v>#REF!</v>
      </c>
      <c r="CF96" t="e">
        <f>AND(#REF!,"NxvzllOYvFM=")</f>
        <v>#REF!</v>
      </c>
      <c r="CG96" t="e">
        <f>AND(#REF!,"NxvzllOYvFQ=")</f>
        <v>#REF!</v>
      </c>
      <c r="CH96" t="e">
        <f>AND(#REF!,"NxvzllOYvFU=")</f>
        <v>#REF!</v>
      </c>
      <c r="CI96" t="e">
        <f>AND(#REF!,"NxvzllOYvFY=")</f>
        <v>#REF!</v>
      </c>
      <c r="CJ96" t="e">
        <f>AND(#REF!,"NxvzllOYvFc=")</f>
        <v>#REF!</v>
      </c>
      <c r="CK96" t="e">
        <f>AND(#REF!,"NxvzllOYvFg=")</f>
        <v>#REF!</v>
      </c>
      <c r="CL96" t="e">
        <f>AND(#REF!,"NxvzllOYvFk=")</f>
        <v>#REF!</v>
      </c>
      <c r="CM96" t="e">
        <f>AND(#REF!,"NxvzllOYvFo=")</f>
        <v>#REF!</v>
      </c>
      <c r="CN96" t="e">
        <f>AND(#REF!,"NxvzllOYvFs=")</f>
        <v>#REF!</v>
      </c>
      <c r="CO96" t="e">
        <f>AND(#REF!,"NxvzllOYvFw=")</f>
        <v>#REF!</v>
      </c>
      <c r="CP96" t="e">
        <f>AND(#REF!,"NxvzllOYvF0=")</f>
        <v>#REF!</v>
      </c>
      <c r="CQ96" t="e">
        <f>AND(#REF!,"NxvzllOYvF4=")</f>
        <v>#REF!</v>
      </c>
      <c r="CR96" t="e">
        <f>AND(#REF!,"NxvzllOYvF8=")</f>
        <v>#REF!</v>
      </c>
      <c r="CS96" t="e">
        <f>AND(#REF!,"NxvzllOYvGA=")</f>
        <v>#REF!</v>
      </c>
      <c r="CT96" t="e">
        <f>AND(#REF!,"NxvzllOYvGE=")</f>
        <v>#REF!</v>
      </c>
      <c r="CU96" t="e">
        <f>AND(#REF!,"NxvzllOYvGI=")</f>
        <v>#REF!</v>
      </c>
      <c r="CV96" t="e">
        <f>AND(#REF!,"NxvzllOYvGM=")</f>
        <v>#REF!</v>
      </c>
      <c r="CW96" t="e">
        <f>AND(#REF!,"NxvzllOYvGQ=")</f>
        <v>#REF!</v>
      </c>
      <c r="CX96" t="e">
        <f>AND(#REF!,"NxvzllOYvGU=")</f>
        <v>#REF!</v>
      </c>
      <c r="CY96" t="e">
        <f>AND(#REF!,"NxvzllOYvGY=")</f>
        <v>#REF!</v>
      </c>
      <c r="CZ96" t="e">
        <f>IF(#REF!,"NxvzllOYvGc=",0)</f>
        <v>#REF!</v>
      </c>
      <c r="DA96" t="e">
        <f>AND(#REF!,"NxvzllOYvGg=")</f>
        <v>#REF!</v>
      </c>
      <c r="DB96" t="e">
        <f>AND(#REF!,"NxvzllOYvGk=")</f>
        <v>#REF!</v>
      </c>
      <c r="DC96" t="e">
        <f>AND(#REF!,"NxvzllOYvGo=")</f>
        <v>#REF!</v>
      </c>
      <c r="DD96" t="e">
        <f>AND(#REF!,"NxvzllOYvGs=")</f>
        <v>#REF!</v>
      </c>
      <c r="DE96" t="e">
        <f>AND(#REF!,"NxvzllOYvGw=")</f>
        <v>#REF!</v>
      </c>
      <c r="DF96" t="e">
        <f>AND(#REF!,"NxvzllOYvG0=")</f>
        <v>#REF!</v>
      </c>
      <c r="DG96" t="e">
        <f>AND(#REF!,"NxvzllOYvG4=")</f>
        <v>#REF!</v>
      </c>
      <c r="DH96" t="e">
        <f>AND(#REF!,"NxvzllOYvG8=")</f>
        <v>#REF!</v>
      </c>
      <c r="DI96" t="e">
        <f>AND(#REF!,"NxvzllOYvHA=")</f>
        <v>#REF!</v>
      </c>
      <c r="DJ96" t="e">
        <f>AND(#REF!,"NxvzllOYvHE=")</f>
        <v>#REF!</v>
      </c>
      <c r="DK96" t="e">
        <f>AND(#REF!,"NxvzllOYvHI=")</f>
        <v>#REF!</v>
      </c>
      <c r="DL96" t="e">
        <f>AND(#REF!,"NxvzllOYvHM=")</f>
        <v>#REF!</v>
      </c>
      <c r="DM96" t="e">
        <f>AND(#REF!,"NxvzllOYvHQ=")</f>
        <v>#REF!</v>
      </c>
      <c r="DN96" t="e">
        <f>AND(#REF!,"NxvzllOYvHU=")</f>
        <v>#REF!</v>
      </c>
      <c r="DO96" t="e">
        <f>AND(#REF!,"NxvzllOYvHY=")</f>
        <v>#REF!</v>
      </c>
      <c r="DP96" t="e">
        <f>AND(#REF!,"NxvzllOYvHc=")</f>
        <v>#REF!</v>
      </c>
      <c r="DQ96" t="e">
        <f>AND(#REF!,"NxvzllOYvHg=")</f>
        <v>#REF!</v>
      </c>
      <c r="DR96" t="e">
        <f>AND(#REF!,"NxvzllOYvHk=")</f>
        <v>#REF!</v>
      </c>
      <c r="DS96" t="e">
        <f>AND(#REF!,"NxvzllOYvHo=")</f>
        <v>#REF!</v>
      </c>
      <c r="DT96" t="e">
        <f>AND(#REF!,"NxvzllOYvHs=")</f>
        <v>#REF!</v>
      </c>
      <c r="DU96" t="e">
        <f>AND(#REF!,"NxvzllOYvHw=")</f>
        <v>#REF!</v>
      </c>
      <c r="DV96" t="e">
        <f>AND(#REF!,"NxvzllOYvH0=")</f>
        <v>#REF!</v>
      </c>
      <c r="DW96" t="e">
        <f>AND(#REF!,"NxvzllOYvH4=")</f>
        <v>#REF!</v>
      </c>
      <c r="DX96" t="e">
        <f>AND(#REF!,"NxvzllOYvH8=")</f>
        <v>#REF!</v>
      </c>
      <c r="DY96" t="e">
        <f>AND(#REF!,"NxvzllOYvIA=")</f>
        <v>#REF!</v>
      </c>
      <c r="DZ96" t="e">
        <f>AND(#REF!,"NxvzllOYvIE=")</f>
        <v>#REF!</v>
      </c>
      <c r="EA96" t="e">
        <f>AND(#REF!,"NxvzllOYvII=")</f>
        <v>#REF!</v>
      </c>
      <c r="EB96" t="e">
        <f>AND(#REF!,"NxvzllOYvIM=")</f>
        <v>#REF!</v>
      </c>
      <c r="EC96" t="e">
        <f>AND(#REF!,"NxvzllOYvIQ=")</f>
        <v>#REF!</v>
      </c>
      <c r="ED96" t="e">
        <f>AND(#REF!,"NxvzllOYvIU=")</f>
        <v>#REF!</v>
      </c>
      <c r="EE96" t="e">
        <f>AND(#REF!,"NxvzllOYvIY=")</f>
        <v>#REF!</v>
      </c>
      <c r="EF96" t="e">
        <f>AND(#REF!,"NxvzllOYvIc=")</f>
        <v>#REF!</v>
      </c>
      <c r="EG96" t="e">
        <f>AND(#REF!,"NxvzllOYvIg=")</f>
        <v>#REF!</v>
      </c>
      <c r="EH96" t="e">
        <f>AND(#REF!,"NxvzllOYvIk=")</f>
        <v>#REF!</v>
      </c>
      <c r="EI96" t="e">
        <f>AND(#REF!,"NxvzllOYvIo=")</f>
        <v>#REF!</v>
      </c>
      <c r="EJ96" t="e">
        <f>AND(#REF!,"NxvzllOYvIs=")</f>
        <v>#REF!</v>
      </c>
      <c r="EK96" t="e">
        <f>AND(#REF!,"NxvzllOYvIw=")</f>
        <v>#REF!</v>
      </c>
      <c r="EL96" t="e">
        <f>AND(#REF!,"NxvzllOYvI0=")</f>
        <v>#REF!</v>
      </c>
      <c r="EM96" t="e">
        <f>AND(#REF!,"NxvzllOYvI4=")</f>
        <v>#REF!</v>
      </c>
      <c r="EN96" t="e">
        <f>AND(#REF!,"NxvzllOYvI8=")</f>
        <v>#REF!</v>
      </c>
      <c r="EO96" t="e">
        <f>AND(#REF!,"NxvzllOYvJA=")</f>
        <v>#REF!</v>
      </c>
      <c r="EP96" t="e">
        <f>AND(#REF!,"NxvzllOYvJE=")</f>
        <v>#REF!</v>
      </c>
      <c r="EQ96" t="e">
        <f>AND(#REF!,"NxvzllOYvJI=")</f>
        <v>#REF!</v>
      </c>
      <c r="ER96" t="e">
        <f>AND(#REF!,"NxvzllOYvJM=")</f>
        <v>#REF!</v>
      </c>
      <c r="ES96" t="e">
        <f>AND(#REF!,"NxvzllOYvJQ=")</f>
        <v>#REF!</v>
      </c>
      <c r="ET96" t="e">
        <f>AND(#REF!,"NxvzllOYvJU=")</f>
        <v>#REF!</v>
      </c>
      <c r="EU96" t="e">
        <f>AND(#REF!,"NxvzllOYvJY=")</f>
        <v>#REF!</v>
      </c>
      <c r="EV96" t="e">
        <f>AND(#REF!,"NxvzllOYvJc=")</f>
        <v>#REF!</v>
      </c>
      <c r="EW96" t="e">
        <f>AND(#REF!,"NxvzllOYvJg=")</f>
        <v>#REF!</v>
      </c>
      <c r="EX96" t="e">
        <f>AND(#REF!,"NxvzllOYvJk=")</f>
        <v>#REF!</v>
      </c>
      <c r="EY96" t="e">
        <f>AND(#REF!,"NxvzllOYvJo=")</f>
        <v>#REF!</v>
      </c>
      <c r="EZ96" t="e">
        <f>AND(#REF!,"NxvzllOYvJs=")</f>
        <v>#REF!</v>
      </c>
      <c r="FA96" t="e">
        <f>AND(#REF!,"NxvzllOYvJw=")</f>
        <v>#REF!</v>
      </c>
      <c r="FB96" t="e">
        <f>AND(#REF!,"NxvzllOYvJ0=")</f>
        <v>#REF!</v>
      </c>
      <c r="FC96" t="e">
        <f>AND(#REF!,"NxvzllOYvJ4=")</f>
        <v>#REF!</v>
      </c>
      <c r="FD96" t="e">
        <f>AND(#REF!,"NxvzllOYvJ8=")</f>
        <v>#REF!</v>
      </c>
      <c r="FE96" t="e">
        <f>AND(#REF!,"NxvzllOYvKA=")</f>
        <v>#REF!</v>
      </c>
      <c r="FF96" t="e">
        <f>AND(#REF!,"NxvzllOYvKE=")</f>
        <v>#REF!</v>
      </c>
      <c r="FG96" t="e">
        <f>AND(#REF!,"NxvzllOYvKI=")</f>
        <v>#REF!</v>
      </c>
      <c r="FH96" t="e">
        <f>AND(#REF!,"NxvzllOYvKM=")</f>
        <v>#REF!</v>
      </c>
      <c r="FI96" t="e">
        <f>AND(#REF!,"NxvzllOYvKQ=")</f>
        <v>#REF!</v>
      </c>
      <c r="FJ96" t="e">
        <f>AND(#REF!,"NxvzllOYvKU=")</f>
        <v>#REF!</v>
      </c>
      <c r="FK96" t="e">
        <f>AND(#REF!,"NxvzllOYvKY=")</f>
        <v>#REF!</v>
      </c>
      <c r="FL96" t="e">
        <f>AND(#REF!,"NxvzllOYvKc=")</f>
        <v>#REF!</v>
      </c>
      <c r="FM96" t="e">
        <f>AND(#REF!,"NxvzllOYvKg=")</f>
        <v>#REF!</v>
      </c>
      <c r="FN96" t="e">
        <f>AND(#REF!,"NxvzllOYvKk=")</f>
        <v>#REF!</v>
      </c>
      <c r="FO96" t="e">
        <f>AND(#REF!,"NxvzllOYvKo=")</f>
        <v>#REF!</v>
      </c>
      <c r="FP96" t="e">
        <f>AND(#REF!,"NxvzllOYvKs=")</f>
        <v>#REF!</v>
      </c>
      <c r="FQ96" t="e">
        <f>AND(#REF!,"NxvzllOYvKw=")</f>
        <v>#REF!</v>
      </c>
      <c r="FR96" t="e">
        <f>AND(#REF!,"NxvzllOYvK0=")</f>
        <v>#REF!</v>
      </c>
      <c r="FS96" t="e">
        <f>AND(#REF!,"NxvzllOYvK4=")</f>
        <v>#REF!</v>
      </c>
      <c r="FT96" t="e">
        <f>AND(#REF!,"NxvzllOYvK8=")</f>
        <v>#REF!</v>
      </c>
      <c r="FU96" t="e">
        <f>AND(#REF!,"NxvzllOYvLA=")</f>
        <v>#REF!</v>
      </c>
      <c r="FV96" t="e">
        <f>AND(#REF!,"NxvzllOYvLE=")</f>
        <v>#REF!</v>
      </c>
      <c r="FW96" t="e">
        <f>AND(#REF!,"NxvzllOYvLI=")</f>
        <v>#REF!</v>
      </c>
      <c r="FX96" t="e">
        <f>AND(#REF!,"NxvzllOYvLM=")</f>
        <v>#REF!</v>
      </c>
      <c r="FY96" t="e">
        <f>AND(#REF!,"NxvzllOYvLQ=")</f>
        <v>#REF!</v>
      </c>
      <c r="FZ96" t="e">
        <f>AND(#REF!,"NxvzllOYvLU=")</f>
        <v>#REF!</v>
      </c>
      <c r="GA96" t="e">
        <f>AND(#REF!,"NxvzllOYvLY=")</f>
        <v>#REF!</v>
      </c>
      <c r="GB96" t="e">
        <f>AND(#REF!,"NxvzllOYvLc=")</f>
        <v>#REF!</v>
      </c>
      <c r="GC96" t="e">
        <f>AND(#REF!,"NxvzllOYvLg=")</f>
        <v>#REF!</v>
      </c>
      <c r="GD96" t="e">
        <f>AND(#REF!,"NxvzllOYvLk=")</f>
        <v>#REF!</v>
      </c>
      <c r="GE96" t="e">
        <f>AND(#REF!,"NxvzllOYvLo=")</f>
        <v>#REF!</v>
      </c>
      <c r="GF96" t="e">
        <f>AND(#REF!,"NxvzllOYvLs=")</f>
        <v>#REF!</v>
      </c>
      <c r="GG96" t="e">
        <f>AND(#REF!,"NxvzllOYvLw=")</f>
        <v>#REF!</v>
      </c>
      <c r="GH96" t="e">
        <f>AND(#REF!,"NxvzllOYvL0=")</f>
        <v>#REF!</v>
      </c>
      <c r="GI96" t="e">
        <f>AND(#REF!,"NxvzllOYvL4=")</f>
        <v>#REF!</v>
      </c>
      <c r="GJ96" t="e">
        <f>AND(#REF!,"NxvzllOYvL8=")</f>
        <v>#REF!</v>
      </c>
      <c r="GK96" t="e">
        <f>AND(#REF!,"NxvzllOYvMA=")</f>
        <v>#REF!</v>
      </c>
      <c r="GL96" t="e">
        <f>AND(#REF!,"NxvzllOYvME=")</f>
        <v>#REF!</v>
      </c>
      <c r="GM96" t="e">
        <f>AND(#REF!,"NxvzllOYvMI=")</f>
        <v>#REF!</v>
      </c>
      <c r="GN96" t="e">
        <f>AND(#REF!,"NxvzllOYvMM=")</f>
        <v>#REF!</v>
      </c>
      <c r="GO96" t="e">
        <f>AND(#REF!,"NxvzllOYvMQ=")</f>
        <v>#REF!</v>
      </c>
      <c r="GP96" t="e">
        <f>AND(#REF!,"NxvzllOYvMU=")</f>
        <v>#REF!</v>
      </c>
      <c r="GQ96" t="e">
        <f>AND(#REF!,"NxvzllOYvMY=")</f>
        <v>#REF!</v>
      </c>
      <c r="GR96" t="e">
        <f>AND(#REF!,"NxvzllOYvMc=")</f>
        <v>#REF!</v>
      </c>
      <c r="GS96" t="e">
        <f>AND(#REF!,"NxvzllOYvMg=")</f>
        <v>#REF!</v>
      </c>
      <c r="GT96" t="e">
        <f>AND(#REF!,"NxvzllOYvMk=")</f>
        <v>#REF!</v>
      </c>
      <c r="GU96" t="e">
        <f>AND(#REF!,"NxvzllOYvMo=")</f>
        <v>#REF!</v>
      </c>
      <c r="GV96" t="e">
        <f>AND(#REF!,"NxvzllOYvMs=")</f>
        <v>#REF!</v>
      </c>
      <c r="GW96" t="e">
        <f>AND(#REF!,"NxvzllOYvMw=")</f>
        <v>#REF!</v>
      </c>
      <c r="GX96" t="e">
        <f>AND(#REF!,"NxvzllOYvM0=")</f>
        <v>#REF!</v>
      </c>
      <c r="GY96" t="e">
        <f>AND(#REF!,"NxvzllOYvM4=")</f>
        <v>#REF!</v>
      </c>
      <c r="GZ96" t="e">
        <f>AND(#REF!,"NxvzllOYvM8=")</f>
        <v>#REF!</v>
      </c>
      <c r="HA96" t="e">
        <f>AND(#REF!,"NxvzllOYvNA=")</f>
        <v>#REF!</v>
      </c>
      <c r="HB96" t="e">
        <f>AND(#REF!,"NxvzllOYvNE=")</f>
        <v>#REF!</v>
      </c>
      <c r="HC96" t="e">
        <f>AND(#REF!,"NxvzllOYvNI=")</f>
        <v>#REF!</v>
      </c>
      <c r="HD96" t="e">
        <f>AND(#REF!,"NxvzllOYvNM=")</f>
        <v>#REF!</v>
      </c>
      <c r="HE96" t="e">
        <f>AND(#REF!,"NxvzllOYvNQ=")</f>
        <v>#REF!</v>
      </c>
      <c r="HF96" t="e">
        <f>AND(#REF!,"NxvzllOYvNU=")</f>
        <v>#REF!</v>
      </c>
      <c r="HG96" t="e">
        <f>AND(#REF!,"NxvzllOYvNY=")</f>
        <v>#REF!</v>
      </c>
      <c r="HH96" t="e">
        <f>AND(#REF!,"NxvzllOYvNc=")</f>
        <v>#REF!</v>
      </c>
      <c r="HI96" t="e">
        <f>AND(#REF!,"NxvzllOYvNg=")</f>
        <v>#REF!</v>
      </c>
      <c r="HJ96" t="e">
        <f>AND(#REF!,"NxvzllOYvNk=")</f>
        <v>#REF!</v>
      </c>
      <c r="HK96" t="e">
        <f>AND(#REF!,"NxvzllOYvNo=")</f>
        <v>#REF!</v>
      </c>
      <c r="HL96" t="e">
        <f>AND(#REF!,"NxvzllOYvNs=")</f>
        <v>#REF!</v>
      </c>
      <c r="HM96" t="e">
        <f>AND(#REF!,"NxvzllOYvNw=")</f>
        <v>#REF!</v>
      </c>
      <c r="HN96" t="e">
        <f>AND(#REF!,"NxvzllOYvN0=")</f>
        <v>#REF!</v>
      </c>
      <c r="HO96" t="e">
        <f>AND(#REF!,"NxvzllOYvN4=")</f>
        <v>#REF!</v>
      </c>
      <c r="HP96" t="e">
        <f>AND(#REF!,"NxvzllOYvN8=")</f>
        <v>#REF!</v>
      </c>
      <c r="HQ96" t="e">
        <f>AND(#REF!,"NxvzllOYvOA=")</f>
        <v>#REF!</v>
      </c>
      <c r="HR96" t="e">
        <f>AND(#REF!,"NxvzllOYvOE=")</f>
        <v>#REF!</v>
      </c>
      <c r="HS96" t="e">
        <f>AND(#REF!,"NxvzllOYvOI=")</f>
        <v>#REF!</v>
      </c>
      <c r="HT96" t="e">
        <f>AND(#REF!,"NxvzllOYvOM=")</f>
        <v>#REF!</v>
      </c>
      <c r="HU96" t="e">
        <f>AND(#REF!,"NxvzllOYvOQ=")</f>
        <v>#REF!</v>
      </c>
      <c r="HV96" t="e">
        <f>AND(#REF!,"NxvzllOYvOU=")</f>
        <v>#REF!</v>
      </c>
      <c r="HW96" t="e">
        <f>AND(#REF!,"NxvzllOYvOY=")</f>
        <v>#REF!</v>
      </c>
      <c r="HX96" t="e">
        <f>AND(#REF!,"NxvzllOYvOc=")</f>
        <v>#REF!</v>
      </c>
      <c r="HY96" t="e">
        <f>AND(#REF!,"NxvzllOYvOg=")</f>
        <v>#REF!</v>
      </c>
      <c r="HZ96" t="e">
        <f>AND(#REF!,"NxvzllOYvOk=")</f>
        <v>#REF!</v>
      </c>
      <c r="IA96" t="e">
        <f>AND(#REF!,"NxvzllOYvOo=")</f>
        <v>#REF!</v>
      </c>
      <c r="IB96" t="e">
        <f>AND(#REF!,"NxvzllOYvOs=")</f>
        <v>#REF!</v>
      </c>
      <c r="IC96" t="e">
        <f>AND(#REF!,"NxvzllOYvOw=")</f>
        <v>#REF!</v>
      </c>
      <c r="ID96" t="e">
        <f>AND(#REF!,"NxvzllOYvO0=")</f>
        <v>#REF!</v>
      </c>
      <c r="IE96" t="e">
        <f>AND(#REF!,"NxvzllOYvO4=")</f>
        <v>#REF!</v>
      </c>
      <c r="IF96" t="e">
        <f>AND(#REF!,"NxvzllOYvO8=")</f>
        <v>#REF!</v>
      </c>
      <c r="IG96" t="e">
        <f>AND(#REF!,"NxvzllOYvPA=")</f>
        <v>#REF!</v>
      </c>
      <c r="IH96" t="e">
        <f>AND(#REF!,"NxvzllOYvPE=")</f>
        <v>#REF!</v>
      </c>
      <c r="II96" t="e">
        <f>AND(#REF!,"NxvzllOYvPI=")</f>
        <v>#REF!</v>
      </c>
      <c r="IJ96" t="e">
        <f>AND(#REF!,"NxvzllOYvPM=")</f>
        <v>#REF!</v>
      </c>
      <c r="IK96" t="e">
        <f>AND(#REF!,"NxvzllOYvPQ=")</f>
        <v>#REF!</v>
      </c>
      <c r="IL96" t="e">
        <f>AND(#REF!,"NxvzllOYvPU=")</f>
        <v>#REF!</v>
      </c>
      <c r="IM96" t="e">
        <f>AND(#REF!,"NxvzllOYvPY=")</f>
        <v>#REF!</v>
      </c>
      <c r="IN96" t="e">
        <f>AND(#REF!,"NxvzllOYvPc=")</f>
        <v>#REF!</v>
      </c>
      <c r="IO96" t="e">
        <f>AND(#REF!,"NxvzllOYvPg=")</f>
        <v>#REF!</v>
      </c>
      <c r="IP96" t="e">
        <f>AND(#REF!,"NxvzllOYvPk=")</f>
        <v>#REF!</v>
      </c>
      <c r="IQ96" t="e">
        <f>AND(#REF!,"NxvzllOYvPo=")</f>
        <v>#REF!</v>
      </c>
      <c r="IR96" t="e">
        <f>AND(#REF!,"NxvzllOYvPs=")</f>
        <v>#REF!</v>
      </c>
      <c r="IS96" t="e">
        <f>AND(#REF!,"NxvzllOYvPw=")</f>
        <v>#REF!</v>
      </c>
      <c r="IT96" t="e">
        <f>AND(#REF!,"NxvzllOYvP0=")</f>
        <v>#REF!</v>
      </c>
      <c r="IU96" t="e">
        <f>AND(#REF!,"NxvzllOYvP4=")</f>
        <v>#REF!</v>
      </c>
      <c r="IV96" t="e">
        <f>AND(#REF!,"NxvzllOYvP8=")</f>
        <v>#REF!</v>
      </c>
    </row>
    <row r="97" spans="1:256" x14ac:dyDescent="0.2">
      <c r="A97" t="e">
        <f>AND(#REF!,"frPDzjBRZwA=")</f>
        <v>#REF!</v>
      </c>
      <c r="B97" t="e">
        <f>AND(#REF!,"frPDzjBRZwE=")</f>
        <v>#REF!</v>
      </c>
      <c r="C97" t="e">
        <f>AND(#REF!,"frPDzjBRZwI=")</f>
        <v>#REF!</v>
      </c>
      <c r="D97" t="e">
        <f>AND(#REF!,"frPDzjBRZwM=")</f>
        <v>#REF!</v>
      </c>
      <c r="E97" t="e">
        <f>AND(#REF!,"frPDzjBRZwQ=")</f>
        <v>#REF!</v>
      </c>
      <c r="F97" t="e">
        <f>AND(#REF!,"frPDzjBRZwU=")</f>
        <v>#REF!</v>
      </c>
      <c r="G97" t="e">
        <f>AND(#REF!,"frPDzjBRZwY=")</f>
        <v>#REF!</v>
      </c>
      <c r="H97" t="e">
        <f>AND(#REF!,"frPDzjBRZwc=")</f>
        <v>#REF!</v>
      </c>
      <c r="I97" t="e">
        <f>AND(#REF!,"frPDzjBRZwg=")</f>
        <v>#REF!</v>
      </c>
      <c r="J97" t="e">
        <f>AND(#REF!,"frPDzjBRZwk=")</f>
        <v>#REF!</v>
      </c>
      <c r="K97" t="e">
        <f>AND(#REF!,"frPDzjBRZwo=")</f>
        <v>#REF!</v>
      </c>
      <c r="L97" t="e">
        <f>AND(#REF!,"frPDzjBRZws=")</f>
        <v>#REF!</v>
      </c>
      <c r="M97" t="e">
        <f>AND(#REF!,"frPDzjBRZww=")</f>
        <v>#REF!</v>
      </c>
      <c r="N97" t="e">
        <f>AND(#REF!,"frPDzjBRZw0=")</f>
        <v>#REF!</v>
      </c>
      <c r="O97" t="e">
        <f>AND(#REF!,"frPDzjBRZw4=")</f>
        <v>#REF!</v>
      </c>
      <c r="P97" t="e">
        <f>AND(#REF!,"frPDzjBRZw8=")</f>
        <v>#REF!</v>
      </c>
      <c r="Q97" t="e">
        <f>AND(#REF!,"frPDzjBRZxA=")</f>
        <v>#REF!</v>
      </c>
      <c r="R97" t="e">
        <f>AND(#REF!,"frPDzjBRZxE=")</f>
        <v>#REF!</v>
      </c>
      <c r="S97" t="e">
        <f>AND(#REF!,"frPDzjBRZxI=")</f>
        <v>#REF!</v>
      </c>
      <c r="T97" t="e">
        <f>AND(#REF!,"frPDzjBRZxM=")</f>
        <v>#REF!</v>
      </c>
      <c r="U97" t="e">
        <f>AND(#REF!,"frPDzjBRZxQ=")</f>
        <v>#REF!</v>
      </c>
      <c r="V97" t="e">
        <f>AND(#REF!,"frPDzjBRZxU=")</f>
        <v>#REF!</v>
      </c>
      <c r="W97" t="e">
        <f>AND(#REF!,"frPDzjBRZxY=")</f>
        <v>#REF!</v>
      </c>
      <c r="X97" t="e">
        <f>AND(#REF!,"frPDzjBRZxc=")</f>
        <v>#REF!</v>
      </c>
      <c r="Y97" t="e">
        <f>AND(#REF!,"frPDzjBRZxg=")</f>
        <v>#REF!</v>
      </c>
      <c r="Z97" t="e">
        <f>AND(#REF!,"frPDzjBRZxk=")</f>
        <v>#REF!</v>
      </c>
      <c r="AA97" t="e">
        <f>AND(#REF!,"frPDzjBRZxo=")</f>
        <v>#REF!</v>
      </c>
      <c r="AB97" t="e">
        <f>AND(#REF!,"frPDzjBRZxs=")</f>
        <v>#REF!</v>
      </c>
      <c r="AC97" t="e">
        <f>AND(#REF!,"frPDzjBRZxw=")</f>
        <v>#REF!</v>
      </c>
      <c r="AD97" t="e">
        <f>AND(#REF!,"frPDzjBRZx0=")</f>
        <v>#REF!</v>
      </c>
      <c r="AE97" t="e">
        <f>AND(#REF!,"frPDzjBRZx4=")</f>
        <v>#REF!</v>
      </c>
      <c r="AF97" t="e">
        <f>AND(#REF!,"frPDzjBRZx8=")</f>
        <v>#REF!</v>
      </c>
      <c r="AG97" t="e">
        <f>AND(#REF!,"frPDzjBRZyA=")</f>
        <v>#REF!</v>
      </c>
      <c r="AH97" t="e">
        <f>AND(#REF!,"frPDzjBRZyE=")</f>
        <v>#REF!</v>
      </c>
      <c r="AI97" t="e">
        <f>AND(#REF!,"frPDzjBRZyI=")</f>
        <v>#REF!</v>
      </c>
      <c r="AJ97" t="e">
        <f>AND(#REF!,"frPDzjBRZyM=")</f>
        <v>#REF!</v>
      </c>
      <c r="AK97" t="e">
        <f>AND(#REF!,"frPDzjBRZyQ=")</f>
        <v>#REF!</v>
      </c>
      <c r="AL97" t="e">
        <f>AND(#REF!,"frPDzjBRZyU=")</f>
        <v>#REF!</v>
      </c>
      <c r="AM97" t="e">
        <f>AND(#REF!,"frPDzjBRZyY=")</f>
        <v>#REF!</v>
      </c>
      <c r="AN97" t="e">
        <f>AND(#REF!,"frPDzjBRZyc=")</f>
        <v>#REF!</v>
      </c>
      <c r="AO97" t="e">
        <f>AND(#REF!,"frPDzjBRZyg=")</f>
        <v>#REF!</v>
      </c>
      <c r="AP97" t="e">
        <f>AND(#REF!,"frPDzjBRZyk=")</f>
        <v>#REF!</v>
      </c>
      <c r="AQ97" t="e">
        <f>AND(#REF!,"frPDzjBRZyo=")</f>
        <v>#REF!</v>
      </c>
      <c r="AR97" t="e">
        <f>AND(#REF!,"frPDzjBRZys=")</f>
        <v>#REF!</v>
      </c>
      <c r="AS97" t="e">
        <f>AND(#REF!,"frPDzjBRZyw=")</f>
        <v>#REF!</v>
      </c>
      <c r="AT97" t="e">
        <f>AND(#REF!,"frPDzjBRZy0=")</f>
        <v>#REF!</v>
      </c>
      <c r="AU97" t="e">
        <f>IF(#REF!,"frPDzjBRZy4=",0)</f>
        <v>#REF!</v>
      </c>
      <c r="AV97" t="e">
        <f>AND(#REF!,"frPDzjBRZy8=")</f>
        <v>#REF!</v>
      </c>
      <c r="AW97" t="e">
        <f>AND(#REF!,"frPDzjBRZzA=")</f>
        <v>#REF!</v>
      </c>
      <c r="AX97" t="e">
        <f>AND(#REF!,"frPDzjBRZzE=")</f>
        <v>#REF!</v>
      </c>
      <c r="AY97" t="e">
        <f>AND(#REF!,"frPDzjBRZzI=")</f>
        <v>#REF!</v>
      </c>
      <c r="AZ97" t="e">
        <f>AND(#REF!,"frPDzjBRZzM=")</f>
        <v>#REF!</v>
      </c>
      <c r="BA97" t="e">
        <f>AND(#REF!,"frPDzjBRZzQ=")</f>
        <v>#REF!</v>
      </c>
      <c r="BB97" t="e">
        <f>AND(#REF!,"frPDzjBRZzU=")</f>
        <v>#REF!</v>
      </c>
      <c r="BC97" t="e">
        <f>AND(#REF!,"frPDzjBRZzY=")</f>
        <v>#REF!</v>
      </c>
      <c r="BD97" t="e">
        <f>AND(#REF!,"frPDzjBRZzc=")</f>
        <v>#REF!</v>
      </c>
      <c r="BE97" t="e">
        <f>AND(#REF!,"frPDzjBRZzg=")</f>
        <v>#REF!</v>
      </c>
      <c r="BF97" t="e">
        <f>AND(#REF!,"frPDzjBRZzk=")</f>
        <v>#REF!</v>
      </c>
      <c r="BG97" t="e">
        <f>AND(#REF!,"frPDzjBRZzo=")</f>
        <v>#REF!</v>
      </c>
      <c r="BH97" t="e">
        <f>AND(#REF!,"frPDzjBRZzs=")</f>
        <v>#REF!</v>
      </c>
      <c r="BI97" t="e">
        <f>AND(#REF!,"frPDzjBRZzw=")</f>
        <v>#REF!</v>
      </c>
      <c r="BJ97" t="e">
        <f>AND(#REF!,"frPDzjBRZz0=")</f>
        <v>#REF!</v>
      </c>
      <c r="BK97" t="e">
        <f>AND(#REF!,"frPDzjBRZz4=")</f>
        <v>#REF!</v>
      </c>
      <c r="BL97" t="e">
        <f>AND(#REF!,"frPDzjBRZz8=")</f>
        <v>#REF!</v>
      </c>
      <c r="BM97" t="e">
        <f>AND(#REF!,"frPDzjBRZ0A=")</f>
        <v>#REF!</v>
      </c>
      <c r="BN97" t="e">
        <f>AND(#REF!,"frPDzjBRZ0E=")</f>
        <v>#REF!</v>
      </c>
      <c r="BO97" t="e">
        <f>AND(#REF!,"frPDzjBRZ0I=")</f>
        <v>#REF!</v>
      </c>
      <c r="BP97" t="e">
        <f>AND(#REF!,"frPDzjBRZ0M=")</f>
        <v>#REF!</v>
      </c>
      <c r="BQ97" t="e">
        <f>AND(#REF!,"frPDzjBRZ0Q=")</f>
        <v>#REF!</v>
      </c>
      <c r="BR97" t="e">
        <f>AND(#REF!,"frPDzjBRZ0U=")</f>
        <v>#REF!</v>
      </c>
      <c r="BS97" t="e">
        <f>AND(#REF!,"frPDzjBRZ0Y=")</f>
        <v>#REF!</v>
      </c>
      <c r="BT97" t="e">
        <f>AND(#REF!,"frPDzjBRZ0c=")</f>
        <v>#REF!</v>
      </c>
      <c r="BU97" t="e">
        <f>AND(#REF!,"frPDzjBRZ0g=")</f>
        <v>#REF!</v>
      </c>
      <c r="BV97" t="e">
        <f>AND(#REF!,"frPDzjBRZ0k=")</f>
        <v>#REF!</v>
      </c>
      <c r="BW97" t="e">
        <f>AND(#REF!,"frPDzjBRZ0o=")</f>
        <v>#REF!</v>
      </c>
      <c r="BX97" t="e">
        <f>AND(#REF!,"frPDzjBRZ0s=")</f>
        <v>#REF!</v>
      </c>
      <c r="BY97" t="e">
        <f>AND(#REF!,"frPDzjBRZ0w=")</f>
        <v>#REF!</v>
      </c>
      <c r="BZ97" t="e">
        <f>AND(#REF!,"frPDzjBRZ00=")</f>
        <v>#REF!</v>
      </c>
      <c r="CA97" t="e">
        <f>AND(#REF!,"frPDzjBRZ04=")</f>
        <v>#REF!</v>
      </c>
      <c r="CB97" t="e">
        <f>AND(#REF!,"frPDzjBRZ08=")</f>
        <v>#REF!</v>
      </c>
      <c r="CC97" t="e">
        <f>AND(#REF!,"frPDzjBRZ1A=")</f>
        <v>#REF!</v>
      </c>
      <c r="CD97" t="e">
        <f>AND(#REF!,"frPDzjBRZ1E=")</f>
        <v>#REF!</v>
      </c>
      <c r="CE97" t="e">
        <f>AND(#REF!,"frPDzjBRZ1I=")</f>
        <v>#REF!</v>
      </c>
      <c r="CF97" t="e">
        <f>AND(#REF!,"frPDzjBRZ1M=")</f>
        <v>#REF!</v>
      </c>
      <c r="CG97" t="e">
        <f>AND(#REF!,"frPDzjBRZ1Q=")</f>
        <v>#REF!</v>
      </c>
      <c r="CH97" t="e">
        <f>AND(#REF!,"frPDzjBRZ1U=")</f>
        <v>#REF!</v>
      </c>
      <c r="CI97" t="e">
        <f>AND(#REF!,"frPDzjBRZ1Y=")</f>
        <v>#REF!</v>
      </c>
      <c r="CJ97" t="e">
        <f>AND(#REF!,"frPDzjBRZ1c=")</f>
        <v>#REF!</v>
      </c>
      <c r="CK97" t="e">
        <f>AND(#REF!,"frPDzjBRZ1g=")</f>
        <v>#REF!</v>
      </c>
      <c r="CL97" t="e">
        <f>AND(#REF!,"frPDzjBRZ1k=")</f>
        <v>#REF!</v>
      </c>
      <c r="CM97" t="e">
        <f>AND(#REF!,"frPDzjBRZ1o=")</f>
        <v>#REF!</v>
      </c>
      <c r="CN97" t="e">
        <f>AND(#REF!,"frPDzjBRZ1s=")</f>
        <v>#REF!</v>
      </c>
      <c r="CO97" t="e">
        <f>AND(#REF!,"frPDzjBRZ1w=")</f>
        <v>#REF!</v>
      </c>
      <c r="CP97" t="e">
        <f>AND(#REF!,"frPDzjBRZ10=")</f>
        <v>#REF!</v>
      </c>
      <c r="CQ97" t="e">
        <f>AND(#REF!,"frPDzjBRZ14=")</f>
        <v>#REF!</v>
      </c>
      <c r="CR97" t="e">
        <f>AND(#REF!,"frPDzjBRZ18=")</f>
        <v>#REF!</v>
      </c>
      <c r="CS97" t="e">
        <f>AND(#REF!,"frPDzjBRZ2A=")</f>
        <v>#REF!</v>
      </c>
      <c r="CT97" t="e">
        <f>AND(#REF!,"frPDzjBRZ2E=")</f>
        <v>#REF!</v>
      </c>
      <c r="CU97" t="e">
        <f>AND(#REF!,"frPDzjBRZ2I=")</f>
        <v>#REF!</v>
      </c>
      <c r="CV97" t="e">
        <f>AND(#REF!,"frPDzjBRZ2M=")</f>
        <v>#REF!</v>
      </c>
      <c r="CW97" t="e">
        <f>AND(#REF!,"frPDzjBRZ2Q=")</f>
        <v>#REF!</v>
      </c>
      <c r="CX97" t="e">
        <f>AND(#REF!,"frPDzjBRZ2U=")</f>
        <v>#REF!</v>
      </c>
      <c r="CY97" t="e">
        <f>AND(#REF!,"frPDzjBRZ2Y=")</f>
        <v>#REF!</v>
      </c>
      <c r="CZ97" t="e">
        <f>AND(#REF!,"frPDzjBRZ2c=")</f>
        <v>#REF!</v>
      </c>
      <c r="DA97" t="e">
        <f>AND(#REF!,"frPDzjBRZ2g=")</f>
        <v>#REF!</v>
      </c>
      <c r="DB97" t="e">
        <f>AND(#REF!,"frPDzjBRZ2k=")</f>
        <v>#REF!</v>
      </c>
      <c r="DC97" t="e">
        <f>AND(#REF!,"frPDzjBRZ2o=")</f>
        <v>#REF!</v>
      </c>
      <c r="DD97" t="e">
        <f>AND(#REF!,"frPDzjBRZ2s=")</f>
        <v>#REF!</v>
      </c>
      <c r="DE97" t="e">
        <f>AND(#REF!,"frPDzjBRZ2w=")</f>
        <v>#REF!</v>
      </c>
      <c r="DF97" t="e">
        <f>AND(#REF!,"frPDzjBRZ20=")</f>
        <v>#REF!</v>
      </c>
      <c r="DG97" t="e">
        <f>AND(#REF!,"frPDzjBRZ24=")</f>
        <v>#REF!</v>
      </c>
      <c r="DH97" t="e">
        <f>AND(#REF!,"frPDzjBRZ28=")</f>
        <v>#REF!</v>
      </c>
      <c r="DI97" t="e">
        <f>AND(#REF!,"frPDzjBRZ3A=")</f>
        <v>#REF!</v>
      </c>
      <c r="DJ97" t="e">
        <f>AND(#REF!,"frPDzjBRZ3E=")</f>
        <v>#REF!</v>
      </c>
      <c r="DK97" t="e">
        <f>AND(#REF!,"frPDzjBRZ3I=")</f>
        <v>#REF!</v>
      </c>
      <c r="DL97" t="e">
        <f>AND(#REF!,"frPDzjBRZ3M=")</f>
        <v>#REF!</v>
      </c>
      <c r="DM97" t="e">
        <f>AND(#REF!,"frPDzjBRZ3Q=")</f>
        <v>#REF!</v>
      </c>
      <c r="DN97" t="e">
        <f>AND(#REF!,"frPDzjBRZ3U=")</f>
        <v>#REF!</v>
      </c>
      <c r="DO97" t="e">
        <f>AND(#REF!,"frPDzjBRZ3Y=")</f>
        <v>#REF!</v>
      </c>
      <c r="DP97" t="e">
        <f>AND(#REF!,"frPDzjBRZ3c=")</f>
        <v>#REF!</v>
      </c>
      <c r="DQ97" t="e">
        <f>AND(#REF!,"frPDzjBRZ3g=")</f>
        <v>#REF!</v>
      </c>
      <c r="DR97" t="e">
        <f>AND(#REF!,"frPDzjBRZ3k=")</f>
        <v>#REF!</v>
      </c>
      <c r="DS97" t="e">
        <f>AND(#REF!,"frPDzjBRZ3o=")</f>
        <v>#REF!</v>
      </c>
      <c r="DT97" t="e">
        <f>AND(#REF!,"frPDzjBRZ3s=")</f>
        <v>#REF!</v>
      </c>
      <c r="DU97" t="e">
        <f>AND(#REF!,"frPDzjBRZ3w=")</f>
        <v>#REF!</v>
      </c>
      <c r="DV97" t="e">
        <f>AND(#REF!,"frPDzjBRZ30=")</f>
        <v>#REF!</v>
      </c>
      <c r="DW97" t="e">
        <f>AND(#REF!,"frPDzjBRZ34=")</f>
        <v>#REF!</v>
      </c>
      <c r="DX97" t="e">
        <f>AND(#REF!,"frPDzjBRZ38=")</f>
        <v>#REF!</v>
      </c>
      <c r="DY97" t="e">
        <f>AND(#REF!,"frPDzjBRZ4A=")</f>
        <v>#REF!</v>
      </c>
      <c r="DZ97" t="e">
        <f>AND(#REF!,"frPDzjBRZ4E=")</f>
        <v>#REF!</v>
      </c>
      <c r="EA97" t="e">
        <f>AND(#REF!,"frPDzjBRZ4I=")</f>
        <v>#REF!</v>
      </c>
      <c r="EB97" t="e">
        <f>AND(#REF!,"frPDzjBRZ4M=")</f>
        <v>#REF!</v>
      </c>
      <c r="EC97" t="e">
        <f>AND(#REF!,"frPDzjBRZ4Q=")</f>
        <v>#REF!</v>
      </c>
      <c r="ED97" t="e">
        <f>AND(#REF!,"frPDzjBRZ4U=")</f>
        <v>#REF!</v>
      </c>
      <c r="EE97" t="e">
        <f>AND(#REF!,"frPDzjBRZ4Y=")</f>
        <v>#REF!</v>
      </c>
      <c r="EF97" t="e">
        <f>AND(#REF!,"frPDzjBRZ4c=")</f>
        <v>#REF!</v>
      </c>
      <c r="EG97" t="e">
        <f>AND(#REF!,"frPDzjBRZ4g=")</f>
        <v>#REF!</v>
      </c>
      <c r="EH97" t="e">
        <f>AND(#REF!,"frPDzjBRZ4k=")</f>
        <v>#REF!</v>
      </c>
      <c r="EI97" t="e">
        <f>AND(#REF!,"frPDzjBRZ4o=")</f>
        <v>#REF!</v>
      </c>
      <c r="EJ97" t="e">
        <f>AND(#REF!,"frPDzjBRZ4s=")</f>
        <v>#REF!</v>
      </c>
      <c r="EK97" t="e">
        <f>AND(#REF!,"frPDzjBRZ4w=")</f>
        <v>#REF!</v>
      </c>
      <c r="EL97" t="e">
        <f>AND(#REF!,"frPDzjBRZ40=")</f>
        <v>#REF!</v>
      </c>
      <c r="EM97" t="e">
        <f>AND(#REF!,"frPDzjBRZ44=")</f>
        <v>#REF!</v>
      </c>
      <c r="EN97" t="e">
        <f>AND(#REF!,"frPDzjBRZ48=")</f>
        <v>#REF!</v>
      </c>
      <c r="EO97" t="e">
        <f>AND(#REF!,"frPDzjBRZ5A=")</f>
        <v>#REF!</v>
      </c>
      <c r="EP97" t="e">
        <f>AND(#REF!,"frPDzjBRZ5E=")</f>
        <v>#REF!</v>
      </c>
      <c r="EQ97" t="e">
        <f>AND(#REF!,"frPDzjBRZ5I=")</f>
        <v>#REF!</v>
      </c>
      <c r="ER97" t="e">
        <f>AND(#REF!,"frPDzjBRZ5M=")</f>
        <v>#REF!</v>
      </c>
      <c r="ES97" t="e">
        <f>AND(#REF!,"frPDzjBRZ5Q=")</f>
        <v>#REF!</v>
      </c>
      <c r="ET97" t="e">
        <f>AND(#REF!,"frPDzjBRZ5U=")</f>
        <v>#REF!</v>
      </c>
      <c r="EU97" t="e">
        <f>AND(#REF!,"frPDzjBRZ5Y=")</f>
        <v>#REF!</v>
      </c>
      <c r="EV97" t="e">
        <f>AND(#REF!,"frPDzjBRZ5c=")</f>
        <v>#REF!</v>
      </c>
      <c r="EW97" t="e">
        <f>AND(#REF!,"frPDzjBRZ5g=")</f>
        <v>#REF!</v>
      </c>
      <c r="EX97" t="e">
        <f>AND(#REF!,"frPDzjBRZ5k=")</f>
        <v>#REF!</v>
      </c>
      <c r="EY97" t="e">
        <f>AND(#REF!,"frPDzjBRZ5o=")</f>
        <v>#REF!</v>
      </c>
      <c r="EZ97" t="e">
        <f>AND(#REF!,"frPDzjBRZ5s=")</f>
        <v>#REF!</v>
      </c>
      <c r="FA97" t="e">
        <f>AND(#REF!,"frPDzjBRZ5w=")</f>
        <v>#REF!</v>
      </c>
      <c r="FB97" t="e">
        <f>AND(#REF!,"frPDzjBRZ50=")</f>
        <v>#REF!</v>
      </c>
      <c r="FC97" t="e">
        <f>AND(#REF!,"frPDzjBRZ54=")</f>
        <v>#REF!</v>
      </c>
      <c r="FD97" t="e">
        <f>AND(#REF!,"frPDzjBRZ58=")</f>
        <v>#REF!</v>
      </c>
      <c r="FE97" t="e">
        <f>AND(#REF!,"frPDzjBRZ6A=")</f>
        <v>#REF!</v>
      </c>
      <c r="FF97" t="e">
        <f>AND(#REF!,"frPDzjBRZ6E=")</f>
        <v>#REF!</v>
      </c>
      <c r="FG97" t="e">
        <f>AND(#REF!,"frPDzjBRZ6I=")</f>
        <v>#REF!</v>
      </c>
      <c r="FH97" t="e">
        <f>AND(#REF!,"frPDzjBRZ6M=")</f>
        <v>#REF!</v>
      </c>
      <c r="FI97" t="e">
        <f>AND(#REF!,"frPDzjBRZ6Q=")</f>
        <v>#REF!</v>
      </c>
      <c r="FJ97" t="e">
        <f>AND(#REF!,"frPDzjBRZ6U=")</f>
        <v>#REF!</v>
      </c>
      <c r="FK97" t="e">
        <f>AND(#REF!,"frPDzjBRZ6Y=")</f>
        <v>#REF!</v>
      </c>
      <c r="FL97" t="e">
        <f>AND(#REF!,"frPDzjBRZ6c=")</f>
        <v>#REF!</v>
      </c>
      <c r="FM97" t="e">
        <f>AND(#REF!,"frPDzjBRZ6g=")</f>
        <v>#REF!</v>
      </c>
      <c r="FN97" t="e">
        <f>AND(#REF!,"frPDzjBRZ6k=")</f>
        <v>#REF!</v>
      </c>
      <c r="FO97" t="e">
        <f>AND(#REF!,"frPDzjBRZ6o=")</f>
        <v>#REF!</v>
      </c>
      <c r="FP97" t="e">
        <f>AND(#REF!,"frPDzjBRZ6s=")</f>
        <v>#REF!</v>
      </c>
      <c r="FQ97" t="e">
        <f>AND(#REF!,"frPDzjBRZ6w=")</f>
        <v>#REF!</v>
      </c>
      <c r="FR97" t="e">
        <f>AND(#REF!,"frPDzjBRZ60=")</f>
        <v>#REF!</v>
      </c>
      <c r="FS97" t="e">
        <f>AND(#REF!,"frPDzjBRZ64=")</f>
        <v>#REF!</v>
      </c>
      <c r="FT97" t="e">
        <f>AND(#REF!,"frPDzjBRZ68=")</f>
        <v>#REF!</v>
      </c>
      <c r="FU97" t="e">
        <f>AND(#REF!,"frPDzjBRZ7A=")</f>
        <v>#REF!</v>
      </c>
      <c r="FV97" t="e">
        <f>AND(#REF!,"frPDzjBRZ7E=")</f>
        <v>#REF!</v>
      </c>
      <c r="FW97" t="e">
        <f>AND(#REF!,"frPDzjBRZ7I=")</f>
        <v>#REF!</v>
      </c>
      <c r="FX97" t="e">
        <f>AND(#REF!,"frPDzjBRZ7M=")</f>
        <v>#REF!</v>
      </c>
      <c r="FY97" t="e">
        <f>AND(#REF!,"frPDzjBRZ7Q=")</f>
        <v>#REF!</v>
      </c>
      <c r="FZ97" t="e">
        <f>AND(#REF!,"frPDzjBRZ7U=")</f>
        <v>#REF!</v>
      </c>
      <c r="GA97" t="e">
        <f>AND(#REF!,"frPDzjBRZ7Y=")</f>
        <v>#REF!</v>
      </c>
      <c r="GB97" t="e">
        <f>AND(#REF!,"frPDzjBRZ7c=")</f>
        <v>#REF!</v>
      </c>
      <c r="GC97" t="e">
        <f>AND(#REF!,"frPDzjBRZ7g=")</f>
        <v>#REF!</v>
      </c>
      <c r="GD97" t="e">
        <f>AND(#REF!,"frPDzjBRZ7k=")</f>
        <v>#REF!</v>
      </c>
      <c r="GE97" t="e">
        <f>AND(#REF!,"frPDzjBRZ7o=")</f>
        <v>#REF!</v>
      </c>
      <c r="GF97" t="e">
        <f>AND(#REF!,"frPDzjBRZ7s=")</f>
        <v>#REF!</v>
      </c>
      <c r="GG97" t="e">
        <f>AND(#REF!,"frPDzjBRZ7w=")</f>
        <v>#REF!</v>
      </c>
      <c r="GH97" t="e">
        <f>AND(#REF!,"frPDzjBRZ70=")</f>
        <v>#REF!</v>
      </c>
      <c r="GI97" t="e">
        <f>AND(#REF!,"frPDzjBRZ74=")</f>
        <v>#REF!</v>
      </c>
      <c r="GJ97" t="e">
        <f>AND(#REF!,"frPDzjBRZ78=")</f>
        <v>#REF!</v>
      </c>
      <c r="GK97" t="e">
        <f>AND(#REF!,"frPDzjBRZ8A=")</f>
        <v>#REF!</v>
      </c>
      <c r="GL97" t="e">
        <f>AND(#REF!,"frPDzjBRZ8E=")</f>
        <v>#REF!</v>
      </c>
      <c r="GM97" t="e">
        <f>AND(#REF!,"frPDzjBRZ8I=")</f>
        <v>#REF!</v>
      </c>
      <c r="GN97" t="e">
        <f>AND(#REF!,"frPDzjBRZ8M=")</f>
        <v>#REF!</v>
      </c>
      <c r="GO97" t="e">
        <f>AND(#REF!,"frPDzjBRZ8Q=")</f>
        <v>#REF!</v>
      </c>
      <c r="GP97" t="e">
        <f>AND(#REF!,"frPDzjBRZ8U=")</f>
        <v>#REF!</v>
      </c>
      <c r="GQ97" t="e">
        <f>AND(#REF!,"frPDzjBRZ8Y=")</f>
        <v>#REF!</v>
      </c>
      <c r="GR97" t="e">
        <f>AND(#REF!,"frPDzjBRZ8c=")</f>
        <v>#REF!</v>
      </c>
      <c r="GS97" t="e">
        <f>AND(#REF!,"frPDzjBRZ8g=")</f>
        <v>#REF!</v>
      </c>
      <c r="GT97" t="e">
        <f>AND(#REF!,"frPDzjBRZ8k=")</f>
        <v>#REF!</v>
      </c>
      <c r="GU97" t="e">
        <f>AND(#REF!,"frPDzjBRZ8o=")</f>
        <v>#REF!</v>
      </c>
      <c r="GV97" t="e">
        <f>AND(#REF!,"frPDzjBRZ8s=")</f>
        <v>#REF!</v>
      </c>
      <c r="GW97" t="e">
        <f>AND(#REF!,"frPDzjBRZ8w=")</f>
        <v>#REF!</v>
      </c>
      <c r="GX97" t="e">
        <f>AND(#REF!,"frPDzjBRZ80=")</f>
        <v>#REF!</v>
      </c>
      <c r="GY97" t="e">
        <f>AND(#REF!,"frPDzjBRZ84=")</f>
        <v>#REF!</v>
      </c>
      <c r="GZ97" t="e">
        <f>AND(#REF!,"frPDzjBRZ88=")</f>
        <v>#REF!</v>
      </c>
      <c r="HA97" t="e">
        <f>AND(#REF!,"frPDzjBRZ9A=")</f>
        <v>#REF!</v>
      </c>
      <c r="HB97" t="e">
        <f>AND(#REF!,"frPDzjBRZ9E=")</f>
        <v>#REF!</v>
      </c>
      <c r="HC97" t="e">
        <f>AND(#REF!,"frPDzjBRZ9I=")</f>
        <v>#REF!</v>
      </c>
      <c r="HD97" t="e">
        <f>AND(#REF!,"frPDzjBRZ9M=")</f>
        <v>#REF!</v>
      </c>
      <c r="HE97" t="e">
        <f>AND(#REF!,"frPDzjBRZ9Q=")</f>
        <v>#REF!</v>
      </c>
      <c r="HF97" t="e">
        <f>AND(#REF!,"frPDzjBRZ9U=")</f>
        <v>#REF!</v>
      </c>
      <c r="HG97" t="e">
        <f>AND(#REF!,"frPDzjBRZ9Y=")</f>
        <v>#REF!</v>
      </c>
      <c r="HH97" t="e">
        <f>AND(#REF!,"frPDzjBRZ9c=")</f>
        <v>#REF!</v>
      </c>
      <c r="HI97" t="e">
        <f>AND(#REF!,"frPDzjBRZ9g=")</f>
        <v>#REF!</v>
      </c>
      <c r="HJ97" t="e">
        <f>AND(#REF!,"frPDzjBRZ9k=")</f>
        <v>#REF!</v>
      </c>
      <c r="HK97" t="e">
        <f>AND(#REF!,"frPDzjBRZ9o=")</f>
        <v>#REF!</v>
      </c>
      <c r="HL97" t="e">
        <f>AND(#REF!,"frPDzjBRZ9s=")</f>
        <v>#REF!</v>
      </c>
      <c r="HM97" t="e">
        <f>AND(#REF!,"frPDzjBRZ9w=")</f>
        <v>#REF!</v>
      </c>
      <c r="HN97" t="e">
        <f>AND(#REF!,"frPDzjBRZ90=")</f>
        <v>#REF!</v>
      </c>
      <c r="HO97" t="e">
        <f>AND(#REF!,"frPDzjBRZ94=")</f>
        <v>#REF!</v>
      </c>
      <c r="HP97" t="e">
        <f>AND(#REF!,"frPDzjBRZ98=")</f>
        <v>#REF!</v>
      </c>
      <c r="HQ97" t="e">
        <f>AND(#REF!,"frPDzjBRZ+A=")</f>
        <v>#REF!</v>
      </c>
      <c r="HR97" t="e">
        <f>AND(#REF!,"frPDzjBRZ+E=")</f>
        <v>#REF!</v>
      </c>
      <c r="HS97" t="e">
        <f>AND(#REF!,"frPDzjBRZ+I=")</f>
        <v>#REF!</v>
      </c>
      <c r="HT97" t="e">
        <f>AND(#REF!,"frPDzjBRZ+M=")</f>
        <v>#REF!</v>
      </c>
      <c r="HU97" t="e">
        <f>AND(#REF!,"frPDzjBRZ+Q=")</f>
        <v>#REF!</v>
      </c>
      <c r="HV97" t="e">
        <f>AND(#REF!,"frPDzjBRZ+U=")</f>
        <v>#REF!</v>
      </c>
      <c r="HW97" t="e">
        <f>AND(#REF!,"frPDzjBRZ+Y=")</f>
        <v>#REF!</v>
      </c>
      <c r="HX97" t="e">
        <f>AND(#REF!,"frPDzjBRZ+c=")</f>
        <v>#REF!</v>
      </c>
      <c r="HY97" t="e">
        <f>AND(#REF!,"frPDzjBRZ+g=")</f>
        <v>#REF!</v>
      </c>
      <c r="HZ97" t="e">
        <f>AND(#REF!,"frPDzjBRZ+k=")</f>
        <v>#REF!</v>
      </c>
      <c r="IA97" t="e">
        <f>AND(#REF!,"frPDzjBRZ+o=")</f>
        <v>#REF!</v>
      </c>
      <c r="IB97" t="e">
        <f>AND(#REF!,"frPDzjBRZ+s=")</f>
        <v>#REF!</v>
      </c>
      <c r="IC97" t="e">
        <f>AND(#REF!,"frPDzjBRZ+w=")</f>
        <v>#REF!</v>
      </c>
      <c r="ID97" t="e">
        <f>AND(#REF!,"frPDzjBRZ+0=")</f>
        <v>#REF!</v>
      </c>
      <c r="IE97" t="e">
        <f>AND(#REF!,"frPDzjBRZ+4=")</f>
        <v>#REF!</v>
      </c>
      <c r="IF97" t="e">
        <f>AND(#REF!,"frPDzjBRZ+8=")</f>
        <v>#REF!</v>
      </c>
      <c r="IG97" t="e">
        <f>AND(#REF!,"frPDzjBRZ/A=")</f>
        <v>#REF!</v>
      </c>
      <c r="IH97" t="e">
        <f>AND(#REF!,"frPDzjBRZ/E=")</f>
        <v>#REF!</v>
      </c>
      <c r="II97" t="e">
        <f>AND(#REF!,"frPDzjBRZ/I=")</f>
        <v>#REF!</v>
      </c>
      <c r="IJ97" t="e">
        <f>AND(#REF!,"frPDzjBRZ/M=")</f>
        <v>#REF!</v>
      </c>
      <c r="IK97" t="e">
        <f>AND(#REF!,"frPDzjBRZ/Q=")</f>
        <v>#REF!</v>
      </c>
      <c r="IL97" t="e">
        <f>IF(#REF!,"frPDzjBRZ/U=",0)</f>
        <v>#REF!</v>
      </c>
      <c r="IM97" t="e">
        <f>AND(#REF!,"frPDzjBRZ/Y=")</f>
        <v>#REF!</v>
      </c>
      <c r="IN97" t="e">
        <f>AND(#REF!,"frPDzjBRZ/c=")</f>
        <v>#REF!</v>
      </c>
      <c r="IO97" t="e">
        <f>AND(#REF!,"frPDzjBRZ/g=")</f>
        <v>#REF!</v>
      </c>
      <c r="IP97" t="e">
        <f>AND(#REF!,"frPDzjBRZ/k=")</f>
        <v>#REF!</v>
      </c>
      <c r="IQ97" t="e">
        <f>AND(#REF!,"frPDzjBRZ/o=")</f>
        <v>#REF!</v>
      </c>
      <c r="IR97" t="e">
        <f>AND(#REF!,"frPDzjBRZ/s=")</f>
        <v>#REF!</v>
      </c>
      <c r="IS97" t="e">
        <f>AND(#REF!,"frPDzjBRZ/w=")</f>
        <v>#REF!</v>
      </c>
      <c r="IT97" t="e">
        <f>AND(#REF!,"frPDzjBRZ/0=")</f>
        <v>#REF!</v>
      </c>
      <c r="IU97" t="e">
        <f>AND(#REF!,"frPDzjBRZ/4=")</f>
        <v>#REF!</v>
      </c>
      <c r="IV97" t="e">
        <f>AND(#REF!,"frPDzjBRZ/8=")</f>
        <v>#REF!</v>
      </c>
    </row>
    <row r="98" spans="1:256" x14ac:dyDescent="0.2">
      <c r="A98" t="e">
        <f>AND(#REF!,"G9dYVAJCXgA=")</f>
        <v>#REF!</v>
      </c>
      <c r="B98" t="e">
        <f>AND(#REF!,"G9dYVAJCXgE=")</f>
        <v>#REF!</v>
      </c>
      <c r="C98" t="e">
        <f>AND(#REF!,"G9dYVAJCXgI=")</f>
        <v>#REF!</v>
      </c>
      <c r="D98" t="e">
        <f>AND(#REF!,"G9dYVAJCXgM=")</f>
        <v>#REF!</v>
      </c>
      <c r="E98" t="e">
        <f>AND(#REF!,"G9dYVAJCXgQ=")</f>
        <v>#REF!</v>
      </c>
      <c r="F98" t="e">
        <f>AND(#REF!,"G9dYVAJCXgU=")</f>
        <v>#REF!</v>
      </c>
      <c r="G98" t="e">
        <f>AND(#REF!,"G9dYVAJCXgY=")</f>
        <v>#REF!</v>
      </c>
      <c r="H98" t="e">
        <f>AND(#REF!,"G9dYVAJCXgc=")</f>
        <v>#REF!</v>
      </c>
      <c r="I98" t="e">
        <f>AND(#REF!,"G9dYVAJCXgg=")</f>
        <v>#REF!</v>
      </c>
      <c r="J98" t="e">
        <f>AND(#REF!,"G9dYVAJCXgk=")</f>
        <v>#REF!</v>
      </c>
      <c r="K98" t="e">
        <f>AND(#REF!,"G9dYVAJCXgo=")</f>
        <v>#REF!</v>
      </c>
      <c r="L98" t="e">
        <f>AND(#REF!,"G9dYVAJCXgs=")</f>
        <v>#REF!</v>
      </c>
      <c r="M98" t="e">
        <f>AND(#REF!,"G9dYVAJCXgw=")</f>
        <v>#REF!</v>
      </c>
      <c r="N98" t="e">
        <f>AND(#REF!,"G9dYVAJCXg0=")</f>
        <v>#REF!</v>
      </c>
      <c r="O98" t="e">
        <f>AND(#REF!,"G9dYVAJCXg4=")</f>
        <v>#REF!</v>
      </c>
      <c r="P98" t="e">
        <f>AND(#REF!,"G9dYVAJCXg8=")</f>
        <v>#REF!</v>
      </c>
      <c r="Q98" t="e">
        <f>AND(#REF!,"G9dYVAJCXhA=")</f>
        <v>#REF!</v>
      </c>
      <c r="R98" t="e">
        <f>AND(#REF!,"G9dYVAJCXhE=")</f>
        <v>#REF!</v>
      </c>
      <c r="S98" t="e">
        <f>AND(#REF!,"G9dYVAJCXhI=")</f>
        <v>#REF!</v>
      </c>
      <c r="T98" t="e">
        <f>AND(#REF!,"G9dYVAJCXhM=")</f>
        <v>#REF!</v>
      </c>
      <c r="U98" t="e">
        <f>AND(#REF!,"G9dYVAJCXhQ=")</f>
        <v>#REF!</v>
      </c>
      <c r="V98" t="e">
        <f>AND(#REF!,"G9dYVAJCXhU=")</f>
        <v>#REF!</v>
      </c>
      <c r="W98" t="e">
        <f>AND(#REF!,"G9dYVAJCXhY=")</f>
        <v>#REF!</v>
      </c>
      <c r="X98" t="e">
        <f>AND(#REF!,"G9dYVAJCXhc=")</f>
        <v>#REF!</v>
      </c>
      <c r="Y98" t="e">
        <f>AND(#REF!,"G9dYVAJCXhg=")</f>
        <v>#REF!</v>
      </c>
      <c r="Z98" t="e">
        <f>AND(#REF!,"G9dYVAJCXhk=")</f>
        <v>#REF!</v>
      </c>
      <c r="AA98" t="e">
        <f>AND(#REF!,"G9dYVAJCXho=")</f>
        <v>#REF!</v>
      </c>
      <c r="AB98" t="e">
        <f>AND(#REF!,"G9dYVAJCXhs=")</f>
        <v>#REF!</v>
      </c>
      <c r="AC98" t="e">
        <f>AND(#REF!,"G9dYVAJCXhw=")</f>
        <v>#REF!</v>
      </c>
      <c r="AD98" t="e">
        <f>AND(#REF!,"G9dYVAJCXh0=")</f>
        <v>#REF!</v>
      </c>
      <c r="AE98" t="e">
        <f>AND(#REF!,"G9dYVAJCXh4=")</f>
        <v>#REF!</v>
      </c>
      <c r="AF98" t="e">
        <f>AND(#REF!,"G9dYVAJCXh8=")</f>
        <v>#REF!</v>
      </c>
      <c r="AG98" t="e">
        <f>AND(#REF!,"G9dYVAJCXiA=")</f>
        <v>#REF!</v>
      </c>
      <c r="AH98" t="e">
        <f>AND(#REF!,"G9dYVAJCXiE=")</f>
        <v>#REF!</v>
      </c>
      <c r="AI98" t="e">
        <f>AND(#REF!,"G9dYVAJCXiI=")</f>
        <v>#REF!</v>
      </c>
      <c r="AJ98" t="e">
        <f>AND(#REF!,"G9dYVAJCXiM=")</f>
        <v>#REF!</v>
      </c>
      <c r="AK98" t="e">
        <f>AND(#REF!,"G9dYVAJCXiQ=")</f>
        <v>#REF!</v>
      </c>
      <c r="AL98" t="e">
        <f>AND(#REF!,"G9dYVAJCXiU=")</f>
        <v>#REF!</v>
      </c>
      <c r="AM98" t="e">
        <f>AND(#REF!,"G9dYVAJCXiY=")</f>
        <v>#REF!</v>
      </c>
      <c r="AN98" t="e">
        <f>AND(#REF!,"G9dYVAJCXic=")</f>
        <v>#REF!</v>
      </c>
      <c r="AO98" t="e">
        <f>AND(#REF!,"G9dYVAJCXig=")</f>
        <v>#REF!</v>
      </c>
      <c r="AP98" t="e">
        <f>AND(#REF!,"G9dYVAJCXik=")</f>
        <v>#REF!</v>
      </c>
      <c r="AQ98" t="e">
        <f>AND(#REF!,"G9dYVAJCXio=")</f>
        <v>#REF!</v>
      </c>
      <c r="AR98" t="e">
        <f>AND(#REF!,"G9dYVAJCXis=")</f>
        <v>#REF!</v>
      </c>
      <c r="AS98" t="e">
        <f>AND(#REF!,"G9dYVAJCXiw=")</f>
        <v>#REF!</v>
      </c>
      <c r="AT98" t="e">
        <f>AND(#REF!,"G9dYVAJCXi0=")</f>
        <v>#REF!</v>
      </c>
      <c r="AU98" t="e">
        <f>AND(#REF!,"G9dYVAJCXi4=")</f>
        <v>#REF!</v>
      </c>
      <c r="AV98" t="e">
        <f>AND(#REF!,"G9dYVAJCXi8=")</f>
        <v>#REF!</v>
      </c>
      <c r="AW98" t="e">
        <f>AND(#REF!,"G9dYVAJCXjA=")</f>
        <v>#REF!</v>
      </c>
      <c r="AX98" t="e">
        <f>AND(#REF!,"G9dYVAJCXjE=")</f>
        <v>#REF!</v>
      </c>
      <c r="AY98" t="e">
        <f>AND(#REF!,"G9dYVAJCXjI=")</f>
        <v>#REF!</v>
      </c>
      <c r="AZ98" t="e">
        <f>AND(#REF!,"G9dYVAJCXjM=")</f>
        <v>#REF!</v>
      </c>
      <c r="BA98" t="e">
        <f>AND(#REF!,"G9dYVAJCXjQ=")</f>
        <v>#REF!</v>
      </c>
      <c r="BB98" t="e">
        <f>AND(#REF!,"G9dYVAJCXjU=")</f>
        <v>#REF!</v>
      </c>
      <c r="BC98" t="e">
        <f>AND(#REF!,"G9dYVAJCXjY=")</f>
        <v>#REF!</v>
      </c>
      <c r="BD98" t="e">
        <f>AND(#REF!,"G9dYVAJCXjc=")</f>
        <v>#REF!</v>
      </c>
      <c r="BE98" t="e">
        <f>AND(#REF!,"G9dYVAJCXjg=")</f>
        <v>#REF!</v>
      </c>
      <c r="BF98" t="e">
        <f>AND(#REF!,"G9dYVAJCXjk=")</f>
        <v>#REF!</v>
      </c>
      <c r="BG98" t="e">
        <f>AND(#REF!,"G9dYVAJCXjo=")</f>
        <v>#REF!</v>
      </c>
      <c r="BH98" t="e">
        <f>AND(#REF!,"G9dYVAJCXjs=")</f>
        <v>#REF!</v>
      </c>
      <c r="BI98" t="e">
        <f>AND(#REF!,"G9dYVAJCXjw=")</f>
        <v>#REF!</v>
      </c>
      <c r="BJ98" t="e">
        <f>AND(#REF!,"G9dYVAJCXj0=")</f>
        <v>#REF!</v>
      </c>
      <c r="BK98" t="e">
        <f>AND(#REF!,"G9dYVAJCXj4=")</f>
        <v>#REF!</v>
      </c>
      <c r="BL98" t="e">
        <f>AND(#REF!,"G9dYVAJCXj8=")</f>
        <v>#REF!</v>
      </c>
      <c r="BM98" t="e">
        <f>AND(#REF!,"G9dYVAJCXkA=")</f>
        <v>#REF!</v>
      </c>
      <c r="BN98" t="e">
        <f>AND(#REF!,"G9dYVAJCXkE=")</f>
        <v>#REF!</v>
      </c>
      <c r="BO98" t="e">
        <f>AND(#REF!,"G9dYVAJCXkI=")</f>
        <v>#REF!</v>
      </c>
      <c r="BP98" t="e">
        <f>AND(#REF!,"G9dYVAJCXkM=")</f>
        <v>#REF!</v>
      </c>
      <c r="BQ98" t="e">
        <f>AND(#REF!,"G9dYVAJCXkQ=")</f>
        <v>#REF!</v>
      </c>
      <c r="BR98" t="e">
        <f>AND(#REF!,"G9dYVAJCXkU=")</f>
        <v>#REF!</v>
      </c>
      <c r="BS98" t="e">
        <f>AND(#REF!,"G9dYVAJCXkY=")</f>
        <v>#REF!</v>
      </c>
      <c r="BT98" t="e">
        <f>AND(#REF!,"G9dYVAJCXkc=")</f>
        <v>#REF!</v>
      </c>
      <c r="BU98" t="e">
        <f>AND(#REF!,"G9dYVAJCXkg=")</f>
        <v>#REF!</v>
      </c>
      <c r="BV98" t="e">
        <f>AND(#REF!,"G9dYVAJCXkk=")</f>
        <v>#REF!</v>
      </c>
      <c r="BW98" t="e">
        <f>AND(#REF!,"G9dYVAJCXko=")</f>
        <v>#REF!</v>
      </c>
      <c r="BX98" t="e">
        <f>AND(#REF!,"G9dYVAJCXks=")</f>
        <v>#REF!</v>
      </c>
      <c r="BY98" t="e">
        <f>AND(#REF!,"G9dYVAJCXkw=")</f>
        <v>#REF!</v>
      </c>
      <c r="BZ98" t="e">
        <f>AND(#REF!,"G9dYVAJCXk0=")</f>
        <v>#REF!</v>
      </c>
      <c r="CA98" t="e">
        <f>AND(#REF!,"G9dYVAJCXk4=")</f>
        <v>#REF!</v>
      </c>
      <c r="CB98" t="e">
        <f>AND(#REF!,"G9dYVAJCXk8=")</f>
        <v>#REF!</v>
      </c>
      <c r="CC98" t="e">
        <f>AND(#REF!,"G9dYVAJCXlA=")</f>
        <v>#REF!</v>
      </c>
      <c r="CD98" t="e">
        <f>AND(#REF!,"G9dYVAJCXlE=")</f>
        <v>#REF!</v>
      </c>
      <c r="CE98" t="e">
        <f>AND(#REF!,"G9dYVAJCXlI=")</f>
        <v>#REF!</v>
      </c>
      <c r="CF98" t="e">
        <f>AND(#REF!,"G9dYVAJCXlM=")</f>
        <v>#REF!</v>
      </c>
      <c r="CG98" t="e">
        <f>AND(#REF!,"G9dYVAJCXlQ=")</f>
        <v>#REF!</v>
      </c>
      <c r="CH98" t="e">
        <f>AND(#REF!,"G9dYVAJCXlU=")</f>
        <v>#REF!</v>
      </c>
      <c r="CI98" t="e">
        <f>AND(#REF!,"G9dYVAJCXlY=")</f>
        <v>#REF!</v>
      </c>
      <c r="CJ98" t="e">
        <f>AND(#REF!,"G9dYVAJCXlc=")</f>
        <v>#REF!</v>
      </c>
      <c r="CK98" t="e">
        <f>AND(#REF!,"G9dYVAJCXlg=")</f>
        <v>#REF!</v>
      </c>
      <c r="CL98" t="e">
        <f>AND(#REF!,"G9dYVAJCXlk=")</f>
        <v>#REF!</v>
      </c>
      <c r="CM98" t="e">
        <f>AND(#REF!,"G9dYVAJCXlo=")</f>
        <v>#REF!</v>
      </c>
      <c r="CN98" t="e">
        <f>AND(#REF!,"G9dYVAJCXls=")</f>
        <v>#REF!</v>
      </c>
      <c r="CO98" t="e">
        <f>AND(#REF!,"G9dYVAJCXlw=")</f>
        <v>#REF!</v>
      </c>
      <c r="CP98" t="e">
        <f>AND(#REF!,"G9dYVAJCXl0=")</f>
        <v>#REF!</v>
      </c>
      <c r="CQ98" t="e">
        <f>AND(#REF!,"G9dYVAJCXl4=")</f>
        <v>#REF!</v>
      </c>
      <c r="CR98" t="e">
        <f>AND(#REF!,"G9dYVAJCXl8=")</f>
        <v>#REF!</v>
      </c>
      <c r="CS98" t="e">
        <f>AND(#REF!,"G9dYVAJCXmA=")</f>
        <v>#REF!</v>
      </c>
      <c r="CT98" t="e">
        <f>AND(#REF!,"G9dYVAJCXmE=")</f>
        <v>#REF!</v>
      </c>
      <c r="CU98" t="e">
        <f>AND(#REF!,"G9dYVAJCXmI=")</f>
        <v>#REF!</v>
      </c>
      <c r="CV98" t="e">
        <f>AND(#REF!,"G9dYVAJCXmM=")</f>
        <v>#REF!</v>
      </c>
      <c r="CW98" t="e">
        <f>AND(#REF!,"G9dYVAJCXmQ=")</f>
        <v>#REF!</v>
      </c>
      <c r="CX98" t="e">
        <f>AND(#REF!,"G9dYVAJCXmU=")</f>
        <v>#REF!</v>
      </c>
      <c r="CY98" t="e">
        <f>AND(#REF!,"G9dYVAJCXmY=")</f>
        <v>#REF!</v>
      </c>
      <c r="CZ98" t="e">
        <f>AND(#REF!,"G9dYVAJCXmc=")</f>
        <v>#REF!</v>
      </c>
      <c r="DA98" t="e">
        <f>AND(#REF!,"G9dYVAJCXmg=")</f>
        <v>#REF!</v>
      </c>
      <c r="DB98" t="e">
        <f>AND(#REF!,"G9dYVAJCXmk=")</f>
        <v>#REF!</v>
      </c>
      <c r="DC98" t="e">
        <f>AND(#REF!,"G9dYVAJCXmo=")</f>
        <v>#REF!</v>
      </c>
      <c r="DD98" t="e">
        <f>AND(#REF!,"G9dYVAJCXms=")</f>
        <v>#REF!</v>
      </c>
      <c r="DE98" t="e">
        <f>AND(#REF!,"G9dYVAJCXmw=")</f>
        <v>#REF!</v>
      </c>
      <c r="DF98" t="e">
        <f>AND(#REF!,"G9dYVAJCXm0=")</f>
        <v>#REF!</v>
      </c>
      <c r="DG98" t="e">
        <f>AND(#REF!,"G9dYVAJCXm4=")</f>
        <v>#REF!</v>
      </c>
      <c r="DH98" t="e">
        <f>AND(#REF!,"G9dYVAJCXm8=")</f>
        <v>#REF!</v>
      </c>
      <c r="DI98" t="e">
        <f>AND(#REF!,"G9dYVAJCXnA=")</f>
        <v>#REF!</v>
      </c>
      <c r="DJ98" t="e">
        <f>AND(#REF!,"G9dYVAJCXnE=")</f>
        <v>#REF!</v>
      </c>
      <c r="DK98" t="e">
        <f>AND(#REF!,"G9dYVAJCXnI=")</f>
        <v>#REF!</v>
      </c>
      <c r="DL98" t="e">
        <f>AND(#REF!,"G9dYVAJCXnM=")</f>
        <v>#REF!</v>
      </c>
      <c r="DM98" t="e">
        <f>AND(#REF!,"G9dYVAJCXnQ=")</f>
        <v>#REF!</v>
      </c>
      <c r="DN98" t="e">
        <f>AND(#REF!,"G9dYVAJCXnU=")</f>
        <v>#REF!</v>
      </c>
      <c r="DO98" t="e">
        <f>AND(#REF!,"G9dYVAJCXnY=")</f>
        <v>#REF!</v>
      </c>
      <c r="DP98" t="e">
        <f>AND(#REF!,"G9dYVAJCXnc=")</f>
        <v>#REF!</v>
      </c>
      <c r="DQ98" t="e">
        <f>AND(#REF!,"G9dYVAJCXng=")</f>
        <v>#REF!</v>
      </c>
      <c r="DR98" t="e">
        <f>AND(#REF!,"G9dYVAJCXnk=")</f>
        <v>#REF!</v>
      </c>
      <c r="DS98" t="e">
        <f>AND(#REF!,"G9dYVAJCXno=")</f>
        <v>#REF!</v>
      </c>
      <c r="DT98" t="e">
        <f>AND(#REF!,"G9dYVAJCXns=")</f>
        <v>#REF!</v>
      </c>
      <c r="DU98" t="e">
        <f>AND(#REF!,"G9dYVAJCXnw=")</f>
        <v>#REF!</v>
      </c>
      <c r="DV98" t="e">
        <f>AND(#REF!,"G9dYVAJCXn0=")</f>
        <v>#REF!</v>
      </c>
      <c r="DW98" t="e">
        <f>AND(#REF!,"G9dYVAJCXn4=")</f>
        <v>#REF!</v>
      </c>
      <c r="DX98" t="e">
        <f>AND(#REF!,"G9dYVAJCXn8=")</f>
        <v>#REF!</v>
      </c>
      <c r="DY98" t="e">
        <f>AND(#REF!,"G9dYVAJCXoA=")</f>
        <v>#REF!</v>
      </c>
      <c r="DZ98" t="e">
        <f>AND(#REF!,"G9dYVAJCXoE=")</f>
        <v>#REF!</v>
      </c>
      <c r="EA98" t="e">
        <f>AND(#REF!,"G9dYVAJCXoI=")</f>
        <v>#REF!</v>
      </c>
      <c r="EB98" t="e">
        <f>AND(#REF!,"G9dYVAJCXoM=")</f>
        <v>#REF!</v>
      </c>
      <c r="EC98" t="e">
        <f>AND(#REF!,"G9dYVAJCXoQ=")</f>
        <v>#REF!</v>
      </c>
      <c r="ED98" t="e">
        <f>AND(#REF!,"G9dYVAJCXoU=")</f>
        <v>#REF!</v>
      </c>
      <c r="EE98" t="e">
        <f>AND(#REF!,"G9dYVAJCXoY=")</f>
        <v>#REF!</v>
      </c>
      <c r="EF98" t="e">
        <f>AND(#REF!,"G9dYVAJCXoc=")</f>
        <v>#REF!</v>
      </c>
      <c r="EG98" t="e">
        <f>AND(#REF!,"G9dYVAJCXog=")</f>
        <v>#REF!</v>
      </c>
      <c r="EH98" t="e">
        <f>AND(#REF!,"G9dYVAJCXok=")</f>
        <v>#REF!</v>
      </c>
      <c r="EI98" t="e">
        <f>AND(#REF!,"G9dYVAJCXoo=")</f>
        <v>#REF!</v>
      </c>
      <c r="EJ98" t="e">
        <f>AND(#REF!,"G9dYVAJCXos=")</f>
        <v>#REF!</v>
      </c>
      <c r="EK98" t="e">
        <f>AND(#REF!,"G9dYVAJCXow=")</f>
        <v>#REF!</v>
      </c>
      <c r="EL98" t="e">
        <f>AND(#REF!,"G9dYVAJCXo0=")</f>
        <v>#REF!</v>
      </c>
      <c r="EM98" t="e">
        <f>AND(#REF!,"G9dYVAJCXo4=")</f>
        <v>#REF!</v>
      </c>
      <c r="EN98" t="e">
        <f>AND(#REF!,"G9dYVAJCXo8=")</f>
        <v>#REF!</v>
      </c>
      <c r="EO98" t="e">
        <f>AND(#REF!,"G9dYVAJCXpA=")</f>
        <v>#REF!</v>
      </c>
      <c r="EP98" t="e">
        <f>AND(#REF!,"G9dYVAJCXpE=")</f>
        <v>#REF!</v>
      </c>
      <c r="EQ98" t="e">
        <f>AND(#REF!,"G9dYVAJCXpI=")</f>
        <v>#REF!</v>
      </c>
      <c r="ER98" t="e">
        <f>AND(#REF!,"G9dYVAJCXpM=")</f>
        <v>#REF!</v>
      </c>
      <c r="ES98" t="e">
        <f>AND(#REF!,"G9dYVAJCXpQ=")</f>
        <v>#REF!</v>
      </c>
      <c r="ET98" t="e">
        <f>AND(#REF!,"G9dYVAJCXpU=")</f>
        <v>#REF!</v>
      </c>
      <c r="EU98" t="e">
        <f>AND(#REF!,"G9dYVAJCXpY=")</f>
        <v>#REF!</v>
      </c>
      <c r="EV98" t="e">
        <f>AND(#REF!,"G9dYVAJCXpc=")</f>
        <v>#REF!</v>
      </c>
      <c r="EW98" t="e">
        <f>AND(#REF!,"G9dYVAJCXpg=")</f>
        <v>#REF!</v>
      </c>
      <c r="EX98" t="e">
        <f>AND(#REF!,"G9dYVAJCXpk=")</f>
        <v>#REF!</v>
      </c>
      <c r="EY98" t="e">
        <f>AND(#REF!,"G9dYVAJCXpo=")</f>
        <v>#REF!</v>
      </c>
      <c r="EZ98" t="e">
        <f>AND(#REF!,"G9dYVAJCXps=")</f>
        <v>#REF!</v>
      </c>
      <c r="FA98" t="e">
        <f>AND(#REF!,"G9dYVAJCXpw=")</f>
        <v>#REF!</v>
      </c>
      <c r="FB98" t="e">
        <f>AND(#REF!,"G9dYVAJCXp0=")</f>
        <v>#REF!</v>
      </c>
      <c r="FC98" t="e">
        <f>AND(#REF!,"G9dYVAJCXp4=")</f>
        <v>#REF!</v>
      </c>
      <c r="FD98" t="e">
        <f>AND(#REF!,"G9dYVAJCXp8=")</f>
        <v>#REF!</v>
      </c>
      <c r="FE98" t="e">
        <f>AND(#REF!,"G9dYVAJCXqA=")</f>
        <v>#REF!</v>
      </c>
      <c r="FF98" t="e">
        <f>AND(#REF!,"G9dYVAJCXqE=")</f>
        <v>#REF!</v>
      </c>
      <c r="FG98" t="e">
        <f>AND(#REF!,"G9dYVAJCXqI=")</f>
        <v>#REF!</v>
      </c>
      <c r="FH98" t="e">
        <f>AND(#REF!,"G9dYVAJCXqM=")</f>
        <v>#REF!</v>
      </c>
      <c r="FI98" t="e">
        <f>AND(#REF!,"G9dYVAJCXqQ=")</f>
        <v>#REF!</v>
      </c>
      <c r="FJ98" t="e">
        <f>AND(#REF!,"G9dYVAJCXqU=")</f>
        <v>#REF!</v>
      </c>
      <c r="FK98" t="e">
        <f>AND(#REF!,"G9dYVAJCXqY=")</f>
        <v>#REF!</v>
      </c>
      <c r="FL98" t="e">
        <f>AND(#REF!,"G9dYVAJCXqc=")</f>
        <v>#REF!</v>
      </c>
      <c r="FM98" t="e">
        <f>AND(#REF!,"G9dYVAJCXqg=")</f>
        <v>#REF!</v>
      </c>
      <c r="FN98" t="e">
        <f>AND(#REF!,"G9dYVAJCXqk=")</f>
        <v>#REF!</v>
      </c>
      <c r="FO98" t="e">
        <f>AND(#REF!,"G9dYVAJCXqo=")</f>
        <v>#REF!</v>
      </c>
      <c r="FP98" t="e">
        <f>AND(#REF!,"G9dYVAJCXqs=")</f>
        <v>#REF!</v>
      </c>
      <c r="FQ98" t="e">
        <f>AND(#REF!,"G9dYVAJCXqw=")</f>
        <v>#REF!</v>
      </c>
      <c r="FR98" t="e">
        <f>AND(#REF!,"G9dYVAJCXq0=")</f>
        <v>#REF!</v>
      </c>
      <c r="FS98" t="e">
        <f>AND(#REF!,"G9dYVAJCXq4=")</f>
        <v>#REF!</v>
      </c>
      <c r="FT98" t="e">
        <f>AND(#REF!,"G9dYVAJCXq8=")</f>
        <v>#REF!</v>
      </c>
      <c r="FU98" t="e">
        <f>AND(#REF!,"G9dYVAJCXrA=")</f>
        <v>#REF!</v>
      </c>
      <c r="FV98" t="e">
        <f>AND(#REF!,"G9dYVAJCXrE=")</f>
        <v>#REF!</v>
      </c>
      <c r="FW98" t="e">
        <f>AND(#REF!,"G9dYVAJCXrI=")</f>
        <v>#REF!</v>
      </c>
      <c r="FX98" t="e">
        <f>AND(#REF!,"G9dYVAJCXrM=")</f>
        <v>#REF!</v>
      </c>
      <c r="FY98" t="e">
        <f>AND(#REF!,"G9dYVAJCXrQ=")</f>
        <v>#REF!</v>
      </c>
      <c r="FZ98" t="e">
        <f>AND(#REF!,"G9dYVAJCXrU=")</f>
        <v>#REF!</v>
      </c>
      <c r="GA98" t="e">
        <f>AND(#REF!,"G9dYVAJCXrY=")</f>
        <v>#REF!</v>
      </c>
      <c r="GB98" t="e">
        <f>AND(#REF!,"G9dYVAJCXrc=")</f>
        <v>#REF!</v>
      </c>
      <c r="GC98" t="e">
        <f>AND(#REF!,"G9dYVAJCXrg=")</f>
        <v>#REF!</v>
      </c>
      <c r="GD98" t="e">
        <f>AND(#REF!,"G9dYVAJCXrk=")</f>
        <v>#REF!</v>
      </c>
      <c r="GE98" t="e">
        <f>AND(#REF!,"G9dYVAJCXro=")</f>
        <v>#REF!</v>
      </c>
      <c r="GF98" t="e">
        <f>AND(#REF!,"G9dYVAJCXrs=")</f>
        <v>#REF!</v>
      </c>
      <c r="GG98" t="e">
        <f>IF(#REF!,"G9dYVAJCXrw=",0)</f>
        <v>#REF!</v>
      </c>
      <c r="GH98" t="e">
        <f>AND(#REF!,"G9dYVAJCXr0=")</f>
        <v>#REF!</v>
      </c>
      <c r="GI98" t="e">
        <f>AND(#REF!,"G9dYVAJCXr4=")</f>
        <v>#REF!</v>
      </c>
      <c r="GJ98" t="e">
        <f>AND(#REF!,"G9dYVAJCXr8=")</f>
        <v>#REF!</v>
      </c>
      <c r="GK98" t="e">
        <f>AND(#REF!,"G9dYVAJCXsA=")</f>
        <v>#REF!</v>
      </c>
      <c r="GL98" t="e">
        <f>AND(#REF!,"G9dYVAJCXsE=")</f>
        <v>#REF!</v>
      </c>
      <c r="GM98" t="e">
        <f>AND(#REF!,"G9dYVAJCXsI=")</f>
        <v>#REF!</v>
      </c>
      <c r="GN98" t="e">
        <f>AND(#REF!,"G9dYVAJCXsM=")</f>
        <v>#REF!</v>
      </c>
      <c r="GO98" t="e">
        <f>AND(#REF!,"G9dYVAJCXsQ=")</f>
        <v>#REF!</v>
      </c>
      <c r="GP98" t="e">
        <f>AND(#REF!,"G9dYVAJCXsU=")</f>
        <v>#REF!</v>
      </c>
      <c r="GQ98" t="e">
        <f>AND(#REF!,"G9dYVAJCXsY=")</f>
        <v>#REF!</v>
      </c>
      <c r="GR98" t="e">
        <f>AND(#REF!,"G9dYVAJCXsc=")</f>
        <v>#REF!</v>
      </c>
      <c r="GS98" t="e">
        <f>AND(#REF!,"G9dYVAJCXsg=")</f>
        <v>#REF!</v>
      </c>
      <c r="GT98" t="e">
        <f>AND(#REF!,"G9dYVAJCXsk=")</f>
        <v>#REF!</v>
      </c>
      <c r="GU98" t="e">
        <f>AND(#REF!,"G9dYVAJCXso=")</f>
        <v>#REF!</v>
      </c>
      <c r="GV98" t="e">
        <f>AND(#REF!,"G9dYVAJCXss=")</f>
        <v>#REF!</v>
      </c>
      <c r="GW98" t="e">
        <f>AND(#REF!,"G9dYVAJCXsw=")</f>
        <v>#REF!</v>
      </c>
      <c r="GX98" t="e">
        <f>AND(#REF!,"G9dYVAJCXs0=")</f>
        <v>#REF!</v>
      </c>
      <c r="GY98" t="e">
        <f>AND(#REF!,"G9dYVAJCXs4=")</f>
        <v>#REF!</v>
      </c>
      <c r="GZ98" t="e">
        <f>AND(#REF!,"G9dYVAJCXs8=")</f>
        <v>#REF!</v>
      </c>
      <c r="HA98" t="e">
        <f>AND(#REF!,"G9dYVAJCXtA=")</f>
        <v>#REF!</v>
      </c>
      <c r="HB98" t="e">
        <f>AND(#REF!,"G9dYVAJCXtE=")</f>
        <v>#REF!</v>
      </c>
      <c r="HC98" t="e">
        <f>AND(#REF!,"G9dYVAJCXtI=")</f>
        <v>#REF!</v>
      </c>
      <c r="HD98" t="e">
        <f>AND(#REF!,"G9dYVAJCXtM=")</f>
        <v>#REF!</v>
      </c>
      <c r="HE98" t="e">
        <f>AND(#REF!,"G9dYVAJCXtQ=")</f>
        <v>#REF!</v>
      </c>
      <c r="HF98" t="e">
        <f>AND(#REF!,"G9dYVAJCXtU=")</f>
        <v>#REF!</v>
      </c>
      <c r="HG98" t="e">
        <f>AND(#REF!,"G9dYVAJCXtY=")</f>
        <v>#REF!</v>
      </c>
      <c r="HH98" t="e">
        <f>AND(#REF!,"G9dYVAJCXtc=")</f>
        <v>#REF!</v>
      </c>
      <c r="HI98" t="e">
        <f>AND(#REF!,"G9dYVAJCXtg=")</f>
        <v>#REF!</v>
      </c>
      <c r="HJ98" t="e">
        <f>AND(#REF!,"G9dYVAJCXtk=")</f>
        <v>#REF!</v>
      </c>
      <c r="HK98" t="e">
        <f>AND(#REF!,"G9dYVAJCXto=")</f>
        <v>#REF!</v>
      </c>
      <c r="HL98" t="e">
        <f>AND(#REF!,"G9dYVAJCXts=")</f>
        <v>#REF!</v>
      </c>
      <c r="HM98" t="e">
        <f>AND(#REF!,"G9dYVAJCXtw=")</f>
        <v>#REF!</v>
      </c>
      <c r="HN98" t="e">
        <f>AND(#REF!,"G9dYVAJCXt0=")</f>
        <v>#REF!</v>
      </c>
      <c r="HO98" t="e">
        <f>AND(#REF!,"G9dYVAJCXt4=")</f>
        <v>#REF!</v>
      </c>
      <c r="HP98" t="e">
        <f>AND(#REF!,"G9dYVAJCXt8=")</f>
        <v>#REF!</v>
      </c>
      <c r="HQ98" t="e">
        <f>AND(#REF!,"G9dYVAJCXuA=")</f>
        <v>#REF!</v>
      </c>
      <c r="HR98" t="e">
        <f>AND(#REF!,"G9dYVAJCXuE=")</f>
        <v>#REF!</v>
      </c>
      <c r="HS98" t="e">
        <f>AND(#REF!,"G9dYVAJCXuI=")</f>
        <v>#REF!</v>
      </c>
      <c r="HT98" t="e">
        <f>AND(#REF!,"G9dYVAJCXuM=")</f>
        <v>#REF!</v>
      </c>
      <c r="HU98" t="e">
        <f>AND(#REF!,"G9dYVAJCXuQ=")</f>
        <v>#REF!</v>
      </c>
      <c r="HV98" t="e">
        <f>AND(#REF!,"G9dYVAJCXuU=")</f>
        <v>#REF!</v>
      </c>
      <c r="HW98" t="e">
        <f>AND(#REF!,"G9dYVAJCXuY=")</f>
        <v>#REF!</v>
      </c>
      <c r="HX98" t="e">
        <f>AND(#REF!,"G9dYVAJCXuc=")</f>
        <v>#REF!</v>
      </c>
      <c r="HY98" t="e">
        <f>AND(#REF!,"G9dYVAJCXug=")</f>
        <v>#REF!</v>
      </c>
      <c r="HZ98" t="e">
        <f>AND(#REF!,"G9dYVAJCXuk=")</f>
        <v>#REF!</v>
      </c>
      <c r="IA98" t="e">
        <f>AND(#REF!,"G9dYVAJCXuo=")</f>
        <v>#REF!</v>
      </c>
      <c r="IB98" t="e">
        <f>AND(#REF!,"G9dYVAJCXus=")</f>
        <v>#REF!</v>
      </c>
      <c r="IC98" t="e">
        <f>AND(#REF!,"G9dYVAJCXuw=")</f>
        <v>#REF!</v>
      </c>
      <c r="ID98" t="e">
        <f>AND(#REF!,"G9dYVAJCXu0=")</f>
        <v>#REF!</v>
      </c>
      <c r="IE98" t="e">
        <f>AND(#REF!,"G9dYVAJCXu4=")</f>
        <v>#REF!</v>
      </c>
      <c r="IF98" t="e">
        <f>AND(#REF!,"G9dYVAJCXu8=")</f>
        <v>#REF!</v>
      </c>
      <c r="IG98" t="e">
        <f>AND(#REF!,"G9dYVAJCXvA=")</f>
        <v>#REF!</v>
      </c>
      <c r="IH98" t="e">
        <f>AND(#REF!,"G9dYVAJCXvE=")</f>
        <v>#REF!</v>
      </c>
      <c r="II98" t="e">
        <f>AND(#REF!,"G9dYVAJCXvI=")</f>
        <v>#REF!</v>
      </c>
      <c r="IJ98" t="e">
        <f>AND(#REF!,"G9dYVAJCXvM=")</f>
        <v>#REF!</v>
      </c>
      <c r="IK98" t="e">
        <f>AND(#REF!,"G9dYVAJCXvQ=")</f>
        <v>#REF!</v>
      </c>
      <c r="IL98" t="e">
        <f>AND(#REF!,"G9dYVAJCXvU=")</f>
        <v>#REF!</v>
      </c>
      <c r="IM98" t="e">
        <f>AND(#REF!,"G9dYVAJCXvY=")</f>
        <v>#REF!</v>
      </c>
      <c r="IN98" t="e">
        <f>AND(#REF!,"G9dYVAJCXvc=")</f>
        <v>#REF!</v>
      </c>
      <c r="IO98" t="e">
        <f>AND(#REF!,"G9dYVAJCXvg=")</f>
        <v>#REF!</v>
      </c>
      <c r="IP98" t="e">
        <f>AND(#REF!,"G9dYVAJCXvk=")</f>
        <v>#REF!</v>
      </c>
      <c r="IQ98" t="e">
        <f>AND(#REF!,"G9dYVAJCXvo=")</f>
        <v>#REF!</v>
      </c>
      <c r="IR98" t="e">
        <f>AND(#REF!,"G9dYVAJCXvs=")</f>
        <v>#REF!</v>
      </c>
      <c r="IS98" t="e">
        <f>AND(#REF!,"G9dYVAJCXvw=")</f>
        <v>#REF!</v>
      </c>
      <c r="IT98" t="e">
        <f>AND(#REF!,"G9dYVAJCXv0=")</f>
        <v>#REF!</v>
      </c>
      <c r="IU98" t="e">
        <f>AND(#REF!,"G9dYVAJCXv4=")</f>
        <v>#REF!</v>
      </c>
      <c r="IV98" t="e">
        <f>AND(#REF!,"G9dYVAJCXv8=")</f>
        <v>#REF!</v>
      </c>
    </row>
    <row r="99" spans="1:256" x14ac:dyDescent="0.2">
      <c r="A99" t="e">
        <f>AND(#REF!,"cA+g3TZ24AA=")</f>
        <v>#REF!</v>
      </c>
      <c r="B99" t="e">
        <f>AND(#REF!,"cA+g3TZ24AE=")</f>
        <v>#REF!</v>
      </c>
      <c r="C99" t="e">
        <f>AND(#REF!,"cA+g3TZ24AI=")</f>
        <v>#REF!</v>
      </c>
      <c r="D99" t="e">
        <f>AND(#REF!,"cA+g3TZ24AM=")</f>
        <v>#REF!</v>
      </c>
      <c r="E99" t="e">
        <f>AND(#REF!,"cA+g3TZ24AQ=")</f>
        <v>#REF!</v>
      </c>
      <c r="F99" t="e">
        <f>AND(#REF!,"cA+g3TZ24AU=")</f>
        <v>#REF!</v>
      </c>
      <c r="G99" t="e">
        <f>AND(#REF!,"cA+g3TZ24AY=")</f>
        <v>#REF!</v>
      </c>
      <c r="H99" t="e">
        <f>AND(#REF!,"cA+g3TZ24Ac=")</f>
        <v>#REF!</v>
      </c>
      <c r="I99" t="e">
        <f>AND(#REF!,"cA+g3TZ24Ag=")</f>
        <v>#REF!</v>
      </c>
      <c r="J99" t="e">
        <f>AND(#REF!,"cA+g3TZ24Ak=")</f>
        <v>#REF!</v>
      </c>
      <c r="K99" t="e">
        <f>AND(#REF!,"cA+g3TZ24Ao=")</f>
        <v>#REF!</v>
      </c>
      <c r="L99" t="e">
        <f>AND(#REF!,"cA+g3TZ24As=")</f>
        <v>#REF!</v>
      </c>
      <c r="M99" t="e">
        <f>AND(#REF!,"cA+g3TZ24Aw=")</f>
        <v>#REF!</v>
      </c>
      <c r="N99" t="e">
        <f>AND(#REF!,"cA+g3TZ24A0=")</f>
        <v>#REF!</v>
      </c>
      <c r="O99" t="e">
        <f>AND(#REF!,"cA+g3TZ24A4=")</f>
        <v>#REF!</v>
      </c>
      <c r="P99" t="e">
        <f>AND(#REF!,"cA+g3TZ24A8=")</f>
        <v>#REF!</v>
      </c>
      <c r="Q99" t="e">
        <f>AND(#REF!,"cA+g3TZ24BA=")</f>
        <v>#REF!</v>
      </c>
      <c r="R99" t="e">
        <f>AND(#REF!,"cA+g3TZ24BE=")</f>
        <v>#REF!</v>
      </c>
      <c r="S99" t="e">
        <f>AND(#REF!,"cA+g3TZ24BI=")</f>
        <v>#REF!</v>
      </c>
      <c r="T99" t="e">
        <f>AND(#REF!,"cA+g3TZ24BM=")</f>
        <v>#REF!</v>
      </c>
      <c r="U99" t="e">
        <f>AND(#REF!,"cA+g3TZ24BQ=")</f>
        <v>#REF!</v>
      </c>
      <c r="V99" t="e">
        <f>AND(#REF!,"cA+g3TZ24BU=")</f>
        <v>#REF!</v>
      </c>
      <c r="W99" t="e">
        <f>AND(#REF!,"cA+g3TZ24BY=")</f>
        <v>#REF!</v>
      </c>
      <c r="X99" t="e">
        <f>AND(#REF!,"cA+g3TZ24Bc=")</f>
        <v>#REF!</v>
      </c>
      <c r="Y99" t="e">
        <f>AND(#REF!,"cA+g3TZ24Bg=")</f>
        <v>#REF!</v>
      </c>
      <c r="Z99" t="e">
        <f>AND(#REF!,"cA+g3TZ24Bk=")</f>
        <v>#REF!</v>
      </c>
      <c r="AA99" t="e">
        <f>AND(#REF!,"cA+g3TZ24Bo=")</f>
        <v>#REF!</v>
      </c>
      <c r="AB99" t="e">
        <f>AND(#REF!,"cA+g3TZ24Bs=")</f>
        <v>#REF!</v>
      </c>
      <c r="AC99" t="e">
        <f>AND(#REF!,"cA+g3TZ24Bw=")</f>
        <v>#REF!</v>
      </c>
      <c r="AD99" t="e">
        <f>AND(#REF!,"cA+g3TZ24B0=")</f>
        <v>#REF!</v>
      </c>
      <c r="AE99" t="e">
        <f>AND(#REF!,"cA+g3TZ24B4=")</f>
        <v>#REF!</v>
      </c>
      <c r="AF99" t="e">
        <f>AND(#REF!,"cA+g3TZ24B8=")</f>
        <v>#REF!</v>
      </c>
      <c r="AG99" t="e">
        <f>AND(#REF!,"cA+g3TZ24CA=")</f>
        <v>#REF!</v>
      </c>
      <c r="AH99" t="e">
        <f>AND(#REF!,"cA+g3TZ24CE=")</f>
        <v>#REF!</v>
      </c>
      <c r="AI99" t="e">
        <f>AND(#REF!,"cA+g3TZ24CI=")</f>
        <v>#REF!</v>
      </c>
      <c r="AJ99" t="e">
        <f>AND(#REF!,"cA+g3TZ24CM=")</f>
        <v>#REF!</v>
      </c>
      <c r="AK99" t="e">
        <f>AND(#REF!,"cA+g3TZ24CQ=")</f>
        <v>#REF!</v>
      </c>
      <c r="AL99" t="e">
        <f>AND(#REF!,"cA+g3TZ24CU=")</f>
        <v>#REF!</v>
      </c>
      <c r="AM99" t="e">
        <f>AND(#REF!,"cA+g3TZ24CY=")</f>
        <v>#REF!</v>
      </c>
      <c r="AN99" t="e">
        <f>AND(#REF!,"cA+g3TZ24Cc=")</f>
        <v>#REF!</v>
      </c>
      <c r="AO99" t="e">
        <f>AND(#REF!,"cA+g3TZ24Cg=")</f>
        <v>#REF!</v>
      </c>
      <c r="AP99" t="e">
        <f>AND(#REF!,"cA+g3TZ24Ck=")</f>
        <v>#REF!</v>
      </c>
      <c r="AQ99" t="e">
        <f>AND(#REF!,"cA+g3TZ24Co=")</f>
        <v>#REF!</v>
      </c>
      <c r="AR99" t="e">
        <f>AND(#REF!,"cA+g3TZ24Cs=")</f>
        <v>#REF!</v>
      </c>
      <c r="AS99" t="e">
        <f>AND(#REF!,"cA+g3TZ24Cw=")</f>
        <v>#REF!</v>
      </c>
      <c r="AT99" t="e">
        <f>AND(#REF!,"cA+g3TZ24C0=")</f>
        <v>#REF!</v>
      </c>
      <c r="AU99" t="e">
        <f>AND(#REF!,"cA+g3TZ24C4=")</f>
        <v>#REF!</v>
      </c>
      <c r="AV99" t="e">
        <f>AND(#REF!,"cA+g3TZ24C8=")</f>
        <v>#REF!</v>
      </c>
      <c r="AW99" t="e">
        <f>AND(#REF!,"cA+g3TZ24DA=")</f>
        <v>#REF!</v>
      </c>
      <c r="AX99" t="e">
        <f>AND(#REF!,"cA+g3TZ24DE=")</f>
        <v>#REF!</v>
      </c>
      <c r="AY99" t="e">
        <f>AND(#REF!,"cA+g3TZ24DI=")</f>
        <v>#REF!</v>
      </c>
      <c r="AZ99" t="e">
        <f>AND(#REF!,"cA+g3TZ24DM=")</f>
        <v>#REF!</v>
      </c>
      <c r="BA99" t="e">
        <f>AND(#REF!,"cA+g3TZ24DQ=")</f>
        <v>#REF!</v>
      </c>
      <c r="BB99" t="e">
        <f>AND(#REF!,"cA+g3TZ24DU=")</f>
        <v>#REF!</v>
      </c>
      <c r="BC99" t="e">
        <f>AND(#REF!,"cA+g3TZ24DY=")</f>
        <v>#REF!</v>
      </c>
      <c r="BD99" t="e">
        <f>AND(#REF!,"cA+g3TZ24Dc=")</f>
        <v>#REF!</v>
      </c>
      <c r="BE99" t="e">
        <f>AND(#REF!,"cA+g3TZ24Dg=")</f>
        <v>#REF!</v>
      </c>
      <c r="BF99" t="e">
        <f>AND(#REF!,"cA+g3TZ24Dk=")</f>
        <v>#REF!</v>
      </c>
      <c r="BG99" t="e">
        <f>AND(#REF!,"cA+g3TZ24Do=")</f>
        <v>#REF!</v>
      </c>
      <c r="BH99" t="e">
        <f>AND(#REF!,"cA+g3TZ24Ds=")</f>
        <v>#REF!</v>
      </c>
      <c r="BI99" t="e">
        <f>AND(#REF!,"cA+g3TZ24Dw=")</f>
        <v>#REF!</v>
      </c>
      <c r="BJ99" t="e">
        <f>AND(#REF!,"cA+g3TZ24D0=")</f>
        <v>#REF!</v>
      </c>
      <c r="BK99" t="e">
        <f>AND(#REF!,"cA+g3TZ24D4=")</f>
        <v>#REF!</v>
      </c>
      <c r="BL99" t="e">
        <f>AND(#REF!,"cA+g3TZ24D8=")</f>
        <v>#REF!</v>
      </c>
      <c r="BM99" t="e">
        <f>AND(#REF!,"cA+g3TZ24EA=")</f>
        <v>#REF!</v>
      </c>
      <c r="BN99" t="e">
        <f>AND(#REF!,"cA+g3TZ24EE=")</f>
        <v>#REF!</v>
      </c>
      <c r="BO99" t="e">
        <f>AND(#REF!,"cA+g3TZ24EI=")</f>
        <v>#REF!</v>
      </c>
      <c r="BP99" t="e">
        <f>AND(#REF!,"cA+g3TZ24EM=")</f>
        <v>#REF!</v>
      </c>
      <c r="BQ99" t="e">
        <f>AND(#REF!,"cA+g3TZ24EQ=")</f>
        <v>#REF!</v>
      </c>
      <c r="BR99" t="e">
        <f>AND(#REF!,"cA+g3TZ24EU=")</f>
        <v>#REF!</v>
      </c>
      <c r="BS99" t="e">
        <f>AND(#REF!,"cA+g3TZ24EY=")</f>
        <v>#REF!</v>
      </c>
      <c r="BT99" t="e">
        <f>AND(#REF!,"cA+g3TZ24Ec=")</f>
        <v>#REF!</v>
      </c>
      <c r="BU99" t="e">
        <f>AND(#REF!,"cA+g3TZ24Eg=")</f>
        <v>#REF!</v>
      </c>
      <c r="BV99" t="e">
        <f>AND(#REF!,"cA+g3TZ24Ek=")</f>
        <v>#REF!</v>
      </c>
      <c r="BW99" t="e">
        <f>AND(#REF!,"cA+g3TZ24Eo=")</f>
        <v>#REF!</v>
      </c>
      <c r="BX99" t="e">
        <f>AND(#REF!,"cA+g3TZ24Es=")</f>
        <v>#REF!</v>
      </c>
      <c r="BY99" t="e">
        <f>AND(#REF!,"cA+g3TZ24Ew=")</f>
        <v>#REF!</v>
      </c>
      <c r="BZ99" t="e">
        <f>AND(#REF!,"cA+g3TZ24E0=")</f>
        <v>#REF!</v>
      </c>
      <c r="CA99" t="e">
        <f>AND(#REF!,"cA+g3TZ24E4=")</f>
        <v>#REF!</v>
      </c>
      <c r="CB99" t="e">
        <f>AND(#REF!,"cA+g3TZ24E8=")</f>
        <v>#REF!</v>
      </c>
      <c r="CC99" t="e">
        <f>AND(#REF!,"cA+g3TZ24FA=")</f>
        <v>#REF!</v>
      </c>
      <c r="CD99" t="e">
        <f>AND(#REF!,"cA+g3TZ24FE=")</f>
        <v>#REF!</v>
      </c>
      <c r="CE99" t="e">
        <f>AND(#REF!,"cA+g3TZ24FI=")</f>
        <v>#REF!</v>
      </c>
      <c r="CF99" t="e">
        <f>AND(#REF!,"cA+g3TZ24FM=")</f>
        <v>#REF!</v>
      </c>
      <c r="CG99" t="e">
        <f>AND(#REF!,"cA+g3TZ24FQ=")</f>
        <v>#REF!</v>
      </c>
      <c r="CH99" t="e">
        <f>AND(#REF!,"cA+g3TZ24FU=")</f>
        <v>#REF!</v>
      </c>
      <c r="CI99" t="e">
        <f>AND(#REF!,"cA+g3TZ24FY=")</f>
        <v>#REF!</v>
      </c>
      <c r="CJ99" t="e">
        <f>AND(#REF!,"cA+g3TZ24Fc=")</f>
        <v>#REF!</v>
      </c>
      <c r="CK99" t="e">
        <f>AND(#REF!,"cA+g3TZ24Fg=")</f>
        <v>#REF!</v>
      </c>
      <c r="CL99" t="e">
        <f>AND(#REF!,"cA+g3TZ24Fk=")</f>
        <v>#REF!</v>
      </c>
      <c r="CM99" t="e">
        <f>AND(#REF!,"cA+g3TZ24Fo=")</f>
        <v>#REF!</v>
      </c>
      <c r="CN99" t="e">
        <f>AND(#REF!,"cA+g3TZ24Fs=")</f>
        <v>#REF!</v>
      </c>
      <c r="CO99" t="e">
        <f>AND(#REF!,"cA+g3TZ24Fw=")</f>
        <v>#REF!</v>
      </c>
      <c r="CP99" t="e">
        <f>AND(#REF!,"cA+g3TZ24F0=")</f>
        <v>#REF!</v>
      </c>
      <c r="CQ99" t="e">
        <f>AND(#REF!,"cA+g3TZ24F4=")</f>
        <v>#REF!</v>
      </c>
      <c r="CR99" t="e">
        <f>AND(#REF!,"cA+g3TZ24F8=")</f>
        <v>#REF!</v>
      </c>
      <c r="CS99" t="e">
        <f>AND(#REF!,"cA+g3TZ24GA=")</f>
        <v>#REF!</v>
      </c>
      <c r="CT99" t="e">
        <f>AND(#REF!,"cA+g3TZ24GE=")</f>
        <v>#REF!</v>
      </c>
      <c r="CU99" t="e">
        <f>AND(#REF!,"cA+g3TZ24GI=")</f>
        <v>#REF!</v>
      </c>
      <c r="CV99" t="e">
        <f>AND(#REF!,"cA+g3TZ24GM=")</f>
        <v>#REF!</v>
      </c>
      <c r="CW99" t="e">
        <f>AND(#REF!,"cA+g3TZ24GQ=")</f>
        <v>#REF!</v>
      </c>
      <c r="CX99" t="e">
        <f>AND(#REF!,"cA+g3TZ24GU=")</f>
        <v>#REF!</v>
      </c>
      <c r="CY99" t="e">
        <f>AND(#REF!,"cA+g3TZ24GY=")</f>
        <v>#REF!</v>
      </c>
      <c r="CZ99" t="e">
        <f>AND(#REF!,"cA+g3TZ24Gc=")</f>
        <v>#REF!</v>
      </c>
      <c r="DA99" t="e">
        <f>AND(#REF!,"cA+g3TZ24Gg=")</f>
        <v>#REF!</v>
      </c>
      <c r="DB99" t="e">
        <f>AND(#REF!,"cA+g3TZ24Gk=")</f>
        <v>#REF!</v>
      </c>
      <c r="DC99" t="e">
        <f>AND(#REF!,"cA+g3TZ24Go=")</f>
        <v>#REF!</v>
      </c>
      <c r="DD99" t="e">
        <f>AND(#REF!,"cA+g3TZ24Gs=")</f>
        <v>#REF!</v>
      </c>
      <c r="DE99" t="e">
        <f>AND(#REF!,"cA+g3TZ24Gw=")</f>
        <v>#REF!</v>
      </c>
      <c r="DF99" t="e">
        <f>AND(#REF!,"cA+g3TZ24G0=")</f>
        <v>#REF!</v>
      </c>
      <c r="DG99" t="e">
        <f>AND(#REF!,"cA+g3TZ24G4=")</f>
        <v>#REF!</v>
      </c>
      <c r="DH99" t="e">
        <f>AND(#REF!,"cA+g3TZ24G8=")</f>
        <v>#REF!</v>
      </c>
      <c r="DI99" t="e">
        <f>AND(#REF!,"cA+g3TZ24HA=")</f>
        <v>#REF!</v>
      </c>
      <c r="DJ99" t="e">
        <f>AND(#REF!,"cA+g3TZ24HE=")</f>
        <v>#REF!</v>
      </c>
      <c r="DK99" t="e">
        <f>AND(#REF!,"cA+g3TZ24HI=")</f>
        <v>#REF!</v>
      </c>
      <c r="DL99" t="e">
        <f>AND(#REF!,"cA+g3TZ24HM=")</f>
        <v>#REF!</v>
      </c>
      <c r="DM99" t="e">
        <f>AND(#REF!,"cA+g3TZ24HQ=")</f>
        <v>#REF!</v>
      </c>
      <c r="DN99" t="e">
        <f>AND(#REF!,"cA+g3TZ24HU=")</f>
        <v>#REF!</v>
      </c>
      <c r="DO99" t="e">
        <f>AND(#REF!,"cA+g3TZ24HY=")</f>
        <v>#REF!</v>
      </c>
      <c r="DP99" t="e">
        <f>AND(#REF!,"cA+g3TZ24Hc=")</f>
        <v>#REF!</v>
      </c>
      <c r="DQ99" t="e">
        <f>AND(#REF!,"cA+g3TZ24Hg=")</f>
        <v>#REF!</v>
      </c>
      <c r="DR99" t="e">
        <f>AND(#REF!,"cA+g3TZ24Hk=")</f>
        <v>#REF!</v>
      </c>
      <c r="DS99" t="e">
        <f>AND(#REF!,"cA+g3TZ24Ho=")</f>
        <v>#REF!</v>
      </c>
      <c r="DT99" t="e">
        <f>AND(#REF!,"cA+g3TZ24Hs=")</f>
        <v>#REF!</v>
      </c>
      <c r="DU99" t="e">
        <f>AND(#REF!,"cA+g3TZ24Hw=")</f>
        <v>#REF!</v>
      </c>
      <c r="DV99" t="e">
        <f>AND(#REF!,"cA+g3TZ24H0=")</f>
        <v>#REF!</v>
      </c>
      <c r="DW99" t="e">
        <f>AND(#REF!,"cA+g3TZ24H4=")</f>
        <v>#REF!</v>
      </c>
      <c r="DX99" t="e">
        <f>AND(#REF!,"cA+g3TZ24H8=")</f>
        <v>#REF!</v>
      </c>
      <c r="DY99" t="e">
        <f>AND(#REF!,"cA+g3TZ24IA=")</f>
        <v>#REF!</v>
      </c>
      <c r="DZ99" t="e">
        <f>AND(#REF!,"cA+g3TZ24IE=")</f>
        <v>#REF!</v>
      </c>
      <c r="EA99" t="e">
        <f>AND(#REF!,"cA+g3TZ24II=")</f>
        <v>#REF!</v>
      </c>
      <c r="EB99" t="e">
        <f>IF(#REF!,"cA+g3TZ24IM=",0)</f>
        <v>#REF!</v>
      </c>
      <c r="EC99" t="e">
        <f>AND(#REF!,"cA+g3TZ24IQ=")</f>
        <v>#REF!</v>
      </c>
      <c r="ED99" t="e">
        <f>AND(#REF!,"cA+g3TZ24IU=")</f>
        <v>#REF!</v>
      </c>
      <c r="EE99" t="e">
        <f>AND(#REF!,"cA+g3TZ24IY=")</f>
        <v>#REF!</v>
      </c>
      <c r="EF99" t="e">
        <f>AND(#REF!,"cA+g3TZ24Ic=")</f>
        <v>#REF!</v>
      </c>
      <c r="EG99" t="e">
        <f>AND(#REF!,"cA+g3TZ24Ig=")</f>
        <v>#REF!</v>
      </c>
      <c r="EH99" t="e">
        <f>AND(#REF!,"cA+g3TZ24Ik=")</f>
        <v>#REF!</v>
      </c>
      <c r="EI99" t="e">
        <f>AND(#REF!,"cA+g3TZ24Io=")</f>
        <v>#REF!</v>
      </c>
      <c r="EJ99" t="e">
        <f>AND(#REF!,"cA+g3TZ24Is=")</f>
        <v>#REF!</v>
      </c>
      <c r="EK99" t="e">
        <f>AND(#REF!,"cA+g3TZ24Iw=")</f>
        <v>#REF!</v>
      </c>
      <c r="EL99" t="e">
        <f>AND(#REF!,"cA+g3TZ24I0=")</f>
        <v>#REF!</v>
      </c>
      <c r="EM99" t="e">
        <f>AND(#REF!,"cA+g3TZ24I4=")</f>
        <v>#REF!</v>
      </c>
      <c r="EN99" t="e">
        <f>AND(#REF!,"cA+g3TZ24I8=")</f>
        <v>#REF!</v>
      </c>
      <c r="EO99" t="e">
        <f>AND(#REF!,"cA+g3TZ24JA=")</f>
        <v>#REF!</v>
      </c>
      <c r="EP99" t="e">
        <f>AND(#REF!,"cA+g3TZ24JE=")</f>
        <v>#REF!</v>
      </c>
      <c r="EQ99" t="e">
        <f>AND(#REF!,"cA+g3TZ24JI=")</f>
        <v>#REF!</v>
      </c>
      <c r="ER99" t="e">
        <f>AND(#REF!,"cA+g3TZ24JM=")</f>
        <v>#REF!</v>
      </c>
      <c r="ES99" t="e">
        <f>AND(#REF!,"cA+g3TZ24JQ=")</f>
        <v>#REF!</v>
      </c>
      <c r="ET99" t="e">
        <f>AND(#REF!,"cA+g3TZ24JU=")</f>
        <v>#REF!</v>
      </c>
      <c r="EU99" t="e">
        <f>AND(#REF!,"cA+g3TZ24JY=")</f>
        <v>#REF!</v>
      </c>
      <c r="EV99" t="e">
        <f>AND(#REF!,"cA+g3TZ24Jc=")</f>
        <v>#REF!</v>
      </c>
      <c r="EW99" t="e">
        <f>AND(#REF!,"cA+g3TZ24Jg=")</f>
        <v>#REF!</v>
      </c>
      <c r="EX99" t="e">
        <f>AND(#REF!,"cA+g3TZ24Jk=")</f>
        <v>#REF!</v>
      </c>
      <c r="EY99" t="e">
        <f>AND(#REF!,"cA+g3TZ24Jo=")</f>
        <v>#REF!</v>
      </c>
      <c r="EZ99" t="e">
        <f>AND(#REF!,"cA+g3TZ24Js=")</f>
        <v>#REF!</v>
      </c>
      <c r="FA99" t="e">
        <f>AND(#REF!,"cA+g3TZ24Jw=")</f>
        <v>#REF!</v>
      </c>
      <c r="FB99" t="e">
        <f>AND(#REF!,"cA+g3TZ24J0=")</f>
        <v>#REF!</v>
      </c>
      <c r="FC99" t="e">
        <f>AND(#REF!,"cA+g3TZ24J4=")</f>
        <v>#REF!</v>
      </c>
      <c r="FD99" t="e">
        <f>AND(#REF!,"cA+g3TZ24J8=")</f>
        <v>#REF!</v>
      </c>
      <c r="FE99" t="e">
        <f>AND(#REF!,"cA+g3TZ24KA=")</f>
        <v>#REF!</v>
      </c>
      <c r="FF99" t="e">
        <f>AND(#REF!,"cA+g3TZ24KE=")</f>
        <v>#REF!</v>
      </c>
      <c r="FG99" t="e">
        <f>AND(#REF!,"cA+g3TZ24KI=")</f>
        <v>#REF!</v>
      </c>
      <c r="FH99" t="e">
        <f>AND(#REF!,"cA+g3TZ24KM=")</f>
        <v>#REF!</v>
      </c>
      <c r="FI99" t="e">
        <f>AND(#REF!,"cA+g3TZ24KQ=")</f>
        <v>#REF!</v>
      </c>
      <c r="FJ99" t="e">
        <f>AND(#REF!,"cA+g3TZ24KU=")</f>
        <v>#REF!</v>
      </c>
      <c r="FK99" t="e">
        <f>AND(#REF!,"cA+g3TZ24KY=")</f>
        <v>#REF!</v>
      </c>
      <c r="FL99" t="e">
        <f>AND(#REF!,"cA+g3TZ24Kc=")</f>
        <v>#REF!</v>
      </c>
      <c r="FM99" t="e">
        <f>AND(#REF!,"cA+g3TZ24Kg=")</f>
        <v>#REF!</v>
      </c>
      <c r="FN99" t="e">
        <f>AND(#REF!,"cA+g3TZ24Kk=")</f>
        <v>#REF!</v>
      </c>
      <c r="FO99" t="e">
        <f>AND(#REF!,"cA+g3TZ24Ko=")</f>
        <v>#REF!</v>
      </c>
      <c r="FP99" t="e">
        <f>AND(#REF!,"cA+g3TZ24Ks=")</f>
        <v>#REF!</v>
      </c>
      <c r="FQ99" t="e">
        <f>AND(#REF!,"cA+g3TZ24Kw=")</f>
        <v>#REF!</v>
      </c>
      <c r="FR99" t="e">
        <f>AND(#REF!,"cA+g3TZ24K0=")</f>
        <v>#REF!</v>
      </c>
      <c r="FS99" t="e">
        <f>AND(#REF!,"cA+g3TZ24K4=")</f>
        <v>#REF!</v>
      </c>
      <c r="FT99" t="e">
        <f>AND(#REF!,"cA+g3TZ24K8=")</f>
        <v>#REF!</v>
      </c>
      <c r="FU99" t="e">
        <f>AND(#REF!,"cA+g3TZ24LA=")</f>
        <v>#REF!</v>
      </c>
      <c r="FV99" t="e">
        <f>AND(#REF!,"cA+g3TZ24LE=")</f>
        <v>#REF!</v>
      </c>
      <c r="FW99" t="e">
        <f>AND(#REF!,"cA+g3TZ24LI=")</f>
        <v>#REF!</v>
      </c>
      <c r="FX99" t="e">
        <f>AND(#REF!,"cA+g3TZ24LM=")</f>
        <v>#REF!</v>
      </c>
      <c r="FY99" t="e">
        <f>AND(#REF!,"cA+g3TZ24LQ=")</f>
        <v>#REF!</v>
      </c>
      <c r="FZ99" t="e">
        <f>AND(#REF!,"cA+g3TZ24LU=")</f>
        <v>#REF!</v>
      </c>
      <c r="GA99" t="e">
        <f>AND(#REF!,"cA+g3TZ24LY=")</f>
        <v>#REF!</v>
      </c>
      <c r="GB99" t="e">
        <f>AND(#REF!,"cA+g3TZ24Lc=")</f>
        <v>#REF!</v>
      </c>
      <c r="GC99" t="e">
        <f>AND(#REF!,"cA+g3TZ24Lg=")</f>
        <v>#REF!</v>
      </c>
      <c r="GD99" t="e">
        <f>AND(#REF!,"cA+g3TZ24Lk=")</f>
        <v>#REF!</v>
      </c>
      <c r="GE99" t="e">
        <f>AND(#REF!,"cA+g3TZ24Lo=")</f>
        <v>#REF!</v>
      </c>
      <c r="GF99" t="e">
        <f>AND(#REF!,"cA+g3TZ24Ls=")</f>
        <v>#REF!</v>
      </c>
      <c r="GG99" t="e">
        <f>AND(#REF!,"cA+g3TZ24Lw=")</f>
        <v>#REF!</v>
      </c>
      <c r="GH99" t="e">
        <f>AND(#REF!,"cA+g3TZ24L0=")</f>
        <v>#REF!</v>
      </c>
      <c r="GI99" t="e">
        <f>AND(#REF!,"cA+g3TZ24L4=")</f>
        <v>#REF!</v>
      </c>
      <c r="GJ99" t="e">
        <f>AND(#REF!,"cA+g3TZ24L8=")</f>
        <v>#REF!</v>
      </c>
      <c r="GK99" t="e">
        <f>AND(#REF!,"cA+g3TZ24MA=")</f>
        <v>#REF!</v>
      </c>
      <c r="GL99" t="e">
        <f>AND(#REF!,"cA+g3TZ24ME=")</f>
        <v>#REF!</v>
      </c>
      <c r="GM99" t="e">
        <f>AND(#REF!,"cA+g3TZ24MI=")</f>
        <v>#REF!</v>
      </c>
      <c r="GN99" t="e">
        <f>AND(#REF!,"cA+g3TZ24MM=")</f>
        <v>#REF!</v>
      </c>
      <c r="GO99" t="e">
        <f>AND(#REF!,"cA+g3TZ24MQ=")</f>
        <v>#REF!</v>
      </c>
      <c r="GP99" t="e">
        <f>AND(#REF!,"cA+g3TZ24MU=")</f>
        <v>#REF!</v>
      </c>
      <c r="GQ99" t="e">
        <f>AND(#REF!,"cA+g3TZ24MY=")</f>
        <v>#REF!</v>
      </c>
      <c r="GR99" t="e">
        <f>AND(#REF!,"cA+g3TZ24Mc=")</f>
        <v>#REF!</v>
      </c>
      <c r="GS99" t="e">
        <f>AND(#REF!,"cA+g3TZ24Mg=")</f>
        <v>#REF!</v>
      </c>
      <c r="GT99" t="e">
        <f>AND(#REF!,"cA+g3TZ24Mk=")</f>
        <v>#REF!</v>
      </c>
      <c r="GU99" t="e">
        <f>AND(#REF!,"cA+g3TZ24Mo=")</f>
        <v>#REF!</v>
      </c>
      <c r="GV99" t="e">
        <f>AND(#REF!,"cA+g3TZ24Ms=")</f>
        <v>#REF!</v>
      </c>
      <c r="GW99" t="e">
        <f>AND(#REF!,"cA+g3TZ24Mw=")</f>
        <v>#REF!</v>
      </c>
      <c r="GX99" t="e">
        <f>AND(#REF!,"cA+g3TZ24M0=")</f>
        <v>#REF!</v>
      </c>
      <c r="GY99" t="e">
        <f>AND(#REF!,"cA+g3TZ24M4=")</f>
        <v>#REF!</v>
      </c>
      <c r="GZ99" t="e">
        <f>AND(#REF!,"cA+g3TZ24M8=")</f>
        <v>#REF!</v>
      </c>
      <c r="HA99" t="e">
        <f>AND(#REF!,"cA+g3TZ24NA=")</f>
        <v>#REF!</v>
      </c>
      <c r="HB99" t="e">
        <f>AND(#REF!,"cA+g3TZ24NE=")</f>
        <v>#REF!</v>
      </c>
      <c r="HC99" t="e">
        <f>AND(#REF!,"cA+g3TZ24NI=")</f>
        <v>#REF!</v>
      </c>
      <c r="HD99" t="e">
        <f>AND(#REF!,"cA+g3TZ24NM=")</f>
        <v>#REF!</v>
      </c>
      <c r="HE99" t="e">
        <f>AND(#REF!,"cA+g3TZ24NQ=")</f>
        <v>#REF!</v>
      </c>
      <c r="HF99" t="e">
        <f>AND(#REF!,"cA+g3TZ24NU=")</f>
        <v>#REF!</v>
      </c>
      <c r="HG99" t="e">
        <f>AND(#REF!,"cA+g3TZ24NY=")</f>
        <v>#REF!</v>
      </c>
      <c r="HH99" t="e">
        <f>AND(#REF!,"cA+g3TZ24Nc=")</f>
        <v>#REF!</v>
      </c>
      <c r="HI99" t="e">
        <f>AND(#REF!,"cA+g3TZ24Ng=")</f>
        <v>#REF!</v>
      </c>
      <c r="HJ99" t="e">
        <f>AND(#REF!,"cA+g3TZ24Nk=")</f>
        <v>#REF!</v>
      </c>
      <c r="HK99" t="e">
        <f>AND(#REF!,"cA+g3TZ24No=")</f>
        <v>#REF!</v>
      </c>
      <c r="HL99" t="e">
        <f>AND(#REF!,"cA+g3TZ24Ns=")</f>
        <v>#REF!</v>
      </c>
      <c r="HM99" t="e">
        <f>AND(#REF!,"cA+g3TZ24Nw=")</f>
        <v>#REF!</v>
      </c>
      <c r="HN99" t="e">
        <f>AND(#REF!,"cA+g3TZ24N0=")</f>
        <v>#REF!</v>
      </c>
      <c r="HO99" t="e">
        <f>AND(#REF!,"cA+g3TZ24N4=")</f>
        <v>#REF!</v>
      </c>
      <c r="HP99" t="e">
        <f>AND(#REF!,"cA+g3TZ24N8=")</f>
        <v>#REF!</v>
      </c>
      <c r="HQ99" t="e">
        <f>AND(#REF!,"cA+g3TZ24OA=")</f>
        <v>#REF!</v>
      </c>
      <c r="HR99" t="e">
        <f>AND(#REF!,"cA+g3TZ24OE=")</f>
        <v>#REF!</v>
      </c>
      <c r="HS99" t="e">
        <f>AND(#REF!,"cA+g3TZ24OI=")</f>
        <v>#REF!</v>
      </c>
      <c r="HT99" t="e">
        <f>AND(#REF!,"cA+g3TZ24OM=")</f>
        <v>#REF!</v>
      </c>
      <c r="HU99" t="e">
        <f>AND(#REF!,"cA+g3TZ24OQ=")</f>
        <v>#REF!</v>
      </c>
      <c r="HV99" t="e">
        <f>AND(#REF!,"cA+g3TZ24OU=")</f>
        <v>#REF!</v>
      </c>
      <c r="HW99" t="e">
        <f>AND(#REF!,"cA+g3TZ24OY=")</f>
        <v>#REF!</v>
      </c>
      <c r="HX99" t="e">
        <f>AND(#REF!,"cA+g3TZ24Oc=")</f>
        <v>#REF!</v>
      </c>
      <c r="HY99" t="e">
        <f>AND(#REF!,"cA+g3TZ24Og=")</f>
        <v>#REF!</v>
      </c>
      <c r="HZ99" t="e">
        <f>AND(#REF!,"cA+g3TZ24Ok=")</f>
        <v>#REF!</v>
      </c>
      <c r="IA99" t="e">
        <f>AND(#REF!,"cA+g3TZ24Oo=")</f>
        <v>#REF!</v>
      </c>
      <c r="IB99" t="e">
        <f>AND(#REF!,"cA+g3TZ24Os=")</f>
        <v>#REF!</v>
      </c>
      <c r="IC99" t="e">
        <f>AND(#REF!,"cA+g3TZ24Ow=")</f>
        <v>#REF!</v>
      </c>
      <c r="ID99" t="e">
        <f>AND(#REF!,"cA+g3TZ24O0=")</f>
        <v>#REF!</v>
      </c>
      <c r="IE99" t="e">
        <f>AND(#REF!,"cA+g3TZ24O4=")</f>
        <v>#REF!</v>
      </c>
      <c r="IF99" t="e">
        <f>AND(#REF!,"cA+g3TZ24O8=")</f>
        <v>#REF!</v>
      </c>
      <c r="IG99" t="e">
        <f>AND(#REF!,"cA+g3TZ24PA=")</f>
        <v>#REF!</v>
      </c>
      <c r="IH99" t="e">
        <f>AND(#REF!,"cA+g3TZ24PE=")</f>
        <v>#REF!</v>
      </c>
      <c r="II99" t="e">
        <f>AND(#REF!,"cA+g3TZ24PI=")</f>
        <v>#REF!</v>
      </c>
      <c r="IJ99" t="e">
        <f>AND(#REF!,"cA+g3TZ24PM=")</f>
        <v>#REF!</v>
      </c>
      <c r="IK99" t="e">
        <f>AND(#REF!,"cA+g3TZ24PQ=")</f>
        <v>#REF!</v>
      </c>
      <c r="IL99" t="e">
        <f>AND(#REF!,"cA+g3TZ24PU=")</f>
        <v>#REF!</v>
      </c>
      <c r="IM99" t="e">
        <f>AND(#REF!,"cA+g3TZ24PY=")</f>
        <v>#REF!</v>
      </c>
      <c r="IN99" t="e">
        <f>AND(#REF!,"cA+g3TZ24Pc=")</f>
        <v>#REF!</v>
      </c>
      <c r="IO99" t="e">
        <f>AND(#REF!,"cA+g3TZ24Pg=")</f>
        <v>#REF!</v>
      </c>
      <c r="IP99" t="e">
        <f>AND(#REF!,"cA+g3TZ24Pk=")</f>
        <v>#REF!</v>
      </c>
      <c r="IQ99" t="e">
        <f>AND(#REF!,"cA+g3TZ24Po=")</f>
        <v>#REF!</v>
      </c>
      <c r="IR99" t="e">
        <f>AND(#REF!,"cA+g3TZ24Ps=")</f>
        <v>#REF!</v>
      </c>
      <c r="IS99" t="e">
        <f>AND(#REF!,"cA+g3TZ24Pw=")</f>
        <v>#REF!</v>
      </c>
      <c r="IT99" t="e">
        <f>AND(#REF!,"cA+g3TZ24P0=")</f>
        <v>#REF!</v>
      </c>
      <c r="IU99" t="e">
        <f>AND(#REF!,"cA+g3TZ24P4=")</f>
        <v>#REF!</v>
      </c>
      <c r="IV99" t="e">
        <f>AND(#REF!,"cA+g3TZ24P8=")</f>
        <v>#REF!</v>
      </c>
    </row>
    <row r="100" spans="1:256" x14ac:dyDescent="0.2">
      <c r="A100" t="e">
        <f>AND(#REF!,"IMpqQ1FzrwA=")</f>
        <v>#REF!</v>
      </c>
      <c r="B100" t="e">
        <f>AND(#REF!,"IMpqQ1FzrwE=")</f>
        <v>#REF!</v>
      </c>
      <c r="C100" t="e">
        <f>AND(#REF!,"IMpqQ1FzrwI=")</f>
        <v>#REF!</v>
      </c>
      <c r="D100" t="e">
        <f>AND(#REF!,"IMpqQ1FzrwM=")</f>
        <v>#REF!</v>
      </c>
      <c r="E100" t="e">
        <f>AND(#REF!,"IMpqQ1FzrwQ=")</f>
        <v>#REF!</v>
      </c>
      <c r="F100" t="e">
        <f>AND(#REF!,"IMpqQ1FzrwU=")</f>
        <v>#REF!</v>
      </c>
      <c r="G100" t="e">
        <f>AND(#REF!,"IMpqQ1FzrwY=")</f>
        <v>#REF!</v>
      </c>
      <c r="H100" t="e">
        <f>AND(#REF!,"IMpqQ1Fzrwc=")</f>
        <v>#REF!</v>
      </c>
      <c r="I100" t="e">
        <f>AND(#REF!,"IMpqQ1Fzrwg=")</f>
        <v>#REF!</v>
      </c>
      <c r="J100" t="e">
        <f>AND(#REF!,"IMpqQ1Fzrwk=")</f>
        <v>#REF!</v>
      </c>
      <c r="K100" t="e">
        <f>AND(#REF!,"IMpqQ1Fzrwo=")</f>
        <v>#REF!</v>
      </c>
      <c r="L100" t="e">
        <f>AND(#REF!,"IMpqQ1Fzrws=")</f>
        <v>#REF!</v>
      </c>
      <c r="M100" t="e">
        <f>AND(#REF!,"IMpqQ1Fzrww=")</f>
        <v>#REF!</v>
      </c>
      <c r="N100" t="e">
        <f>AND(#REF!,"IMpqQ1Fzrw0=")</f>
        <v>#REF!</v>
      </c>
      <c r="O100" t="e">
        <f>AND(#REF!,"IMpqQ1Fzrw4=")</f>
        <v>#REF!</v>
      </c>
      <c r="P100" t="e">
        <f>AND(#REF!,"IMpqQ1Fzrw8=")</f>
        <v>#REF!</v>
      </c>
      <c r="Q100" t="e">
        <f>AND(#REF!,"IMpqQ1FzrxA=")</f>
        <v>#REF!</v>
      </c>
      <c r="R100" t="e">
        <f>AND(#REF!,"IMpqQ1FzrxE=")</f>
        <v>#REF!</v>
      </c>
      <c r="S100" t="e">
        <f>AND(#REF!,"IMpqQ1FzrxI=")</f>
        <v>#REF!</v>
      </c>
      <c r="T100" t="e">
        <f>AND(#REF!,"IMpqQ1FzrxM=")</f>
        <v>#REF!</v>
      </c>
      <c r="U100" t="e">
        <f>AND(#REF!,"IMpqQ1FzrxQ=")</f>
        <v>#REF!</v>
      </c>
      <c r="V100" t="e">
        <f>AND(#REF!,"IMpqQ1FzrxU=")</f>
        <v>#REF!</v>
      </c>
      <c r="W100" t="e">
        <f>AND(#REF!,"IMpqQ1FzrxY=")</f>
        <v>#REF!</v>
      </c>
      <c r="X100" t="e">
        <f>AND(#REF!,"IMpqQ1Fzrxc=")</f>
        <v>#REF!</v>
      </c>
      <c r="Y100" t="e">
        <f>AND(#REF!,"IMpqQ1Fzrxg=")</f>
        <v>#REF!</v>
      </c>
      <c r="Z100" t="e">
        <f>AND(#REF!,"IMpqQ1Fzrxk=")</f>
        <v>#REF!</v>
      </c>
      <c r="AA100" t="e">
        <f>AND(#REF!,"IMpqQ1Fzrxo=")</f>
        <v>#REF!</v>
      </c>
      <c r="AB100" t="e">
        <f>AND(#REF!,"IMpqQ1Fzrxs=")</f>
        <v>#REF!</v>
      </c>
      <c r="AC100" t="e">
        <f>AND(#REF!,"IMpqQ1Fzrxw=")</f>
        <v>#REF!</v>
      </c>
      <c r="AD100" t="e">
        <f>AND(#REF!,"IMpqQ1Fzrx0=")</f>
        <v>#REF!</v>
      </c>
      <c r="AE100" t="e">
        <f>AND(#REF!,"IMpqQ1Fzrx4=")</f>
        <v>#REF!</v>
      </c>
      <c r="AF100" t="e">
        <f>AND(#REF!,"IMpqQ1Fzrx8=")</f>
        <v>#REF!</v>
      </c>
      <c r="AG100" t="e">
        <f>AND(#REF!,"IMpqQ1FzryA=")</f>
        <v>#REF!</v>
      </c>
      <c r="AH100" t="e">
        <f>AND(#REF!,"IMpqQ1FzryE=")</f>
        <v>#REF!</v>
      </c>
      <c r="AI100" t="e">
        <f>AND(#REF!,"IMpqQ1FzryI=")</f>
        <v>#REF!</v>
      </c>
      <c r="AJ100" t="e">
        <f>AND(#REF!,"IMpqQ1FzryM=")</f>
        <v>#REF!</v>
      </c>
      <c r="AK100" t="e">
        <f>AND(#REF!,"IMpqQ1FzryQ=")</f>
        <v>#REF!</v>
      </c>
      <c r="AL100" t="e">
        <f>AND(#REF!,"IMpqQ1FzryU=")</f>
        <v>#REF!</v>
      </c>
      <c r="AM100" t="e">
        <f>AND(#REF!,"IMpqQ1FzryY=")</f>
        <v>#REF!</v>
      </c>
      <c r="AN100" t="e">
        <f>AND(#REF!,"IMpqQ1Fzryc=")</f>
        <v>#REF!</v>
      </c>
      <c r="AO100" t="e">
        <f>AND(#REF!,"IMpqQ1Fzryg=")</f>
        <v>#REF!</v>
      </c>
      <c r="AP100" t="e">
        <f>AND(#REF!,"IMpqQ1Fzryk=")</f>
        <v>#REF!</v>
      </c>
      <c r="AQ100" t="e">
        <f>AND(#REF!,"IMpqQ1Fzryo=")</f>
        <v>#REF!</v>
      </c>
      <c r="AR100" t="e">
        <f>AND(#REF!,"IMpqQ1Fzrys=")</f>
        <v>#REF!</v>
      </c>
      <c r="AS100" t="e">
        <f>AND(#REF!,"IMpqQ1Fzryw=")</f>
        <v>#REF!</v>
      </c>
      <c r="AT100" t="e">
        <f>AND(#REF!,"IMpqQ1Fzry0=")</f>
        <v>#REF!</v>
      </c>
      <c r="AU100" t="e">
        <f>AND(#REF!,"IMpqQ1Fzry4=")</f>
        <v>#REF!</v>
      </c>
      <c r="AV100" t="e">
        <f>AND(#REF!,"IMpqQ1Fzry8=")</f>
        <v>#REF!</v>
      </c>
      <c r="AW100" t="e">
        <f>AND(#REF!,"IMpqQ1FzrzA=")</f>
        <v>#REF!</v>
      </c>
      <c r="AX100" t="e">
        <f>AND(#REF!,"IMpqQ1FzrzE=")</f>
        <v>#REF!</v>
      </c>
      <c r="AY100" t="e">
        <f>AND(#REF!,"IMpqQ1FzrzI=")</f>
        <v>#REF!</v>
      </c>
      <c r="AZ100" t="e">
        <f>AND(#REF!,"IMpqQ1FzrzM=")</f>
        <v>#REF!</v>
      </c>
      <c r="BA100" t="e">
        <f>AND(#REF!,"IMpqQ1FzrzQ=")</f>
        <v>#REF!</v>
      </c>
      <c r="BB100" t="e">
        <f>AND(#REF!,"IMpqQ1FzrzU=")</f>
        <v>#REF!</v>
      </c>
      <c r="BC100" t="e">
        <f>AND(#REF!,"IMpqQ1FzrzY=")</f>
        <v>#REF!</v>
      </c>
      <c r="BD100" t="e">
        <f>AND(#REF!,"IMpqQ1Fzrzc=")</f>
        <v>#REF!</v>
      </c>
      <c r="BE100" t="e">
        <f>AND(#REF!,"IMpqQ1Fzrzg=")</f>
        <v>#REF!</v>
      </c>
      <c r="BF100" t="e">
        <f>AND(#REF!,"IMpqQ1Fzrzk=")</f>
        <v>#REF!</v>
      </c>
      <c r="BG100" t="e">
        <f>AND(#REF!,"IMpqQ1Fzrzo=")</f>
        <v>#REF!</v>
      </c>
      <c r="BH100" t="e">
        <f>AND(#REF!,"IMpqQ1Fzrzs=")</f>
        <v>#REF!</v>
      </c>
      <c r="BI100" t="e">
        <f>AND(#REF!,"IMpqQ1Fzrzw=")</f>
        <v>#REF!</v>
      </c>
      <c r="BJ100" t="e">
        <f>AND(#REF!,"IMpqQ1Fzrz0=")</f>
        <v>#REF!</v>
      </c>
      <c r="BK100" t="e">
        <f>AND(#REF!,"IMpqQ1Fzrz4=")</f>
        <v>#REF!</v>
      </c>
      <c r="BL100" t="e">
        <f>AND(#REF!,"IMpqQ1Fzrz8=")</f>
        <v>#REF!</v>
      </c>
      <c r="BM100" t="e">
        <f>AND(#REF!,"IMpqQ1Fzr0A=")</f>
        <v>#REF!</v>
      </c>
      <c r="BN100" t="e">
        <f>AND(#REF!,"IMpqQ1Fzr0E=")</f>
        <v>#REF!</v>
      </c>
      <c r="BO100" t="e">
        <f>AND(#REF!,"IMpqQ1Fzr0I=")</f>
        <v>#REF!</v>
      </c>
      <c r="BP100" t="e">
        <f>AND(#REF!,"IMpqQ1Fzr0M=")</f>
        <v>#REF!</v>
      </c>
      <c r="BQ100" t="e">
        <f>AND(#REF!,"IMpqQ1Fzr0Q=")</f>
        <v>#REF!</v>
      </c>
      <c r="BR100" t="e">
        <f>AND(#REF!,"IMpqQ1Fzr0U=")</f>
        <v>#REF!</v>
      </c>
      <c r="BS100" t="e">
        <f>AND(#REF!,"IMpqQ1Fzr0Y=")</f>
        <v>#REF!</v>
      </c>
      <c r="BT100" t="e">
        <f>AND(#REF!,"IMpqQ1Fzr0c=")</f>
        <v>#REF!</v>
      </c>
      <c r="BU100" t="e">
        <f>AND(#REF!,"IMpqQ1Fzr0g=")</f>
        <v>#REF!</v>
      </c>
      <c r="BV100" t="e">
        <f>AND(#REF!,"IMpqQ1Fzr0k=")</f>
        <v>#REF!</v>
      </c>
      <c r="BW100" t="e">
        <f>IF(#REF!,"IMpqQ1Fzr0o=",0)</f>
        <v>#REF!</v>
      </c>
      <c r="BX100" t="e">
        <f>AND(#REF!,"IMpqQ1Fzr0s=")</f>
        <v>#REF!</v>
      </c>
      <c r="BY100" t="e">
        <f>AND(#REF!,"IMpqQ1Fzr0w=")</f>
        <v>#REF!</v>
      </c>
      <c r="BZ100" t="e">
        <f>AND(#REF!,"IMpqQ1Fzr00=")</f>
        <v>#REF!</v>
      </c>
      <c r="CA100" t="e">
        <f>AND(#REF!,"IMpqQ1Fzr04=")</f>
        <v>#REF!</v>
      </c>
      <c r="CB100" t="e">
        <f>AND(#REF!,"IMpqQ1Fzr08=")</f>
        <v>#REF!</v>
      </c>
      <c r="CC100" t="e">
        <f>AND(#REF!,"IMpqQ1Fzr1A=")</f>
        <v>#REF!</v>
      </c>
      <c r="CD100" t="e">
        <f>AND(#REF!,"IMpqQ1Fzr1E=")</f>
        <v>#REF!</v>
      </c>
      <c r="CE100" t="e">
        <f>AND(#REF!,"IMpqQ1Fzr1I=")</f>
        <v>#REF!</v>
      </c>
      <c r="CF100" t="e">
        <f>AND(#REF!,"IMpqQ1Fzr1M=")</f>
        <v>#REF!</v>
      </c>
      <c r="CG100" t="e">
        <f>AND(#REF!,"IMpqQ1Fzr1Q=")</f>
        <v>#REF!</v>
      </c>
      <c r="CH100" t="e">
        <f>AND(#REF!,"IMpqQ1Fzr1U=")</f>
        <v>#REF!</v>
      </c>
      <c r="CI100" t="e">
        <f>AND(#REF!,"IMpqQ1Fzr1Y=")</f>
        <v>#REF!</v>
      </c>
      <c r="CJ100" t="e">
        <f>AND(#REF!,"IMpqQ1Fzr1c=")</f>
        <v>#REF!</v>
      </c>
      <c r="CK100" t="e">
        <f>AND(#REF!,"IMpqQ1Fzr1g=")</f>
        <v>#REF!</v>
      </c>
      <c r="CL100" t="e">
        <f>AND(#REF!,"IMpqQ1Fzr1k=")</f>
        <v>#REF!</v>
      </c>
      <c r="CM100" t="e">
        <f>AND(#REF!,"IMpqQ1Fzr1o=")</f>
        <v>#REF!</v>
      </c>
      <c r="CN100" t="e">
        <f>AND(#REF!,"IMpqQ1Fzr1s=")</f>
        <v>#REF!</v>
      </c>
      <c r="CO100" t="e">
        <f>AND(#REF!,"IMpqQ1Fzr1w=")</f>
        <v>#REF!</v>
      </c>
      <c r="CP100" t="e">
        <f>AND(#REF!,"IMpqQ1Fzr10=")</f>
        <v>#REF!</v>
      </c>
      <c r="CQ100" t="e">
        <f>AND(#REF!,"IMpqQ1Fzr14=")</f>
        <v>#REF!</v>
      </c>
      <c r="CR100" t="e">
        <f>AND(#REF!,"IMpqQ1Fzr18=")</f>
        <v>#REF!</v>
      </c>
      <c r="CS100" t="e">
        <f>AND(#REF!,"IMpqQ1Fzr2A=")</f>
        <v>#REF!</v>
      </c>
      <c r="CT100" t="e">
        <f>AND(#REF!,"IMpqQ1Fzr2E=")</f>
        <v>#REF!</v>
      </c>
      <c r="CU100" t="e">
        <f>AND(#REF!,"IMpqQ1Fzr2I=")</f>
        <v>#REF!</v>
      </c>
      <c r="CV100" t="e">
        <f>AND(#REF!,"IMpqQ1Fzr2M=")</f>
        <v>#REF!</v>
      </c>
      <c r="CW100" t="e">
        <f>AND(#REF!,"IMpqQ1Fzr2Q=")</f>
        <v>#REF!</v>
      </c>
      <c r="CX100" t="e">
        <f>AND(#REF!,"IMpqQ1Fzr2U=")</f>
        <v>#REF!</v>
      </c>
      <c r="CY100" t="e">
        <f>AND(#REF!,"IMpqQ1Fzr2Y=")</f>
        <v>#REF!</v>
      </c>
      <c r="CZ100" t="e">
        <f>AND(#REF!,"IMpqQ1Fzr2c=")</f>
        <v>#REF!</v>
      </c>
      <c r="DA100" t="e">
        <f>AND(#REF!,"IMpqQ1Fzr2g=")</f>
        <v>#REF!</v>
      </c>
      <c r="DB100" t="e">
        <f>AND(#REF!,"IMpqQ1Fzr2k=")</f>
        <v>#REF!</v>
      </c>
      <c r="DC100" t="e">
        <f>AND(#REF!,"IMpqQ1Fzr2o=")</f>
        <v>#REF!</v>
      </c>
      <c r="DD100" t="e">
        <f>AND(#REF!,"IMpqQ1Fzr2s=")</f>
        <v>#REF!</v>
      </c>
      <c r="DE100" t="e">
        <f>AND(#REF!,"IMpqQ1Fzr2w=")</f>
        <v>#REF!</v>
      </c>
      <c r="DF100" t="e">
        <f>AND(#REF!,"IMpqQ1Fzr20=")</f>
        <v>#REF!</v>
      </c>
      <c r="DG100" t="e">
        <f>AND(#REF!,"IMpqQ1Fzr24=")</f>
        <v>#REF!</v>
      </c>
      <c r="DH100" t="e">
        <f>AND(#REF!,"IMpqQ1Fzr28=")</f>
        <v>#REF!</v>
      </c>
      <c r="DI100" t="e">
        <f>AND(#REF!,"IMpqQ1Fzr3A=")</f>
        <v>#REF!</v>
      </c>
      <c r="DJ100" t="e">
        <f>AND(#REF!,"IMpqQ1Fzr3E=")</f>
        <v>#REF!</v>
      </c>
      <c r="DK100" t="e">
        <f>AND(#REF!,"IMpqQ1Fzr3I=")</f>
        <v>#REF!</v>
      </c>
      <c r="DL100" t="e">
        <f>AND(#REF!,"IMpqQ1Fzr3M=")</f>
        <v>#REF!</v>
      </c>
      <c r="DM100" t="e">
        <f>AND(#REF!,"IMpqQ1Fzr3Q=")</f>
        <v>#REF!</v>
      </c>
      <c r="DN100" t="e">
        <f>AND(#REF!,"IMpqQ1Fzr3U=")</f>
        <v>#REF!</v>
      </c>
      <c r="DO100" t="e">
        <f>AND(#REF!,"IMpqQ1Fzr3Y=")</f>
        <v>#REF!</v>
      </c>
      <c r="DP100" t="e">
        <f>AND(#REF!,"IMpqQ1Fzr3c=")</f>
        <v>#REF!</v>
      </c>
      <c r="DQ100" t="e">
        <f>AND(#REF!,"IMpqQ1Fzr3g=")</f>
        <v>#REF!</v>
      </c>
      <c r="DR100" t="e">
        <f>AND(#REF!,"IMpqQ1Fzr3k=")</f>
        <v>#REF!</v>
      </c>
      <c r="DS100" t="e">
        <f>AND(#REF!,"IMpqQ1Fzr3o=")</f>
        <v>#REF!</v>
      </c>
      <c r="DT100" t="e">
        <f>AND(#REF!,"IMpqQ1Fzr3s=")</f>
        <v>#REF!</v>
      </c>
      <c r="DU100" t="e">
        <f>AND(#REF!,"IMpqQ1Fzr3w=")</f>
        <v>#REF!</v>
      </c>
      <c r="DV100" t="e">
        <f>AND(#REF!,"IMpqQ1Fzr30=")</f>
        <v>#REF!</v>
      </c>
      <c r="DW100" t="e">
        <f>AND(#REF!,"IMpqQ1Fzr34=")</f>
        <v>#REF!</v>
      </c>
      <c r="DX100" t="e">
        <f>AND(#REF!,"IMpqQ1Fzr38=")</f>
        <v>#REF!</v>
      </c>
      <c r="DY100" t="e">
        <f>AND(#REF!,"IMpqQ1Fzr4A=")</f>
        <v>#REF!</v>
      </c>
      <c r="DZ100" t="e">
        <f>AND(#REF!,"IMpqQ1Fzr4E=")</f>
        <v>#REF!</v>
      </c>
      <c r="EA100" t="e">
        <f>AND(#REF!,"IMpqQ1Fzr4I=")</f>
        <v>#REF!</v>
      </c>
      <c r="EB100" t="e">
        <f>AND(#REF!,"IMpqQ1Fzr4M=")</f>
        <v>#REF!</v>
      </c>
      <c r="EC100" t="e">
        <f>AND(#REF!,"IMpqQ1Fzr4Q=")</f>
        <v>#REF!</v>
      </c>
      <c r="ED100" t="e">
        <f>AND(#REF!,"IMpqQ1Fzr4U=")</f>
        <v>#REF!</v>
      </c>
      <c r="EE100" t="e">
        <f>AND(#REF!,"IMpqQ1Fzr4Y=")</f>
        <v>#REF!</v>
      </c>
      <c r="EF100" t="e">
        <f>AND(#REF!,"IMpqQ1Fzr4c=")</f>
        <v>#REF!</v>
      </c>
      <c r="EG100" t="e">
        <f>AND(#REF!,"IMpqQ1Fzr4g=")</f>
        <v>#REF!</v>
      </c>
      <c r="EH100" t="e">
        <f>AND(#REF!,"IMpqQ1Fzr4k=")</f>
        <v>#REF!</v>
      </c>
      <c r="EI100" t="e">
        <f>AND(#REF!,"IMpqQ1Fzr4o=")</f>
        <v>#REF!</v>
      </c>
      <c r="EJ100" t="e">
        <f>AND(#REF!,"IMpqQ1Fzr4s=")</f>
        <v>#REF!</v>
      </c>
      <c r="EK100" t="e">
        <f>AND(#REF!,"IMpqQ1Fzr4w=")</f>
        <v>#REF!</v>
      </c>
      <c r="EL100" t="e">
        <f>AND(#REF!,"IMpqQ1Fzr40=")</f>
        <v>#REF!</v>
      </c>
      <c r="EM100" t="e">
        <f>AND(#REF!,"IMpqQ1Fzr44=")</f>
        <v>#REF!</v>
      </c>
      <c r="EN100" t="e">
        <f>AND(#REF!,"IMpqQ1Fzr48=")</f>
        <v>#REF!</v>
      </c>
      <c r="EO100" t="e">
        <f>AND(#REF!,"IMpqQ1Fzr5A=")</f>
        <v>#REF!</v>
      </c>
      <c r="EP100" t="e">
        <f>AND(#REF!,"IMpqQ1Fzr5E=")</f>
        <v>#REF!</v>
      </c>
      <c r="EQ100" t="e">
        <f>AND(#REF!,"IMpqQ1Fzr5I=")</f>
        <v>#REF!</v>
      </c>
      <c r="ER100" t="e">
        <f>AND(#REF!,"IMpqQ1Fzr5M=")</f>
        <v>#REF!</v>
      </c>
      <c r="ES100" t="e">
        <f>AND(#REF!,"IMpqQ1Fzr5Q=")</f>
        <v>#REF!</v>
      </c>
      <c r="ET100" t="e">
        <f>AND(#REF!,"IMpqQ1Fzr5U=")</f>
        <v>#REF!</v>
      </c>
      <c r="EU100" t="e">
        <f>AND(#REF!,"IMpqQ1Fzr5Y=")</f>
        <v>#REF!</v>
      </c>
      <c r="EV100" t="e">
        <f>AND(#REF!,"IMpqQ1Fzr5c=")</f>
        <v>#REF!</v>
      </c>
      <c r="EW100" t="e">
        <f>AND(#REF!,"IMpqQ1Fzr5g=")</f>
        <v>#REF!</v>
      </c>
      <c r="EX100" t="e">
        <f>AND(#REF!,"IMpqQ1Fzr5k=")</f>
        <v>#REF!</v>
      </c>
      <c r="EY100" t="e">
        <f>AND(#REF!,"IMpqQ1Fzr5o=")</f>
        <v>#REF!</v>
      </c>
      <c r="EZ100" t="e">
        <f>AND(#REF!,"IMpqQ1Fzr5s=")</f>
        <v>#REF!</v>
      </c>
      <c r="FA100" t="e">
        <f>AND(#REF!,"IMpqQ1Fzr5w=")</f>
        <v>#REF!</v>
      </c>
      <c r="FB100" t="e">
        <f>AND(#REF!,"IMpqQ1Fzr50=")</f>
        <v>#REF!</v>
      </c>
      <c r="FC100" t="e">
        <f>AND(#REF!,"IMpqQ1Fzr54=")</f>
        <v>#REF!</v>
      </c>
      <c r="FD100" t="e">
        <f>AND(#REF!,"IMpqQ1Fzr58=")</f>
        <v>#REF!</v>
      </c>
      <c r="FE100" t="e">
        <f>AND(#REF!,"IMpqQ1Fzr6A=")</f>
        <v>#REF!</v>
      </c>
      <c r="FF100" t="e">
        <f>AND(#REF!,"IMpqQ1Fzr6E=")</f>
        <v>#REF!</v>
      </c>
      <c r="FG100" t="e">
        <f>AND(#REF!,"IMpqQ1Fzr6I=")</f>
        <v>#REF!</v>
      </c>
      <c r="FH100" t="e">
        <f>AND(#REF!,"IMpqQ1Fzr6M=")</f>
        <v>#REF!</v>
      </c>
      <c r="FI100" t="e">
        <f>AND(#REF!,"IMpqQ1Fzr6Q=")</f>
        <v>#REF!</v>
      </c>
      <c r="FJ100" t="e">
        <f>AND(#REF!,"IMpqQ1Fzr6U=")</f>
        <v>#REF!</v>
      </c>
      <c r="FK100" t="e">
        <f>AND(#REF!,"IMpqQ1Fzr6Y=")</f>
        <v>#REF!</v>
      </c>
      <c r="FL100" t="e">
        <f>AND(#REF!,"IMpqQ1Fzr6c=")</f>
        <v>#REF!</v>
      </c>
      <c r="FM100" t="e">
        <f>AND(#REF!,"IMpqQ1Fzr6g=")</f>
        <v>#REF!</v>
      </c>
      <c r="FN100" t="e">
        <f>AND(#REF!,"IMpqQ1Fzr6k=")</f>
        <v>#REF!</v>
      </c>
      <c r="FO100" t="e">
        <f>AND(#REF!,"IMpqQ1Fzr6o=")</f>
        <v>#REF!</v>
      </c>
      <c r="FP100" t="e">
        <f>AND(#REF!,"IMpqQ1Fzr6s=")</f>
        <v>#REF!</v>
      </c>
      <c r="FQ100" t="e">
        <f>AND(#REF!,"IMpqQ1Fzr6w=")</f>
        <v>#REF!</v>
      </c>
      <c r="FR100" t="e">
        <f>AND(#REF!,"IMpqQ1Fzr60=")</f>
        <v>#REF!</v>
      </c>
      <c r="FS100" t="e">
        <f>AND(#REF!,"IMpqQ1Fzr64=")</f>
        <v>#REF!</v>
      </c>
      <c r="FT100" t="e">
        <f>AND(#REF!,"IMpqQ1Fzr68=")</f>
        <v>#REF!</v>
      </c>
      <c r="FU100" t="e">
        <f>AND(#REF!,"IMpqQ1Fzr7A=")</f>
        <v>#REF!</v>
      </c>
      <c r="FV100" t="e">
        <f>AND(#REF!,"IMpqQ1Fzr7E=")</f>
        <v>#REF!</v>
      </c>
      <c r="FW100" t="e">
        <f>AND(#REF!,"IMpqQ1Fzr7I=")</f>
        <v>#REF!</v>
      </c>
      <c r="FX100" t="e">
        <f>AND(#REF!,"IMpqQ1Fzr7M=")</f>
        <v>#REF!</v>
      </c>
      <c r="FY100" t="e">
        <f>AND(#REF!,"IMpqQ1Fzr7Q=")</f>
        <v>#REF!</v>
      </c>
      <c r="FZ100" t="e">
        <f>AND(#REF!,"IMpqQ1Fzr7U=")</f>
        <v>#REF!</v>
      </c>
      <c r="GA100" t="e">
        <f>AND(#REF!,"IMpqQ1Fzr7Y=")</f>
        <v>#REF!</v>
      </c>
      <c r="GB100" t="e">
        <f>AND(#REF!,"IMpqQ1Fzr7c=")</f>
        <v>#REF!</v>
      </c>
      <c r="GC100" t="e">
        <f>AND(#REF!,"IMpqQ1Fzr7g=")</f>
        <v>#REF!</v>
      </c>
      <c r="GD100" t="e">
        <f>AND(#REF!,"IMpqQ1Fzr7k=")</f>
        <v>#REF!</v>
      </c>
      <c r="GE100" t="e">
        <f>AND(#REF!,"IMpqQ1Fzr7o=")</f>
        <v>#REF!</v>
      </c>
      <c r="GF100" t="e">
        <f>AND(#REF!,"IMpqQ1Fzr7s=")</f>
        <v>#REF!</v>
      </c>
      <c r="GG100" t="e">
        <f>AND(#REF!,"IMpqQ1Fzr7w=")</f>
        <v>#REF!</v>
      </c>
      <c r="GH100" t="e">
        <f>AND(#REF!,"IMpqQ1Fzr70=")</f>
        <v>#REF!</v>
      </c>
      <c r="GI100" t="e">
        <f>AND(#REF!,"IMpqQ1Fzr74=")</f>
        <v>#REF!</v>
      </c>
      <c r="GJ100" t="e">
        <f>AND(#REF!,"IMpqQ1Fzr78=")</f>
        <v>#REF!</v>
      </c>
      <c r="GK100" t="e">
        <f>AND(#REF!,"IMpqQ1Fzr8A=")</f>
        <v>#REF!</v>
      </c>
      <c r="GL100" t="e">
        <f>AND(#REF!,"IMpqQ1Fzr8E=")</f>
        <v>#REF!</v>
      </c>
      <c r="GM100" t="e">
        <f>AND(#REF!,"IMpqQ1Fzr8I=")</f>
        <v>#REF!</v>
      </c>
      <c r="GN100" t="e">
        <f>AND(#REF!,"IMpqQ1Fzr8M=")</f>
        <v>#REF!</v>
      </c>
      <c r="GO100" t="e">
        <f>AND(#REF!,"IMpqQ1Fzr8Q=")</f>
        <v>#REF!</v>
      </c>
      <c r="GP100" t="e">
        <f>AND(#REF!,"IMpqQ1Fzr8U=")</f>
        <v>#REF!</v>
      </c>
      <c r="GQ100" t="e">
        <f>AND(#REF!,"IMpqQ1Fzr8Y=")</f>
        <v>#REF!</v>
      </c>
      <c r="GR100" t="e">
        <f>AND(#REF!,"IMpqQ1Fzr8c=")</f>
        <v>#REF!</v>
      </c>
      <c r="GS100" t="e">
        <f>AND(#REF!,"IMpqQ1Fzr8g=")</f>
        <v>#REF!</v>
      </c>
      <c r="GT100" t="e">
        <f>AND(#REF!,"IMpqQ1Fzr8k=")</f>
        <v>#REF!</v>
      </c>
      <c r="GU100" t="e">
        <f>AND(#REF!,"IMpqQ1Fzr8o=")</f>
        <v>#REF!</v>
      </c>
      <c r="GV100" t="e">
        <f>AND(#REF!,"IMpqQ1Fzr8s=")</f>
        <v>#REF!</v>
      </c>
      <c r="GW100" t="e">
        <f>AND(#REF!,"IMpqQ1Fzr8w=")</f>
        <v>#REF!</v>
      </c>
      <c r="GX100" t="e">
        <f>AND(#REF!,"IMpqQ1Fzr80=")</f>
        <v>#REF!</v>
      </c>
      <c r="GY100" t="e">
        <f>AND(#REF!,"IMpqQ1Fzr84=")</f>
        <v>#REF!</v>
      </c>
      <c r="GZ100" t="e">
        <f>AND(#REF!,"IMpqQ1Fzr88=")</f>
        <v>#REF!</v>
      </c>
      <c r="HA100" t="e">
        <f>AND(#REF!,"IMpqQ1Fzr9A=")</f>
        <v>#REF!</v>
      </c>
      <c r="HB100" t="e">
        <f>AND(#REF!,"IMpqQ1Fzr9E=")</f>
        <v>#REF!</v>
      </c>
      <c r="HC100" t="e">
        <f>AND(#REF!,"IMpqQ1Fzr9I=")</f>
        <v>#REF!</v>
      </c>
      <c r="HD100" t="e">
        <f>AND(#REF!,"IMpqQ1Fzr9M=")</f>
        <v>#REF!</v>
      </c>
      <c r="HE100" t="e">
        <f>AND(#REF!,"IMpqQ1Fzr9Q=")</f>
        <v>#REF!</v>
      </c>
      <c r="HF100" t="e">
        <f>AND(#REF!,"IMpqQ1Fzr9U=")</f>
        <v>#REF!</v>
      </c>
      <c r="HG100" t="e">
        <f>AND(#REF!,"IMpqQ1Fzr9Y=")</f>
        <v>#REF!</v>
      </c>
      <c r="HH100" t="e">
        <f>AND(#REF!,"IMpqQ1Fzr9c=")</f>
        <v>#REF!</v>
      </c>
      <c r="HI100" t="e">
        <f>AND(#REF!,"IMpqQ1Fzr9g=")</f>
        <v>#REF!</v>
      </c>
      <c r="HJ100" t="e">
        <f>AND(#REF!,"IMpqQ1Fzr9k=")</f>
        <v>#REF!</v>
      </c>
      <c r="HK100" t="e">
        <f>AND(#REF!,"IMpqQ1Fzr9o=")</f>
        <v>#REF!</v>
      </c>
      <c r="HL100" t="e">
        <f>AND(#REF!,"IMpqQ1Fzr9s=")</f>
        <v>#REF!</v>
      </c>
      <c r="HM100" t="e">
        <f>AND(#REF!,"IMpqQ1Fzr9w=")</f>
        <v>#REF!</v>
      </c>
      <c r="HN100" t="e">
        <f>AND(#REF!,"IMpqQ1Fzr90=")</f>
        <v>#REF!</v>
      </c>
      <c r="HO100" t="e">
        <f>AND(#REF!,"IMpqQ1Fzr94=")</f>
        <v>#REF!</v>
      </c>
      <c r="HP100" t="e">
        <f>AND(#REF!,"IMpqQ1Fzr98=")</f>
        <v>#REF!</v>
      </c>
      <c r="HQ100" t="e">
        <f>AND(#REF!,"IMpqQ1Fzr+A=")</f>
        <v>#REF!</v>
      </c>
      <c r="HR100" t="e">
        <f>AND(#REF!,"IMpqQ1Fzr+E=")</f>
        <v>#REF!</v>
      </c>
      <c r="HS100" t="e">
        <f>AND(#REF!,"IMpqQ1Fzr+I=")</f>
        <v>#REF!</v>
      </c>
      <c r="HT100" t="e">
        <f>AND(#REF!,"IMpqQ1Fzr+M=")</f>
        <v>#REF!</v>
      </c>
      <c r="HU100" t="e">
        <f>AND(#REF!,"IMpqQ1Fzr+Q=")</f>
        <v>#REF!</v>
      </c>
      <c r="HV100" t="e">
        <f>AND(#REF!,"IMpqQ1Fzr+U=")</f>
        <v>#REF!</v>
      </c>
      <c r="HW100" t="e">
        <f>AND(#REF!,"IMpqQ1Fzr+Y=")</f>
        <v>#REF!</v>
      </c>
      <c r="HX100" t="e">
        <f>AND(#REF!,"IMpqQ1Fzr+c=")</f>
        <v>#REF!</v>
      </c>
      <c r="HY100" t="e">
        <f>AND(#REF!,"IMpqQ1Fzr+g=")</f>
        <v>#REF!</v>
      </c>
      <c r="HZ100" t="e">
        <f>AND(#REF!,"IMpqQ1Fzr+k=")</f>
        <v>#REF!</v>
      </c>
      <c r="IA100" t="e">
        <f>AND(#REF!,"IMpqQ1Fzr+o=")</f>
        <v>#REF!</v>
      </c>
      <c r="IB100" t="e">
        <f>AND(#REF!,"IMpqQ1Fzr+s=")</f>
        <v>#REF!</v>
      </c>
      <c r="IC100" t="e">
        <f>AND(#REF!,"IMpqQ1Fzr+w=")</f>
        <v>#REF!</v>
      </c>
      <c r="ID100" t="e">
        <f>AND(#REF!,"IMpqQ1Fzr+0=")</f>
        <v>#REF!</v>
      </c>
      <c r="IE100" t="e">
        <f>AND(#REF!,"IMpqQ1Fzr+4=")</f>
        <v>#REF!</v>
      </c>
      <c r="IF100" t="e">
        <f>AND(#REF!,"IMpqQ1Fzr+8=")</f>
        <v>#REF!</v>
      </c>
      <c r="IG100" t="e">
        <f>AND(#REF!,"IMpqQ1Fzr/A=")</f>
        <v>#REF!</v>
      </c>
      <c r="IH100" t="e">
        <f>AND(#REF!,"IMpqQ1Fzr/E=")</f>
        <v>#REF!</v>
      </c>
      <c r="II100" t="e">
        <f>AND(#REF!,"IMpqQ1Fzr/I=")</f>
        <v>#REF!</v>
      </c>
      <c r="IJ100" t="e">
        <f>AND(#REF!,"IMpqQ1Fzr/M=")</f>
        <v>#REF!</v>
      </c>
      <c r="IK100" t="e">
        <f>AND(#REF!,"IMpqQ1Fzr/Q=")</f>
        <v>#REF!</v>
      </c>
      <c r="IL100" t="e">
        <f>AND(#REF!,"IMpqQ1Fzr/U=")</f>
        <v>#REF!</v>
      </c>
      <c r="IM100" t="e">
        <f>AND(#REF!,"IMpqQ1Fzr/Y=")</f>
        <v>#REF!</v>
      </c>
      <c r="IN100" t="e">
        <f>AND(#REF!,"IMpqQ1Fzr/c=")</f>
        <v>#REF!</v>
      </c>
      <c r="IO100" t="e">
        <f>AND(#REF!,"IMpqQ1Fzr/g=")</f>
        <v>#REF!</v>
      </c>
      <c r="IP100" t="e">
        <f>AND(#REF!,"IMpqQ1Fzr/k=")</f>
        <v>#REF!</v>
      </c>
      <c r="IQ100" t="e">
        <f>AND(#REF!,"IMpqQ1Fzr/o=")</f>
        <v>#REF!</v>
      </c>
      <c r="IR100" t="e">
        <f>AND(#REF!,"IMpqQ1Fzr/s=")</f>
        <v>#REF!</v>
      </c>
      <c r="IS100" t="e">
        <f>AND(#REF!,"IMpqQ1Fzr/w=")</f>
        <v>#REF!</v>
      </c>
      <c r="IT100" t="e">
        <f>AND(#REF!,"IMpqQ1Fzr/0=")</f>
        <v>#REF!</v>
      </c>
      <c r="IU100" t="e">
        <f>AND(#REF!,"IMpqQ1Fzr/4=")</f>
        <v>#REF!</v>
      </c>
      <c r="IV100" t="e">
        <f>AND(#REF!,"IMpqQ1Fzr/8=")</f>
        <v>#REF!</v>
      </c>
    </row>
    <row r="101" spans="1:256" x14ac:dyDescent="0.2">
      <c r="A101" t="e">
        <f>AND(#REF!,"LI2qOyle6wA=")</f>
        <v>#REF!</v>
      </c>
      <c r="B101" t="e">
        <f>AND(#REF!,"LI2qOyle6wE=")</f>
        <v>#REF!</v>
      </c>
      <c r="C101" t="e">
        <f>AND(#REF!,"LI2qOyle6wI=")</f>
        <v>#REF!</v>
      </c>
      <c r="D101" t="e">
        <f>AND(#REF!,"LI2qOyle6wM=")</f>
        <v>#REF!</v>
      </c>
      <c r="E101" t="e">
        <f>AND(#REF!,"LI2qOyle6wQ=")</f>
        <v>#REF!</v>
      </c>
      <c r="F101" t="e">
        <f>AND(#REF!,"LI2qOyle6wU=")</f>
        <v>#REF!</v>
      </c>
      <c r="G101" t="e">
        <f>AND(#REF!,"LI2qOyle6wY=")</f>
        <v>#REF!</v>
      </c>
      <c r="H101" t="e">
        <f>AND(#REF!,"LI2qOyle6wc=")</f>
        <v>#REF!</v>
      </c>
      <c r="I101" t="e">
        <f>AND(#REF!,"LI2qOyle6wg=")</f>
        <v>#REF!</v>
      </c>
      <c r="J101" t="e">
        <f>AND(#REF!,"LI2qOyle6wk=")</f>
        <v>#REF!</v>
      </c>
      <c r="K101" t="e">
        <f>AND(#REF!,"LI2qOyle6wo=")</f>
        <v>#REF!</v>
      </c>
      <c r="L101" t="e">
        <f>AND(#REF!,"LI2qOyle6ws=")</f>
        <v>#REF!</v>
      </c>
      <c r="M101" t="e">
        <f>AND(#REF!,"LI2qOyle6ww=")</f>
        <v>#REF!</v>
      </c>
      <c r="N101" t="e">
        <f>AND(#REF!,"LI2qOyle6w0=")</f>
        <v>#REF!</v>
      </c>
      <c r="O101" t="e">
        <f>AND(#REF!,"LI2qOyle6w4=")</f>
        <v>#REF!</v>
      </c>
      <c r="P101" t="e">
        <f>AND(#REF!,"LI2qOyle6w8=")</f>
        <v>#REF!</v>
      </c>
      <c r="Q101" t="e">
        <f>AND(#REF!,"LI2qOyle6xA=")</f>
        <v>#REF!</v>
      </c>
      <c r="R101" t="e">
        <f>IF(#REF!,"LI2qOyle6xE=",0)</f>
        <v>#REF!</v>
      </c>
      <c r="S101" t="e">
        <f>AND(#REF!,"LI2qOyle6xI=")</f>
        <v>#REF!</v>
      </c>
      <c r="T101" t="e">
        <f>AND(#REF!,"LI2qOyle6xM=")</f>
        <v>#REF!</v>
      </c>
      <c r="U101" t="e">
        <f>AND(#REF!,"LI2qOyle6xQ=")</f>
        <v>#REF!</v>
      </c>
      <c r="V101" t="e">
        <f>AND(#REF!,"LI2qOyle6xU=")</f>
        <v>#REF!</v>
      </c>
      <c r="W101" t="e">
        <f>AND(#REF!,"LI2qOyle6xY=")</f>
        <v>#REF!</v>
      </c>
      <c r="X101" t="e">
        <f>AND(#REF!,"LI2qOyle6xc=")</f>
        <v>#REF!</v>
      </c>
      <c r="Y101" t="e">
        <f>AND(#REF!,"LI2qOyle6xg=")</f>
        <v>#REF!</v>
      </c>
      <c r="Z101" t="e">
        <f>AND(#REF!,"LI2qOyle6xk=")</f>
        <v>#REF!</v>
      </c>
      <c r="AA101" t="e">
        <f>AND(#REF!,"LI2qOyle6xo=")</f>
        <v>#REF!</v>
      </c>
      <c r="AB101" t="e">
        <f>AND(#REF!,"LI2qOyle6xs=")</f>
        <v>#REF!</v>
      </c>
      <c r="AC101" t="e">
        <f>AND(#REF!,"LI2qOyle6xw=")</f>
        <v>#REF!</v>
      </c>
      <c r="AD101" t="e">
        <f>AND(#REF!,"LI2qOyle6x0=")</f>
        <v>#REF!</v>
      </c>
      <c r="AE101" t="e">
        <f>AND(#REF!,"LI2qOyle6x4=")</f>
        <v>#REF!</v>
      </c>
      <c r="AF101" t="e">
        <f>AND(#REF!,"LI2qOyle6x8=")</f>
        <v>#REF!</v>
      </c>
      <c r="AG101" t="e">
        <f>AND(#REF!,"LI2qOyle6yA=")</f>
        <v>#REF!</v>
      </c>
      <c r="AH101" t="e">
        <f>AND(#REF!,"LI2qOyle6yE=")</f>
        <v>#REF!</v>
      </c>
      <c r="AI101" t="e">
        <f>AND(#REF!,"LI2qOyle6yI=")</f>
        <v>#REF!</v>
      </c>
      <c r="AJ101" t="e">
        <f>AND(#REF!,"LI2qOyle6yM=")</f>
        <v>#REF!</v>
      </c>
      <c r="AK101" t="e">
        <f>AND(#REF!,"LI2qOyle6yQ=")</f>
        <v>#REF!</v>
      </c>
      <c r="AL101" t="e">
        <f>AND(#REF!,"LI2qOyle6yU=")</f>
        <v>#REF!</v>
      </c>
      <c r="AM101" t="e">
        <f>AND(#REF!,"LI2qOyle6yY=")</f>
        <v>#REF!</v>
      </c>
      <c r="AN101" t="e">
        <f>AND(#REF!,"LI2qOyle6yc=")</f>
        <v>#REF!</v>
      </c>
      <c r="AO101" t="e">
        <f>AND(#REF!,"LI2qOyle6yg=")</f>
        <v>#REF!</v>
      </c>
      <c r="AP101" t="e">
        <f>AND(#REF!,"LI2qOyle6yk=")</f>
        <v>#REF!</v>
      </c>
      <c r="AQ101" t="e">
        <f>AND(#REF!,"LI2qOyle6yo=")</f>
        <v>#REF!</v>
      </c>
      <c r="AR101" t="e">
        <f>AND(#REF!,"LI2qOyle6ys=")</f>
        <v>#REF!</v>
      </c>
      <c r="AS101" t="e">
        <f>AND(#REF!,"LI2qOyle6yw=")</f>
        <v>#REF!</v>
      </c>
      <c r="AT101" t="e">
        <f>AND(#REF!,"LI2qOyle6y0=")</f>
        <v>#REF!</v>
      </c>
      <c r="AU101" t="e">
        <f>AND(#REF!,"LI2qOyle6y4=")</f>
        <v>#REF!</v>
      </c>
      <c r="AV101" t="e">
        <f>AND(#REF!,"LI2qOyle6y8=")</f>
        <v>#REF!</v>
      </c>
      <c r="AW101" t="e">
        <f>AND(#REF!,"LI2qOyle6zA=")</f>
        <v>#REF!</v>
      </c>
      <c r="AX101" t="e">
        <f>AND(#REF!,"LI2qOyle6zE=")</f>
        <v>#REF!</v>
      </c>
      <c r="AY101" t="e">
        <f>AND(#REF!,"LI2qOyle6zI=")</f>
        <v>#REF!</v>
      </c>
      <c r="AZ101" t="e">
        <f>AND(#REF!,"LI2qOyle6zM=")</f>
        <v>#REF!</v>
      </c>
      <c r="BA101" t="e">
        <f>AND(#REF!,"LI2qOyle6zQ=")</f>
        <v>#REF!</v>
      </c>
      <c r="BB101" t="e">
        <f>AND(#REF!,"LI2qOyle6zU=")</f>
        <v>#REF!</v>
      </c>
      <c r="BC101" t="e">
        <f>AND(#REF!,"LI2qOyle6zY=")</f>
        <v>#REF!</v>
      </c>
      <c r="BD101" t="e">
        <f>AND(#REF!,"LI2qOyle6zc=")</f>
        <v>#REF!</v>
      </c>
      <c r="BE101" t="e">
        <f>AND(#REF!,"LI2qOyle6zg=")</f>
        <v>#REF!</v>
      </c>
      <c r="BF101" t="e">
        <f>AND(#REF!,"LI2qOyle6zk=")</f>
        <v>#REF!</v>
      </c>
      <c r="BG101" t="e">
        <f>AND(#REF!,"LI2qOyle6zo=")</f>
        <v>#REF!</v>
      </c>
      <c r="BH101" t="e">
        <f>AND(#REF!,"LI2qOyle6zs=")</f>
        <v>#REF!</v>
      </c>
      <c r="BI101" t="e">
        <f>AND(#REF!,"LI2qOyle6zw=")</f>
        <v>#REF!</v>
      </c>
      <c r="BJ101" t="e">
        <f>AND(#REF!,"LI2qOyle6z0=")</f>
        <v>#REF!</v>
      </c>
      <c r="BK101" t="e">
        <f>AND(#REF!,"LI2qOyle6z4=")</f>
        <v>#REF!</v>
      </c>
      <c r="BL101" t="e">
        <f>AND(#REF!,"LI2qOyle6z8=")</f>
        <v>#REF!</v>
      </c>
      <c r="BM101" t="e">
        <f>AND(#REF!,"LI2qOyle60A=")</f>
        <v>#REF!</v>
      </c>
      <c r="BN101" t="e">
        <f>AND(#REF!,"LI2qOyle60E=")</f>
        <v>#REF!</v>
      </c>
      <c r="BO101" t="e">
        <f>AND(#REF!,"LI2qOyle60I=")</f>
        <v>#REF!</v>
      </c>
      <c r="BP101" t="e">
        <f>AND(#REF!,"LI2qOyle60M=")</f>
        <v>#REF!</v>
      </c>
      <c r="BQ101" t="e">
        <f>AND(#REF!,"LI2qOyle60Q=")</f>
        <v>#REF!</v>
      </c>
      <c r="BR101" t="e">
        <f>AND(#REF!,"LI2qOyle60U=")</f>
        <v>#REF!</v>
      </c>
      <c r="BS101" t="e">
        <f>AND(#REF!,"LI2qOyle60Y=")</f>
        <v>#REF!</v>
      </c>
      <c r="BT101" t="e">
        <f>AND(#REF!,"LI2qOyle60c=")</f>
        <v>#REF!</v>
      </c>
      <c r="BU101" t="e">
        <f>AND(#REF!,"LI2qOyle60g=")</f>
        <v>#REF!</v>
      </c>
      <c r="BV101" t="e">
        <f>AND(#REF!,"LI2qOyle60k=")</f>
        <v>#REF!</v>
      </c>
      <c r="BW101" t="e">
        <f>AND(#REF!,"LI2qOyle60o=")</f>
        <v>#REF!</v>
      </c>
      <c r="BX101" t="e">
        <f>AND(#REF!,"LI2qOyle60s=")</f>
        <v>#REF!</v>
      </c>
      <c r="BY101" t="e">
        <f>AND(#REF!,"LI2qOyle60w=")</f>
        <v>#REF!</v>
      </c>
      <c r="BZ101" t="e">
        <f>AND(#REF!,"LI2qOyle600=")</f>
        <v>#REF!</v>
      </c>
      <c r="CA101" t="e">
        <f>AND(#REF!,"LI2qOyle604=")</f>
        <v>#REF!</v>
      </c>
      <c r="CB101" t="e">
        <f>AND(#REF!,"LI2qOyle608=")</f>
        <v>#REF!</v>
      </c>
      <c r="CC101" t="e">
        <f>AND(#REF!,"LI2qOyle61A=")</f>
        <v>#REF!</v>
      </c>
      <c r="CD101" t="e">
        <f>AND(#REF!,"LI2qOyle61E=")</f>
        <v>#REF!</v>
      </c>
      <c r="CE101" t="e">
        <f>AND(#REF!,"LI2qOyle61I=")</f>
        <v>#REF!</v>
      </c>
      <c r="CF101" t="e">
        <f>AND(#REF!,"LI2qOyle61M=")</f>
        <v>#REF!</v>
      </c>
      <c r="CG101" t="e">
        <f>AND(#REF!,"LI2qOyle61Q=")</f>
        <v>#REF!</v>
      </c>
      <c r="CH101" t="e">
        <f>AND(#REF!,"LI2qOyle61U=")</f>
        <v>#REF!</v>
      </c>
      <c r="CI101" t="e">
        <f>AND(#REF!,"LI2qOyle61Y=")</f>
        <v>#REF!</v>
      </c>
      <c r="CJ101" t="e">
        <f>AND(#REF!,"LI2qOyle61c=")</f>
        <v>#REF!</v>
      </c>
      <c r="CK101" t="e">
        <f>AND(#REF!,"LI2qOyle61g=")</f>
        <v>#REF!</v>
      </c>
      <c r="CL101" t="e">
        <f>AND(#REF!,"LI2qOyle61k=")</f>
        <v>#REF!</v>
      </c>
      <c r="CM101" t="e">
        <f>AND(#REF!,"LI2qOyle61o=")</f>
        <v>#REF!</v>
      </c>
      <c r="CN101" t="e">
        <f>AND(#REF!,"LI2qOyle61s=")</f>
        <v>#REF!</v>
      </c>
      <c r="CO101" t="e">
        <f>AND(#REF!,"LI2qOyle61w=")</f>
        <v>#REF!</v>
      </c>
      <c r="CP101" t="e">
        <f>AND(#REF!,"LI2qOyle610=")</f>
        <v>#REF!</v>
      </c>
      <c r="CQ101" t="e">
        <f>AND(#REF!,"LI2qOyle614=")</f>
        <v>#REF!</v>
      </c>
      <c r="CR101" t="e">
        <f>AND(#REF!,"LI2qOyle618=")</f>
        <v>#REF!</v>
      </c>
      <c r="CS101" t="e">
        <f>AND(#REF!,"LI2qOyle62A=")</f>
        <v>#REF!</v>
      </c>
      <c r="CT101" t="e">
        <f>AND(#REF!,"LI2qOyle62E=")</f>
        <v>#REF!</v>
      </c>
      <c r="CU101" t="e">
        <f>AND(#REF!,"LI2qOyle62I=")</f>
        <v>#REF!</v>
      </c>
      <c r="CV101" t="e">
        <f>AND(#REF!,"LI2qOyle62M=")</f>
        <v>#REF!</v>
      </c>
      <c r="CW101" t="e">
        <f>AND(#REF!,"LI2qOyle62Q=")</f>
        <v>#REF!</v>
      </c>
      <c r="CX101" t="e">
        <f>AND(#REF!,"LI2qOyle62U=")</f>
        <v>#REF!</v>
      </c>
      <c r="CY101" t="e">
        <f>AND(#REF!,"LI2qOyle62Y=")</f>
        <v>#REF!</v>
      </c>
      <c r="CZ101" t="e">
        <f>AND(#REF!,"LI2qOyle62c=")</f>
        <v>#REF!</v>
      </c>
      <c r="DA101" t="e">
        <f>AND(#REF!,"LI2qOyle62g=")</f>
        <v>#REF!</v>
      </c>
      <c r="DB101" t="e">
        <f>AND(#REF!,"LI2qOyle62k=")</f>
        <v>#REF!</v>
      </c>
      <c r="DC101" t="e">
        <f>AND(#REF!,"LI2qOyle62o=")</f>
        <v>#REF!</v>
      </c>
      <c r="DD101" t="e">
        <f>AND(#REF!,"LI2qOyle62s=")</f>
        <v>#REF!</v>
      </c>
      <c r="DE101" t="e">
        <f>AND(#REF!,"LI2qOyle62w=")</f>
        <v>#REF!</v>
      </c>
      <c r="DF101" t="e">
        <f>AND(#REF!,"LI2qOyle620=")</f>
        <v>#REF!</v>
      </c>
      <c r="DG101" t="e">
        <f>AND(#REF!,"LI2qOyle624=")</f>
        <v>#REF!</v>
      </c>
      <c r="DH101" t="e">
        <f>AND(#REF!,"LI2qOyle628=")</f>
        <v>#REF!</v>
      </c>
      <c r="DI101" t="e">
        <f>AND(#REF!,"LI2qOyle63A=")</f>
        <v>#REF!</v>
      </c>
      <c r="DJ101" t="e">
        <f>AND(#REF!,"LI2qOyle63E=")</f>
        <v>#REF!</v>
      </c>
      <c r="DK101" t="e">
        <f>AND(#REF!,"LI2qOyle63I=")</f>
        <v>#REF!</v>
      </c>
      <c r="DL101" t="e">
        <f>AND(#REF!,"LI2qOyle63M=")</f>
        <v>#REF!</v>
      </c>
      <c r="DM101" t="e">
        <f>AND(#REF!,"LI2qOyle63Q=")</f>
        <v>#REF!</v>
      </c>
      <c r="DN101" t="e">
        <f>AND(#REF!,"LI2qOyle63U=")</f>
        <v>#REF!</v>
      </c>
      <c r="DO101" t="e">
        <f>AND(#REF!,"LI2qOyle63Y=")</f>
        <v>#REF!</v>
      </c>
      <c r="DP101" t="e">
        <f>AND(#REF!,"LI2qOyle63c=")</f>
        <v>#REF!</v>
      </c>
      <c r="DQ101" t="e">
        <f>AND(#REF!,"LI2qOyle63g=")</f>
        <v>#REF!</v>
      </c>
      <c r="DR101" t="e">
        <f>AND(#REF!,"LI2qOyle63k=")</f>
        <v>#REF!</v>
      </c>
      <c r="DS101" t="e">
        <f>AND(#REF!,"LI2qOyle63o=")</f>
        <v>#REF!</v>
      </c>
      <c r="DT101" t="e">
        <f>AND(#REF!,"LI2qOyle63s=")</f>
        <v>#REF!</v>
      </c>
      <c r="DU101" t="e">
        <f>AND(#REF!,"LI2qOyle63w=")</f>
        <v>#REF!</v>
      </c>
      <c r="DV101" t="e">
        <f>AND(#REF!,"LI2qOyle630=")</f>
        <v>#REF!</v>
      </c>
      <c r="DW101" t="e">
        <f>AND(#REF!,"LI2qOyle634=")</f>
        <v>#REF!</v>
      </c>
      <c r="DX101" t="e">
        <f>AND(#REF!,"LI2qOyle638=")</f>
        <v>#REF!</v>
      </c>
      <c r="DY101" t="e">
        <f>AND(#REF!,"LI2qOyle64A=")</f>
        <v>#REF!</v>
      </c>
      <c r="DZ101" t="e">
        <f>AND(#REF!,"LI2qOyle64E=")</f>
        <v>#REF!</v>
      </c>
      <c r="EA101" t="e">
        <f>AND(#REF!,"LI2qOyle64I=")</f>
        <v>#REF!</v>
      </c>
      <c r="EB101" t="e">
        <f>AND(#REF!,"LI2qOyle64M=")</f>
        <v>#REF!</v>
      </c>
      <c r="EC101" t="e">
        <f>AND(#REF!,"LI2qOyle64Q=")</f>
        <v>#REF!</v>
      </c>
      <c r="ED101" t="e">
        <f>AND(#REF!,"LI2qOyle64U=")</f>
        <v>#REF!</v>
      </c>
      <c r="EE101" t="e">
        <f>AND(#REF!,"LI2qOyle64Y=")</f>
        <v>#REF!</v>
      </c>
      <c r="EF101" t="e">
        <f>AND(#REF!,"LI2qOyle64c=")</f>
        <v>#REF!</v>
      </c>
      <c r="EG101" t="e">
        <f>AND(#REF!,"LI2qOyle64g=")</f>
        <v>#REF!</v>
      </c>
      <c r="EH101" t="e">
        <f>AND(#REF!,"LI2qOyle64k=")</f>
        <v>#REF!</v>
      </c>
      <c r="EI101" t="e">
        <f>AND(#REF!,"LI2qOyle64o=")</f>
        <v>#REF!</v>
      </c>
      <c r="EJ101" t="e">
        <f>AND(#REF!,"LI2qOyle64s=")</f>
        <v>#REF!</v>
      </c>
      <c r="EK101" t="e">
        <f>AND(#REF!,"LI2qOyle64w=")</f>
        <v>#REF!</v>
      </c>
      <c r="EL101" t="e">
        <f>AND(#REF!,"LI2qOyle640=")</f>
        <v>#REF!</v>
      </c>
      <c r="EM101" t="e">
        <f>AND(#REF!,"LI2qOyle644=")</f>
        <v>#REF!</v>
      </c>
      <c r="EN101" t="e">
        <f>AND(#REF!,"LI2qOyle648=")</f>
        <v>#REF!</v>
      </c>
      <c r="EO101" t="e">
        <f>AND(#REF!,"LI2qOyle65A=")</f>
        <v>#REF!</v>
      </c>
      <c r="EP101" t="e">
        <f>AND(#REF!,"LI2qOyle65E=")</f>
        <v>#REF!</v>
      </c>
      <c r="EQ101" t="e">
        <f>AND(#REF!,"LI2qOyle65I=")</f>
        <v>#REF!</v>
      </c>
      <c r="ER101" t="e">
        <f>AND(#REF!,"LI2qOyle65M=")</f>
        <v>#REF!</v>
      </c>
      <c r="ES101" t="e">
        <f>AND(#REF!,"LI2qOyle65Q=")</f>
        <v>#REF!</v>
      </c>
      <c r="ET101" t="e">
        <f>AND(#REF!,"LI2qOyle65U=")</f>
        <v>#REF!</v>
      </c>
      <c r="EU101" t="e">
        <f>AND(#REF!,"LI2qOyle65Y=")</f>
        <v>#REF!</v>
      </c>
      <c r="EV101" t="e">
        <f>AND(#REF!,"LI2qOyle65c=")</f>
        <v>#REF!</v>
      </c>
      <c r="EW101" t="e">
        <f>AND(#REF!,"LI2qOyle65g=")</f>
        <v>#REF!</v>
      </c>
      <c r="EX101" t="e">
        <f>AND(#REF!,"LI2qOyle65k=")</f>
        <v>#REF!</v>
      </c>
      <c r="EY101" t="e">
        <f>AND(#REF!,"LI2qOyle65o=")</f>
        <v>#REF!</v>
      </c>
      <c r="EZ101" t="e">
        <f>AND(#REF!,"LI2qOyle65s=")</f>
        <v>#REF!</v>
      </c>
      <c r="FA101" t="e">
        <f>AND(#REF!,"LI2qOyle65w=")</f>
        <v>#REF!</v>
      </c>
      <c r="FB101" t="e">
        <f>AND(#REF!,"LI2qOyle650=")</f>
        <v>#REF!</v>
      </c>
      <c r="FC101" t="e">
        <f>AND(#REF!,"LI2qOyle654=")</f>
        <v>#REF!</v>
      </c>
      <c r="FD101" t="e">
        <f>AND(#REF!,"LI2qOyle658=")</f>
        <v>#REF!</v>
      </c>
      <c r="FE101" t="e">
        <f>AND(#REF!,"LI2qOyle66A=")</f>
        <v>#REF!</v>
      </c>
      <c r="FF101" t="e">
        <f>AND(#REF!,"LI2qOyle66E=")</f>
        <v>#REF!</v>
      </c>
      <c r="FG101" t="e">
        <f>AND(#REF!,"LI2qOyle66I=")</f>
        <v>#REF!</v>
      </c>
      <c r="FH101" t="e">
        <f>AND(#REF!,"LI2qOyle66M=")</f>
        <v>#REF!</v>
      </c>
      <c r="FI101" t="e">
        <f>AND(#REF!,"LI2qOyle66Q=")</f>
        <v>#REF!</v>
      </c>
      <c r="FJ101" t="e">
        <f>AND(#REF!,"LI2qOyle66U=")</f>
        <v>#REF!</v>
      </c>
      <c r="FK101" t="e">
        <f>AND(#REF!,"LI2qOyle66Y=")</f>
        <v>#REF!</v>
      </c>
      <c r="FL101" t="e">
        <f>AND(#REF!,"LI2qOyle66c=")</f>
        <v>#REF!</v>
      </c>
      <c r="FM101" t="e">
        <f>AND(#REF!,"LI2qOyle66g=")</f>
        <v>#REF!</v>
      </c>
      <c r="FN101" t="e">
        <f>AND(#REF!,"LI2qOyle66k=")</f>
        <v>#REF!</v>
      </c>
      <c r="FO101" t="e">
        <f>AND(#REF!,"LI2qOyle66o=")</f>
        <v>#REF!</v>
      </c>
      <c r="FP101" t="e">
        <f>AND(#REF!,"LI2qOyle66s=")</f>
        <v>#REF!</v>
      </c>
      <c r="FQ101" t="e">
        <f>AND(#REF!,"LI2qOyle66w=")</f>
        <v>#REF!</v>
      </c>
      <c r="FR101" t="e">
        <f>AND(#REF!,"LI2qOyle660=")</f>
        <v>#REF!</v>
      </c>
      <c r="FS101" t="e">
        <f>AND(#REF!,"LI2qOyle664=")</f>
        <v>#REF!</v>
      </c>
      <c r="FT101" t="e">
        <f>AND(#REF!,"LI2qOyle668=")</f>
        <v>#REF!</v>
      </c>
      <c r="FU101" t="e">
        <f>AND(#REF!,"LI2qOyle67A=")</f>
        <v>#REF!</v>
      </c>
      <c r="FV101" t="e">
        <f>AND(#REF!,"LI2qOyle67E=")</f>
        <v>#REF!</v>
      </c>
      <c r="FW101" t="e">
        <f>AND(#REF!,"LI2qOyle67I=")</f>
        <v>#REF!</v>
      </c>
      <c r="FX101" t="e">
        <f>AND(#REF!,"LI2qOyle67M=")</f>
        <v>#REF!</v>
      </c>
      <c r="FY101" t="e">
        <f>AND(#REF!,"LI2qOyle67Q=")</f>
        <v>#REF!</v>
      </c>
      <c r="FZ101" t="e">
        <f>AND(#REF!,"LI2qOyle67U=")</f>
        <v>#REF!</v>
      </c>
      <c r="GA101" t="e">
        <f>AND(#REF!,"LI2qOyle67Y=")</f>
        <v>#REF!</v>
      </c>
      <c r="GB101" t="e">
        <f>AND(#REF!,"LI2qOyle67c=")</f>
        <v>#REF!</v>
      </c>
      <c r="GC101" t="e">
        <f>AND(#REF!,"LI2qOyle67g=")</f>
        <v>#REF!</v>
      </c>
      <c r="GD101" t="e">
        <f>AND(#REF!,"LI2qOyle67k=")</f>
        <v>#REF!</v>
      </c>
      <c r="GE101" t="e">
        <f>AND(#REF!,"LI2qOyle67o=")</f>
        <v>#REF!</v>
      </c>
      <c r="GF101" t="e">
        <f>AND(#REF!,"LI2qOyle67s=")</f>
        <v>#REF!</v>
      </c>
      <c r="GG101" t="e">
        <f>AND(#REF!,"LI2qOyle67w=")</f>
        <v>#REF!</v>
      </c>
      <c r="GH101" t="e">
        <f>AND(#REF!,"LI2qOyle670=")</f>
        <v>#REF!</v>
      </c>
      <c r="GI101" t="e">
        <f>AND(#REF!,"LI2qOyle674=")</f>
        <v>#REF!</v>
      </c>
      <c r="GJ101" t="e">
        <f>AND(#REF!,"LI2qOyle678=")</f>
        <v>#REF!</v>
      </c>
      <c r="GK101" t="e">
        <f>AND(#REF!,"LI2qOyle68A=")</f>
        <v>#REF!</v>
      </c>
      <c r="GL101" t="e">
        <f>AND(#REF!,"LI2qOyle68E=")</f>
        <v>#REF!</v>
      </c>
      <c r="GM101" t="e">
        <f>AND(#REF!,"LI2qOyle68I=")</f>
        <v>#REF!</v>
      </c>
      <c r="GN101" t="e">
        <f>AND(#REF!,"LI2qOyle68M=")</f>
        <v>#REF!</v>
      </c>
      <c r="GO101" t="e">
        <f>AND(#REF!,"LI2qOyle68Q=")</f>
        <v>#REF!</v>
      </c>
      <c r="GP101" t="e">
        <f>AND(#REF!,"LI2qOyle68U=")</f>
        <v>#REF!</v>
      </c>
      <c r="GQ101" t="e">
        <f>AND(#REF!,"LI2qOyle68Y=")</f>
        <v>#REF!</v>
      </c>
      <c r="GR101" t="e">
        <f>AND(#REF!,"LI2qOyle68c=")</f>
        <v>#REF!</v>
      </c>
      <c r="GS101" t="e">
        <f>AND(#REF!,"LI2qOyle68g=")</f>
        <v>#REF!</v>
      </c>
      <c r="GT101" t="e">
        <f>AND(#REF!,"LI2qOyle68k=")</f>
        <v>#REF!</v>
      </c>
      <c r="GU101" t="e">
        <f>AND(#REF!,"LI2qOyle68o=")</f>
        <v>#REF!</v>
      </c>
      <c r="GV101" t="e">
        <f>AND(#REF!,"LI2qOyle68s=")</f>
        <v>#REF!</v>
      </c>
      <c r="GW101" t="e">
        <f>AND(#REF!,"LI2qOyle68w=")</f>
        <v>#REF!</v>
      </c>
      <c r="GX101" t="e">
        <f>AND(#REF!,"LI2qOyle680=")</f>
        <v>#REF!</v>
      </c>
      <c r="GY101" t="e">
        <f>AND(#REF!,"LI2qOyle684=")</f>
        <v>#REF!</v>
      </c>
      <c r="GZ101" t="e">
        <f>AND(#REF!,"LI2qOyle688=")</f>
        <v>#REF!</v>
      </c>
      <c r="HA101" t="e">
        <f>AND(#REF!,"LI2qOyle69A=")</f>
        <v>#REF!</v>
      </c>
      <c r="HB101" t="e">
        <f>AND(#REF!,"LI2qOyle69E=")</f>
        <v>#REF!</v>
      </c>
      <c r="HC101" t="e">
        <f>AND(#REF!,"LI2qOyle69I=")</f>
        <v>#REF!</v>
      </c>
      <c r="HD101" t="e">
        <f>AND(#REF!,"LI2qOyle69M=")</f>
        <v>#REF!</v>
      </c>
      <c r="HE101" t="e">
        <f>AND(#REF!,"LI2qOyle69Q=")</f>
        <v>#REF!</v>
      </c>
      <c r="HF101" t="e">
        <f>AND(#REF!,"LI2qOyle69U=")</f>
        <v>#REF!</v>
      </c>
      <c r="HG101" t="e">
        <f>AND(#REF!,"LI2qOyle69Y=")</f>
        <v>#REF!</v>
      </c>
      <c r="HH101" t="e">
        <f>AND(#REF!,"LI2qOyle69c=")</f>
        <v>#REF!</v>
      </c>
      <c r="HI101" t="e">
        <f>IF(#REF!,"LI2qOyle69g=",0)</f>
        <v>#REF!</v>
      </c>
      <c r="HJ101" t="e">
        <f>AND(#REF!,"LI2qOyle69k=")</f>
        <v>#REF!</v>
      </c>
      <c r="HK101" t="e">
        <f>AND(#REF!,"LI2qOyle69o=")</f>
        <v>#REF!</v>
      </c>
      <c r="HL101" t="e">
        <f>AND(#REF!,"LI2qOyle69s=")</f>
        <v>#REF!</v>
      </c>
      <c r="HM101" t="e">
        <f>AND(#REF!,"LI2qOyle69w=")</f>
        <v>#REF!</v>
      </c>
      <c r="HN101" t="e">
        <f>AND(#REF!,"LI2qOyle690=")</f>
        <v>#REF!</v>
      </c>
      <c r="HO101" t="e">
        <f>AND(#REF!,"LI2qOyle694=")</f>
        <v>#REF!</v>
      </c>
      <c r="HP101" t="e">
        <f>AND(#REF!,"LI2qOyle698=")</f>
        <v>#REF!</v>
      </c>
      <c r="HQ101" t="e">
        <f>AND(#REF!,"LI2qOyle6+A=")</f>
        <v>#REF!</v>
      </c>
      <c r="HR101" t="e">
        <f>AND(#REF!,"LI2qOyle6+E=")</f>
        <v>#REF!</v>
      </c>
      <c r="HS101" t="e">
        <f>AND(#REF!,"LI2qOyle6+I=")</f>
        <v>#REF!</v>
      </c>
      <c r="HT101" t="e">
        <f>AND(#REF!,"LI2qOyle6+M=")</f>
        <v>#REF!</v>
      </c>
      <c r="HU101" t="e">
        <f>AND(#REF!,"LI2qOyle6+Q=")</f>
        <v>#REF!</v>
      </c>
      <c r="HV101" t="e">
        <f>AND(#REF!,"LI2qOyle6+U=")</f>
        <v>#REF!</v>
      </c>
      <c r="HW101" t="e">
        <f>AND(#REF!,"LI2qOyle6+Y=")</f>
        <v>#REF!</v>
      </c>
      <c r="HX101" t="e">
        <f>AND(#REF!,"LI2qOyle6+c=")</f>
        <v>#REF!</v>
      </c>
      <c r="HY101" t="e">
        <f>AND(#REF!,"LI2qOyle6+g=")</f>
        <v>#REF!</v>
      </c>
      <c r="HZ101" t="e">
        <f>AND(#REF!,"LI2qOyle6+k=")</f>
        <v>#REF!</v>
      </c>
      <c r="IA101" t="e">
        <f>AND(#REF!,"LI2qOyle6+o=")</f>
        <v>#REF!</v>
      </c>
      <c r="IB101" t="e">
        <f>AND(#REF!,"LI2qOyle6+s=")</f>
        <v>#REF!</v>
      </c>
      <c r="IC101" t="e">
        <f>AND(#REF!,"LI2qOyle6+w=")</f>
        <v>#REF!</v>
      </c>
      <c r="ID101" t="e">
        <f>AND(#REF!,"LI2qOyle6+0=")</f>
        <v>#REF!</v>
      </c>
      <c r="IE101" t="e">
        <f>AND(#REF!,"LI2qOyle6+4=")</f>
        <v>#REF!</v>
      </c>
      <c r="IF101" t="e">
        <f>AND(#REF!,"LI2qOyle6+8=")</f>
        <v>#REF!</v>
      </c>
      <c r="IG101" t="e">
        <f>AND(#REF!,"LI2qOyle6/A=")</f>
        <v>#REF!</v>
      </c>
      <c r="IH101" t="e">
        <f>AND(#REF!,"LI2qOyle6/E=")</f>
        <v>#REF!</v>
      </c>
      <c r="II101" t="e">
        <f>AND(#REF!,"LI2qOyle6/I=")</f>
        <v>#REF!</v>
      </c>
      <c r="IJ101" t="e">
        <f>AND(#REF!,"LI2qOyle6/M=")</f>
        <v>#REF!</v>
      </c>
      <c r="IK101" t="e">
        <f>AND(#REF!,"LI2qOyle6/Q=")</f>
        <v>#REF!</v>
      </c>
      <c r="IL101" t="e">
        <f>AND(#REF!,"LI2qOyle6/U=")</f>
        <v>#REF!</v>
      </c>
      <c r="IM101" t="e">
        <f>AND(#REF!,"LI2qOyle6/Y=")</f>
        <v>#REF!</v>
      </c>
      <c r="IN101" t="e">
        <f>AND(#REF!,"LI2qOyle6/c=")</f>
        <v>#REF!</v>
      </c>
      <c r="IO101" t="e">
        <f>AND(#REF!,"LI2qOyle6/g=")</f>
        <v>#REF!</v>
      </c>
      <c r="IP101" t="e">
        <f>AND(#REF!,"LI2qOyle6/k=")</f>
        <v>#REF!</v>
      </c>
      <c r="IQ101" t="e">
        <f>AND(#REF!,"LI2qOyle6/o=")</f>
        <v>#REF!</v>
      </c>
      <c r="IR101" t="e">
        <f>AND(#REF!,"LI2qOyle6/s=")</f>
        <v>#REF!</v>
      </c>
      <c r="IS101" t="e">
        <f>AND(#REF!,"LI2qOyle6/w=")</f>
        <v>#REF!</v>
      </c>
      <c r="IT101" t="e">
        <f>AND(#REF!,"LI2qOyle6/0=")</f>
        <v>#REF!</v>
      </c>
      <c r="IU101" t="e">
        <f>AND(#REF!,"LI2qOyle6/4=")</f>
        <v>#REF!</v>
      </c>
      <c r="IV101" t="e">
        <f>AND(#REF!,"LI2qOyle6/8=")</f>
        <v>#REF!</v>
      </c>
    </row>
    <row r="102" spans="1:256" x14ac:dyDescent="0.2">
      <c r="A102" t="e">
        <f>AND(#REF!,"RTgwXxxnYAA=")</f>
        <v>#REF!</v>
      </c>
      <c r="B102" t="e">
        <f>AND(#REF!,"RTgwXxxnYAE=")</f>
        <v>#REF!</v>
      </c>
      <c r="C102" t="e">
        <f>AND(#REF!,"RTgwXxxnYAI=")</f>
        <v>#REF!</v>
      </c>
      <c r="D102" t="e">
        <f>AND(#REF!,"RTgwXxxnYAM=")</f>
        <v>#REF!</v>
      </c>
      <c r="E102" t="e">
        <f>AND(#REF!,"RTgwXxxnYAQ=")</f>
        <v>#REF!</v>
      </c>
      <c r="F102" t="e">
        <f>AND(#REF!,"RTgwXxxnYAU=")</f>
        <v>#REF!</v>
      </c>
      <c r="G102" t="e">
        <f>AND(#REF!,"RTgwXxxnYAY=")</f>
        <v>#REF!</v>
      </c>
      <c r="H102" t="e">
        <f>AND(#REF!,"RTgwXxxnYAc=")</f>
        <v>#REF!</v>
      </c>
      <c r="I102" t="e">
        <f>AND(#REF!,"RTgwXxxnYAg=")</f>
        <v>#REF!</v>
      </c>
      <c r="J102" t="e">
        <f>AND(#REF!,"RTgwXxxnYAk=")</f>
        <v>#REF!</v>
      </c>
      <c r="K102" t="e">
        <f>AND(#REF!,"RTgwXxxnYAo=")</f>
        <v>#REF!</v>
      </c>
      <c r="L102" t="e">
        <f>AND(#REF!,"RTgwXxxnYAs=")</f>
        <v>#REF!</v>
      </c>
      <c r="M102" t="e">
        <f>AND(#REF!,"RTgwXxxnYAw=")</f>
        <v>#REF!</v>
      </c>
      <c r="N102" t="e">
        <f>AND(#REF!,"RTgwXxxnYA0=")</f>
        <v>#REF!</v>
      </c>
      <c r="O102" t="e">
        <f>AND(#REF!,"RTgwXxxnYA4=")</f>
        <v>#REF!</v>
      </c>
      <c r="P102" t="e">
        <f>AND(#REF!,"RTgwXxxnYA8=")</f>
        <v>#REF!</v>
      </c>
      <c r="Q102" t="e">
        <f>AND(#REF!,"RTgwXxxnYBA=")</f>
        <v>#REF!</v>
      </c>
      <c r="R102" t="e">
        <f>AND(#REF!,"RTgwXxxnYBE=")</f>
        <v>#REF!</v>
      </c>
      <c r="S102" t="e">
        <f>AND(#REF!,"RTgwXxxnYBI=")</f>
        <v>#REF!</v>
      </c>
      <c r="T102" t="e">
        <f>AND(#REF!,"RTgwXxxnYBM=")</f>
        <v>#REF!</v>
      </c>
      <c r="U102" t="e">
        <f>AND(#REF!,"RTgwXxxnYBQ=")</f>
        <v>#REF!</v>
      </c>
      <c r="V102" t="e">
        <f>AND(#REF!,"RTgwXxxnYBU=")</f>
        <v>#REF!</v>
      </c>
      <c r="W102" t="e">
        <f>AND(#REF!,"RTgwXxxnYBY=")</f>
        <v>#REF!</v>
      </c>
      <c r="X102" t="e">
        <f>AND(#REF!,"RTgwXxxnYBc=")</f>
        <v>#REF!</v>
      </c>
      <c r="Y102" t="e">
        <f>AND(#REF!,"RTgwXxxnYBg=")</f>
        <v>#REF!</v>
      </c>
      <c r="Z102" t="e">
        <f>AND(#REF!,"RTgwXxxnYBk=")</f>
        <v>#REF!</v>
      </c>
      <c r="AA102" t="e">
        <f>AND(#REF!,"RTgwXxxnYBo=")</f>
        <v>#REF!</v>
      </c>
      <c r="AB102" t="e">
        <f>AND(#REF!,"RTgwXxxnYBs=")</f>
        <v>#REF!</v>
      </c>
      <c r="AC102" t="e">
        <f>AND(#REF!,"RTgwXxxnYBw=")</f>
        <v>#REF!</v>
      </c>
      <c r="AD102" t="e">
        <f>AND(#REF!,"RTgwXxxnYB0=")</f>
        <v>#REF!</v>
      </c>
      <c r="AE102" t="e">
        <f>AND(#REF!,"RTgwXxxnYB4=")</f>
        <v>#REF!</v>
      </c>
      <c r="AF102" t="e">
        <f>AND(#REF!,"RTgwXxxnYB8=")</f>
        <v>#REF!</v>
      </c>
      <c r="AG102" t="e">
        <f>AND(#REF!,"RTgwXxxnYCA=")</f>
        <v>#REF!</v>
      </c>
      <c r="AH102" t="e">
        <f>AND(#REF!,"RTgwXxxnYCE=")</f>
        <v>#REF!</v>
      </c>
      <c r="AI102" t="e">
        <f>AND(#REF!,"RTgwXxxnYCI=")</f>
        <v>#REF!</v>
      </c>
      <c r="AJ102" t="e">
        <f>AND(#REF!,"RTgwXxxnYCM=")</f>
        <v>#REF!</v>
      </c>
      <c r="AK102" t="e">
        <f>AND(#REF!,"RTgwXxxnYCQ=")</f>
        <v>#REF!</v>
      </c>
      <c r="AL102" t="e">
        <f>AND(#REF!,"RTgwXxxnYCU=")</f>
        <v>#REF!</v>
      </c>
      <c r="AM102" t="e">
        <f>AND(#REF!,"RTgwXxxnYCY=")</f>
        <v>#REF!</v>
      </c>
      <c r="AN102" t="e">
        <f>AND(#REF!,"RTgwXxxnYCc=")</f>
        <v>#REF!</v>
      </c>
      <c r="AO102" t="e">
        <f>AND(#REF!,"RTgwXxxnYCg=")</f>
        <v>#REF!</v>
      </c>
      <c r="AP102" t="e">
        <f>AND(#REF!,"RTgwXxxnYCk=")</f>
        <v>#REF!</v>
      </c>
      <c r="AQ102" t="e">
        <f>AND(#REF!,"RTgwXxxnYCo=")</f>
        <v>#REF!</v>
      </c>
      <c r="AR102" t="e">
        <f>AND(#REF!,"RTgwXxxnYCs=")</f>
        <v>#REF!</v>
      </c>
      <c r="AS102" t="e">
        <f>AND(#REF!,"RTgwXxxnYCw=")</f>
        <v>#REF!</v>
      </c>
      <c r="AT102" t="e">
        <f>AND(#REF!,"RTgwXxxnYC0=")</f>
        <v>#REF!</v>
      </c>
      <c r="AU102" t="e">
        <f>AND(#REF!,"RTgwXxxnYC4=")</f>
        <v>#REF!</v>
      </c>
      <c r="AV102" t="e">
        <f>AND(#REF!,"RTgwXxxnYC8=")</f>
        <v>#REF!</v>
      </c>
      <c r="AW102" t="e">
        <f>AND(#REF!,"RTgwXxxnYDA=")</f>
        <v>#REF!</v>
      </c>
      <c r="AX102" t="e">
        <f>AND(#REF!,"RTgwXxxnYDE=")</f>
        <v>#REF!</v>
      </c>
      <c r="AY102" t="e">
        <f>AND(#REF!,"RTgwXxxnYDI=")</f>
        <v>#REF!</v>
      </c>
      <c r="AZ102" t="e">
        <f>AND(#REF!,"RTgwXxxnYDM=")</f>
        <v>#REF!</v>
      </c>
      <c r="BA102" t="e">
        <f>AND(#REF!,"RTgwXxxnYDQ=")</f>
        <v>#REF!</v>
      </c>
      <c r="BB102" t="e">
        <f>AND(#REF!,"RTgwXxxnYDU=")</f>
        <v>#REF!</v>
      </c>
      <c r="BC102" t="e">
        <f>AND(#REF!,"RTgwXxxnYDY=")</f>
        <v>#REF!</v>
      </c>
      <c r="BD102" t="e">
        <f>AND(#REF!,"RTgwXxxnYDc=")</f>
        <v>#REF!</v>
      </c>
      <c r="BE102" t="e">
        <f>AND(#REF!,"RTgwXxxnYDg=")</f>
        <v>#REF!</v>
      </c>
      <c r="BF102" t="e">
        <f>AND(#REF!,"RTgwXxxnYDk=")</f>
        <v>#REF!</v>
      </c>
      <c r="BG102" t="e">
        <f>AND(#REF!,"RTgwXxxnYDo=")</f>
        <v>#REF!</v>
      </c>
      <c r="BH102" t="e">
        <f>AND(#REF!,"RTgwXxxnYDs=")</f>
        <v>#REF!</v>
      </c>
      <c r="BI102" t="e">
        <f>AND(#REF!,"RTgwXxxnYDw=")</f>
        <v>#REF!</v>
      </c>
      <c r="BJ102" t="e">
        <f>AND(#REF!,"RTgwXxxnYD0=")</f>
        <v>#REF!</v>
      </c>
      <c r="BK102" t="e">
        <f>AND(#REF!,"RTgwXxxnYD4=")</f>
        <v>#REF!</v>
      </c>
      <c r="BL102" t="e">
        <f>AND(#REF!,"RTgwXxxnYD8=")</f>
        <v>#REF!</v>
      </c>
      <c r="BM102" t="e">
        <f>AND(#REF!,"RTgwXxxnYEA=")</f>
        <v>#REF!</v>
      </c>
      <c r="BN102" t="e">
        <f>AND(#REF!,"RTgwXxxnYEE=")</f>
        <v>#REF!</v>
      </c>
      <c r="BO102" t="e">
        <f>AND(#REF!,"RTgwXxxnYEI=")</f>
        <v>#REF!</v>
      </c>
      <c r="BP102" t="e">
        <f>AND(#REF!,"RTgwXxxnYEM=")</f>
        <v>#REF!</v>
      </c>
      <c r="BQ102" t="e">
        <f>AND(#REF!,"RTgwXxxnYEQ=")</f>
        <v>#REF!</v>
      </c>
      <c r="BR102" t="e">
        <f>AND(#REF!,"RTgwXxxnYEU=")</f>
        <v>#REF!</v>
      </c>
      <c r="BS102" t="e">
        <f>AND(#REF!,"RTgwXxxnYEY=")</f>
        <v>#REF!</v>
      </c>
      <c r="BT102" t="e">
        <f>AND(#REF!,"RTgwXxxnYEc=")</f>
        <v>#REF!</v>
      </c>
      <c r="BU102" t="e">
        <f>AND(#REF!,"RTgwXxxnYEg=")</f>
        <v>#REF!</v>
      </c>
      <c r="BV102" t="e">
        <f>AND(#REF!,"RTgwXxxnYEk=")</f>
        <v>#REF!</v>
      </c>
      <c r="BW102" t="e">
        <f>AND(#REF!,"RTgwXxxnYEo=")</f>
        <v>#REF!</v>
      </c>
      <c r="BX102" t="e">
        <f>AND(#REF!,"RTgwXxxnYEs=")</f>
        <v>#REF!</v>
      </c>
      <c r="BY102" t="e">
        <f>AND(#REF!,"RTgwXxxnYEw=")</f>
        <v>#REF!</v>
      </c>
      <c r="BZ102" t="e">
        <f>AND(#REF!,"RTgwXxxnYE0=")</f>
        <v>#REF!</v>
      </c>
      <c r="CA102" t="e">
        <f>AND(#REF!,"RTgwXxxnYE4=")</f>
        <v>#REF!</v>
      </c>
      <c r="CB102" t="e">
        <f>AND(#REF!,"RTgwXxxnYE8=")</f>
        <v>#REF!</v>
      </c>
      <c r="CC102" t="e">
        <f>AND(#REF!,"RTgwXxxnYFA=")</f>
        <v>#REF!</v>
      </c>
      <c r="CD102" t="e">
        <f>AND(#REF!,"RTgwXxxnYFE=")</f>
        <v>#REF!</v>
      </c>
      <c r="CE102" t="e">
        <f>AND(#REF!,"RTgwXxxnYFI=")</f>
        <v>#REF!</v>
      </c>
      <c r="CF102" t="e">
        <f>AND(#REF!,"RTgwXxxnYFM=")</f>
        <v>#REF!</v>
      </c>
      <c r="CG102" t="e">
        <f>AND(#REF!,"RTgwXxxnYFQ=")</f>
        <v>#REF!</v>
      </c>
      <c r="CH102" t="e">
        <f>AND(#REF!,"RTgwXxxnYFU=")</f>
        <v>#REF!</v>
      </c>
      <c r="CI102" t="e">
        <f>AND(#REF!,"RTgwXxxnYFY=")</f>
        <v>#REF!</v>
      </c>
      <c r="CJ102" t="e">
        <f>AND(#REF!,"RTgwXxxnYFc=")</f>
        <v>#REF!</v>
      </c>
      <c r="CK102" t="e">
        <f>AND(#REF!,"RTgwXxxnYFg=")</f>
        <v>#REF!</v>
      </c>
      <c r="CL102" t="e">
        <f>AND(#REF!,"RTgwXxxnYFk=")</f>
        <v>#REF!</v>
      </c>
      <c r="CM102" t="e">
        <f>AND(#REF!,"RTgwXxxnYFo=")</f>
        <v>#REF!</v>
      </c>
      <c r="CN102" t="e">
        <f>AND(#REF!,"RTgwXxxnYFs=")</f>
        <v>#REF!</v>
      </c>
      <c r="CO102" t="e">
        <f>AND(#REF!,"RTgwXxxnYFw=")</f>
        <v>#REF!</v>
      </c>
      <c r="CP102" t="e">
        <f>AND(#REF!,"RTgwXxxnYF0=")</f>
        <v>#REF!</v>
      </c>
      <c r="CQ102" t="e">
        <f>AND(#REF!,"RTgwXxxnYF4=")</f>
        <v>#REF!</v>
      </c>
      <c r="CR102" t="e">
        <f>AND(#REF!,"RTgwXxxnYF8=")</f>
        <v>#REF!</v>
      </c>
      <c r="CS102" t="e">
        <f>AND(#REF!,"RTgwXxxnYGA=")</f>
        <v>#REF!</v>
      </c>
      <c r="CT102" t="e">
        <f>AND(#REF!,"RTgwXxxnYGE=")</f>
        <v>#REF!</v>
      </c>
      <c r="CU102" t="e">
        <f>AND(#REF!,"RTgwXxxnYGI=")</f>
        <v>#REF!</v>
      </c>
      <c r="CV102" t="e">
        <f>AND(#REF!,"RTgwXxxnYGM=")</f>
        <v>#REF!</v>
      </c>
      <c r="CW102" t="e">
        <f>AND(#REF!,"RTgwXxxnYGQ=")</f>
        <v>#REF!</v>
      </c>
      <c r="CX102" t="e">
        <f>AND(#REF!,"RTgwXxxnYGU=")</f>
        <v>#REF!</v>
      </c>
      <c r="CY102" t="e">
        <f>AND(#REF!,"RTgwXxxnYGY=")</f>
        <v>#REF!</v>
      </c>
      <c r="CZ102" t="e">
        <f>AND(#REF!,"RTgwXxxnYGc=")</f>
        <v>#REF!</v>
      </c>
      <c r="DA102" t="e">
        <f>AND(#REF!,"RTgwXxxnYGg=")</f>
        <v>#REF!</v>
      </c>
      <c r="DB102" t="e">
        <f>AND(#REF!,"RTgwXxxnYGk=")</f>
        <v>#REF!</v>
      </c>
      <c r="DC102" t="e">
        <f>AND(#REF!,"RTgwXxxnYGo=")</f>
        <v>#REF!</v>
      </c>
      <c r="DD102" t="e">
        <f>AND(#REF!,"RTgwXxxnYGs=")</f>
        <v>#REF!</v>
      </c>
      <c r="DE102" t="e">
        <f>AND(#REF!,"RTgwXxxnYGw=")</f>
        <v>#REF!</v>
      </c>
      <c r="DF102" t="e">
        <f>AND(#REF!,"RTgwXxxnYG0=")</f>
        <v>#REF!</v>
      </c>
      <c r="DG102" t="e">
        <f>AND(#REF!,"RTgwXxxnYG4=")</f>
        <v>#REF!</v>
      </c>
      <c r="DH102" t="e">
        <f>AND(#REF!,"RTgwXxxnYG8=")</f>
        <v>#REF!</v>
      </c>
      <c r="DI102" t="e">
        <f>AND(#REF!,"RTgwXxxnYHA=")</f>
        <v>#REF!</v>
      </c>
      <c r="DJ102" t="e">
        <f>AND(#REF!,"RTgwXxxnYHE=")</f>
        <v>#REF!</v>
      </c>
      <c r="DK102" t="e">
        <f>AND(#REF!,"RTgwXxxnYHI=")</f>
        <v>#REF!</v>
      </c>
      <c r="DL102" t="e">
        <f>AND(#REF!,"RTgwXxxnYHM=")</f>
        <v>#REF!</v>
      </c>
      <c r="DM102" t="e">
        <f>AND(#REF!,"RTgwXxxnYHQ=")</f>
        <v>#REF!</v>
      </c>
      <c r="DN102" t="e">
        <f>AND(#REF!,"RTgwXxxnYHU=")</f>
        <v>#REF!</v>
      </c>
      <c r="DO102" t="e">
        <f>AND(#REF!,"RTgwXxxnYHY=")</f>
        <v>#REF!</v>
      </c>
      <c r="DP102" t="e">
        <f>AND(#REF!,"RTgwXxxnYHc=")</f>
        <v>#REF!</v>
      </c>
      <c r="DQ102" t="e">
        <f>AND(#REF!,"RTgwXxxnYHg=")</f>
        <v>#REF!</v>
      </c>
      <c r="DR102" t="e">
        <f>AND(#REF!,"RTgwXxxnYHk=")</f>
        <v>#REF!</v>
      </c>
      <c r="DS102" t="e">
        <f>AND(#REF!,"RTgwXxxnYHo=")</f>
        <v>#REF!</v>
      </c>
      <c r="DT102" t="e">
        <f>AND(#REF!,"RTgwXxxnYHs=")</f>
        <v>#REF!</v>
      </c>
      <c r="DU102" t="e">
        <f>AND(#REF!,"RTgwXxxnYHw=")</f>
        <v>#REF!</v>
      </c>
      <c r="DV102" t="e">
        <f>AND(#REF!,"RTgwXxxnYH0=")</f>
        <v>#REF!</v>
      </c>
      <c r="DW102" t="e">
        <f>AND(#REF!,"RTgwXxxnYH4=")</f>
        <v>#REF!</v>
      </c>
      <c r="DX102" t="e">
        <f>AND(#REF!,"RTgwXxxnYH8=")</f>
        <v>#REF!</v>
      </c>
      <c r="DY102" t="e">
        <f>AND(#REF!,"RTgwXxxnYIA=")</f>
        <v>#REF!</v>
      </c>
      <c r="DZ102" t="e">
        <f>AND(#REF!,"RTgwXxxnYIE=")</f>
        <v>#REF!</v>
      </c>
      <c r="EA102" t="e">
        <f>AND(#REF!,"RTgwXxxnYII=")</f>
        <v>#REF!</v>
      </c>
      <c r="EB102" t="e">
        <f>AND(#REF!,"RTgwXxxnYIM=")</f>
        <v>#REF!</v>
      </c>
      <c r="EC102" t="e">
        <f>AND(#REF!,"RTgwXxxnYIQ=")</f>
        <v>#REF!</v>
      </c>
      <c r="ED102" t="e">
        <f>AND(#REF!,"RTgwXxxnYIU=")</f>
        <v>#REF!</v>
      </c>
      <c r="EE102" t="e">
        <f>AND(#REF!,"RTgwXxxnYIY=")</f>
        <v>#REF!</v>
      </c>
      <c r="EF102" t="e">
        <f>AND(#REF!,"RTgwXxxnYIc=")</f>
        <v>#REF!</v>
      </c>
      <c r="EG102" t="e">
        <f>AND(#REF!,"RTgwXxxnYIg=")</f>
        <v>#REF!</v>
      </c>
      <c r="EH102" t="e">
        <f>AND(#REF!,"RTgwXxxnYIk=")</f>
        <v>#REF!</v>
      </c>
      <c r="EI102" t="e">
        <f>AND(#REF!,"RTgwXxxnYIo=")</f>
        <v>#REF!</v>
      </c>
      <c r="EJ102" t="e">
        <f>AND(#REF!,"RTgwXxxnYIs=")</f>
        <v>#REF!</v>
      </c>
      <c r="EK102" t="e">
        <f>AND(#REF!,"RTgwXxxnYIw=")</f>
        <v>#REF!</v>
      </c>
      <c r="EL102" t="e">
        <f>AND(#REF!,"RTgwXxxnYI0=")</f>
        <v>#REF!</v>
      </c>
      <c r="EM102" t="e">
        <f>AND(#REF!,"RTgwXxxnYI4=")</f>
        <v>#REF!</v>
      </c>
      <c r="EN102" t="e">
        <f>AND(#REF!,"RTgwXxxnYI8=")</f>
        <v>#REF!</v>
      </c>
      <c r="EO102" t="e">
        <f>AND(#REF!,"RTgwXxxnYJA=")</f>
        <v>#REF!</v>
      </c>
      <c r="EP102" t="e">
        <f>AND(#REF!,"RTgwXxxnYJE=")</f>
        <v>#REF!</v>
      </c>
      <c r="EQ102" t="e">
        <f>AND(#REF!,"RTgwXxxnYJI=")</f>
        <v>#REF!</v>
      </c>
      <c r="ER102" t="e">
        <f>AND(#REF!,"RTgwXxxnYJM=")</f>
        <v>#REF!</v>
      </c>
      <c r="ES102" t="e">
        <f>AND(#REF!,"RTgwXxxnYJQ=")</f>
        <v>#REF!</v>
      </c>
      <c r="ET102" t="e">
        <f>AND(#REF!,"RTgwXxxnYJU=")</f>
        <v>#REF!</v>
      </c>
      <c r="EU102" t="e">
        <f>AND(#REF!,"RTgwXxxnYJY=")</f>
        <v>#REF!</v>
      </c>
      <c r="EV102" t="e">
        <f>AND(#REF!,"RTgwXxxnYJc=")</f>
        <v>#REF!</v>
      </c>
      <c r="EW102" t="e">
        <f>AND(#REF!,"RTgwXxxnYJg=")</f>
        <v>#REF!</v>
      </c>
      <c r="EX102" t="e">
        <f>AND(#REF!,"RTgwXxxnYJk=")</f>
        <v>#REF!</v>
      </c>
      <c r="EY102" t="e">
        <f>AND(#REF!,"RTgwXxxnYJo=")</f>
        <v>#REF!</v>
      </c>
      <c r="EZ102" t="e">
        <f>AND(#REF!,"RTgwXxxnYJs=")</f>
        <v>#REF!</v>
      </c>
      <c r="FA102" t="e">
        <f>AND(#REF!,"RTgwXxxnYJw=")</f>
        <v>#REF!</v>
      </c>
      <c r="FB102" t="e">
        <f>AND(#REF!,"RTgwXxxnYJ0=")</f>
        <v>#REF!</v>
      </c>
      <c r="FC102" t="e">
        <f>AND(#REF!,"RTgwXxxnYJ4=")</f>
        <v>#REF!</v>
      </c>
      <c r="FD102" t="e">
        <f>IF(#REF!,"RTgwXxxnYJ8=",0)</f>
        <v>#REF!</v>
      </c>
      <c r="FE102" t="e">
        <f>AND(#REF!,"RTgwXxxnYKA=")</f>
        <v>#REF!</v>
      </c>
      <c r="FF102" t="e">
        <f>AND(#REF!,"RTgwXxxnYKE=")</f>
        <v>#REF!</v>
      </c>
      <c r="FG102" t="e">
        <f>AND(#REF!,"RTgwXxxnYKI=")</f>
        <v>#REF!</v>
      </c>
      <c r="FH102" t="e">
        <f>AND(#REF!,"RTgwXxxnYKM=")</f>
        <v>#REF!</v>
      </c>
      <c r="FI102" t="e">
        <f>AND(#REF!,"RTgwXxxnYKQ=")</f>
        <v>#REF!</v>
      </c>
      <c r="FJ102" t="e">
        <f>AND(#REF!,"RTgwXxxnYKU=")</f>
        <v>#REF!</v>
      </c>
      <c r="FK102" t="e">
        <f>AND(#REF!,"RTgwXxxnYKY=")</f>
        <v>#REF!</v>
      </c>
      <c r="FL102" t="e">
        <f>AND(#REF!,"RTgwXxxnYKc=")</f>
        <v>#REF!</v>
      </c>
      <c r="FM102" t="e">
        <f>AND(#REF!,"RTgwXxxnYKg=")</f>
        <v>#REF!</v>
      </c>
      <c r="FN102" t="e">
        <f>AND(#REF!,"RTgwXxxnYKk=")</f>
        <v>#REF!</v>
      </c>
      <c r="FO102" t="e">
        <f>AND(#REF!,"RTgwXxxnYKo=")</f>
        <v>#REF!</v>
      </c>
      <c r="FP102" t="e">
        <f>AND(#REF!,"RTgwXxxnYKs=")</f>
        <v>#REF!</v>
      </c>
      <c r="FQ102" t="e">
        <f>AND(#REF!,"RTgwXxxnYKw=")</f>
        <v>#REF!</v>
      </c>
      <c r="FR102" t="e">
        <f>AND(#REF!,"RTgwXxxnYK0=")</f>
        <v>#REF!</v>
      </c>
      <c r="FS102" t="e">
        <f>AND(#REF!,"RTgwXxxnYK4=")</f>
        <v>#REF!</v>
      </c>
      <c r="FT102" t="e">
        <f>AND(#REF!,"RTgwXxxnYK8=")</f>
        <v>#REF!</v>
      </c>
      <c r="FU102" t="e">
        <f>AND(#REF!,"RTgwXxxnYLA=")</f>
        <v>#REF!</v>
      </c>
      <c r="FV102" t="e">
        <f>AND(#REF!,"RTgwXxxnYLE=")</f>
        <v>#REF!</v>
      </c>
      <c r="FW102" t="e">
        <f>AND(#REF!,"RTgwXxxnYLI=")</f>
        <v>#REF!</v>
      </c>
      <c r="FX102" t="e">
        <f>AND(#REF!,"RTgwXxxnYLM=")</f>
        <v>#REF!</v>
      </c>
      <c r="FY102" t="e">
        <f>AND(#REF!,"RTgwXxxnYLQ=")</f>
        <v>#REF!</v>
      </c>
      <c r="FZ102" t="e">
        <f>AND(#REF!,"RTgwXxxnYLU=")</f>
        <v>#REF!</v>
      </c>
      <c r="GA102" t="e">
        <f>AND(#REF!,"RTgwXxxnYLY=")</f>
        <v>#REF!</v>
      </c>
      <c r="GB102" t="e">
        <f>AND(#REF!,"RTgwXxxnYLc=")</f>
        <v>#REF!</v>
      </c>
      <c r="GC102" t="e">
        <f>AND(#REF!,"RTgwXxxnYLg=")</f>
        <v>#REF!</v>
      </c>
      <c r="GD102" t="e">
        <f>AND(#REF!,"RTgwXxxnYLk=")</f>
        <v>#REF!</v>
      </c>
      <c r="GE102" t="e">
        <f>AND(#REF!,"RTgwXxxnYLo=")</f>
        <v>#REF!</v>
      </c>
      <c r="GF102" t="e">
        <f>AND(#REF!,"RTgwXxxnYLs=")</f>
        <v>#REF!</v>
      </c>
      <c r="GG102" t="e">
        <f>AND(#REF!,"RTgwXxxnYLw=")</f>
        <v>#REF!</v>
      </c>
      <c r="GH102" t="e">
        <f>AND(#REF!,"RTgwXxxnYL0=")</f>
        <v>#REF!</v>
      </c>
      <c r="GI102" t="e">
        <f>AND(#REF!,"RTgwXxxnYL4=")</f>
        <v>#REF!</v>
      </c>
      <c r="GJ102" t="e">
        <f>AND(#REF!,"RTgwXxxnYL8=")</f>
        <v>#REF!</v>
      </c>
      <c r="GK102" t="e">
        <f>AND(#REF!,"RTgwXxxnYMA=")</f>
        <v>#REF!</v>
      </c>
      <c r="GL102" t="e">
        <f>AND(#REF!,"RTgwXxxnYME=")</f>
        <v>#REF!</v>
      </c>
      <c r="GM102" t="e">
        <f>AND(#REF!,"RTgwXxxnYMI=")</f>
        <v>#REF!</v>
      </c>
      <c r="GN102" t="e">
        <f>AND(#REF!,"RTgwXxxnYMM=")</f>
        <v>#REF!</v>
      </c>
      <c r="GO102" t="e">
        <f>AND(#REF!,"RTgwXxxnYMQ=")</f>
        <v>#REF!</v>
      </c>
      <c r="GP102" t="e">
        <f>AND(#REF!,"RTgwXxxnYMU=")</f>
        <v>#REF!</v>
      </c>
      <c r="GQ102" t="e">
        <f>AND(#REF!,"RTgwXxxnYMY=")</f>
        <v>#REF!</v>
      </c>
      <c r="GR102" t="e">
        <f>AND(#REF!,"RTgwXxxnYMc=")</f>
        <v>#REF!</v>
      </c>
      <c r="GS102" t="e">
        <f>AND(#REF!,"RTgwXxxnYMg=")</f>
        <v>#REF!</v>
      </c>
      <c r="GT102" t="e">
        <f>AND(#REF!,"RTgwXxxnYMk=")</f>
        <v>#REF!</v>
      </c>
      <c r="GU102" t="e">
        <f>AND(#REF!,"RTgwXxxnYMo=")</f>
        <v>#REF!</v>
      </c>
      <c r="GV102" t="e">
        <f>AND(#REF!,"RTgwXxxnYMs=")</f>
        <v>#REF!</v>
      </c>
      <c r="GW102" t="e">
        <f>AND(#REF!,"RTgwXxxnYMw=")</f>
        <v>#REF!</v>
      </c>
      <c r="GX102" t="e">
        <f>AND(#REF!,"RTgwXxxnYM0=")</f>
        <v>#REF!</v>
      </c>
      <c r="GY102" t="e">
        <f>AND(#REF!,"RTgwXxxnYM4=")</f>
        <v>#REF!</v>
      </c>
      <c r="GZ102" t="e">
        <f>AND(#REF!,"RTgwXxxnYM8=")</f>
        <v>#REF!</v>
      </c>
      <c r="HA102" t="e">
        <f>AND(#REF!,"RTgwXxxnYNA=")</f>
        <v>#REF!</v>
      </c>
      <c r="HB102" t="e">
        <f>AND(#REF!,"RTgwXxxnYNE=")</f>
        <v>#REF!</v>
      </c>
      <c r="HC102" t="e">
        <f>AND(#REF!,"RTgwXxxnYNI=")</f>
        <v>#REF!</v>
      </c>
      <c r="HD102" t="e">
        <f>AND(#REF!,"RTgwXxxnYNM=")</f>
        <v>#REF!</v>
      </c>
      <c r="HE102" t="e">
        <f>AND(#REF!,"RTgwXxxnYNQ=")</f>
        <v>#REF!</v>
      </c>
      <c r="HF102" t="e">
        <f>AND(#REF!,"RTgwXxxnYNU=")</f>
        <v>#REF!</v>
      </c>
      <c r="HG102" t="e">
        <f>AND(#REF!,"RTgwXxxnYNY=")</f>
        <v>#REF!</v>
      </c>
      <c r="HH102" t="e">
        <f>AND(#REF!,"RTgwXxxnYNc=")</f>
        <v>#REF!</v>
      </c>
      <c r="HI102" t="e">
        <f>AND(#REF!,"RTgwXxxnYNg=")</f>
        <v>#REF!</v>
      </c>
      <c r="HJ102" t="e">
        <f>AND(#REF!,"RTgwXxxnYNk=")</f>
        <v>#REF!</v>
      </c>
      <c r="HK102" t="e">
        <f>AND(#REF!,"RTgwXxxnYNo=")</f>
        <v>#REF!</v>
      </c>
      <c r="HL102" t="e">
        <f>AND(#REF!,"RTgwXxxnYNs=")</f>
        <v>#REF!</v>
      </c>
      <c r="HM102" t="e">
        <f>AND(#REF!,"RTgwXxxnYNw=")</f>
        <v>#REF!</v>
      </c>
      <c r="HN102" t="e">
        <f>AND(#REF!,"RTgwXxxnYN0=")</f>
        <v>#REF!</v>
      </c>
      <c r="HO102" t="e">
        <f>AND(#REF!,"RTgwXxxnYN4=")</f>
        <v>#REF!</v>
      </c>
      <c r="HP102" t="e">
        <f>AND(#REF!,"RTgwXxxnYN8=")</f>
        <v>#REF!</v>
      </c>
      <c r="HQ102" t="e">
        <f>AND(#REF!,"RTgwXxxnYOA=")</f>
        <v>#REF!</v>
      </c>
      <c r="HR102" t="e">
        <f>AND(#REF!,"RTgwXxxnYOE=")</f>
        <v>#REF!</v>
      </c>
      <c r="HS102" t="e">
        <f>AND(#REF!,"RTgwXxxnYOI=")</f>
        <v>#REF!</v>
      </c>
      <c r="HT102" t="e">
        <f>AND(#REF!,"RTgwXxxnYOM=")</f>
        <v>#REF!</v>
      </c>
      <c r="HU102" t="e">
        <f>AND(#REF!,"RTgwXxxnYOQ=")</f>
        <v>#REF!</v>
      </c>
      <c r="HV102" t="e">
        <f>AND(#REF!,"RTgwXxxnYOU=")</f>
        <v>#REF!</v>
      </c>
      <c r="HW102" t="e">
        <f>AND(#REF!,"RTgwXxxnYOY=")</f>
        <v>#REF!</v>
      </c>
      <c r="HX102" t="e">
        <f>AND(#REF!,"RTgwXxxnYOc=")</f>
        <v>#REF!</v>
      </c>
      <c r="HY102" t="e">
        <f>AND(#REF!,"RTgwXxxnYOg=")</f>
        <v>#REF!</v>
      </c>
      <c r="HZ102" t="e">
        <f>AND(#REF!,"RTgwXxxnYOk=")</f>
        <v>#REF!</v>
      </c>
      <c r="IA102" t="e">
        <f>AND(#REF!,"RTgwXxxnYOo=")</f>
        <v>#REF!</v>
      </c>
      <c r="IB102" t="e">
        <f>AND(#REF!,"RTgwXxxnYOs=")</f>
        <v>#REF!</v>
      </c>
      <c r="IC102" t="e">
        <f>AND(#REF!,"RTgwXxxnYOw=")</f>
        <v>#REF!</v>
      </c>
      <c r="ID102" t="e">
        <f>AND(#REF!,"RTgwXxxnYO0=")</f>
        <v>#REF!</v>
      </c>
      <c r="IE102" t="e">
        <f>AND(#REF!,"RTgwXxxnYO4=")</f>
        <v>#REF!</v>
      </c>
      <c r="IF102" t="e">
        <f>AND(#REF!,"RTgwXxxnYO8=")</f>
        <v>#REF!</v>
      </c>
      <c r="IG102" t="e">
        <f>AND(#REF!,"RTgwXxxnYPA=")</f>
        <v>#REF!</v>
      </c>
      <c r="IH102" t="e">
        <f>AND(#REF!,"RTgwXxxnYPE=")</f>
        <v>#REF!</v>
      </c>
      <c r="II102" t="e">
        <f>AND(#REF!,"RTgwXxxnYPI=")</f>
        <v>#REF!</v>
      </c>
      <c r="IJ102" t="e">
        <f>AND(#REF!,"RTgwXxxnYPM=")</f>
        <v>#REF!</v>
      </c>
      <c r="IK102" t="e">
        <f>AND(#REF!,"RTgwXxxnYPQ=")</f>
        <v>#REF!</v>
      </c>
      <c r="IL102" t="e">
        <f>AND(#REF!,"RTgwXxxnYPU=")</f>
        <v>#REF!</v>
      </c>
      <c r="IM102" t="e">
        <f>AND(#REF!,"RTgwXxxnYPY=")</f>
        <v>#REF!</v>
      </c>
      <c r="IN102" t="e">
        <f>AND(#REF!,"RTgwXxxnYPc=")</f>
        <v>#REF!</v>
      </c>
      <c r="IO102" t="e">
        <f>AND(#REF!,"RTgwXxxnYPg=")</f>
        <v>#REF!</v>
      </c>
      <c r="IP102" t="e">
        <f>AND(#REF!,"RTgwXxxnYPk=")</f>
        <v>#REF!</v>
      </c>
      <c r="IQ102" t="e">
        <f>AND(#REF!,"RTgwXxxnYPo=")</f>
        <v>#REF!</v>
      </c>
      <c r="IR102" t="e">
        <f>AND(#REF!,"RTgwXxxnYPs=")</f>
        <v>#REF!</v>
      </c>
      <c r="IS102" t="e">
        <f>AND(#REF!,"RTgwXxxnYPw=")</f>
        <v>#REF!</v>
      </c>
      <c r="IT102" t="e">
        <f>AND(#REF!,"RTgwXxxnYP0=")</f>
        <v>#REF!</v>
      </c>
      <c r="IU102" t="e">
        <f>AND(#REF!,"RTgwXxxnYP4=")</f>
        <v>#REF!</v>
      </c>
      <c r="IV102" t="e">
        <f>AND(#REF!,"RTgwXxxnYP8=")</f>
        <v>#REF!</v>
      </c>
    </row>
    <row r="103" spans="1:256" x14ac:dyDescent="0.2">
      <c r="A103" t="e">
        <f>AND(#REF!,"D3Kfrgq1SwA=")</f>
        <v>#REF!</v>
      </c>
      <c r="B103" t="e">
        <f>AND(#REF!,"D3Kfrgq1SwE=")</f>
        <v>#REF!</v>
      </c>
      <c r="C103" t="e">
        <f>AND(#REF!,"D3Kfrgq1SwI=")</f>
        <v>#REF!</v>
      </c>
      <c r="D103" t="e">
        <f>AND(#REF!,"D3Kfrgq1SwM=")</f>
        <v>#REF!</v>
      </c>
      <c r="E103" t="e">
        <f>AND(#REF!,"D3Kfrgq1SwQ=")</f>
        <v>#REF!</v>
      </c>
      <c r="F103" t="e">
        <f>AND(#REF!,"D3Kfrgq1SwU=")</f>
        <v>#REF!</v>
      </c>
      <c r="G103" t="e">
        <f>AND(#REF!,"D3Kfrgq1SwY=")</f>
        <v>#REF!</v>
      </c>
      <c r="H103" t="e">
        <f>AND(#REF!,"D3Kfrgq1Swc=")</f>
        <v>#REF!</v>
      </c>
      <c r="I103" t="e">
        <f>AND(#REF!,"D3Kfrgq1Swg=")</f>
        <v>#REF!</v>
      </c>
      <c r="J103" t="e">
        <f>AND(#REF!,"D3Kfrgq1Swk=")</f>
        <v>#REF!</v>
      </c>
      <c r="K103" t="e">
        <f>AND(#REF!,"D3Kfrgq1Swo=")</f>
        <v>#REF!</v>
      </c>
      <c r="L103" t="e">
        <f>AND(#REF!,"D3Kfrgq1Sws=")</f>
        <v>#REF!</v>
      </c>
      <c r="M103" t="e">
        <f>AND(#REF!,"D3Kfrgq1Sww=")</f>
        <v>#REF!</v>
      </c>
      <c r="N103" t="e">
        <f>AND(#REF!,"D3Kfrgq1Sw0=")</f>
        <v>#REF!</v>
      </c>
      <c r="O103" t="e">
        <f>AND(#REF!,"D3Kfrgq1Sw4=")</f>
        <v>#REF!</v>
      </c>
      <c r="P103" t="e">
        <f>AND(#REF!,"D3Kfrgq1Sw8=")</f>
        <v>#REF!</v>
      </c>
      <c r="Q103" t="e">
        <f>AND(#REF!,"D3Kfrgq1SxA=")</f>
        <v>#REF!</v>
      </c>
      <c r="R103" t="e">
        <f>AND(#REF!,"D3Kfrgq1SxE=")</f>
        <v>#REF!</v>
      </c>
      <c r="S103" t="e">
        <f>AND(#REF!,"D3Kfrgq1SxI=")</f>
        <v>#REF!</v>
      </c>
      <c r="T103" t="e">
        <f>AND(#REF!,"D3Kfrgq1SxM=")</f>
        <v>#REF!</v>
      </c>
      <c r="U103" t="e">
        <f>AND(#REF!,"D3Kfrgq1SxQ=")</f>
        <v>#REF!</v>
      </c>
      <c r="V103" t="e">
        <f>AND(#REF!,"D3Kfrgq1SxU=")</f>
        <v>#REF!</v>
      </c>
      <c r="W103" t="e">
        <f>AND(#REF!,"D3Kfrgq1SxY=")</f>
        <v>#REF!</v>
      </c>
      <c r="X103" t="e">
        <f>AND(#REF!,"D3Kfrgq1Sxc=")</f>
        <v>#REF!</v>
      </c>
      <c r="Y103" t="e">
        <f>AND(#REF!,"D3Kfrgq1Sxg=")</f>
        <v>#REF!</v>
      </c>
      <c r="Z103" t="e">
        <f>AND(#REF!,"D3Kfrgq1Sxk=")</f>
        <v>#REF!</v>
      </c>
      <c r="AA103" t="e">
        <f>AND(#REF!,"D3Kfrgq1Sxo=")</f>
        <v>#REF!</v>
      </c>
      <c r="AB103" t="e">
        <f>AND(#REF!,"D3Kfrgq1Sxs=")</f>
        <v>#REF!</v>
      </c>
      <c r="AC103" t="e">
        <f>AND(#REF!,"D3Kfrgq1Sxw=")</f>
        <v>#REF!</v>
      </c>
      <c r="AD103" t="e">
        <f>AND(#REF!,"D3Kfrgq1Sx0=")</f>
        <v>#REF!</v>
      </c>
      <c r="AE103" t="e">
        <f>AND(#REF!,"D3Kfrgq1Sx4=")</f>
        <v>#REF!</v>
      </c>
      <c r="AF103" t="e">
        <f>AND(#REF!,"D3Kfrgq1Sx8=")</f>
        <v>#REF!</v>
      </c>
      <c r="AG103" t="e">
        <f>AND(#REF!,"D3Kfrgq1SyA=")</f>
        <v>#REF!</v>
      </c>
      <c r="AH103" t="e">
        <f>AND(#REF!,"D3Kfrgq1SyE=")</f>
        <v>#REF!</v>
      </c>
      <c r="AI103" t="e">
        <f>AND(#REF!,"D3Kfrgq1SyI=")</f>
        <v>#REF!</v>
      </c>
      <c r="AJ103" t="e">
        <f>AND(#REF!,"D3Kfrgq1SyM=")</f>
        <v>#REF!</v>
      </c>
      <c r="AK103" t="e">
        <f>AND(#REF!,"D3Kfrgq1SyQ=")</f>
        <v>#REF!</v>
      </c>
      <c r="AL103" t="e">
        <f>AND(#REF!,"D3Kfrgq1SyU=")</f>
        <v>#REF!</v>
      </c>
      <c r="AM103" t="e">
        <f>AND(#REF!,"D3Kfrgq1SyY=")</f>
        <v>#REF!</v>
      </c>
      <c r="AN103" t="e">
        <f>AND(#REF!,"D3Kfrgq1Syc=")</f>
        <v>#REF!</v>
      </c>
      <c r="AO103" t="e">
        <f>AND(#REF!,"D3Kfrgq1Syg=")</f>
        <v>#REF!</v>
      </c>
      <c r="AP103" t="e">
        <f>AND(#REF!,"D3Kfrgq1Syk=")</f>
        <v>#REF!</v>
      </c>
      <c r="AQ103" t="e">
        <f>AND(#REF!,"D3Kfrgq1Syo=")</f>
        <v>#REF!</v>
      </c>
      <c r="AR103" t="e">
        <f>AND(#REF!,"D3Kfrgq1Sys=")</f>
        <v>#REF!</v>
      </c>
      <c r="AS103" t="e">
        <f>AND(#REF!,"D3Kfrgq1Syw=")</f>
        <v>#REF!</v>
      </c>
      <c r="AT103" t="e">
        <f>AND(#REF!,"D3Kfrgq1Sy0=")</f>
        <v>#REF!</v>
      </c>
      <c r="AU103" t="e">
        <f>AND(#REF!,"D3Kfrgq1Sy4=")</f>
        <v>#REF!</v>
      </c>
      <c r="AV103" t="e">
        <f>AND(#REF!,"D3Kfrgq1Sy8=")</f>
        <v>#REF!</v>
      </c>
      <c r="AW103" t="e">
        <f>AND(#REF!,"D3Kfrgq1SzA=")</f>
        <v>#REF!</v>
      </c>
      <c r="AX103" t="e">
        <f>AND(#REF!,"D3Kfrgq1SzE=")</f>
        <v>#REF!</v>
      </c>
      <c r="AY103" t="e">
        <f>AND(#REF!,"D3Kfrgq1SzI=")</f>
        <v>#REF!</v>
      </c>
      <c r="AZ103" t="e">
        <f>AND(#REF!,"D3Kfrgq1SzM=")</f>
        <v>#REF!</v>
      </c>
      <c r="BA103" t="e">
        <f>AND(#REF!,"D3Kfrgq1SzQ=")</f>
        <v>#REF!</v>
      </c>
      <c r="BB103" t="e">
        <f>AND(#REF!,"D3Kfrgq1SzU=")</f>
        <v>#REF!</v>
      </c>
      <c r="BC103" t="e">
        <f>AND(#REF!,"D3Kfrgq1SzY=")</f>
        <v>#REF!</v>
      </c>
      <c r="BD103" t="e">
        <f>AND(#REF!,"D3Kfrgq1Szc=")</f>
        <v>#REF!</v>
      </c>
      <c r="BE103" t="e">
        <f>AND(#REF!,"D3Kfrgq1Szg=")</f>
        <v>#REF!</v>
      </c>
      <c r="BF103" t="e">
        <f>AND(#REF!,"D3Kfrgq1Szk=")</f>
        <v>#REF!</v>
      </c>
      <c r="BG103" t="e">
        <f>AND(#REF!,"D3Kfrgq1Szo=")</f>
        <v>#REF!</v>
      </c>
      <c r="BH103" t="e">
        <f>AND(#REF!,"D3Kfrgq1Szs=")</f>
        <v>#REF!</v>
      </c>
      <c r="BI103" t="e">
        <f>AND(#REF!,"D3Kfrgq1Szw=")</f>
        <v>#REF!</v>
      </c>
      <c r="BJ103" t="e">
        <f>AND(#REF!,"D3Kfrgq1Sz0=")</f>
        <v>#REF!</v>
      </c>
      <c r="BK103" t="e">
        <f>AND(#REF!,"D3Kfrgq1Sz4=")</f>
        <v>#REF!</v>
      </c>
      <c r="BL103" t="e">
        <f>AND(#REF!,"D3Kfrgq1Sz8=")</f>
        <v>#REF!</v>
      </c>
      <c r="BM103" t="e">
        <f>AND(#REF!,"D3Kfrgq1S0A=")</f>
        <v>#REF!</v>
      </c>
      <c r="BN103" t="e">
        <f>AND(#REF!,"D3Kfrgq1S0E=")</f>
        <v>#REF!</v>
      </c>
      <c r="BO103" t="e">
        <f>AND(#REF!,"D3Kfrgq1S0I=")</f>
        <v>#REF!</v>
      </c>
      <c r="BP103" t="e">
        <f>AND(#REF!,"D3Kfrgq1S0M=")</f>
        <v>#REF!</v>
      </c>
      <c r="BQ103" t="e">
        <f>AND(#REF!,"D3Kfrgq1S0Q=")</f>
        <v>#REF!</v>
      </c>
      <c r="BR103" t="e">
        <f>AND(#REF!,"D3Kfrgq1S0U=")</f>
        <v>#REF!</v>
      </c>
      <c r="BS103" t="e">
        <f>AND(#REF!,"D3Kfrgq1S0Y=")</f>
        <v>#REF!</v>
      </c>
      <c r="BT103" t="e">
        <f>AND(#REF!,"D3Kfrgq1S0c=")</f>
        <v>#REF!</v>
      </c>
      <c r="BU103" t="e">
        <f>AND(#REF!,"D3Kfrgq1S0g=")</f>
        <v>#REF!</v>
      </c>
      <c r="BV103" t="e">
        <f>AND(#REF!,"D3Kfrgq1S0k=")</f>
        <v>#REF!</v>
      </c>
      <c r="BW103" t="e">
        <f>AND(#REF!,"D3Kfrgq1S0o=")</f>
        <v>#REF!</v>
      </c>
      <c r="BX103" t="e">
        <f>AND(#REF!,"D3Kfrgq1S0s=")</f>
        <v>#REF!</v>
      </c>
      <c r="BY103" t="e">
        <f>AND(#REF!,"D3Kfrgq1S0w=")</f>
        <v>#REF!</v>
      </c>
      <c r="BZ103" t="e">
        <f>AND(#REF!,"D3Kfrgq1S00=")</f>
        <v>#REF!</v>
      </c>
      <c r="CA103" t="e">
        <f>AND(#REF!,"D3Kfrgq1S04=")</f>
        <v>#REF!</v>
      </c>
      <c r="CB103" t="e">
        <f>AND(#REF!,"D3Kfrgq1S08=")</f>
        <v>#REF!</v>
      </c>
      <c r="CC103" t="e">
        <f>AND(#REF!,"D3Kfrgq1S1A=")</f>
        <v>#REF!</v>
      </c>
      <c r="CD103" t="e">
        <f>AND(#REF!,"D3Kfrgq1S1E=")</f>
        <v>#REF!</v>
      </c>
      <c r="CE103" t="e">
        <f>AND(#REF!,"D3Kfrgq1S1I=")</f>
        <v>#REF!</v>
      </c>
      <c r="CF103" t="e">
        <f>AND(#REF!,"D3Kfrgq1S1M=")</f>
        <v>#REF!</v>
      </c>
      <c r="CG103" t="e">
        <f>AND(#REF!,"D3Kfrgq1S1Q=")</f>
        <v>#REF!</v>
      </c>
      <c r="CH103" t="e">
        <f>AND(#REF!,"D3Kfrgq1S1U=")</f>
        <v>#REF!</v>
      </c>
      <c r="CI103" t="e">
        <f>AND(#REF!,"D3Kfrgq1S1Y=")</f>
        <v>#REF!</v>
      </c>
      <c r="CJ103" t="e">
        <f>AND(#REF!,"D3Kfrgq1S1c=")</f>
        <v>#REF!</v>
      </c>
      <c r="CK103" t="e">
        <f>AND(#REF!,"D3Kfrgq1S1g=")</f>
        <v>#REF!</v>
      </c>
      <c r="CL103" t="e">
        <f>AND(#REF!,"D3Kfrgq1S1k=")</f>
        <v>#REF!</v>
      </c>
      <c r="CM103" t="e">
        <f>AND(#REF!,"D3Kfrgq1S1o=")</f>
        <v>#REF!</v>
      </c>
      <c r="CN103" t="e">
        <f>AND(#REF!,"D3Kfrgq1S1s=")</f>
        <v>#REF!</v>
      </c>
      <c r="CO103" t="e">
        <f>AND(#REF!,"D3Kfrgq1S1w=")</f>
        <v>#REF!</v>
      </c>
      <c r="CP103" t="e">
        <f>AND(#REF!,"D3Kfrgq1S10=")</f>
        <v>#REF!</v>
      </c>
      <c r="CQ103" t="e">
        <f>AND(#REF!,"D3Kfrgq1S14=")</f>
        <v>#REF!</v>
      </c>
      <c r="CR103" t="e">
        <f>AND(#REF!,"D3Kfrgq1S18=")</f>
        <v>#REF!</v>
      </c>
      <c r="CS103" t="e">
        <f>AND(#REF!,"D3Kfrgq1S2A=")</f>
        <v>#REF!</v>
      </c>
      <c r="CT103" t="e">
        <f>AND(#REF!,"D3Kfrgq1S2E=")</f>
        <v>#REF!</v>
      </c>
      <c r="CU103" t="e">
        <f>AND(#REF!,"D3Kfrgq1S2I=")</f>
        <v>#REF!</v>
      </c>
      <c r="CV103" t="e">
        <f>AND(#REF!,"D3Kfrgq1S2M=")</f>
        <v>#REF!</v>
      </c>
      <c r="CW103" t="e">
        <f>AND(#REF!,"D3Kfrgq1S2Q=")</f>
        <v>#REF!</v>
      </c>
      <c r="CX103" t="e">
        <f>AND(#REF!,"D3Kfrgq1S2U=")</f>
        <v>#REF!</v>
      </c>
      <c r="CY103" t="e">
        <f>IF(#REF!,"D3Kfrgq1S2Y=",0)</f>
        <v>#REF!</v>
      </c>
      <c r="CZ103" t="e">
        <f>AND(#REF!,"D3Kfrgq1S2c=")</f>
        <v>#REF!</v>
      </c>
      <c r="DA103" t="e">
        <f>AND(#REF!,"D3Kfrgq1S2g=")</f>
        <v>#REF!</v>
      </c>
      <c r="DB103" t="e">
        <f>AND(#REF!,"D3Kfrgq1S2k=")</f>
        <v>#REF!</v>
      </c>
      <c r="DC103" t="e">
        <f>AND(#REF!,"D3Kfrgq1S2o=")</f>
        <v>#REF!</v>
      </c>
      <c r="DD103" t="e">
        <f>AND(#REF!,"D3Kfrgq1S2s=")</f>
        <v>#REF!</v>
      </c>
      <c r="DE103" t="e">
        <f>AND(#REF!,"D3Kfrgq1S2w=")</f>
        <v>#REF!</v>
      </c>
      <c r="DF103" t="e">
        <f>AND(#REF!,"D3Kfrgq1S20=")</f>
        <v>#REF!</v>
      </c>
      <c r="DG103" t="e">
        <f>AND(#REF!,"D3Kfrgq1S24=")</f>
        <v>#REF!</v>
      </c>
      <c r="DH103" t="e">
        <f>AND(#REF!,"D3Kfrgq1S28=")</f>
        <v>#REF!</v>
      </c>
      <c r="DI103" t="e">
        <f>AND(#REF!,"D3Kfrgq1S3A=")</f>
        <v>#REF!</v>
      </c>
      <c r="DJ103" t="e">
        <f>AND(#REF!,"D3Kfrgq1S3E=")</f>
        <v>#REF!</v>
      </c>
      <c r="DK103" t="e">
        <f>AND(#REF!,"D3Kfrgq1S3I=")</f>
        <v>#REF!</v>
      </c>
      <c r="DL103" t="e">
        <f>AND(#REF!,"D3Kfrgq1S3M=")</f>
        <v>#REF!</v>
      </c>
      <c r="DM103" t="e">
        <f>AND(#REF!,"D3Kfrgq1S3Q=")</f>
        <v>#REF!</v>
      </c>
      <c r="DN103" t="e">
        <f>AND(#REF!,"D3Kfrgq1S3U=")</f>
        <v>#REF!</v>
      </c>
      <c r="DO103" t="e">
        <f>AND(#REF!,"D3Kfrgq1S3Y=")</f>
        <v>#REF!</v>
      </c>
      <c r="DP103" t="e">
        <f>AND(#REF!,"D3Kfrgq1S3c=")</f>
        <v>#REF!</v>
      </c>
      <c r="DQ103" t="e">
        <f>AND(#REF!,"D3Kfrgq1S3g=")</f>
        <v>#REF!</v>
      </c>
      <c r="DR103" t="e">
        <f>AND(#REF!,"D3Kfrgq1S3k=")</f>
        <v>#REF!</v>
      </c>
      <c r="DS103" t="e">
        <f>AND(#REF!,"D3Kfrgq1S3o=")</f>
        <v>#REF!</v>
      </c>
      <c r="DT103" t="e">
        <f>AND(#REF!,"D3Kfrgq1S3s=")</f>
        <v>#REF!</v>
      </c>
      <c r="DU103" t="e">
        <f>AND(#REF!,"D3Kfrgq1S3w=")</f>
        <v>#REF!</v>
      </c>
      <c r="DV103" t="e">
        <f>AND(#REF!,"D3Kfrgq1S30=")</f>
        <v>#REF!</v>
      </c>
      <c r="DW103" t="e">
        <f>AND(#REF!,"D3Kfrgq1S34=")</f>
        <v>#REF!</v>
      </c>
      <c r="DX103" t="e">
        <f>AND(#REF!,"D3Kfrgq1S38=")</f>
        <v>#REF!</v>
      </c>
      <c r="DY103" t="e">
        <f>AND(#REF!,"D3Kfrgq1S4A=")</f>
        <v>#REF!</v>
      </c>
      <c r="DZ103" t="e">
        <f>AND(#REF!,"D3Kfrgq1S4E=")</f>
        <v>#REF!</v>
      </c>
      <c r="EA103" t="e">
        <f>AND(#REF!,"D3Kfrgq1S4I=")</f>
        <v>#REF!</v>
      </c>
      <c r="EB103" t="e">
        <f>AND(#REF!,"D3Kfrgq1S4M=")</f>
        <v>#REF!</v>
      </c>
      <c r="EC103" t="e">
        <f>AND(#REF!,"D3Kfrgq1S4Q=")</f>
        <v>#REF!</v>
      </c>
      <c r="ED103" t="e">
        <f>AND(#REF!,"D3Kfrgq1S4U=")</f>
        <v>#REF!</v>
      </c>
      <c r="EE103" t="e">
        <f>AND(#REF!,"D3Kfrgq1S4Y=")</f>
        <v>#REF!</v>
      </c>
      <c r="EF103" t="e">
        <f>AND(#REF!,"D3Kfrgq1S4c=")</f>
        <v>#REF!</v>
      </c>
      <c r="EG103" t="e">
        <f>AND(#REF!,"D3Kfrgq1S4g=")</f>
        <v>#REF!</v>
      </c>
      <c r="EH103" t="e">
        <f>AND(#REF!,"D3Kfrgq1S4k=")</f>
        <v>#REF!</v>
      </c>
      <c r="EI103" t="e">
        <f>AND(#REF!,"D3Kfrgq1S4o=")</f>
        <v>#REF!</v>
      </c>
      <c r="EJ103" t="e">
        <f>AND(#REF!,"D3Kfrgq1S4s=")</f>
        <v>#REF!</v>
      </c>
      <c r="EK103" t="e">
        <f>AND(#REF!,"D3Kfrgq1S4w=")</f>
        <v>#REF!</v>
      </c>
      <c r="EL103" t="e">
        <f>AND(#REF!,"D3Kfrgq1S40=")</f>
        <v>#REF!</v>
      </c>
      <c r="EM103" t="e">
        <f>AND(#REF!,"D3Kfrgq1S44=")</f>
        <v>#REF!</v>
      </c>
      <c r="EN103" t="e">
        <f>AND(#REF!,"D3Kfrgq1S48=")</f>
        <v>#REF!</v>
      </c>
      <c r="EO103" t="e">
        <f>AND(#REF!,"D3Kfrgq1S5A=")</f>
        <v>#REF!</v>
      </c>
      <c r="EP103" t="e">
        <f>AND(#REF!,"D3Kfrgq1S5E=")</f>
        <v>#REF!</v>
      </c>
      <c r="EQ103" t="e">
        <f>AND(#REF!,"D3Kfrgq1S5I=")</f>
        <v>#REF!</v>
      </c>
      <c r="ER103" t="e">
        <f>AND(#REF!,"D3Kfrgq1S5M=")</f>
        <v>#REF!</v>
      </c>
      <c r="ES103" t="e">
        <f>AND(#REF!,"D3Kfrgq1S5Q=")</f>
        <v>#REF!</v>
      </c>
      <c r="ET103" t="e">
        <f>AND(#REF!,"D3Kfrgq1S5U=")</f>
        <v>#REF!</v>
      </c>
      <c r="EU103" t="e">
        <f>AND(#REF!,"D3Kfrgq1S5Y=")</f>
        <v>#REF!</v>
      </c>
      <c r="EV103" t="e">
        <f>AND(#REF!,"D3Kfrgq1S5c=")</f>
        <v>#REF!</v>
      </c>
      <c r="EW103" t="e">
        <f>AND(#REF!,"D3Kfrgq1S5g=")</f>
        <v>#REF!</v>
      </c>
      <c r="EX103" t="e">
        <f>AND(#REF!,"D3Kfrgq1S5k=")</f>
        <v>#REF!</v>
      </c>
      <c r="EY103" t="e">
        <f>AND(#REF!,"D3Kfrgq1S5o=")</f>
        <v>#REF!</v>
      </c>
      <c r="EZ103" t="e">
        <f>AND(#REF!,"D3Kfrgq1S5s=")</f>
        <v>#REF!</v>
      </c>
      <c r="FA103" t="e">
        <f>AND(#REF!,"D3Kfrgq1S5w=")</f>
        <v>#REF!</v>
      </c>
      <c r="FB103" t="e">
        <f>AND(#REF!,"D3Kfrgq1S50=")</f>
        <v>#REF!</v>
      </c>
      <c r="FC103" t="e">
        <f>AND(#REF!,"D3Kfrgq1S54=")</f>
        <v>#REF!</v>
      </c>
      <c r="FD103" t="e">
        <f>AND(#REF!,"D3Kfrgq1S58=")</f>
        <v>#REF!</v>
      </c>
      <c r="FE103" t="e">
        <f>AND(#REF!,"D3Kfrgq1S6A=")</f>
        <v>#REF!</v>
      </c>
      <c r="FF103" t="e">
        <f>AND(#REF!,"D3Kfrgq1S6E=")</f>
        <v>#REF!</v>
      </c>
      <c r="FG103" t="e">
        <f>AND(#REF!,"D3Kfrgq1S6I=")</f>
        <v>#REF!</v>
      </c>
      <c r="FH103" t="e">
        <f>AND(#REF!,"D3Kfrgq1S6M=")</f>
        <v>#REF!</v>
      </c>
      <c r="FI103" t="e">
        <f>AND(#REF!,"D3Kfrgq1S6Q=")</f>
        <v>#REF!</v>
      </c>
      <c r="FJ103" t="e">
        <f>AND(#REF!,"D3Kfrgq1S6U=")</f>
        <v>#REF!</v>
      </c>
      <c r="FK103" t="e">
        <f>AND(#REF!,"D3Kfrgq1S6Y=")</f>
        <v>#REF!</v>
      </c>
      <c r="FL103" t="e">
        <f>AND(#REF!,"D3Kfrgq1S6c=")</f>
        <v>#REF!</v>
      </c>
      <c r="FM103" t="e">
        <f>AND(#REF!,"D3Kfrgq1S6g=")</f>
        <v>#REF!</v>
      </c>
      <c r="FN103" t="e">
        <f>AND(#REF!,"D3Kfrgq1S6k=")</f>
        <v>#REF!</v>
      </c>
      <c r="FO103" t="e">
        <f>AND(#REF!,"D3Kfrgq1S6o=")</f>
        <v>#REF!</v>
      </c>
      <c r="FP103" t="e">
        <f>AND(#REF!,"D3Kfrgq1S6s=")</f>
        <v>#REF!</v>
      </c>
      <c r="FQ103" t="e">
        <f>AND(#REF!,"D3Kfrgq1S6w=")</f>
        <v>#REF!</v>
      </c>
      <c r="FR103" t="e">
        <f>AND(#REF!,"D3Kfrgq1S60=")</f>
        <v>#REF!</v>
      </c>
      <c r="FS103" t="e">
        <f>AND(#REF!,"D3Kfrgq1S64=")</f>
        <v>#REF!</v>
      </c>
      <c r="FT103" t="e">
        <f>AND(#REF!,"D3Kfrgq1S68=")</f>
        <v>#REF!</v>
      </c>
      <c r="FU103" t="e">
        <f>AND(#REF!,"D3Kfrgq1S7A=")</f>
        <v>#REF!</v>
      </c>
      <c r="FV103" t="e">
        <f>AND(#REF!,"D3Kfrgq1S7E=")</f>
        <v>#REF!</v>
      </c>
      <c r="FW103" t="e">
        <f>AND(#REF!,"D3Kfrgq1S7I=")</f>
        <v>#REF!</v>
      </c>
      <c r="FX103" t="e">
        <f>AND(#REF!,"D3Kfrgq1S7M=")</f>
        <v>#REF!</v>
      </c>
      <c r="FY103" t="e">
        <f>AND(#REF!,"D3Kfrgq1S7Q=")</f>
        <v>#REF!</v>
      </c>
      <c r="FZ103" t="e">
        <f>AND(#REF!,"D3Kfrgq1S7U=")</f>
        <v>#REF!</v>
      </c>
      <c r="GA103" t="e">
        <f>AND(#REF!,"D3Kfrgq1S7Y=")</f>
        <v>#REF!</v>
      </c>
      <c r="GB103" t="e">
        <f>AND(#REF!,"D3Kfrgq1S7c=")</f>
        <v>#REF!</v>
      </c>
      <c r="GC103" t="e">
        <f>AND(#REF!,"D3Kfrgq1S7g=")</f>
        <v>#REF!</v>
      </c>
      <c r="GD103" t="e">
        <f>AND(#REF!,"D3Kfrgq1S7k=")</f>
        <v>#REF!</v>
      </c>
      <c r="GE103" t="e">
        <f>AND(#REF!,"D3Kfrgq1S7o=")</f>
        <v>#REF!</v>
      </c>
      <c r="GF103" t="e">
        <f>AND(#REF!,"D3Kfrgq1S7s=")</f>
        <v>#REF!</v>
      </c>
      <c r="GG103" t="e">
        <f>AND(#REF!,"D3Kfrgq1S7w=")</f>
        <v>#REF!</v>
      </c>
      <c r="GH103" t="e">
        <f>AND(#REF!,"D3Kfrgq1S70=")</f>
        <v>#REF!</v>
      </c>
      <c r="GI103" t="e">
        <f>AND(#REF!,"D3Kfrgq1S74=")</f>
        <v>#REF!</v>
      </c>
      <c r="GJ103" t="e">
        <f>AND(#REF!,"D3Kfrgq1S78=")</f>
        <v>#REF!</v>
      </c>
      <c r="GK103" t="e">
        <f>AND(#REF!,"D3Kfrgq1S8A=")</f>
        <v>#REF!</v>
      </c>
      <c r="GL103" t="e">
        <f>AND(#REF!,"D3Kfrgq1S8E=")</f>
        <v>#REF!</v>
      </c>
      <c r="GM103" t="e">
        <f>AND(#REF!,"D3Kfrgq1S8I=")</f>
        <v>#REF!</v>
      </c>
      <c r="GN103" t="e">
        <f>AND(#REF!,"D3Kfrgq1S8M=")</f>
        <v>#REF!</v>
      </c>
      <c r="GO103" t="e">
        <f>AND(#REF!,"D3Kfrgq1S8Q=")</f>
        <v>#REF!</v>
      </c>
      <c r="GP103" t="e">
        <f>AND(#REF!,"D3Kfrgq1S8U=")</f>
        <v>#REF!</v>
      </c>
      <c r="GQ103" t="e">
        <f>AND(#REF!,"D3Kfrgq1S8Y=")</f>
        <v>#REF!</v>
      </c>
      <c r="GR103" t="e">
        <f>AND(#REF!,"D3Kfrgq1S8c=")</f>
        <v>#REF!</v>
      </c>
      <c r="GS103" t="e">
        <f>AND(#REF!,"D3Kfrgq1S8g=")</f>
        <v>#REF!</v>
      </c>
      <c r="GT103" t="e">
        <f>AND(#REF!,"D3Kfrgq1S8k=")</f>
        <v>#REF!</v>
      </c>
      <c r="GU103" t="e">
        <f>AND(#REF!,"D3Kfrgq1S8o=")</f>
        <v>#REF!</v>
      </c>
      <c r="GV103" t="e">
        <f>AND(#REF!,"D3Kfrgq1S8s=")</f>
        <v>#REF!</v>
      </c>
      <c r="GW103" t="e">
        <f>AND(#REF!,"D3Kfrgq1S8w=")</f>
        <v>#REF!</v>
      </c>
      <c r="GX103" t="e">
        <f>AND(#REF!,"D3Kfrgq1S80=")</f>
        <v>#REF!</v>
      </c>
      <c r="GY103" t="e">
        <f>AND(#REF!,"D3Kfrgq1S84=")</f>
        <v>#REF!</v>
      </c>
      <c r="GZ103" t="e">
        <f>AND(#REF!,"D3Kfrgq1S88=")</f>
        <v>#REF!</v>
      </c>
      <c r="HA103" t="e">
        <f>AND(#REF!,"D3Kfrgq1S9A=")</f>
        <v>#REF!</v>
      </c>
      <c r="HB103" t="e">
        <f>AND(#REF!,"D3Kfrgq1S9E=")</f>
        <v>#REF!</v>
      </c>
      <c r="HC103" t="e">
        <f>AND(#REF!,"D3Kfrgq1S9I=")</f>
        <v>#REF!</v>
      </c>
      <c r="HD103" t="e">
        <f>AND(#REF!,"D3Kfrgq1S9M=")</f>
        <v>#REF!</v>
      </c>
      <c r="HE103" t="e">
        <f>AND(#REF!,"D3Kfrgq1S9Q=")</f>
        <v>#REF!</v>
      </c>
      <c r="HF103" t="e">
        <f>AND(#REF!,"D3Kfrgq1S9U=")</f>
        <v>#REF!</v>
      </c>
      <c r="HG103" t="e">
        <f>AND(#REF!,"D3Kfrgq1S9Y=")</f>
        <v>#REF!</v>
      </c>
      <c r="HH103" t="e">
        <f>AND(#REF!,"D3Kfrgq1S9c=")</f>
        <v>#REF!</v>
      </c>
      <c r="HI103" t="e">
        <f>AND(#REF!,"D3Kfrgq1S9g=")</f>
        <v>#REF!</v>
      </c>
      <c r="HJ103" t="e">
        <f>AND(#REF!,"D3Kfrgq1S9k=")</f>
        <v>#REF!</v>
      </c>
      <c r="HK103" t="e">
        <f>AND(#REF!,"D3Kfrgq1S9o=")</f>
        <v>#REF!</v>
      </c>
      <c r="HL103" t="e">
        <f>AND(#REF!,"D3Kfrgq1S9s=")</f>
        <v>#REF!</v>
      </c>
      <c r="HM103" t="e">
        <f>AND(#REF!,"D3Kfrgq1S9w=")</f>
        <v>#REF!</v>
      </c>
      <c r="HN103" t="e">
        <f>AND(#REF!,"D3Kfrgq1S90=")</f>
        <v>#REF!</v>
      </c>
      <c r="HO103" t="e">
        <f>AND(#REF!,"D3Kfrgq1S94=")</f>
        <v>#REF!</v>
      </c>
      <c r="HP103" t="e">
        <f>AND(#REF!,"D3Kfrgq1S98=")</f>
        <v>#REF!</v>
      </c>
      <c r="HQ103" t="e">
        <f>AND(#REF!,"D3Kfrgq1S+A=")</f>
        <v>#REF!</v>
      </c>
      <c r="HR103" t="e">
        <f>AND(#REF!,"D3Kfrgq1S+E=")</f>
        <v>#REF!</v>
      </c>
      <c r="HS103" t="e">
        <f>AND(#REF!,"D3Kfrgq1S+I=")</f>
        <v>#REF!</v>
      </c>
      <c r="HT103" t="e">
        <f>AND(#REF!,"D3Kfrgq1S+M=")</f>
        <v>#REF!</v>
      </c>
      <c r="HU103" t="e">
        <f>AND(#REF!,"D3Kfrgq1S+Q=")</f>
        <v>#REF!</v>
      </c>
      <c r="HV103" t="e">
        <f>AND(#REF!,"D3Kfrgq1S+U=")</f>
        <v>#REF!</v>
      </c>
      <c r="HW103" t="e">
        <f>AND(#REF!,"D3Kfrgq1S+Y=")</f>
        <v>#REF!</v>
      </c>
      <c r="HX103" t="e">
        <f>AND(#REF!,"D3Kfrgq1S+c=")</f>
        <v>#REF!</v>
      </c>
      <c r="HY103" t="e">
        <f>AND(#REF!,"D3Kfrgq1S+g=")</f>
        <v>#REF!</v>
      </c>
      <c r="HZ103" t="e">
        <f>AND(#REF!,"D3Kfrgq1S+k=")</f>
        <v>#REF!</v>
      </c>
      <c r="IA103" t="e">
        <f>AND(#REF!,"D3Kfrgq1S+o=")</f>
        <v>#REF!</v>
      </c>
      <c r="IB103" t="e">
        <f>AND(#REF!,"D3Kfrgq1S+s=")</f>
        <v>#REF!</v>
      </c>
      <c r="IC103" t="e">
        <f>AND(#REF!,"D3Kfrgq1S+w=")</f>
        <v>#REF!</v>
      </c>
      <c r="ID103" t="e">
        <f>AND(#REF!,"D3Kfrgq1S+0=")</f>
        <v>#REF!</v>
      </c>
      <c r="IE103" t="e">
        <f>AND(#REF!,"D3Kfrgq1S+4=")</f>
        <v>#REF!</v>
      </c>
      <c r="IF103" t="e">
        <f>AND(#REF!,"D3Kfrgq1S+8=")</f>
        <v>#REF!</v>
      </c>
      <c r="IG103" t="e">
        <f>AND(#REF!,"D3Kfrgq1S/A=")</f>
        <v>#REF!</v>
      </c>
      <c r="IH103" t="e">
        <f>AND(#REF!,"D3Kfrgq1S/E=")</f>
        <v>#REF!</v>
      </c>
      <c r="II103" t="e">
        <f>AND(#REF!,"D3Kfrgq1S/I=")</f>
        <v>#REF!</v>
      </c>
      <c r="IJ103" t="e">
        <f>AND(#REF!,"D3Kfrgq1S/M=")</f>
        <v>#REF!</v>
      </c>
      <c r="IK103" t="e">
        <f>AND(#REF!,"D3Kfrgq1S/Q=")</f>
        <v>#REF!</v>
      </c>
      <c r="IL103" t="e">
        <f>AND(#REF!,"D3Kfrgq1S/U=")</f>
        <v>#REF!</v>
      </c>
      <c r="IM103" t="e">
        <f>AND(#REF!,"D3Kfrgq1S/Y=")</f>
        <v>#REF!</v>
      </c>
      <c r="IN103" t="e">
        <f>AND(#REF!,"D3Kfrgq1S/c=")</f>
        <v>#REF!</v>
      </c>
      <c r="IO103" t="e">
        <f>AND(#REF!,"D3Kfrgq1S/g=")</f>
        <v>#REF!</v>
      </c>
      <c r="IP103" t="e">
        <f>AND(#REF!,"D3Kfrgq1S/k=")</f>
        <v>#REF!</v>
      </c>
      <c r="IQ103" t="e">
        <f>AND(#REF!,"D3Kfrgq1S/o=")</f>
        <v>#REF!</v>
      </c>
      <c r="IR103" t="e">
        <f>AND(#REF!,"D3Kfrgq1S/s=")</f>
        <v>#REF!</v>
      </c>
      <c r="IS103" t="e">
        <f>AND(#REF!,"D3Kfrgq1S/w=")</f>
        <v>#REF!</v>
      </c>
      <c r="IT103" t="e">
        <f>AND(#REF!,"D3Kfrgq1S/0=")</f>
        <v>#REF!</v>
      </c>
      <c r="IU103" t="e">
        <f>AND(#REF!,"D3Kfrgq1S/4=")</f>
        <v>#REF!</v>
      </c>
      <c r="IV103" t="e">
        <f>AND(#REF!,"D3Kfrgq1S/8=")</f>
        <v>#REF!</v>
      </c>
    </row>
    <row r="104" spans="1:256" x14ac:dyDescent="0.2">
      <c r="A104" t="e">
        <f>AND(#REF!,"QCThhDKZwgA=")</f>
        <v>#REF!</v>
      </c>
      <c r="B104" t="e">
        <f>AND(#REF!,"QCThhDKZwgE=")</f>
        <v>#REF!</v>
      </c>
      <c r="C104" t="e">
        <f>AND(#REF!,"QCThhDKZwgI=")</f>
        <v>#REF!</v>
      </c>
      <c r="D104" t="e">
        <f>AND(#REF!,"QCThhDKZwgM=")</f>
        <v>#REF!</v>
      </c>
      <c r="E104" t="e">
        <f>AND(#REF!,"QCThhDKZwgQ=")</f>
        <v>#REF!</v>
      </c>
      <c r="F104" t="e">
        <f>AND(#REF!,"QCThhDKZwgU=")</f>
        <v>#REF!</v>
      </c>
      <c r="G104" t="e">
        <f>AND(#REF!,"QCThhDKZwgY=")</f>
        <v>#REF!</v>
      </c>
      <c r="H104" t="e">
        <f>AND(#REF!,"QCThhDKZwgc=")</f>
        <v>#REF!</v>
      </c>
      <c r="I104" t="e">
        <f>AND(#REF!,"QCThhDKZwgg=")</f>
        <v>#REF!</v>
      </c>
      <c r="J104" t="e">
        <f>AND(#REF!,"QCThhDKZwgk=")</f>
        <v>#REF!</v>
      </c>
      <c r="K104" t="e">
        <f>AND(#REF!,"QCThhDKZwgo=")</f>
        <v>#REF!</v>
      </c>
      <c r="L104" t="e">
        <f>AND(#REF!,"QCThhDKZwgs=")</f>
        <v>#REF!</v>
      </c>
      <c r="M104" t="e">
        <f>AND(#REF!,"QCThhDKZwgw=")</f>
        <v>#REF!</v>
      </c>
      <c r="N104" t="e">
        <f>AND(#REF!,"QCThhDKZwg0=")</f>
        <v>#REF!</v>
      </c>
      <c r="O104" t="e">
        <f>AND(#REF!,"QCThhDKZwg4=")</f>
        <v>#REF!</v>
      </c>
      <c r="P104" t="e">
        <f>AND(#REF!,"QCThhDKZwg8=")</f>
        <v>#REF!</v>
      </c>
      <c r="Q104" t="e">
        <f>AND(#REF!,"QCThhDKZwhA=")</f>
        <v>#REF!</v>
      </c>
      <c r="R104" t="e">
        <f>AND(#REF!,"QCThhDKZwhE=")</f>
        <v>#REF!</v>
      </c>
      <c r="S104" t="e">
        <f>AND(#REF!,"QCThhDKZwhI=")</f>
        <v>#REF!</v>
      </c>
      <c r="T104" t="e">
        <f>AND(#REF!,"QCThhDKZwhM=")</f>
        <v>#REF!</v>
      </c>
      <c r="U104" t="e">
        <f>AND(#REF!,"QCThhDKZwhQ=")</f>
        <v>#REF!</v>
      </c>
      <c r="V104" t="e">
        <f>AND(#REF!,"QCThhDKZwhU=")</f>
        <v>#REF!</v>
      </c>
      <c r="W104" t="e">
        <f>AND(#REF!,"QCThhDKZwhY=")</f>
        <v>#REF!</v>
      </c>
      <c r="X104" t="e">
        <f>AND(#REF!,"QCThhDKZwhc=")</f>
        <v>#REF!</v>
      </c>
      <c r="Y104" t="e">
        <f>AND(#REF!,"QCThhDKZwhg=")</f>
        <v>#REF!</v>
      </c>
      <c r="Z104" t="e">
        <f>AND(#REF!,"QCThhDKZwhk=")</f>
        <v>#REF!</v>
      </c>
      <c r="AA104" t="e">
        <f>AND(#REF!,"QCThhDKZwho=")</f>
        <v>#REF!</v>
      </c>
      <c r="AB104" t="e">
        <f>AND(#REF!,"QCThhDKZwhs=")</f>
        <v>#REF!</v>
      </c>
      <c r="AC104" t="e">
        <f>AND(#REF!,"QCThhDKZwhw=")</f>
        <v>#REF!</v>
      </c>
      <c r="AD104" t="e">
        <f>AND(#REF!,"QCThhDKZwh0=")</f>
        <v>#REF!</v>
      </c>
      <c r="AE104" t="e">
        <f>AND(#REF!,"QCThhDKZwh4=")</f>
        <v>#REF!</v>
      </c>
      <c r="AF104" t="e">
        <f>AND(#REF!,"QCThhDKZwh8=")</f>
        <v>#REF!</v>
      </c>
      <c r="AG104" t="e">
        <f>AND(#REF!,"QCThhDKZwiA=")</f>
        <v>#REF!</v>
      </c>
      <c r="AH104" t="e">
        <f>AND(#REF!,"QCThhDKZwiE=")</f>
        <v>#REF!</v>
      </c>
      <c r="AI104" t="e">
        <f>AND(#REF!,"QCThhDKZwiI=")</f>
        <v>#REF!</v>
      </c>
      <c r="AJ104" t="e">
        <f>AND(#REF!,"QCThhDKZwiM=")</f>
        <v>#REF!</v>
      </c>
      <c r="AK104" t="e">
        <f>AND(#REF!,"QCThhDKZwiQ=")</f>
        <v>#REF!</v>
      </c>
      <c r="AL104" t="e">
        <f>AND(#REF!,"QCThhDKZwiU=")</f>
        <v>#REF!</v>
      </c>
      <c r="AM104" t="e">
        <f>AND(#REF!,"QCThhDKZwiY=")</f>
        <v>#REF!</v>
      </c>
      <c r="AN104" t="e">
        <f>AND(#REF!,"QCThhDKZwic=")</f>
        <v>#REF!</v>
      </c>
      <c r="AO104" t="e">
        <f>AND(#REF!,"QCThhDKZwig=")</f>
        <v>#REF!</v>
      </c>
      <c r="AP104" t="e">
        <f>AND(#REF!,"QCThhDKZwik=")</f>
        <v>#REF!</v>
      </c>
      <c r="AQ104" t="e">
        <f>AND(#REF!,"QCThhDKZwio=")</f>
        <v>#REF!</v>
      </c>
      <c r="AR104" t="e">
        <f>AND(#REF!,"QCThhDKZwis=")</f>
        <v>#REF!</v>
      </c>
      <c r="AS104" t="e">
        <f>AND(#REF!,"QCThhDKZwiw=")</f>
        <v>#REF!</v>
      </c>
      <c r="AT104" t="e">
        <f>IF(#REF!,"QCThhDKZwi0=",0)</f>
        <v>#REF!</v>
      </c>
      <c r="AU104" t="e">
        <f>AND(#REF!,"QCThhDKZwi4=")</f>
        <v>#REF!</v>
      </c>
      <c r="AV104" t="e">
        <f>AND(#REF!,"QCThhDKZwi8=")</f>
        <v>#REF!</v>
      </c>
      <c r="AW104" t="e">
        <f>AND(#REF!,"QCThhDKZwjA=")</f>
        <v>#REF!</v>
      </c>
      <c r="AX104" t="e">
        <f>AND(#REF!,"QCThhDKZwjE=")</f>
        <v>#REF!</v>
      </c>
      <c r="AY104" t="e">
        <f>AND(#REF!,"QCThhDKZwjI=")</f>
        <v>#REF!</v>
      </c>
      <c r="AZ104" t="e">
        <f>AND(#REF!,"QCThhDKZwjM=")</f>
        <v>#REF!</v>
      </c>
      <c r="BA104" t="e">
        <f>AND(#REF!,"QCThhDKZwjQ=")</f>
        <v>#REF!</v>
      </c>
      <c r="BB104" t="e">
        <f>AND(#REF!,"QCThhDKZwjU=")</f>
        <v>#REF!</v>
      </c>
      <c r="BC104" t="e">
        <f>AND(#REF!,"QCThhDKZwjY=")</f>
        <v>#REF!</v>
      </c>
      <c r="BD104" t="e">
        <f>AND(#REF!,"QCThhDKZwjc=")</f>
        <v>#REF!</v>
      </c>
      <c r="BE104" t="e">
        <f>AND(#REF!,"QCThhDKZwjg=")</f>
        <v>#REF!</v>
      </c>
      <c r="BF104" t="e">
        <f>AND(#REF!,"QCThhDKZwjk=")</f>
        <v>#REF!</v>
      </c>
      <c r="BG104" t="e">
        <f>AND(#REF!,"QCThhDKZwjo=")</f>
        <v>#REF!</v>
      </c>
      <c r="BH104" t="e">
        <f>AND(#REF!,"QCThhDKZwjs=")</f>
        <v>#REF!</v>
      </c>
      <c r="BI104" t="e">
        <f>AND(#REF!,"QCThhDKZwjw=")</f>
        <v>#REF!</v>
      </c>
      <c r="BJ104" t="e">
        <f>AND(#REF!,"QCThhDKZwj0=")</f>
        <v>#REF!</v>
      </c>
      <c r="BK104" t="e">
        <f>AND(#REF!,"QCThhDKZwj4=")</f>
        <v>#REF!</v>
      </c>
      <c r="BL104" t="e">
        <f>AND(#REF!,"QCThhDKZwj8=")</f>
        <v>#REF!</v>
      </c>
      <c r="BM104" t="e">
        <f>AND(#REF!,"QCThhDKZwkA=")</f>
        <v>#REF!</v>
      </c>
      <c r="BN104" t="e">
        <f>AND(#REF!,"QCThhDKZwkE=")</f>
        <v>#REF!</v>
      </c>
      <c r="BO104" t="e">
        <f>AND(#REF!,"QCThhDKZwkI=")</f>
        <v>#REF!</v>
      </c>
      <c r="BP104" t="e">
        <f>AND(#REF!,"QCThhDKZwkM=")</f>
        <v>#REF!</v>
      </c>
      <c r="BQ104" t="e">
        <f>AND(#REF!,"QCThhDKZwkQ=")</f>
        <v>#REF!</v>
      </c>
      <c r="BR104" t="e">
        <f>AND(#REF!,"QCThhDKZwkU=")</f>
        <v>#REF!</v>
      </c>
      <c r="BS104" t="e">
        <f>AND(#REF!,"QCThhDKZwkY=")</f>
        <v>#REF!</v>
      </c>
      <c r="BT104" t="e">
        <f>AND(#REF!,"QCThhDKZwkc=")</f>
        <v>#REF!</v>
      </c>
      <c r="BU104" t="e">
        <f>AND(#REF!,"QCThhDKZwkg=")</f>
        <v>#REF!</v>
      </c>
      <c r="BV104" t="e">
        <f>AND(#REF!,"QCThhDKZwkk=")</f>
        <v>#REF!</v>
      </c>
      <c r="BW104" t="e">
        <f>AND(#REF!,"QCThhDKZwko=")</f>
        <v>#REF!</v>
      </c>
      <c r="BX104" t="e">
        <f>AND(#REF!,"QCThhDKZwks=")</f>
        <v>#REF!</v>
      </c>
      <c r="BY104" t="e">
        <f>AND(#REF!,"QCThhDKZwkw=")</f>
        <v>#REF!</v>
      </c>
      <c r="BZ104" t="e">
        <f>AND(#REF!,"QCThhDKZwk0=")</f>
        <v>#REF!</v>
      </c>
      <c r="CA104" t="e">
        <f>AND(#REF!,"QCThhDKZwk4=")</f>
        <v>#REF!</v>
      </c>
      <c r="CB104" t="e">
        <f>AND(#REF!,"QCThhDKZwk8=")</f>
        <v>#REF!</v>
      </c>
      <c r="CC104" t="e">
        <f>AND(#REF!,"QCThhDKZwlA=")</f>
        <v>#REF!</v>
      </c>
      <c r="CD104" t="e">
        <f>AND(#REF!,"QCThhDKZwlE=")</f>
        <v>#REF!</v>
      </c>
      <c r="CE104" t="e">
        <f>AND(#REF!,"QCThhDKZwlI=")</f>
        <v>#REF!</v>
      </c>
      <c r="CF104" t="e">
        <f>AND(#REF!,"QCThhDKZwlM=")</f>
        <v>#REF!</v>
      </c>
      <c r="CG104" t="e">
        <f>AND(#REF!,"QCThhDKZwlQ=")</f>
        <v>#REF!</v>
      </c>
      <c r="CH104" t="e">
        <f>AND(#REF!,"QCThhDKZwlU=")</f>
        <v>#REF!</v>
      </c>
      <c r="CI104" t="e">
        <f>AND(#REF!,"QCThhDKZwlY=")</f>
        <v>#REF!</v>
      </c>
      <c r="CJ104" t="e">
        <f>AND(#REF!,"QCThhDKZwlc=")</f>
        <v>#REF!</v>
      </c>
      <c r="CK104" t="e">
        <f>AND(#REF!,"QCThhDKZwlg=")</f>
        <v>#REF!</v>
      </c>
      <c r="CL104" t="e">
        <f>AND(#REF!,"QCThhDKZwlk=")</f>
        <v>#REF!</v>
      </c>
      <c r="CM104" t="e">
        <f>AND(#REF!,"QCThhDKZwlo=")</f>
        <v>#REF!</v>
      </c>
      <c r="CN104" t="e">
        <f>AND(#REF!,"QCThhDKZwls=")</f>
        <v>#REF!</v>
      </c>
      <c r="CO104" t="e">
        <f>AND(#REF!,"QCThhDKZwlw=")</f>
        <v>#REF!</v>
      </c>
      <c r="CP104" t="e">
        <f>AND(#REF!,"QCThhDKZwl0=")</f>
        <v>#REF!</v>
      </c>
      <c r="CQ104" t="e">
        <f>AND(#REF!,"QCThhDKZwl4=")</f>
        <v>#REF!</v>
      </c>
      <c r="CR104" t="e">
        <f>AND(#REF!,"QCThhDKZwl8=")</f>
        <v>#REF!</v>
      </c>
      <c r="CS104" t="e">
        <f>AND(#REF!,"QCThhDKZwmA=")</f>
        <v>#REF!</v>
      </c>
      <c r="CT104" t="e">
        <f>AND(#REF!,"QCThhDKZwmE=")</f>
        <v>#REF!</v>
      </c>
      <c r="CU104" t="e">
        <f>AND(#REF!,"QCThhDKZwmI=")</f>
        <v>#REF!</v>
      </c>
      <c r="CV104" t="e">
        <f>AND(#REF!,"QCThhDKZwmM=")</f>
        <v>#REF!</v>
      </c>
      <c r="CW104" t="e">
        <f>AND(#REF!,"QCThhDKZwmQ=")</f>
        <v>#REF!</v>
      </c>
      <c r="CX104" t="e">
        <f>AND(#REF!,"QCThhDKZwmU=")</f>
        <v>#REF!</v>
      </c>
      <c r="CY104" t="e">
        <f>AND(#REF!,"QCThhDKZwmY=")</f>
        <v>#REF!</v>
      </c>
      <c r="CZ104" t="e">
        <f>AND(#REF!,"QCThhDKZwmc=")</f>
        <v>#REF!</v>
      </c>
      <c r="DA104" t="e">
        <f>AND(#REF!,"QCThhDKZwmg=")</f>
        <v>#REF!</v>
      </c>
      <c r="DB104" t="e">
        <f>AND(#REF!,"QCThhDKZwmk=")</f>
        <v>#REF!</v>
      </c>
      <c r="DC104" t="e">
        <f>AND(#REF!,"QCThhDKZwmo=")</f>
        <v>#REF!</v>
      </c>
      <c r="DD104" t="e">
        <f>AND(#REF!,"QCThhDKZwms=")</f>
        <v>#REF!</v>
      </c>
      <c r="DE104" t="e">
        <f>AND(#REF!,"QCThhDKZwmw=")</f>
        <v>#REF!</v>
      </c>
      <c r="DF104" t="e">
        <f>AND(#REF!,"QCThhDKZwm0=")</f>
        <v>#REF!</v>
      </c>
      <c r="DG104" t="e">
        <f>AND(#REF!,"QCThhDKZwm4=")</f>
        <v>#REF!</v>
      </c>
      <c r="DH104" t="e">
        <f>AND(#REF!,"QCThhDKZwm8=")</f>
        <v>#REF!</v>
      </c>
      <c r="DI104" t="e">
        <f>AND(#REF!,"QCThhDKZwnA=")</f>
        <v>#REF!</v>
      </c>
      <c r="DJ104" t="e">
        <f>AND(#REF!,"QCThhDKZwnE=")</f>
        <v>#REF!</v>
      </c>
      <c r="DK104" t="e">
        <f>AND(#REF!,"QCThhDKZwnI=")</f>
        <v>#REF!</v>
      </c>
      <c r="DL104" t="e">
        <f>AND(#REF!,"QCThhDKZwnM=")</f>
        <v>#REF!</v>
      </c>
      <c r="DM104" t="e">
        <f>AND(#REF!,"QCThhDKZwnQ=")</f>
        <v>#REF!</v>
      </c>
      <c r="DN104" t="e">
        <f>AND(#REF!,"QCThhDKZwnU=")</f>
        <v>#REF!</v>
      </c>
      <c r="DO104" t="e">
        <f>AND(#REF!,"QCThhDKZwnY=")</f>
        <v>#REF!</v>
      </c>
      <c r="DP104" t="e">
        <f>AND(#REF!,"QCThhDKZwnc=")</f>
        <v>#REF!</v>
      </c>
      <c r="DQ104" t="e">
        <f>AND(#REF!,"QCThhDKZwng=")</f>
        <v>#REF!</v>
      </c>
      <c r="DR104" t="e">
        <f>AND(#REF!,"QCThhDKZwnk=")</f>
        <v>#REF!</v>
      </c>
      <c r="DS104" t="e">
        <f>AND(#REF!,"QCThhDKZwno=")</f>
        <v>#REF!</v>
      </c>
      <c r="DT104" t="e">
        <f>AND(#REF!,"QCThhDKZwns=")</f>
        <v>#REF!</v>
      </c>
      <c r="DU104" t="e">
        <f>AND(#REF!,"QCThhDKZwnw=")</f>
        <v>#REF!</v>
      </c>
      <c r="DV104" t="e">
        <f>AND(#REF!,"QCThhDKZwn0=")</f>
        <v>#REF!</v>
      </c>
      <c r="DW104" t="e">
        <f>AND(#REF!,"QCThhDKZwn4=")</f>
        <v>#REF!</v>
      </c>
      <c r="DX104" t="e">
        <f>AND(#REF!,"QCThhDKZwn8=")</f>
        <v>#REF!</v>
      </c>
      <c r="DY104" t="e">
        <f>AND(#REF!,"QCThhDKZwoA=")</f>
        <v>#REF!</v>
      </c>
      <c r="DZ104" t="e">
        <f>AND(#REF!,"QCThhDKZwoE=")</f>
        <v>#REF!</v>
      </c>
      <c r="EA104" t="e">
        <f>AND(#REF!,"QCThhDKZwoI=")</f>
        <v>#REF!</v>
      </c>
      <c r="EB104" t="e">
        <f>AND(#REF!,"QCThhDKZwoM=")</f>
        <v>#REF!</v>
      </c>
      <c r="EC104" t="e">
        <f>AND(#REF!,"QCThhDKZwoQ=")</f>
        <v>#REF!</v>
      </c>
      <c r="ED104" t="e">
        <f>AND(#REF!,"QCThhDKZwoU=")</f>
        <v>#REF!</v>
      </c>
      <c r="EE104" t="e">
        <f>AND(#REF!,"QCThhDKZwoY=")</f>
        <v>#REF!</v>
      </c>
      <c r="EF104" t="e">
        <f>AND(#REF!,"QCThhDKZwoc=")</f>
        <v>#REF!</v>
      </c>
      <c r="EG104" t="e">
        <f>AND(#REF!,"QCThhDKZwog=")</f>
        <v>#REF!</v>
      </c>
      <c r="EH104" t="e">
        <f>AND(#REF!,"QCThhDKZwok=")</f>
        <v>#REF!</v>
      </c>
      <c r="EI104" t="e">
        <f>AND(#REF!,"QCThhDKZwoo=")</f>
        <v>#REF!</v>
      </c>
      <c r="EJ104" t="e">
        <f>AND(#REF!,"QCThhDKZwos=")</f>
        <v>#REF!</v>
      </c>
      <c r="EK104" t="e">
        <f>AND(#REF!,"QCThhDKZwow=")</f>
        <v>#REF!</v>
      </c>
      <c r="EL104" t="e">
        <f>AND(#REF!,"QCThhDKZwo0=")</f>
        <v>#REF!</v>
      </c>
      <c r="EM104" t="e">
        <f>AND(#REF!,"QCThhDKZwo4=")</f>
        <v>#REF!</v>
      </c>
      <c r="EN104" t="e">
        <f>AND(#REF!,"QCThhDKZwo8=")</f>
        <v>#REF!</v>
      </c>
      <c r="EO104" t="e">
        <f>AND(#REF!,"QCThhDKZwpA=")</f>
        <v>#REF!</v>
      </c>
      <c r="EP104" t="e">
        <f>AND(#REF!,"QCThhDKZwpE=")</f>
        <v>#REF!</v>
      </c>
      <c r="EQ104" t="e">
        <f>AND(#REF!,"QCThhDKZwpI=")</f>
        <v>#REF!</v>
      </c>
      <c r="ER104" t="e">
        <f>AND(#REF!,"QCThhDKZwpM=")</f>
        <v>#REF!</v>
      </c>
      <c r="ES104" t="e">
        <f>AND(#REF!,"QCThhDKZwpQ=")</f>
        <v>#REF!</v>
      </c>
      <c r="ET104" t="e">
        <f>AND(#REF!,"QCThhDKZwpU=")</f>
        <v>#REF!</v>
      </c>
      <c r="EU104" t="e">
        <f>AND(#REF!,"QCThhDKZwpY=")</f>
        <v>#REF!</v>
      </c>
      <c r="EV104" t="e">
        <f>AND(#REF!,"QCThhDKZwpc=")</f>
        <v>#REF!</v>
      </c>
      <c r="EW104" t="e">
        <f>AND(#REF!,"QCThhDKZwpg=")</f>
        <v>#REF!</v>
      </c>
      <c r="EX104" t="e">
        <f>AND(#REF!,"QCThhDKZwpk=")</f>
        <v>#REF!</v>
      </c>
      <c r="EY104" t="e">
        <f>AND(#REF!,"QCThhDKZwpo=")</f>
        <v>#REF!</v>
      </c>
      <c r="EZ104" t="e">
        <f>AND(#REF!,"QCThhDKZwps=")</f>
        <v>#REF!</v>
      </c>
      <c r="FA104" t="e">
        <f>AND(#REF!,"QCThhDKZwpw=")</f>
        <v>#REF!</v>
      </c>
      <c r="FB104" t="e">
        <f>AND(#REF!,"QCThhDKZwp0=")</f>
        <v>#REF!</v>
      </c>
      <c r="FC104" t="e">
        <f>AND(#REF!,"QCThhDKZwp4=")</f>
        <v>#REF!</v>
      </c>
      <c r="FD104" t="e">
        <f>AND(#REF!,"QCThhDKZwp8=")</f>
        <v>#REF!</v>
      </c>
      <c r="FE104" t="e">
        <f>AND(#REF!,"QCThhDKZwqA=")</f>
        <v>#REF!</v>
      </c>
      <c r="FF104" t="e">
        <f>AND(#REF!,"QCThhDKZwqE=")</f>
        <v>#REF!</v>
      </c>
      <c r="FG104" t="e">
        <f>AND(#REF!,"QCThhDKZwqI=")</f>
        <v>#REF!</v>
      </c>
      <c r="FH104" t="e">
        <f>AND(#REF!,"QCThhDKZwqM=")</f>
        <v>#REF!</v>
      </c>
      <c r="FI104" t="e">
        <f>AND(#REF!,"QCThhDKZwqQ=")</f>
        <v>#REF!</v>
      </c>
      <c r="FJ104" t="e">
        <f>AND(#REF!,"QCThhDKZwqU=")</f>
        <v>#REF!</v>
      </c>
      <c r="FK104" t="e">
        <f>AND(#REF!,"QCThhDKZwqY=")</f>
        <v>#REF!</v>
      </c>
      <c r="FL104" t="e">
        <f>AND(#REF!,"QCThhDKZwqc=")</f>
        <v>#REF!</v>
      </c>
      <c r="FM104" t="e">
        <f>AND(#REF!,"QCThhDKZwqg=")</f>
        <v>#REF!</v>
      </c>
      <c r="FN104" t="e">
        <f>AND(#REF!,"QCThhDKZwqk=")</f>
        <v>#REF!</v>
      </c>
      <c r="FO104" t="e">
        <f>AND(#REF!,"QCThhDKZwqo=")</f>
        <v>#REF!</v>
      </c>
      <c r="FP104" t="e">
        <f>AND(#REF!,"QCThhDKZwqs=")</f>
        <v>#REF!</v>
      </c>
      <c r="FQ104" t="e">
        <f>AND(#REF!,"QCThhDKZwqw=")</f>
        <v>#REF!</v>
      </c>
      <c r="FR104" t="e">
        <f>AND(#REF!,"QCThhDKZwq0=")</f>
        <v>#REF!</v>
      </c>
      <c r="FS104" t="e">
        <f>AND(#REF!,"QCThhDKZwq4=")</f>
        <v>#REF!</v>
      </c>
      <c r="FT104" t="e">
        <f>AND(#REF!,"QCThhDKZwq8=")</f>
        <v>#REF!</v>
      </c>
      <c r="FU104" t="e">
        <f>AND(#REF!,"QCThhDKZwrA=")</f>
        <v>#REF!</v>
      </c>
      <c r="FV104" t="e">
        <f>AND(#REF!,"QCThhDKZwrE=")</f>
        <v>#REF!</v>
      </c>
      <c r="FW104" t="e">
        <f>AND(#REF!,"QCThhDKZwrI=")</f>
        <v>#REF!</v>
      </c>
      <c r="FX104" t="e">
        <f>AND(#REF!,"QCThhDKZwrM=")</f>
        <v>#REF!</v>
      </c>
      <c r="FY104" t="e">
        <f>AND(#REF!,"QCThhDKZwrQ=")</f>
        <v>#REF!</v>
      </c>
      <c r="FZ104" t="e">
        <f>AND(#REF!,"QCThhDKZwrU=")</f>
        <v>#REF!</v>
      </c>
      <c r="GA104" t="e">
        <f>AND(#REF!,"QCThhDKZwrY=")</f>
        <v>#REF!</v>
      </c>
      <c r="GB104" t="e">
        <f>AND(#REF!,"QCThhDKZwrc=")</f>
        <v>#REF!</v>
      </c>
      <c r="GC104" t="e">
        <f>AND(#REF!,"QCThhDKZwrg=")</f>
        <v>#REF!</v>
      </c>
      <c r="GD104" t="e">
        <f>AND(#REF!,"QCThhDKZwrk=")</f>
        <v>#REF!</v>
      </c>
      <c r="GE104" t="e">
        <f>AND(#REF!,"QCThhDKZwro=")</f>
        <v>#REF!</v>
      </c>
      <c r="GF104" t="e">
        <f>AND(#REF!,"QCThhDKZwrs=")</f>
        <v>#REF!</v>
      </c>
      <c r="GG104" t="e">
        <f>AND(#REF!,"QCThhDKZwrw=")</f>
        <v>#REF!</v>
      </c>
      <c r="GH104" t="e">
        <f>AND(#REF!,"QCThhDKZwr0=")</f>
        <v>#REF!</v>
      </c>
      <c r="GI104" t="e">
        <f>AND(#REF!,"QCThhDKZwr4=")</f>
        <v>#REF!</v>
      </c>
      <c r="GJ104" t="e">
        <f>AND(#REF!,"QCThhDKZwr8=")</f>
        <v>#REF!</v>
      </c>
      <c r="GK104" t="e">
        <f>AND(#REF!,"QCThhDKZwsA=")</f>
        <v>#REF!</v>
      </c>
      <c r="GL104" t="e">
        <f>AND(#REF!,"QCThhDKZwsE=")</f>
        <v>#REF!</v>
      </c>
      <c r="GM104" t="e">
        <f>AND(#REF!,"QCThhDKZwsI=")</f>
        <v>#REF!</v>
      </c>
      <c r="GN104" t="e">
        <f>AND(#REF!,"QCThhDKZwsM=")</f>
        <v>#REF!</v>
      </c>
      <c r="GO104" t="e">
        <f>AND(#REF!,"QCThhDKZwsQ=")</f>
        <v>#REF!</v>
      </c>
      <c r="GP104" t="e">
        <f>AND(#REF!,"QCThhDKZwsU=")</f>
        <v>#REF!</v>
      </c>
      <c r="GQ104" t="e">
        <f>AND(#REF!,"QCThhDKZwsY=")</f>
        <v>#REF!</v>
      </c>
      <c r="GR104" t="e">
        <f>AND(#REF!,"QCThhDKZwsc=")</f>
        <v>#REF!</v>
      </c>
      <c r="GS104" t="e">
        <f>AND(#REF!,"QCThhDKZwsg=")</f>
        <v>#REF!</v>
      </c>
      <c r="GT104" t="e">
        <f>AND(#REF!,"QCThhDKZwsk=")</f>
        <v>#REF!</v>
      </c>
      <c r="GU104" t="e">
        <f>AND(#REF!,"QCThhDKZwso=")</f>
        <v>#REF!</v>
      </c>
      <c r="GV104" t="e">
        <f>AND(#REF!,"QCThhDKZwss=")</f>
        <v>#REF!</v>
      </c>
      <c r="GW104" t="e">
        <f>AND(#REF!,"QCThhDKZwsw=")</f>
        <v>#REF!</v>
      </c>
      <c r="GX104" t="e">
        <f>AND(#REF!,"QCThhDKZws0=")</f>
        <v>#REF!</v>
      </c>
      <c r="GY104" t="e">
        <f>AND(#REF!,"QCThhDKZws4=")</f>
        <v>#REF!</v>
      </c>
      <c r="GZ104" t="e">
        <f>AND(#REF!,"QCThhDKZws8=")</f>
        <v>#REF!</v>
      </c>
      <c r="HA104" t="e">
        <f>AND(#REF!,"QCThhDKZwtA=")</f>
        <v>#REF!</v>
      </c>
      <c r="HB104" t="e">
        <f>AND(#REF!,"QCThhDKZwtE=")</f>
        <v>#REF!</v>
      </c>
      <c r="HC104" t="e">
        <f>AND(#REF!,"QCThhDKZwtI=")</f>
        <v>#REF!</v>
      </c>
      <c r="HD104" t="e">
        <f>AND(#REF!,"QCThhDKZwtM=")</f>
        <v>#REF!</v>
      </c>
      <c r="HE104" t="e">
        <f>AND(#REF!,"QCThhDKZwtQ=")</f>
        <v>#REF!</v>
      </c>
      <c r="HF104" t="e">
        <f>AND(#REF!,"QCThhDKZwtU=")</f>
        <v>#REF!</v>
      </c>
      <c r="HG104" t="e">
        <f>AND(#REF!,"QCThhDKZwtY=")</f>
        <v>#REF!</v>
      </c>
      <c r="HH104" t="e">
        <f>AND(#REF!,"QCThhDKZwtc=")</f>
        <v>#REF!</v>
      </c>
      <c r="HI104" t="e">
        <f>AND(#REF!,"QCThhDKZwtg=")</f>
        <v>#REF!</v>
      </c>
      <c r="HJ104" t="e">
        <f>AND(#REF!,"QCThhDKZwtk=")</f>
        <v>#REF!</v>
      </c>
      <c r="HK104" t="e">
        <f>AND(#REF!,"QCThhDKZwto=")</f>
        <v>#REF!</v>
      </c>
      <c r="HL104" t="e">
        <f>AND(#REF!,"QCThhDKZwts=")</f>
        <v>#REF!</v>
      </c>
      <c r="HM104" t="e">
        <f>AND(#REF!,"QCThhDKZwtw=")</f>
        <v>#REF!</v>
      </c>
      <c r="HN104" t="e">
        <f>AND(#REF!,"QCThhDKZwt0=")</f>
        <v>#REF!</v>
      </c>
      <c r="HO104" t="e">
        <f>AND(#REF!,"QCThhDKZwt4=")</f>
        <v>#REF!</v>
      </c>
      <c r="HP104" t="e">
        <f>AND(#REF!,"QCThhDKZwt8=")</f>
        <v>#REF!</v>
      </c>
      <c r="HQ104" t="e">
        <f>AND(#REF!,"QCThhDKZwuA=")</f>
        <v>#REF!</v>
      </c>
      <c r="HR104" t="e">
        <f>AND(#REF!,"QCThhDKZwuE=")</f>
        <v>#REF!</v>
      </c>
      <c r="HS104" t="e">
        <f>AND(#REF!,"QCThhDKZwuI=")</f>
        <v>#REF!</v>
      </c>
      <c r="HT104" t="e">
        <f>AND(#REF!,"QCThhDKZwuM=")</f>
        <v>#REF!</v>
      </c>
      <c r="HU104" t="e">
        <f>AND(#REF!,"QCThhDKZwuQ=")</f>
        <v>#REF!</v>
      </c>
      <c r="HV104" t="e">
        <f>AND(#REF!,"QCThhDKZwuU=")</f>
        <v>#REF!</v>
      </c>
      <c r="HW104" t="e">
        <f>AND(#REF!,"QCThhDKZwuY=")</f>
        <v>#REF!</v>
      </c>
      <c r="HX104" t="e">
        <f>AND(#REF!,"QCThhDKZwuc=")</f>
        <v>#REF!</v>
      </c>
      <c r="HY104" t="e">
        <f>AND(#REF!,"QCThhDKZwug=")</f>
        <v>#REF!</v>
      </c>
      <c r="HZ104" t="e">
        <f>AND(#REF!,"QCThhDKZwuk=")</f>
        <v>#REF!</v>
      </c>
      <c r="IA104" t="e">
        <f>AND(#REF!,"QCThhDKZwuo=")</f>
        <v>#REF!</v>
      </c>
      <c r="IB104" t="e">
        <f>AND(#REF!,"QCThhDKZwus=")</f>
        <v>#REF!</v>
      </c>
      <c r="IC104" t="e">
        <f>AND(#REF!,"QCThhDKZwuw=")</f>
        <v>#REF!</v>
      </c>
      <c r="ID104" t="e">
        <f>AND(#REF!,"QCThhDKZwu0=")</f>
        <v>#REF!</v>
      </c>
      <c r="IE104" t="e">
        <f>AND(#REF!,"QCThhDKZwu4=")</f>
        <v>#REF!</v>
      </c>
      <c r="IF104" t="e">
        <f>AND(#REF!,"QCThhDKZwu8=")</f>
        <v>#REF!</v>
      </c>
      <c r="IG104" t="e">
        <f>AND(#REF!,"QCThhDKZwvA=")</f>
        <v>#REF!</v>
      </c>
      <c r="IH104" t="e">
        <f>AND(#REF!,"QCThhDKZwvE=")</f>
        <v>#REF!</v>
      </c>
      <c r="II104" t="e">
        <f>AND(#REF!,"QCThhDKZwvI=")</f>
        <v>#REF!</v>
      </c>
      <c r="IJ104" t="e">
        <f>AND(#REF!,"QCThhDKZwvM=")</f>
        <v>#REF!</v>
      </c>
      <c r="IK104" t="e">
        <f>IF(#REF!,"QCThhDKZwvQ=",0)</f>
        <v>#REF!</v>
      </c>
      <c r="IL104" t="e">
        <f>AND(#REF!,"QCThhDKZwvU=")</f>
        <v>#REF!</v>
      </c>
      <c r="IM104" t="e">
        <f>AND(#REF!,"QCThhDKZwvY=")</f>
        <v>#REF!</v>
      </c>
      <c r="IN104" t="e">
        <f>AND(#REF!,"QCThhDKZwvc=")</f>
        <v>#REF!</v>
      </c>
      <c r="IO104" t="e">
        <f>AND(#REF!,"QCThhDKZwvg=")</f>
        <v>#REF!</v>
      </c>
      <c r="IP104" t="e">
        <f>AND(#REF!,"QCThhDKZwvk=")</f>
        <v>#REF!</v>
      </c>
      <c r="IQ104" t="e">
        <f>AND(#REF!,"QCThhDKZwvo=")</f>
        <v>#REF!</v>
      </c>
      <c r="IR104" t="e">
        <f>AND(#REF!,"QCThhDKZwvs=")</f>
        <v>#REF!</v>
      </c>
      <c r="IS104" t="e">
        <f>AND(#REF!,"QCThhDKZwvw=")</f>
        <v>#REF!</v>
      </c>
      <c r="IT104" t="e">
        <f>AND(#REF!,"QCThhDKZwv0=")</f>
        <v>#REF!</v>
      </c>
      <c r="IU104" t="e">
        <f>AND(#REF!,"QCThhDKZwv4=")</f>
        <v>#REF!</v>
      </c>
      <c r="IV104" t="e">
        <f>AND(#REF!,"QCThhDKZwv8=")</f>
        <v>#REF!</v>
      </c>
    </row>
    <row r="105" spans="1:256" x14ac:dyDescent="0.2">
      <c r="A105" t="e">
        <f>AND(#REF!,"U08KP2mFgwA=")</f>
        <v>#REF!</v>
      </c>
      <c r="B105" t="e">
        <f>AND(#REF!,"U08KP2mFgwE=")</f>
        <v>#REF!</v>
      </c>
      <c r="C105" t="e">
        <f>AND(#REF!,"U08KP2mFgwI=")</f>
        <v>#REF!</v>
      </c>
      <c r="D105" t="e">
        <f>AND(#REF!,"U08KP2mFgwM=")</f>
        <v>#REF!</v>
      </c>
      <c r="E105" t="e">
        <f>AND(#REF!,"U08KP2mFgwQ=")</f>
        <v>#REF!</v>
      </c>
      <c r="F105" t="e">
        <f>AND(#REF!,"U08KP2mFgwU=")</f>
        <v>#REF!</v>
      </c>
      <c r="G105" t="e">
        <f>AND(#REF!,"U08KP2mFgwY=")</f>
        <v>#REF!</v>
      </c>
      <c r="H105" t="e">
        <f>AND(#REF!,"U08KP2mFgwc=")</f>
        <v>#REF!</v>
      </c>
      <c r="I105" t="e">
        <f>AND(#REF!,"U08KP2mFgwg=")</f>
        <v>#REF!</v>
      </c>
      <c r="J105" t="e">
        <f>AND(#REF!,"U08KP2mFgwk=")</f>
        <v>#REF!</v>
      </c>
      <c r="K105" t="e">
        <f>AND(#REF!,"U08KP2mFgwo=")</f>
        <v>#REF!</v>
      </c>
      <c r="L105" t="e">
        <f>AND(#REF!,"U08KP2mFgws=")</f>
        <v>#REF!</v>
      </c>
      <c r="M105" t="e">
        <f>AND(#REF!,"U08KP2mFgww=")</f>
        <v>#REF!</v>
      </c>
      <c r="N105" t="e">
        <f>AND(#REF!,"U08KP2mFgw0=")</f>
        <v>#REF!</v>
      </c>
      <c r="O105" t="e">
        <f>AND(#REF!,"U08KP2mFgw4=")</f>
        <v>#REF!</v>
      </c>
      <c r="P105" t="e">
        <f>AND(#REF!,"U08KP2mFgw8=")</f>
        <v>#REF!</v>
      </c>
      <c r="Q105" t="e">
        <f>AND(#REF!,"U08KP2mFgxA=")</f>
        <v>#REF!</v>
      </c>
      <c r="R105" t="e">
        <f>AND(#REF!,"U08KP2mFgxE=")</f>
        <v>#REF!</v>
      </c>
      <c r="S105" t="e">
        <f>AND(#REF!,"U08KP2mFgxI=")</f>
        <v>#REF!</v>
      </c>
      <c r="T105" t="e">
        <f>AND(#REF!,"U08KP2mFgxM=")</f>
        <v>#REF!</v>
      </c>
      <c r="U105" t="e">
        <f>AND(#REF!,"U08KP2mFgxQ=")</f>
        <v>#REF!</v>
      </c>
      <c r="V105" t="e">
        <f>AND(#REF!,"U08KP2mFgxU=")</f>
        <v>#REF!</v>
      </c>
      <c r="W105" t="e">
        <f>AND(#REF!,"U08KP2mFgxY=")</f>
        <v>#REF!</v>
      </c>
      <c r="X105" t="e">
        <f>AND(#REF!,"U08KP2mFgxc=")</f>
        <v>#REF!</v>
      </c>
      <c r="Y105" t="e">
        <f>AND(#REF!,"U08KP2mFgxg=")</f>
        <v>#REF!</v>
      </c>
      <c r="Z105" t="e">
        <f>AND(#REF!,"U08KP2mFgxk=")</f>
        <v>#REF!</v>
      </c>
      <c r="AA105" t="e">
        <f>AND(#REF!,"U08KP2mFgxo=")</f>
        <v>#REF!</v>
      </c>
      <c r="AB105" t="e">
        <f>AND(#REF!,"U08KP2mFgxs=")</f>
        <v>#REF!</v>
      </c>
      <c r="AC105" t="e">
        <f>AND(#REF!,"U08KP2mFgxw=")</f>
        <v>#REF!</v>
      </c>
      <c r="AD105" t="e">
        <f>AND(#REF!,"U08KP2mFgx0=")</f>
        <v>#REF!</v>
      </c>
      <c r="AE105" t="e">
        <f>AND(#REF!,"U08KP2mFgx4=")</f>
        <v>#REF!</v>
      </c>
      <c r="AF105" t="e">
        <f>AND(#REF!,"U08KP2mFgx8=")</f>
        <v>#REF!</v>
      </c>
      <c r="AG105" t="e">
        <f>AND(#REF!,"U08KP2mFgyA=")</f>
        <v>#REF!</v>
      </c>
      <c r="AH105" t="e">
        <f>AND(#REF!,"U08KP2mFgyE=")</f>
        <v>#REF!</v>
      </c>
      <c r="AI105" t="e">
        <f>AND(#REF!,"U08KP2mFgyI=")</f>
        <v>#REF!</v>
      </c>
      <c r="AJ105" t="e">
        <f>AND(#REF!,"U08KP2mFgyM=")</f>
        <v>#REF!</v>
      </c>
      <c r="AK105" t="e">
        <f>AND(#REF!,"U08KP2mFgyQ=")</f>
        <v>#REF!</v>
      </c>
      <c r="AL105" t="e">
        <f>AND(#REF!,"U08KP2mFgyU=")</f>
        <v>#REF!</v>
      </c>
      <c r="AM105" t="e">
        <f>AND(#REF!,"U08KP2mFgyY=")</f>
        <v>#REF!</v>
      </c>
      <c r="AN105" t="e">
        <f>AND(#REF!,"U08KP2mFgyc=")</f>
        <v>#REF!</v>
      </c>
      <c r="AO105" t="e">
        <f>AND(#REF!,"U08KP2mFgyg=")</f>
        <v>#REF!</v>
      </c>
      <c r="AP105" t="e">
        <f>AND(#REF!,"U08KP2mFgyk=")</f>
        <v>#REF!</v>
      </c>
      <c r="AQ105" t="e">
        <f>AND(#REF!,"U08KP2mFgyo=")</f>
        <v>#REF!</v>
      </c>
      <c r="AR105" t="e">
        <f>AND(#REF!,"U08KP2mFgys=")</f>
        <v>#REF!</v>
      </c>
      <c r="AS105" t="e">
        <f>AND(#REF!,"U08KP2mFgyw=")</f>
        <v>#REF!</v>
      </c>
      <c r="AT105" t="e">
        <f>AND(#REF!,"U08KP2mFgy0=")</f>
        <v>#REF!</v>
      </c>
      <c r="AU105" t="e">
        <f>AND(#REF!,"U08KP2mFgy4=")</f>
        <v>#REF!</v>
      </c>
      <c r="AV105" t="e">
        <f>AND(#REF!,"U08KP2mFgy8=")</f>
        <v>#REF!</v>
      </c>
      <c r="AW105" t="e">
        <f>AND(#REF!,"U08KP2mFgzA=")</f>
        <v>#REF!</v>
      </c>
      <c r="AX105" t="e">
        <f>AND(#REF!,"U08KP2mFgzE=")</f>
        <v>#REF!</v>
      </c>
      <c r="AY105" t="e">
        <f>AND(#REF!,"U08KP2mFgzI=")</f>
        <v>#REF!</v>
      </c>
      <c r="AZ105" t="e">
        <f>AND(#REF!,"U08KP2mFgzM=")</f>
        <v>#REF!</v>
      </c>
      <c r="BA105" t="e">
        <f>AND(#REF!,"U08KP2mFgzQ=")</f>
        <v>#REF!</v>
      </c>
      <c r="BB105" t="e">
        <f>AND(#REF!,"U08KP2mFgzU=")</f>
        <v>#REF!</v>
      </c>
      <c r="BC105" t="e">
        <f>AND(#REF!,"U08KP2mFgzY=")</f>
        <v>#REF!</v>
      </c>
      <c r="BD105" t="e">
        <f>AND(#REF!,"U08KP2mFgzc=")</f>
        <v>#REF!</v>
      </c>
      <c r="BE105" t="e">
        <f>AND(#REF!,"U08KP2mFgzg=")</f>
        <v>#REF!</v>
      </c>
      <c r="BF105" t="e">
        <f>AND(#REF!,"U08KP2mFgzk=")</f>
        <v>#REF!</v>
      </c>
      <c r="BG105" t="e">
        <f>AND(#REF!,"U08KP2mFgzo=")</f>
        <v>#REF!</v>
      </c>
      <c r="BH105" t="e">
        <f>AND(#REF!,"U08KP2mFgzs=")</f>
        <v>#REF!</v>
      </c>
      <c r="BI105" t="e">
        <f>AND(#REF!,"U08KP2mFgzw=")</f>
        <v>#REF!</v>
      </c>
      <c r="BJ105" t="e">
        <f>AND(#REF!,"U08KP2mFgz0=")</f>
        <v>#REF!</v>
      </c>
      <c r="BK105" t="e">
        <f>AND(#REF!,"U08KP2mFgz4=")</f>
        <v>#REF!</v>
      </c>
      <c r="BL105" t="e">
        <f>AND(#REF!,"U08KP2mFgz8=")</f>
        <v>#REF!</v>
      </c>
      <c r="BM105" t="e">
        <f>AND(#REF!,"U08KP2mFg0A=")</f>
        <v>#REF!</v>
      </c>
      <c r="BN105" t="e">
        <f>AND(#REF!,"U08KP2mFg0E=")</f>
        <v>#REF!</v>
      </c>
      <c r="BO105" t="e">
        <f>AND(#REF!,"U08KP2mFg0I=")</f>
        <v>#REF!</v>
      </c>
      <c r="BP105" t="e">
        <f>AND(#REF!,"U08KP2mFg0M=")</f>
        <v>#REF!</v>
      </c>
      <c r="BQ105" t="e">
        <f>AND(#REF!,"U08KP2mFg0Q=")</f>
        <v>#REF!</v>
      </c>
      <c r="BR105" t="e">
        <f>AND(#REF!,"U08KP2mFg0U=")</f>
        <v>#REF!</v>
      </c>
      <c r="BS105" t="e">
        <f>AND(#REF!,"U08KP2mFg0Y=")</f>
        <v>#REF!</v>
      </c>
      <c r="BT105" t="e">
        <f>AND(#REF!,"U08KP2mFg0c=")</f>
        <v>#REF!</v>
      </c>
      <c r="BU105" t="e">
        <f>AND(#REF!,"U08KP2mFg0g=")</f>
        <v>#REF!</v>
      </c>
      <c r="BV105" t="e">
        <f>AND(#REF!,"U08KP2mFg0k=")</f>
        <v>#REF!</v>
      </c>
      <c r="BW105" t="e">
        <f>AND(#REF!,"U08KP2mFg0o=")</f>
        <v>#REF!</v>
      </c>
      <c r="BX105" t="e">
        <f>AND(#REF!,"U08KP2mFg0s=")</f>
        <v>#REF!</v>
      </c>
      <c r="BY105" t="e">
        <f>AND(#REF!,"U08KP2mFg0w=")</f>
        <v>#REF!</v>
      </c>
      <c r="BZ105" t="e">
        <f>AND(#REF!,"U08KP2mFg00=")</f>
        <v>#REF!</v>
      </c>
      <c r="CA105" t="e">
        <f>AND(#REF!,"U08KP2mFg04=")</f>
        <v>#REF!</v>
      </c>
      <c r="CB105" t="e">
        <f>AND(#REF!,"U08KP2mFg08=")</f>
        <v>#REF!</v>
      </c>
      <c r="CC105" t="e">
        <f>AND(#REF!,"U08KP2mFg1A=")</f>
        <v>#REF!</v>
      </c>
      <c r="CD105" t="e">
        <f>AND(#REF!,"U08KP2mFg1E=")</f>
        <v>#REF!</v>
      </c>
      <c r="CE105" t="e">
        <f>AND(#REF!,"U08KP2mFg1I=")</f>
        <v>#REF!</v>
      </c>
      <c r="CF105" t="e">
        <f>AND(#REF!,"U08KP2mFg1M=")</f>
        <v>#REF!</v>
      </c>
      <c r="CG105" t="e">
        <f>AND(#REF!,"U08KP2mFg1Q=")</f>
        <v>#REF!</v>
      </c>
      <c r="CH105" t="e">
        <f>AND(#REF!,"U08KP2mFg1U=")</f>
        <v>#REF!</v>
      </c>
      <c r="CI105" t="e">
        <f>AND(#REF!,"U08KP2mFg1Y=")</f>
        <v>#REF!</v>
      </c>
      <c r="CJ105" t="e">
        <f>AND(#REF!,"U08KP2mFg1c=")</f>
        <v>#REF!</v>
      </c>
      <c r="CK105" t="e">
        <f>AND(#REF!,"U08KP2mFg1g=")</f>
        <v>#REF!</v>
      </c>
      <c r="CL105" t="e">
        <f>AND(#REF!,"U08KP2mFg1k=")</f>
        <v>#REF!</v>
      </c>
      <c r="CM105" t="e">
        <f>AND(#REF!,"U08KP2mFg1o=")</f>
        <v>#REF!</v>
      </c>
      <c r="CN105" t="e">
        <f>AND(#REF!,"U08KP2mFg1s=")</f>
        <v>#REF!</v>
      </c>
      <c r="CO105" t="e">
        <f>AND(#REF!,"U08KP2mFg1w=")</f>
        <v>#REF!</v>
      </c>
      <c r="CP105" t="e">
        <f>AND(#REF!,"U08KP2mFg10=")</f>
        <v>#REF!</v>
      </c>
      <c r="CQ105" t="e">
        <f>AND(#REF!,"U08KP2mFg14=")</f>
        <v>#REF!</v>
      </c>
      <c r="CR105" t="e">
        <f>AND(#REF!,"U08KP2mFg18=")</f>
        <v>#REF!</v>
      </c>
      <c r="CS105" t="e">
        <f>AND(#REF!,"U08KP2mFg2A=")</f>
        <v>#REF!</v>
      </c>
      <c r="CT105" t="e">
        <f>AND(#REF!,"U08KP2mFg2E=")</f>
        <v>#REF!</v>
      </c>
      <c r="CU105" t="e">
        <f>AND(#REF!,"U08KP2mFg2I=")</f>
        <v>#REF!</v>
      </c>
      <c r="CV105" t="e">
        <f>AND(#REF!,"U08KP2mFg2M=")</f>
        <v>#REF!</v>
      </c>
      <c r="CW105" t="e">
        <f>AND(#REF!,"U08KP2mFg2Q=")</f>
        <v>#REF!</v>
      </c>
      <c r="CX105" t="e">
        <f>AND(#REF!,"U08KP2mFg2U=")</f>
        <v>#REF!</v>
      </c>
      <c r="CY105" t="e">
        <f>AND(#REF!,"U08KP2mFg2Y=")</f>
        <v>#REF!</v>
      </c>
      <c r="CZ105" t="e">
        <f>AND(#REF!,"U08KP2mFg2c=")</f>
        <v>#REF!</v>
      </c>
      <c r="DA105" t="e">
        <f>AND(#REF!,"U08KP2mFg2g=")</f>
        <v>#REF!</v>
      </c>
      <c r="DB105" t="e">
        <f>AND(#REF!,"U08KP2mFg2k=")</f>
        <v>#REF!</v>
      </c>
      <c r="DC105" t="e">
        <f>AND(#REF!,"U08KP2mFg2o=")</f>
        <v>#REF!</v>
      </c>
      <c r="DD105" t="e">
        <f>AND(#REF!,"U08KP2mFg2s=")</f>
        <v>#REF!</v>
      </c>
      <c r="DE105" t="e">
        <f>AND(#REF!,"U08KP2mFg2w=")</f>
        <v>#REF!</v>
      </c>
      <c r="DF105" t="e">
        <f>AND(#REF!,"U08KP2mFg20=")</f>
        <v>#REF!</v>
      </c>
      <c r="DG105" t="e">
        <f>AND(#REF!,"U08KP2mFg24=")</f>
        <v>#REF!</v>
      </c>
      <c r="DH105" t="e">
        <f>AND(#REF!,"U08KP2mFg28=")</f>
        <v>#REF!</v>
      </c>
      <c r="DI105" t="e">
        <f>AND(#REF!,"U08KP2mFg3A=")</f>
        <v>#REF!</v>
      </c>
      <c r="DJ105" t="e">
        <f>AND(#REF!,"U08KP2mFg3E=")</f>
        <v>#REF!</v>
      </c>
      <c r="DK105" t="e">
        <f>AND(#REF!,"U08KP2mFg3I=")</f>
        <v>#REF!</v>
      </c>
      <c r="DL105" t="e">
        <f>AND(#REF!,"U08KP2mFg3M=")</f>
        <v>#REF!</v>
      </c>
      <c r="DM105" t="e">
        <f>AND(#REF!,"U08KP2mFg3Q=")</f>
        <v>#REF!</v>
      </c>
      <c r="DN105" t="e">
        <f>AND(#REF!,"U08KP2mFg3U=")</f>
        <v>#REF!</v>
      </c>
      <c r="DO105" t="e">
        <f>AND(#REF!,"U08KP2mFg3Y=")</f>
        <v>#REF!</v>
      </c>
      <c r="DP105" t="e">
        <f>AND(#REF!,"U08KP2mFg3c=")</f>
        <v>#REF!</v>
      </c>
      <c r="DQ105" t="e">
        <f>AND(#REF!,"U08KP2mFg3g=")</f>
        <v>#REF!</v>
      </c>
      <c r="DR105" t="e">
        <f>AND(#REF!,"U08KP2mFg3k=")</f>
        <v>#REF!</v>
      </c>
      <c r="DS105" t="e">
        <f>AND(#REF!,"U08KP2mFg3o=")</f>
        <v>#REF!</v>
      </c>
      <c r="DT105" t="e">
        <f>AND(#REF!,"U08KP2mFg3s=")</f>
        <v>#REF!</v>
      </c>
      <c r="DU105" t="e">
        <f>AND(#REF!,"U08KP2mFg3w=")</f>
        <v>#REF!</v>
      </c>
      <c r="DV105" t="e">
        <f>AND(#REF!,"U08KP2mFg30=")</f>
        <v>#REF!</v>
      </c>
      <c r="DW105" t="e">
        <f>AND(#REF!,"U08KP2mFg34=")</f>
        <v>#REF!</v>
      </c>
      <c r="DX105" t="e">
        <f>AND(#REF!,"U08KP2mFg38=")</f>
        <v>#REF!</v>
      </c>
      <c r="DY105" t="e">
        <f>AND(#REF!,"U08KP2mFg4A=")</f>
        <v>#REF!</v>
      </c>
      <c r="DZ105" t="e">
        <f>AND(#REF!,"U08KP2mFg4E=")</f>
        <v>#REF!</v>
      </c>
      <c r="EA105" t="e">
        <f>AND(#REF!,"U08KP2mFg4I=")</f>
        <v>#REF!</v>
      </c>
      <c r="EB105" t="e">
        <f>AND(#REF!,"U08KP2mFg4M=")</f>
        <v>#REF!</v>
      </c>
      <c r="EC105" t="e">
        <f>AND(#REF!,"U08KP2mFg4Q=")</f>
        <v>#REF!</v>
      </c>
      <c r="ED105" t="e">
        <f>AND(#REF!,"U08KP2mFg4U=")</f>
        <v>#REF!</v>
      </c>
      <c r="EE105" t="e">
        <f>AND(#REF!,"U08KP2mFg4Y=")</f>
        <v>#REF!</v>
      </c>
      <c r="EF105" t="e">
        <f>AND(#REF!,"U08KP2mFg4c=")</f>
        <v>#REF!</v>
      </c>
      <c r="EG105" t="e">
        <f>AND(#REF!,"U08KP2mFg4g=")</f>
        <v>#REF!</v>
      </c>
      <c r="EH105" t="e">
        <f>AND(#REF!,"U08KP2mFg4k=")</f>
        <v>#REF!</v>
      </c>
      <c r="EI105" t="e">
        <f>AND(#REF!,"U08KP2mFg4o=")</f>
        <v>#REF!</v>
      </c>
      <c r="EJ105" t="e">
        <f>AND(#REF!,"U08KP2mFg4s=")</f>
        <v>#REF!</v>
      </c>
      <c r="EK105" t="e">
        <f>AND(#REF!,"U08KP2mFg4w=")</f>
        <v>#REF!</v>
      </c>
      <c r="EL105" t="e">
        <f>AND(#REF!,"U08KP2mFg40=")</f>
        <v>#REF!</v>
      </c>
      <c r="EM105" t="e">
        <f>AND(#REF!,"U08KP2mFg44=")</f>
        <v>#REF!</v>
      </c>
      <c r="EN105" t="e">
        <f>AND(#REF!,"U08KP2mFg48=")</f>
        <v>#REF!</v>
      </c>
      <c r="EO105" t="e">
        <f>AND(#REF!,"U08KP2mFg5A=")</f>
        <v>#REF!</v>
      </c>
      <c r="EP105" t="e">
        <f>AND(#REF!,"U08KP2mFg5E=")</f>
        <v>#REF!</v>
      </c>
      <c r="EQ105" t="e">
        <f>AND(#REF!,"U08KP2mFg5I=")</f>
        <v>#REF!</v>
      </c>
      <c r="ER105" t="e">
        <f>AND(#REF!,"U08KP2mFg5M=")</f>
        <v>#REF!</v>
      </c>
      <c r="ES105" t="e">
        <f>AND(#REF!,"U08KP2mFg5Q=")</f>
        <v>#REF!</v>
      </c>
      <c r="ET105" t="e">
        <f>AND(#REF!,"U08KP2mFg5U=")</f>
        <v>#REF!</v>
      </c>
      <c r="EU105" t="e">
        <f>AND(#REF!,"U08KP2mFg5Y=")</f>
        <v>#REF!</v>
      </c>
      <c r="EV105" t="e">
        <f>AND(#REF!,"U08KP2mFg5c=")</f>
        <v>#REF!</v>
      </c>
      <c r="EW105" t="e">
        <f>AND(#REF!,"U08KP2mFg5g=")</f>
        <v>#REF!</v>
      </c>
      <c r="EX105" t="e">
        <f>AND(#REF!,"U08KP2mFg5k=")</f>
        <v>#REF!</v>
      </c>
      <c r="EY105" t="e">
        <f>AND(#REF!,"U08KP2mFg5o=")</f>
        <v>#REF!</v>
      </c>
      <c r="EZ105" t="e">
        <f>AND(#REF!,"U08KP2mFg5s=")</f>
        <v>#REF!</v>
      </c>
      <c r="FA105" t="e">
        <f>AND(#REF!,"U08KP2mFg5w=")</f>
        <v>#REF!</v>
      </c>
      <c r="FB105" t="e">
        <f>AND(#REF!,"U08KP2mFg50=")</f>
        <v>#REF!</v>
      </c>
      <c r="FC105" t="e">
        <f>AND(#REF!,"U08KP2mFg54=")</f>
        <v>#REF!</v>
      </c>
      <c r="FD105" t="e">
        <f>AND(#REF!,"U08KP2mFg58=")</f>
        <v>#REF!</v>
      </c>
      <c r="FE105" t="e">
        <f>AND(#REF!,"U08KP2mFg6A=")</f>
        <v>#REF!</v>
      </c>
      <c r="FF105" t="e">
        <f>AND(#REF!,"U08KP2mFg6E=")</f>
        <v>#REF!</v>
      </c>
      <c r="FG105" t="e">
        <f>AND(#REF!,"U08KP2mFg6I=")</f>
        <v>#REF!</v>
      </c>
      <c r="FH105" t="e">
        <f>AND(#REF!,"U08KP2mFg6M=")</f>
        <v>#REF!</v>
      </c>
      <c r="FI105" t="e">
        <f>AND(#REF!,"U08KP2mFg6Q=")</f>
        <v>#REF!</v>
      </c>
      <c r="FJ105" t="e">
        <f>AND(#REF!,"U08KP2mFg6U=")</f>
        <v>#REF!</v>
      </c>
      <c r="FK105" t="e">
        <f>AND(#REF!,"U08KP2mFg6Y=")</f>
        <v>#REF!</v>
      </c>
      <c r="FL105" t="e">
        <f>AND(#REF!,"U08KP2mFg6c=")</f>
        <v>#REF!</v>
      </c>
      <c r="FM105" t="e">
        <f>AND(#REF!,"U08KP2mFg6g=")</f>
        <v>#REF!</v>
      </c>
      <c r="FN105" t="e">
        <f>AND(#REF!,"U08KP2mFg6k=")</f>
        <v>#REF!</v>
      </c>
      <c r="FO105" t="e">
        <f>AND(#REF!,"U08KP2mFg6o=")</f>
        <v>#REF!</v>
      </c>
      <c r="FP105" t="e">
        <f>AND(#REF!,"U08KP2mFg6s=")</f>
        <v>#REF!</v>
      </c>
      <c r="FQ105" t="e">
        <f>AND(#REF!,"U08KP2mFg6w=")</f>
        <v>#REF!</v>
      </c>
      <c r="FR105" t="e">
        <f>AND(#REF!,"U08KP2mFg60=")</f>
        <v>#REF!</v>
      </c>
      <c r="FS105" t="e">
        <f>AND(#REF!,"U08KP2mFg64=")</f>
        <v>#REF!</v>
      </c>
      <c r="FT105" t="e">
        <f>AND(#REF!,"U08KP2mFg68=")</f>
        <v>#REF!</v>
      </c>
      <c r="FU105" t="e">
        <f>AND(#REF!,"U08KP2mFg7A=")</f>
        <v>#REF!</v>
      </c>
      <c r="FV105" t="e">
        <f>AND(#REF!,"U08KP2mFg7E=")</f>
        <v>#REF!</v>
      </c>
      <c r="FW105" t="e">
        <f>AND(#REF!,"U08KP2mFg7I=")</f>
        <v>#REF!</v>
      </c>
      <c r="FX105" t="e">
        <f>AND(#REF!,"U08KP2mFg7M=")</f>
        <v>#REF!</v>
      </c>
      <c r="FY105" t="e">
        <f>AND(#REF!,"U08KP2mFg7Q=")</f>
        <v>#REF!</v>
      </c>
      <c r="FZ105" t="e">
        <f>AND(#REF!,"U08KP2mFg7U=")</f>
        <v>#REF!</v>
      </c>
      <c r="GA105" t="e">
        <f>AND(#REF!,"U08KP2mFg7Y=")</f>
        <v>#REF!</v>
      </c>
      <c r="GB105" t="e">
        <f>AND(#REF!,"U08KP2mFg7c=")</f>
        <v>#REF!</v>
      </c>
      <c r="GC105" t="e">
        <f>AND(#REF!,"U08KP2mFg7g=")</f>
        <v>#REF!</v>
      </c>
      <c r="GD105" t="e">
        <f>AND(#REF!,"U08KP2mFg7k=")</f>
        <v>#REF!</v>
      </c>
      <c r="GE105" t="e">
        <f>AND(#REF!,"U08KP2mFg7o=")</f>
        <v>#REF!</v>
      </c>
      <c r="GF105" t="e">
        <f>IF(#REF!,"U08KP2mFg7s=",0)</f>
        <v>#REF!</v>
      </c>
      <c r="GG105" t="e">
        <f>AND(#REF!,"U08KP2mFg7w=")</f>
        <v>#REF!</v>
      </c>
      <c r="GH105" t="e">
        <f>AND(#REF!,"U08KP2mFg70=")</f>
        <v>#REF!</v>
      </c>
      <c r="GI105" t="e">
        <f>AND(#REF!,"U08KP2mFg74=")</f>
        <v>#REF!</v>
      </c>
      <c r="GJ105" t="e">
        <f>AND(#REF!,"U08KP2mFg78=")</f>
        <v>#REF!</v>
      </c>
      <c r="GK105" t="e">
        <f>AND(#REF!,"U08KP2mFg8A=")</f>
        <v>#REF!</v>
      </c>
      <c r="GL105" t="e">
        <f>AND(#REF!,"U08KP2mFg8E=")</f>
        <v>#REF!</v>
      </c>
      <c r="GM105" t="e">
        <f>AND(#REF!,"U08KP2mFg8I=")</f>
        <v>#REF!</v>
      </c>
      <c r="GN105" t="e">
        <f>AND(#REF!,"U08KP2mFg8M=")</f>
        <v>#REF!</v>
      </c>
      <c r="GO105" t="e">
        <f>AND(#REF!,"U08KP2mFg8Q=")</f>
        <v>#REF!</v>
      </c>
      <c r="GP105" t="e">
        <f>AND(#REF!,"U08KP2mFg8U=")</f>
        <v>#REF!</v>
      </c>
      <c r="GQ105" t="e">
        <f>AND(#REF!,"U08KP2mFg8Y=")</f>
        <v>#REF!</v>
      </c>
      <c r="GR105" t="e">
        <f>AND(#REF!,"U08KP2mFg8c=")</f>
        <v>#REF!</v>
      </c>
      <c r="GS105" t="e">
        <f>AND(#REF!,"U08KP2mFg8g=")</f>
        <v>#REF!</v>
      </c>
      <c r="GT105" t="e">
        <f>AND(#REF!,"U08KP2mFg8k=")</f>
        <v>#REF!</v>
      </c>
      <c r="GU105" t="e">
        <f>AND(#REF!,"U08KP2mFg8o=")</f>
        <v>#REF!</v>
      </c>
      <c r="GV105" t="e">
        <f>AND(#REF!,"U08KP2mFg8s=")</f>
        <v>#REF!</v>
      </c>
      <c r="GW105" t="e">
        <f>AND(#REF!,"U08KP2mFg8w=")</f>
        <v>#REF!</v>
      </c>
      <c r="GX105" t="e">
        <f>AND(#REF!,"U08KP2mFg80=")</f>
        <v>#REF!</v>
      </c>
      <c r="GY105" t="e">
        <f>AND(#REF!,"U08KP2mFg84=")</f>
        <v>#REF!</v>
      </c>
      <c r="GZ105" t="e">
        <f>AND(#REF!,"U08KP2mFg88=")</f>
        <v>#REF!</v>
      </c>
      <c r="HA105" t="e">
        <f>AND(#REF!,"U08KP2mFg9A=")</f>
        <v>#REF!</v>
      </c>
      <c r="HB105" t="e">
        <f>AND(#REF!,"U08KP2mFg9E=")</f>
        <v>#REF!</v>
      </c>
      <c r="HC105" t="e">
        <f>AND(#REF!,"U08KP2mFg9I=")</f>
        <v>#REF!</v>
      </c>
      <c r="HD105" t="e">
        <f>AND(#REF!,"U08KP2mFg9M=")</f>
        <v>#REF!</v>
      </c>
      <c r="HE105" t="e">
        <f>AND(#REF!,"U08KP2mFg9Q=")</f>
        <v>#REF!</v>
      </c>
      <c r="HF105" t="e">
        <f>AND(#REF!,"U08KP2mFg9U=")</f>
        <v>#REF!</v>
      </c>
      <c r="HG105" t="e">
        <f>AND(#REF!,"U08KP2mFg9Y=")</f>
        <v>#REF!</v>
      </c>
      <c r="HH105" t="e">
        <f>AND(#REF!,"U08KP2mFg9c=")</f>
        <v>#REF!</v>
      </c>
      <c r="HI105" t="e">
        <f>AND(#REF!,"U08KP2mFg9g=")</f>
        <v>#REF!</v>
      </c>
      <c r="HJ105" t="e">
        <f>AND(#REF!,"U08KP2mFg9k=")</f>
        <v>#REF!</v>
      </c>
      <c r="HK105" t="e">
        <f>AND(#REF!,"U08KP2mFg9o=")</f>
        <v>#REF!</v>
      </c>
      <c r="HL105" t="e">
        <f>AND(#REF!,"U08KP2mFg9s=")</f>
        <v>#REF!</v>
      </c>
      <c r="HM105" t="e">
        <f>AND(#REF!,"U08KP2mFg9w=")</f>
        <v>#REF!</v>
      </c>
      <c r="HN105" t="e">
        <f>AND(#REF!,"U08KP2mFg90=")</f>
        <v>#REF!</v>
      </c>
      <c r="HO105" t="e">
        <f>AND(#REF!,"U08KP2mFg94=")</f>
        <v>#REF!</v>
      </c>
      <c r="HP105" t="e">
        <f>AND(#REF!,"U08KP2mFg98=")</f>
        <v>#REF!</v>
      </c>
      <c r="HQ105" t="e">
        <f>AND(#REF!,"U08KP2mFg+A=")</f>
        <v>#REF!</v>
      </c>
      <c r="HR105" t="e">
        <f>AND(#REF!,"U08KP2mFg+E=")</f>
        <v>#REF!</v>
      </c>
      <c r="HS105" t="e">
        <f>AND(#REF!,"U08KP2mFg+I=")</f>
        <v>#REF!</v>
      </c>
      <c r="HT105" t="e">
        <f>AND(#REF!,"U08KP2mFg+M=")</f>
        <v>#REF!</v>
      </c>
      <c r="HU105" t="e">
        <f>AND(#REF!,"U08KP2mFg+Q=")</f>
        <v>#REF!</v>
      </c>
      <c r="HV105" t="e">
        <f>AND(#REF!,"U08KP2mFg+U=")</f>
        <v>#REF!</v>
      </c>
      <c r="HW105" t="e">
        <f>AND(#REF!,"U08KP2mFg+Y=")</f>
        <v>#REF!</v>
      </c>
      <c r="HX105" t="e">
        <f>AND(#REF!,"U08KP2mFg+c=")</f>
        <v>#REF!</v>
      </c>
      <c r="HY105" t="e">
        <f>AND(#REF!,"U08KP2mFg+g=")</f>
        <v>#REF!</v>
      </c>
      <c r="HZ105" t="e">
        <f>AND(#REF!,"U08KP2mFg+k=")</f>
        <v>#REF!</v>
      </c>
      <c r="IA105" t="e">
        <f>AND(#REF!,"U08KP2mFg+o=")</f>
        <v>#REF!</v>
      </c>
      <c r="IB105" t="e">
        <f>AND(#REF!,"U08KP2mFg+s=")</f>
        <v>#REF!</v>
      </c>
      <c r="IC105" t="e">
        <f>AND(#REF!,"U08KP2mFg+w=")</f>
        <v>#REF!</v>
      </c>
      <c r="ID105" t="e">
        <f>AND(#REF!,"U08KP2mFg+0=")</f>
        <v>#REF!</v>
      </c>
      <c r="IE105" t="e">
        <f>AND(#REF!,"U08KP2mFg+4=")</f>
        <v>#REF!</v>
      </c>
      <c r="IF105" t="e">
        <f>AND(#REF!,"U08KP2mFg+8=")</f>
        <v>#REF!</v>
      </c>
      <c r="IG105" t="e">
        <f>AND(#REF!,"U08KP2mFg/A=")</f>
        <v>#REF!</v>
      </c>
      <c r="IH105" t="e">
        <f>AND(#REF!,"U08KP2mFg/E=")</f>
        <v>#REF!</v>
      </c>
      <c r="II105" t="e">
        <f>AND(#REF!,"U08KP2mFg/I=")</f>
        <v>#REF!</v>
      </c>
      <c r="IJ105" t="e">
        <f>AND(#REF!,"U08KP2mFg/M=")</f>
        <v>#REF!</v>
      </c>
      <c r="IK105" t="e">
        <f>AND(#REF!,"U08KP2mFg/Q=")</f>
        <v>#REF!</v>
      </c>
      <c r="IL105" t="e">
        <f>AND(#REF!,"U08KP2mFg/U=")</f>
        <v>#REF!</v>
      </c>
      <c r="IM105" t="e">
        <f>AND(#REF!,"U08KP2mFg/Y=")</f>
        <v>#REF!</v>
      </c>
      <c r="IN105" t="e">
        <f>AND(#REF!,"U08KP2mFg/c=")</f>
        <v>#REF!</v>
      </c>
      <c r="IO105" t="e">
        <f>AND(#REF!,"U08KP2mFg/g=")</f>
        <v>#REF!</v>
      </c>
      <c r="IP105" t="e">
        <f>AND(#REF!,"U08KP2mFg/k=")</f>
        <v>#REF!</v>
      </c>
      <c r="IQ105" t="e">
        <f>AND(#REF!,"U08KP2mFg/o=")</f>
        <v>#REF!</v>
      </c>
      <c r="IR105" t="e">
        <f>AND(#REF!,"U08KP2mFg/s=")</f>
        <v>#REF!</v>
      </c>
      <c r="IS105" t="e">
        <f>AND(#REF!,"U08KP2mFg/w=")</f>
        <v>#REF!</v>
      </c>
      <c r="IT105" t="e">
        <f>AND(#REF!,"U08KP2mFg/0=")</f>
        <v>#REF!</v>
      </c>
      <c r="IU105" t="e">
        <f>AND(#REF!,"U08KP2mFg/4=")</f>
        <v>#REF!</v>
      </c>
      <c r="IV105" t="e">
        <f>AND(#REF!,"U08KP2mFg/8=")</f>
        <v>#REF!</v>
      </c>
    </row>
    <row r="106" spans="1:256" x14ac:dyDescent="0.2">
      <c r="A106" t="e">
        <f>AND(#REF!,"J5LsIjiTfQA=")</f>
        <v>#REF!</v>
      </c>
      <c r="B106" t="e">
        <f>AND(#REF!,"J5LsIjiTfQE=")</f>
        <v>#REF!</v>
      </c>
      <c r="C106" t="e">
        <f>AND(#REF!,"J5LsIjiTfQI=")</f>
        <v>#REF!</v>
      </c>
      <c r="D106" t="e">
        <f>AND(#REF!,"J5LsIjiTfQM=")</f>
        <v>#REF!</v>
      </c>
      <c r="E106" t="e">
        <f>AND(#REF!,"J5LsIjiTfQQ=")</f>
        <v>#REF!</v>
      </c>
      <c r="F106" t="e">
        <f>AND(#REF!,"J5LsIjiTfQU=")</f>
        <v>#REF!</v>
      </c>
      <c r="G106" t="e">
        <f>AND(#REF!,"J5LsIjiTfQY=")</f>
        <v>#REF!</v>
      </c>
      <c r="H106" t="e">
        <f>AND(#REF!,"J5LsIjiTfQc=")</f>
        <v>#REF!</v>
      </c>
      <c r="I106" t="e">
        <f>AND(#REF!,"J5LsIjiTfQg=")</f>
        <v>#REF!</v>
      </c>
      <c r="J106" t="e">
        <f>AND(#REF!,"J5LsIjiTfQk=")</f>
        <v>#REF!</v>
      </c>
      <c r="K106" t="e">
        <f>AND(#REF!,"J5LsIjiTfQo=")</f>
        <v>#REF!</v>
      </c>
      <c r="L106" t="e">
        <f>AND(#REF!,"J5LsIjiTfQs=")</f>
        <v>#REF!</v>
      </c>
      <c r="M106" t="e">
        <f>AND(#REF!,"J5LsIjiTfQw=")</f>
        <v>#REF!</v>
      </c>
      <c r="N106" t="e">
        <f>AND(#REF!,"J5LsIjiTfQ0=")</f>
        <v>#REF!</v>
      </c>
      <c r="O106" t="e">
        <f>AND(#REF!,"J5LsIjiTfQ4=")</f>
        <v>#REF!</v>
      </c>
      <c r="P106" t="e">
        <f>AND(#REF!,"J5LsIjiTfQ8=")</f>
        <v>#REF!</v>
      </c>
      <c r="Q106" t="e">
        <f>AND(#REF!,"J5LsIjiTfRA=")</f>
        <v>#REF!</v>
      </c>
      <c r="R106" t="e">
        <f>AND(#REF!,"J5LsIjiTfRE=")</f>
        <v>#REF!</v>
      </c>
      <c r="S106" t="e">
        <f>AND(#REF!,"J5LsIjiTfRI=")</f>
        <v>#REF!</v>
      </c>
      <c r="T106" t="e">
        <f>AND(#REF!,"J5LsIjiTfRM=")</f>
        <v>#REF!</v>
      </c>
      <c r="U106" t="e">
        <f>AND(#REF!,"J5LsIjiTfRQ=")</f>
        <v>#REF!</v>
      </c>
      <c r="V106" t="e">
        <f>AND(#REF!,"J5LsIjiTfRU=")</f>
        <v>#REF!</v>
      </c>
      <c r="W106" t="e">
        <f>AND(#REF!,"J5LsIjiTfRY=")</f>
        <v>#REF!</v>
      </c>
      <c r="X106" t="e">
        <f>AND(#REF!,"J5LsIjiTfRc=")</f>
        <v>#REF!</v>
      </c>
      <c r="Y106" t="e">
        <f>AND(#REF!,"J5LsIjiTfRg=")</f>
        <v>#REF!</v>
      </c>
      <c r="Z106" t="e">
        <f>AND(#REF!,"J5LsIjiTfRk=")</f>
        <v>#REF!</v>
      </c>
      <c r="AA106" t="e">
        <f>AND(#REF!,"J5LsIjiTfRo=")</f>
        <v>#REF!</v>
      </c>
      <c r="AB106" t="e">
        <f>AND(#REF!,"J5LsIjiTfRs=")</f>
        <v>#REF!</v>
      </c>
      <c r="AC106" t="e">
        <f>AND(#REF!,"J5LsIjiTfRw=")</f>
        <v>#REF!</v>
      </c>
      <c r="AD106" t="e">
        <f>AND(#REF!,"J5LsIjiTfR0=")</f>
        <v>#REF!</v>
      </c>
      <c r="AE106" t="e">
        <f>AND(#REF!,"J5LsIjiTfR4=")</f>
        <v>#REF!</v>
      </c>
      <c r="AF106" t="e">
        <f>AND(#REF!,"J5LsIjiTfR8=")</f>
        <v>#REF!</v>
      </c>
      <c r="AG106" t="e">
        <f>AND(#REF!,"J5LsIjiTfSA=")</f>
        <v>#REF!</v>
      </c>
      <c r="AH106" t="e">
        <f>AND(#REF!,"J5LsIjiTfSE=")</f>
        <v>#REF!</v>
      </c>
      <c r="AI106" t="e">
        <f>AND(#REF!,"J5LsIjiTfSI=")</f>
        <v>#REF!</v>
      </c>
      <c r="AJ106" t="e">
        <f>AND(#REF!,"J5LsIjiTfSM=")</f>
        <v>#REF!</v>
      </c>
      <c r="AK106" t="e">
        <f>AND(#REF!,"J5LsIjiTfSQ=")</f>
        <v>#REF!</v>
      </c>
      <c r="AL106" t="e">
        <f>AND(#REF!,"J5LsIjiTfSU=")</f>
        <v>#REF!</v>
      </c>
      <c r="AM106" t="e">
        <f>AND(#REF!,"J5LsIjiTfSY=")</f>
        <v>#REF!</v>
      </c>
      <c r="AN106" t="e">
        <f>AND(#REF!,"J5LsIjiTfSc=")</f>
        <v>#REF!</v>
      </c>
      <c r="AO106" t="e">
        <f>AND(#REF!,"J5LsIjiTfSg=")</f>
        <v>#REF!</v>
      </c>
      <c r="AP106" t="e">
        <f>AND(#REF!,"J5LsIjiTfSk=")</f>
        <v>#REF!</v>
      </c>
      <c r="AQ106" t="e">
        <f>AND(#REF!,"J5LsIjiTfSo=")</f>
        <v>#REF!</v>
      </c>
      <c r="AR106" t="e">
        <f>AND(#REF!,"J5LsIjiTfSs=")</f>
        <v>#REF!</v>
      </c>
      <c r="AS106" t="e">
        <f>AND(#REF!,"J5LsIjiTfSw=")</f>
        <v>#REF!</v>
      </c>
      <c r="AT106" t="e">
        <f>AND(#REF!,"J5LsIjiTfS0=")</f>
        <v>#REF!</v>
      </c>
      <c r="AU106" t="e">
        <f>AND(#REF!,"J5LsIjiTfS4=")</f>
        <v>#REF!</v>
      </c>
      <c r="AV106" t="e">
        <f>AND(#REF!,"J5LsIjiTfS8=")</f>
        <v>#REF!</v>
      </c>
      <c r="AW106" t="e">
        <f>AND(#REF!,"J5LsIjiTfTA=")</f>
        <v>#REF!</v>
      </c>
      <c r="AX106" t="e">
        <f>AND(#REF!,"J5LsIjiTfTE=")</f>
        <v>#REF!</v>
      </c>
      <c r="AY106" t="e">
        <f>AND(#REF!,"J5LsIjiTfTI=")</f>
        <v>#REF!</v>
      </c>
      <c r="AZ106" t="e">
        <f>AND(#REF!,"J5LsIjiTfTM=")</f>
        <v>#REF!</v>
      </c>
      <c r="BA106" t="e">
        <f>AND(#REF!,"J5LsIjiTfTQ=")</f>
        <v>#REF!</v>
      </c>
      <c r="BB106" t="e">
        <f>AND(#REF!,"J5LsIjiTfTU=")</f>
        <v>#REF!</v>
      </c>
      <c r="BC106" t="e">
        <f>AND(#REF!,"J5LsIjiTfTY=")</f>
        <v>#REF!</v>
      </c>
      <c r="BD106" t="e">
        <f>AND(#REF!,"J5LsIjiTfTc=")</f>
        <v>#REF!</v>
      </c>
      <c r="BE106" t="e">
        <f>AND(#REF!,"J5LsIjiTfTg=")</f>
        <v>#REF!</v>
      </c>
      <c r="BF106" t="e">
        <f>AND(#REF!,"J5LsIjiTfTk=")</f>
        <v>#REF!</v>
      </c>
      <c r="BG106" t="e">
        <f>AND(#REF!,"J5LsIjiTfTo=")</f>
        <v>#REF!</v>
      </c>
      <c r="BH106" t="e">
        <f>AND(#REF!,"J5LsIjiTfTs=")</f>
        <v>#REF!</v>
      </c>
      <c r="BI106" t="e">
        <f>AND(#REF!,"J5LsIjiTfTw=")</f>
        <v>#REF!</v>
      </c>
      <c r="BJ106" t="e">
        <f>AND(#REF!,"J5LsIjiTfT0=")</f>
        <v>#REF!</v>
      </c>
      <c r="BK106" t="e">
        <f>AND(#REF!,"J5LsIjiTfT4=")</f>
        <v>#REF!</v>
      </c>
      <c r="BL106" t="e">
        <f>AND(#REF!,"J5LsIjiTfT8=")</f>
        <v>#REF!</v>
      </c>
      <c r="BM106" t="e">
        <f>AND(#REF!,"J5LsIjiTfUA=")</f>
        <v>#REF!</v>
      </c>
      <c r="BN106" t="e">
        <f>AND(#REF!,"J5LsIjiTfUE=")</f>
        <v>#REF!</v>
      </c>
      <c r="BO106" t="e">
        <f>AND(#REF!,"J5LsIjiTfUI=")</f>
        <v>#REF!</v>
      </c>
      <c r="BP106" t="e">
        <f>AND(#REF!,"J5LsIjiTfUM=")</f>
        <v>#REF!</v>
      </c>
      <c r="BQ106" t="e">
        <f>AND(#REF!,"J5LsIjiTfUQ=")</f>
        <v>#REF!</v>
      </c>
      <c r="BR106" t="e">
        <f>AND(#REF!,"J5LsIjiTfUU=")</f>
        <v>#REF!</v>
      </c>
      <c r="BS106" t="e">
        <f>AND(#REF!,"J5LsIjiTfUY=")</f>
        <v>#REF!</v>
      </c>
      <c r="BT106" t="e">
        <f>AND(#REF!,"J5LsIjiTfUc=")</f>
        <v>#REF!</v>
      </c>
      <c r="BU106" t="e">
        <f>AND(#REF!,"J5LsIjiTfUg=")</f>
        <v>#REF!</v>
      </c>
      <c r="BV106" t="e">
        <f>AND(#REF!,"J5LsIjiTfUk=")</f>
        <v>#REF!</v>
      </c>
      <c r="BW106" t="e">
        <f>AND(#REF!,"J5LsIjiTfUo=")</f>
        <v>#REF!</v>
      </c>
      <c r="BX106" t="e">
        <f>AND(#REF!,"J5LsIjiTfUs=")</f>
        <v>#REF!</v>
      </c>
      <c r="BY106" t="e">
        <f>AND(#REF!,"J5LsIjiTfUw=")</f>
        <v>#REF!</v>
      </c>
      <c r="BZ106" t="e">
        <f>AND(#REF!,"J5LsIjiTfU0=")</f>
        <v>#REF!</v>
      </c>
      <c r="CA106" t="e">
        <f>AND(#REF!,"J5LsIjiTfU4=")</f>
        <v>#REF!</v>
      </c>
      <c r="CB106" t="e">
        <f>AND(#REF!,"J5LsIjiTfU8=")</f>
        <v>#REF!</v>
      </c>
      <c r="CC106" t="e">
        <f>AND(#REF!,"J5LsIjiTfVA=")</f>
        <v>#REF!</v>
      </c>
      <c r="CD106" t="e">
        <f>AND(#REF!,"J5LsIjiTfVE=")</f>
        <v>#REF!</v>
      </c>
      <c r="CE106" t="e">
        <f>AND(#REF!,"J5LsIjiTfVI=")</f>
        <v>#REF!</v>
      </c>
      <c r="CF106" t="e">
        <f>AND(#REF!,"J5LsIjiTfVM=")</f>
        <v>#REF!</v>
      </c>
      <c r="CG106" t="e">
        <f>AND(#REF!,"J5LsIjiTfVQ=")</f>
        <v>#REF!</v>
      </c>
      <c r="CH106" t="e">
        <f>AND(#REF!,"J5LsIjiTfVU=")</f>
        <v>#REF!</v>
      </c>
      <c r="CI106" t="e">
        <f>AND(#REF!,"J5LsIjiTfVY=")</f>
        <v>#REF!</v>
      </c>
      <c r="CJ106" t="e">
        <f>AND(#REF!,"J5LsIjiTfVc=")</f>
        <v>#REF!</v>
      </c>
      <c r="CK106" t="e">
        <f>AND(#REF!,"J5LsIjiTfVg=")</f>
        <v>#REF!</v>
      </c>
      <c r="CL106" t="e">
        <f>AND(#REF!,"J5LsIjiTfVk=")</f>
        <v>#REF!</v>
      </c>
      <c r="CM106" t="e">
        <f>AND(#REF!,"J5LsIjiTfVo=")</f>
        <v>#REF!</v>
      </c>
      <c r="CN106" t="e">
        <f>AND(#REF!,"J5LsIjiTfVs=")</f>
        <v>#REF!</v>
      </c>
      <c r="CO106" t="e">
        <f>AND(#REF!,"J5LsIjiTfVw=")</f>
        <v>#REF!</v>
      </c>
      <c r="CP106" t="e">
        <f>AND(#REF!,"J5LsIjiTfV0=")</f>
        <v>#REF!</v>
      </c>
      <c r="CQ106" t="e">
        <f>AND(#REF!,"J5LsIjiTfV4=")</f>
        <v>#REF!</v>
      </c>
      <c r="CR106" t="e">
        <f>AND(#REF!,"J5LsIjiTfV8=")</f>
        <v>#REF!</v>
      </c>
      <c r="CS106" t="e">
        <f>AND(#REF!,"J5LsIjiTfWA=")</f>
        <v>#REF!</v>
      </c>
      <c r="CT106" t="e">
        <f>AND(#REF!,"J5LsIjiTfWE=")</f>
        <v>#REF!</v>
      </c>
      <c r="CU106" t="e">
        <f>AND(#REF!,"J5LsIjiTfWI=")</f>
        <v>#REF!</v>
      </c>
      <c r="CV106" t="e">
        <f>AND(#REF!,"J5LsIjiTfWM=")</f>
        <v>#REF!</v>
      </c>
      <c r="CW106" t="e">
        <f>AND(#REF!,"J5LsIjiTfWQ=")</f>
        <v>#REF!</v>
      </c>
      <c r="CX106" t="e">
        <f>AND(#REF!,"J5LsIjiTfWU=")</f>
        <v>#REF!</v>
      </c>
      <c r="CY106" t="e">
        <f>AND(#REF!,"J5LsIjiTfWY=")</f>
        <v>#REF!</v>
      </c>
      <c r="CZ106" t="e">
        <f>AND(#REF!,"J5LsIjiTfWc=")</f>
        <v>#REF!</v>
      </c>
      <c r="DA106" t="e">
        <f>AND(#REF!,"J5LsIjiTfWg=")</f>
        <v>#REF!</v>
      </c>
      <c r="DB106" t="e">
        <f>AND(#REF!,"J5LsIjiTfWk=")</f>
        <v>#REF!</v>
      </c>
      <c r="DC106" t="e">
        <f>AND(#REF!,"J5LsIjiTfWo=")</f>
        <v>#REF!</v>
      </c>
      <c r="DD106" t="e">
        <f>AND(#REF!,"J5LsIjiTfWs=")</f>
        <v>#REF!</v>
      </c>
      <c r="DE106" t="e">
        <f>AND(#REF!,"J5LsIjiTfWw=")</f>
        <v>#REF!</v>
      </c>
      <c r="DF106" t="e">
        <f>AND(#REF!,"J5LsIjiTfW0=")</f>
        <v>#REF!</v>
      </c>
      <c r="DG106" t="e">
        <f>AND(#REF!,"J5LsIjiTfW4=")</f>
        <v>#REF!</v>
      </c>
      <c r="DH106" t="e">
        <f>AND(#REF!,"J5LsIjiTfW8=")</f>
        <v>#REF!</v>
      </c>
      <c r="DI106" t="e">
        <f>AND(#REF!,"J5LsIjiTfXA=")</f>
        <v>#REF!</v>
      </c>
      <c r="DJ106" t="e">
        <f>AND(#REF!,"J5LsIjiTfXE=")</f>
        <v>#REF!</v>
      </c>
      <c r="DK106" t="e">
        <f>AND(#REF!,"J5LsIjiTfXI=")</f>
        <v>#REF!</v>
      </c>
      <c r="DL106" t="e">
        <f>AND(#REF!,"J5LsIjiTfXM=")</f>
        <v>#REF!</v>
      </c>
      <c r="DM106" t="e">
        <f>AND(#REF!,"J5LsIjiTfXQ=")</f>
        <v>#REF!</v>
      </c>
      <c r="DN106" t="e">
        <f>AND(#REF!,"J5LsIjiTfXU=")</f>
        <v>#REF!</v>
      </c>
      <c r="DO106" t="e">
        <f>AND(#REF!,"J5LsIjiTfXY=")</f>
        <v>#REF!</v>
      </c>
      <c r="DP106" t="e">
        <f>AND(#REF!,"J5LsIjiTfXc=")</f>
        <v>#REF!</v>
      </c>
      <c r="DQ106" t="e">
        <f>AND(#REF!,"J5LsIjiTfXg=")</f>
        <v>#REF!</v>
      </c>
      <c r="DR106" t="e">
        <f>AND(#REF!,"J5LsIjiTfXk=")</f>
        <v>#REF!</v>
      </c>
      <c r="DS106" t="e">
        <f>AND(#REF!,"J5LsIjiTfXo=")</f>
        <v>#REF!</v>
      </c>
      <c r="DT106" t="e">
        <f>AND(#REF!,"J5LsIjiTfXs=")</f>
        <v>#REF!</v>
      </c>
      <c r="DU106" t="e">
        <f>AND(#REF!,"J5LsIjiTfXw=")</f>
        <v>#REF!</v>
      </c>
      <c r="DV106" t="e">
        <f>AND(#REF!,"J5LsIjiTfX0=")</f>
        <v>#REF!</v>
      </c>
      <c r="DW106" t="e">
        <f>AND(#REF!,"J5LsIjiTfX4=")</f>
        <v>#REF!</v>
      </c>
      <c r="DX106" t="e">
        <f>AND(#REF!,"J5LsIjiTfX8=")</f>
        <v>#REF!</v>
      </c>
      <c r="DY106" t="e">
        <f>AND(#REF!,"J5LsIjiTfYA=")</f>
        <v>#REF!</v>
      </c>
      <c r="DZ106" t="e">
        <f>AND(#REF!,"J5LsIjiTfYE=")</f>
        <v>#REF!</v>
      </c>
      <c r="EA106" t="e">
        <f>IF(#REF!,"J5LsIjiTfYI=",0)</f>
        <v>#REF!</v>
      </c>
      <c r="EB106" t="e">
        <f>AND(#REF!,"J5LsIjiTfYM=")</f>
        <v>#REF!</v>
      </c>
      <c r="EC106" t="e">
        <f>AND(#REF!,"J5LsIjiTfYQ=")</f>
        <v>#REF!</v>
      </c>
      <c r="ED106" t="e">
        <f>AND(#REF!,"J5LsIjiTfYU=")</f>
        <v>#REF!</v>
      </c>
      <c r="EE106" t="e">
        <f>AND(#REF!,"J5LsIjiTfYY=")</f>
        <v>#REF!</v>
      </c>
      <c r="EF106" t="e">
        <f>AND(#REF!,"J5LsIjiTfYc=")</f>
        <v>#REF!</v>
      </c>
      <c r="EG106" t="e">
        <f>AND(#REF!,"J5LsIjiTfYg=")</f>
        <v>#REF!</v>
      </c>
      <c r="EH106" t="e">
        <f>AND(#REF!,"J5LsIjiTfYk=")</f>
        <v>#REF!</v>
      </c>
      <c r="EI106" t="e">
        <f>AND(#REF!,"J5LsIjiTfYo=")</f>
        <v>#REF!</v>
      </c>
      <c r="EJ106" t="e">
        <f>AND(#REF!,"J5LsIjiTfYs=")</f>
        <v>#REF!</v>
      </c>
      <c r="EK106" t="e">
        <f>AND(#REF!,"J5LsIjiTfYw=")</f>
        <v>#REF!</v>
      </c>
      <c r="EL106" t="e">
        <f>AND(#REF!,"J5LsIjiTfY0=")</f>
        <v>#REF!</v>
      </c>
      <c r="EM106" t="e">
        <f>AND(#REF!,"J5LsIjiTfY4=")</f>
        <v>#REF!</v>
      </c>
      <c r="EN106" t="e">
        <f>AND(#REF!,"J5LsIjiTfY8=")</f>
        <v>#REF!</v>
      </c>
      <c r="EO106" t="e">
        <f>AND(#REF!,"J5LsIjiTfZA=")</f>
        <v>#REF!</v>
      </c>
      <c r="EP106" t="e">
        <f>AND(#REF!,"J5LsIjiTfZE=")</f>
        <v>#REF!</v>
      </c>
      <c r="EQ106" t="e">
        <f>AND(#REF!,"J5LsIjiTfZI=")</f>
        <v>#REF!</v>
      </c>
      <c r="ER106" t="e">
        <f>AND(#REF!,"J5LsIjiTfZM=")</f>
        <v>#REF!</v>
      </c>
      <c r="ES106" t="e">
        <f>AND(#REF!,"J5LsIjiTfZQ=")</f>
        <v>#REF!</v>
      </c>
      <c r="ET106" t="e">
        <f>AND(#REF!,"J5LsIjiTfZU=")</f>
        <v>#REF!</v>
      </c>
      <c r="EU106" t="e">
        <f>AND(#REF!,"J5LsIjiTfZY=")</f>
        <v>#REF!</v>
      </c>
      <c r="EV106" t="e">
        <f>AND(#REF!,"J5LsIjiTfZc=")</f>
        <v>#REF!</v>
      </c>
      <c r="EW106" t="e">
        <f>AND(#REF!,"J5LsIjiTfZg=")</f>
        <v>#REF!</v>
      </c>
      <c r="EX106" t="e">
        <f>AND(#REF!,"J5LsIjiTfZk=")</f>
        <v>#REF!</v>
      </c>
      <c r="EY106" t="e">
        <f>AND(#REF!,"J5LsIjiTfZo=")</f>
        <v>#REF!</v>
      </c>
      <c r="EZ106" t="e">
        <f>AND(#REF!,"J5LsIjiTfZs=")</f>
        <v>#REF!</v>
      </c>
      <c r="FA106" t="e">
        <f>AND(#REF!,"J5LsIjiTfZw=")</f>
        <v>#REF!</v>
      </c>
      <c r="FB106" t="e">
        <f>AND(#REF!,"J5LsIjiTfZ0=")</f>
        <v>#REF!</v>
      </c>
      <c r="FC106" t="e">
        <f>AND(#REF!,"J5LsIjiTfZ4=")</f>
        <v>#REF!</v>
      </c>
      <c r="FD106" t="e">
        <f>AND(#REF!,"J5LsIjiTfZ8=")</f>
        <v>#REF!</v>
      </c>
      <c r="FE106" t="e">
        <f>AND(#REF!,"J5LsIjiTfaA=")</f>
        <v>#REF!</v>
      </c>
      <c r="FF106" t="e">
        <f>AND(#REF!,"J5LsIjiTfaE=")</f>
        <v>#REF!</v>
      </c>
      <c r="FG106" t="e">
        <f>AND(#REF!,"J5LsIjiTfaI=")</f>
        <v>#REF!</v>
      </c>
      <c r="FH106" t="e">
        <f>AND(#REF!,"J5LsIjiTfaM=")</f>
        <v>#REF!</v>
      </c>
      <c r="FI106" t="e">
        <f>AND(#REF!,"J5LsIjiTfaQ=")</f>
        <v>#REF!</v>
      </c>
      <c r="FJ106" t="e">
        <f>AND(#REF!,"J5LsIjiTfaU=")</f>
        <v>#REF!</v>
      </c>
      <c r="FK106" t="e">
        <f>AND(#REF!,"J5LsIjiTfaY=")</f>
        <v>#REF!</v>
      </c>
      <c r="FL106" t="e">
        <f>AND(#REF!,"J5LsIjiTfac=")</f>
        <v>#REF!</v>
      </c>
      <c r="FM106" t="e">
        <f>AND(#REF!,"J5LsIjiTfag=")</f>
        <v>#REF!</v>
      </c>
      <c r="FN106" t="e">
        <f>AND(#REF!,"J5LsIjiTfak=")</f>
        <v>#REF!</v>
      </c>
      <c r="FO106" t="e">
        <f>AND(#REF!,"J5LsIjiTfao=")</f>
        <v>#REF!</v>
      </c>
      <c r="FP106" t="e">
        <f>AND(#REF!,"J5LsIjiTfas=")</f>
        <v>#REF!</v>
      </c>
      <c r="FQ106" t="e">
        <f>AND(#REF!,"J5LsIjiTfaw=")</f>
        <v>#REF!</v>
      </c>
      <c r="FR106" t="e">
        <f>AND(#REF!,"J5LsIjiTfa0=")</f>
        <v>#REF!</v>
      </c>
      <c r="FS106" t="e">
        <f>AND(#REF!,"J5LsIjiTfa4=")</f>
        <v>#REF!</v>
      </c>
      <c r="FT106" t="e">
        <f>AND(#REF!,"J5LsIjiTfa8=")</f>
        <v>#REF!</v>
      </c>
      <c r="FU106" t="e">
        <f>AND(#REF!,"J5LsIjiTfbA=")</f>
        <v>#REF!</v>
      </c>
      <c r="FV106" t="e">
        <f>AND(#REF!,"J5LsIjiTfbE=")</f>
        <v>#REF!</v>
      </c>
      <c r="FW106" t="e">
        <f>AND(#REF!,"J5LsIjiTfbI=")</f>
        <v>#REF!</v>
      </c>
      <c r="FX106" t="e">
        <f>AND(#REF!,"J5LsIjiTfbM=")</f>
        <v>#REF!</v>
      </c>
      <c r="FY106" t="e">
        <f>AND(#REF!,"J5LsIjiTfbQ=")</f>
        <v>#REF!</v>
      </c>
      <c r="FZ106" t="e">
        <f>AND(#REF!,"J5LsIjiTfbU=")</f>
        <v>#REF!</v>
      </c>
      <c r="GA106" t="e">
        <f>AND(#REF!,"J5LsIjiTfbY=")</f>
        <v>#REF!</v>
      </c>
      <c r="GB106" t="e">
        <f>AND(#REF!,"J5LsIjiTfbc=")</f>
        <v>#REF!</v>
      </c>
      <c r="GC106" t="e">
        <f>AND(#REF!,"J5LsIjiTfbg=")</f>
        <v>#REF!</v>
      </c>
      <c r="GD106" t="e">
        <f>AND(#REF!,"J5LsIjiTfbk=")</f>
        <v>#REF!</v>
      </c>
      <c r="GE106" t="e">
        <f>AND(#REF!,"J5LsIjiTfbo=")</f>
        <v>#REF!</v>
      </c>
      <c r="GF106" t="e">
        <f>AND(#REF!,"J5LsIjiTfbs=")</f>
        <v>#REF!</v>
      </c>
      <c r="GG106" t="e">
        <f>AND(#REF!,"J5LsIjiTfbw=")</f>
        <v>#REF!</v>
      </c>
      <c r="GH106" t="e">
        <f>AND(#REF!,"J5LsIjiTfb0=")</f>
        <v>#REF!</v>
      </c>
      <c r="GI106" t="e">
        <f>AND(#REF!,"J5LsIjiTfb4=")</f>
        <v>#REF!</v>
      </c>
      <c r="GJ106" t="e">
        <f>AND(#REF!,"J5LsIjiTfb8=")</f>
        <v>#REF!</v>
      </c>
      <c r="GK106" t="e">
        <f>AND(#REF!,"J5LsIjiTfcA=")</f>
        <v>#REF!</v>
      </c>
      <c r="GL106" t="e">
        <f>AND(#REF!,"J5LsIjiTfcE=")</f>
        <v>#REF!</v>
      </c>
      <c r="GM106" t="e">
        <f>AND(#REF!,"J5LsIjiTfcI=")</f>
        <v>#REF!</v>
      </c>
      <c r="GN106" t="e">
        <f>AND(#REF!,"J5LsIjiTfcM=")</f>
        <v>#REF!</v>
      </c>
      <c r="GO106" t="e">
        <f>AND(#REF!,"J5LsIjiTfcQ=")</f>
        <v>#REF!</v>
      </c>
      <c r="GP106" t="e">
        <f>AND(#REF!,"J5LsIjiTfcU=")</f>
        <v>#REF!</v>
      </c>
      <c r="GQ106" t="e">
        <f>AND(#REF!,"J5LsIjiTfcY=")</f>
        <v>#REF!</v>
      </c>
      <c r="GR106" t="e">
        <f>AND(#REF!,"J5LsIjiTfcc=")</f>
        <v>#REF!</v>
      </c>
      <c r="GS106" t="e">
        <f>AND(#REF!,"J5LsIjiTfcg=")</f>
        <v>#REF!</v>
      </c>
      <c r="GT106" t="e">
        <f>AND(#REF!,"J5LsIjiTfck=")</f>
        <v>#REF!</v>
      </c>
      <c r="GU106" t="e">
        <f>AND(#REF!,"J5LsIjiTfco=")</f>
        <v>#REF!</v>
      </c>
      <c r="GV106" t="e">
        <f>AND(#REF!,"J5LsIjiTfcs=")</f>
        <v>#REF!</v>
      </c>
      <c r="GW106" t="e">
        <f>AND(#REF!,"J5LsIjiTfcw=")</f>
        <v>#REF!</v>
      </c>
      <c r="GX106" t="e">
        <f>AND(#REF!,"J5LsIjiTfc0=")</f>
        <v>#REF!</v>
      </c>
      <c r="GY106" t="e">
        <f>AND(#REF!,"J5LsIjiTfc4=")</f>
        <v>#REF!</v>
      </c>
      <c r="GZ106" t="e">
        <f>AND(#REF!,"J5LsIjiTfc8=")</f>
        <v>#REF!</v>
      </c>
      <c r="HA106" t="e">
        <f>AND(#REF!,"J5LsIjiTfdA=")</f>
        <v>#REF!</v>
      </c>
      <c r="HB106" t="e">
        <f>AND(#REF!,"J5LsIjiTfdE=")</f>
        <v>#REF!</v>
      </c>
      <c r="HC106" t="e">
        <f>AND(#REF!,"J5LsIjiTfdI=")</f>
        <v>#REF!</v>
      </c>
      <c r="HD106" t="e">
        <f>AND(#REF!,"J5LsIjiTfdM=")</f>
        <v>#REF!</v>
      </c>
      <c r="HE106" t="e">
        <f>AND(#REF!,"J5LsIjiTfdQ=")</f>
        <v>#REF!</v>
      </c>
      <c r="HF106" t="e">
        <f>AND(#REF!,"J5LsIjiTfdU=")</f>
        <v>#REF!</v>
      </c>
      <c r="HG106" t="e">
        <f>AND(#REF!,"J5LsIjiTfdY=")</f>
        <v>#REF!</v>
      </c>
      <c r="HH106" t="e">
        <f>AND(#REF!,"J5LsIjiTfdc=")</f>
        <v>#REF!</v>
      </c>
      <c r="HI106" t="e">
        <f>AND(#REF!,"J5LsIjiTfdg=")</f>
        <v>#REF!</v>
      </c>
      <c r="HJ106" t="e">
        <f>AND(#REF!,"J5LsIjiTfdk=")</f>
        <v>#REF!</v>
      </c>
      <c r="HK106" t="e">
        <f>AND(#REF!,"J5LsIjiTfdo=")</f>
        <v>#REF!</v>
      </c>
      <c r="HL106" t="e">
        <f>AND(#REF!,"J5LsIjiTfds=")</f>
        <v>#REF!</v>
      </c>
      <c r="HM106" t="e">
        <f>AND(#REF!,"J5LsIjiTfdw=")</f>
        <v>#REF!</v>
      </c>
      <c r="HN106" t="e">
        <f>AND(#REF!,"J5LsIjiTfd0=")</f>
        <v>#REF!</v>
      </c>
      <c r="HO106" t="e">
        <f>AND(#REF!,"J5LsIjiTfd4=")</f>
        <v>#REF!</v>
      </c>
      <c r="HP106" t="e">
        <f>AND(#REF!,"J5LsIjiTfd8=")</f>
        <v>#REF!</v>
      </c>
      <c r="HQ106" t="e">
        <f>AND(#REF!,"J5LsIjiTfeA=")</f>
        <v>#REF!</v>
      </c>
      <c r="HR106" t="e">
        <f>AND(#REF!,"J5LsIjiTfeE=")</f>
        <v>#REF!</v>
      </c>
      <c r="HS106" t="e">
        <f>AND(#REF!,"J5LsIjiTfeI=")</f>
        <v>#REF!</v>
      </c>
      <c r="HT106" t="e">
        <f>AND(#REF!,"J5LsIjiTfeM=")</f>
        <v>#REF!</v>
      </c>
      <c r="HU106" t="e">
        <f>AND(#REF!,"J5LsIjiTfeQ=")</f>
        <v>#REF!</v>
      </c>
      <c r="HV106" t="e">
        <f>AND(#REF!,"J5LsIjiTfeU=")</f>
        <v>#REF!</v>
      </c>
      <c r="HW106" t="e">
        <f>AND(#REF!,"J5LsIjiTfeY=")</f>
        <v>#REF!</v>
      </c>
      <c r="HX106" t="e">
        <f>AND(#REF!,"J5LsIjiTfec=")</f>
        <v>#REF!</v>
      </c>
      <c r="HY106" t="e">
        <f>AND(#REF!,"J5LsIjiTfeg=")</f>
        <v>#REF!</v>
      </c>
      <c r="HZ106" t="e">
        <f>AND(#REF!,"J5LsIjiTfek=")</f>
        <v>#REF!</v>
      </c>
      <c r="IA106" t="e">
        <f>AND(#REF!,"J5LsIjiTfeo=")</f>
        <v>#REF!</v>
      </c>
      <c r="IB106" t="e">
        <f>AND(#REF!,"J5LsIjiTfes=")</f>
        <v>#REF!</v>
      </c>
      <c r="IC106" t="e">
        <f>AND(#REF!,"J5LsIjiTfew=")</f>
        <v>#REF!</v>
      </c>
      <c r="ID106" t="e">
        <f>AND(#REF!,"J5LsIjiTfe0=")</f>
        <v>#REF!</v>
      </c>
      <c r="IE106" t="e">
        <f>AND(#REF!,"J5LsIjiTfe4=")</f>
        <v>#REF!</v>
      </c>
      <c r="IF106" t="e">
        <f>AND(#REF!,"J5LsIjiTfe8=")</f>
        <v>#REF!</v>
      </c>
      <c r="IG106" t="e">
        <f>AND(#REF!,"J5LsIjiTffA=")</f>
        <v>#REF!</v>
      </c>
      <c r="IH106" t="e">
        <f>AND(#REF!,"J5LsIjiTffE=")</f>
        <v>#REF!</v>
      </c>
      <c r="II106" t="e">
        <f>AND(#REF!,"J5LsIjiTffI=")</f>
        <v>#REF!</v>
      </c>
      <c r="IJ106" t="e">
        <f>AND(#REF!,"J5LsIjiTffM=")</f>
        <v>#REF!</v>
      </c>
      <c r="IK106" t="e">
        <f>AND(#REF!,"J5LsIjiTffQ=")</f>
        <v>#REF!</v>
      </c>
      <c r="IL106" t="e">
        <f>AND(#REF!,"J5LsIjiTffU=")</f>
        <v>#REF!</v>
      </c>
      <c r="IM106" t="e">
        <f>AND(#REF!,"J5LsIjiTffY=")</f>
        <v>#REF!</v>
      </c>
      <c r="IN106" t="e">
        <f>AND(#REF!,"J5LsIjiTffc=")</f>
        <v>#REF!</v>
      </c>
      <c r="IO106" t="e">
        <f>AND(#REF!,"J5LsIjiTffg=")</f>
        <v>#REF!</v>
      </c>
      <c r="IP106" t="e">
        <f>AND(#REF!,"J5LsIjiTffk=")</f>
        <v>#REF!</v>
      </c>
      <c r="IQ106" t="e">
        <f>AND(#REF!,"J5LsIjiTffo=")</f>
        <v>#REF!</v>
      </c>
      <c r="IR106" t="e">
        <f>AND(#REF!,"J5LsIjiTffs=")</f>
        <v>#REF!</v>
      </c>
      <c r="IS106" t="e">
        <f>AND(#REF!,"J5LsIjiTffw=")</f>
        <v>#REF!</v>
      </c>
      <c r="IT106" t="e">
        <f>AND(#REF!,"J5LsIjiTff0=")</f>
        <v>#REF!</v>
      </c>
      <c r="IU106" t="e">
        <f>AND(#REF!,"J5LsIjiTff4=")</f>
        <v>#REF!</v>
      </c>
      <c r="IV106" t="e">
        <f>AND(#REF!,"J5LsIjiTff8=")</f>
        <v>#REF!</v>
      </c>
    </row>
    <row r="107" spans="1:256" x14ac:dyDescent="0.2">
      <c r="A107" t="e">
        <f>AND(#REF!,"cR2Tf0kD2AA=")</f>
        <v>#REF!</v>
      </c>
      <c r="B107" t="e">
        <f>AND(#REF!,"cR2Tf0kD2AE=")</f>
        <v>#REF!</v>
      </c>
      <c r="C107" t="e">
        <f>AND(#REF!,"cR2Tf0kD2AI=")</f>
        <v>#REF!</v>
      </c>
      <c r="D107" t="e">
        <f>AND(#REF!,"cR2Tf0kD2AM=")</f>
        <v>#REF!</v>
      </c>
      <c r="E107" t="e">
        <f>AND(#REF!,"cR2Tf0kD2AQ=")</f>
        <v>#REF!</v>
      </c>
      <c r="F107" t="e">
        <f>AND(#REF!,"cR2Tf0kD2AU=")</f>
        <v>#REF!</v>
      </c>
      <c r="G107" t="e">
        <f>AND(#REF!,"cR2Tf0kD2AY=")</f>
        <v>#REF!</v>
      </c>
      <c r="H107" t="e">
        <f>AND(#REF!,"cR2Tf0kD2Ac=")</f>
        <v>#REF!</v>
      </c>
      <c r="I107" t="e">
        <f>AND(#REF!,"cR2Tf0kD2Ag=")</f>
        <v>#REF!</v>
      </c>
      <c r="J107" t="e">
        <f>AND(#REF!,"cR2Tf0kD2Ak=")</f>
        <v>#REF!</v>
      </c>
      <c r="K107" t="e">
        <f>AND(#REF!,"cR2Tf0kD2Ao=")</f>
        <v>#REF!</v>
      </c>
      <c r="L107" t="e">
        <f>AND(#REF!,"cR2Tf0kD2As=")</f>
        <v>#REF!</v>
      </c>
      <c r="M107" t="e">
        <f>AND(#REF!,"cR2Tf0kD2Aw=")</f>
        <v>#REF!</v>
      </c>
      <c r="N107" t="e">
        <f>AND(#REF!,"cR2Tf0kD2A0=")</f>
        <v>#REF!</v>
      </c>
      <c r="O107" t="e">
        <f>AND(#REF!,"cR2Tf0kD2A4=")</f>
        <v>#REF!</v>
      </c>
      <c r="P107" t="e">
        <f>AND(#REF!,"cR2Tf0kD2A8=")</f>
        <v>#REF!</v>
      </c>
      <c r="Q107" t="e">
        <f>AND(#REF!,"cR2Tf0kD2BA=")</f>
        <v>#REF!</v>
      </c>
      <c r="R107" t="e">
        <f>AND(#REF!,"cR2Tf0kD2BE=")</f>
        <v>#REF!</v>
      </c>
      <c r="S107" t="e">
        <f>AND(#REF!,"cR2Tf0kD2BI=")</f>
        <v>#REF!</v>
      </c>
      <c r="T107" t="e">
        <f>AND(#REF!,"cR2Tf0kD2BM=")</f>
        <v>#REF!</v>
      </c>
      <c r="U107" t="e">
        <f>AND(#REF!,"cR2Tf0kD2BQ=")</f>
        <v>#REF!</v>
      </c>
      <c r="V107" t="e">
        <f>AND(#REF!,"cR2Tf0kD2BU=")</f>
        <v>#REF!</v>
      </c>
      <c r="W107" t="e">
        <f>AND(#REF!,"cR2Tf0kD2BY=")</f>
        <v>#REF!</v>
      </c>
      <c r="X107" t="e">
        <f>AND(#REF!,"cR2Tf0kD2Bc=")</f>
        <v>#REF!</v>
      </c>
      <c r="Y107" t="e">
        <f>AND(#REF!,"cR2Tf0kD2Bg=")</f>
        <v>#REF!</v>
      </c>
      <c r="Z107" t="e">
        <f>AND(#REF!,"cR2Tf0kD2Bk=")</f>
        <v>#REF!</v>
      </c>
      <c r="AA107" t="e">
        <f>AND(#REF!,"cR2Tf0kD2Bo=")</f>
        <v>#REF!</v>
      </c>
      <c r="AB107" t="e">
        <f>AND(#REF!,"cR2Tf0kD2Bs=")</f>
        <v>#REF!</v>
      </c>
      <c r="AC107" t="e">
        <f>AND(#REF!,"cR2Tf0kD2Bw=")</f>
        <v>#REF!</v>
      </c>
      <c r="AD107" t="e">
        <f>AND(#REF!,"cR2Tf0kD2B0=")</f>
        <v>#REF!</v>
      </c>
      <c r="AE107" t="e">
        <f>AND(#REF!,"cR2Tf0kD2B4=")</f>
        <v>#REF!</v>
      </c>
      <c r="AF107" t="e">
        <f>AND(#REF!,"cR2Tf0kD2B8=")</f>
        <v>#REF!</v>
      </c>
      <c r="AG107" t="e">
        <f>AND(#REF!,"cR2Tf0kD2CA=")</f>
        <v>#REF!</v>
      </c>
      <c r="AH107" t="e">
        <f>AND(#REF!,"cR2Tf0kD2CE=")</f>
        <v>#REF!</v>
      </c>
      <c r="AI107" t="e">
        <f>AND(#REF!,"cR2Tf0kD2CI=")</f>
        <v>#REF!</v>
      </c>
      <c r="AJ107" t="e">
        <f>AND(#REF!,"cR2Tf0kD2CM=")</f>
        <v>#REF!</v>
      </c>
      <c r="AK107" t="e">
        <f>AND(#REF!,"cR2Tf0kD2CQ=")</f>
        <v>#REF!</v>
      </c>
      <c r="AL107" t="e">
        <f>AND(#REF!,"cR2Tf0kD2CU=")</f>
        <v>#REF!</v>
      </c>
      <c r="AM107" t="e">
        <f>AND(#REF!,"cR2Tf0kD2CY=")</f>
        <v>#REF!</v>
      </c>
      <c r="AN107" t="e">
        <f>AND(#REF!,"cR2Tf0kD2Cc=")</f>
        <v>#REF!</v>
      </c>
      <c r="AO107" t="e">
        <f>AND(#REF!,"cR2Tf0kD2Cg=")</f>
        <v>#REF!</v>
      </c>
      <c r="AP107" t="e">
        <f>AND(#REF!,"cR2Tf0kD2Ck=")</f>
        <v>#REF!</v>
      </c>
      <c r="AQ107" t="e">
        <f>AND(#REF!,"cR2Tf0kD2Co=")</f>
        <v>#REF!</v>
      </c>
      <c r="AR107" t="e">
        <f>AND(#REF!,"cR2Tf0kD2Cs=")</f>
        <v>#REF!</v>
      </c>
      <c r="AS107" t="e">
        <f>AND(#REF!,"cR2Tf0kD2Cw=")</f>
        <v>#REF!</v>
      </c>
      <c r="AT107" t="e">
        <f>AND(#REF!,"cR2Tf0kD2C0=")</f>
        <v>#REF!</v>
      </c>
      <c r="AU107" t="e">
        <f>AND(#REF!,"cR2Tf0kD2C4=")</f>
        <v>#REF!</v>
      </c>
      <c r="AV107" t="e">
        <f>AND(#REF!,"cR2Tf0kD2C8=")</f>
        <v>#REF!</v>
      </c>
      <c r="AW107" t="e">
        <f>AND(#REF!,"cR2Tf0kD2DA=")</f>
        <v>#REF!</v>
      </c>
      <c r="AX107" t="e">
        <f>AND(#REF!,"cR2Tf0kD2DE=")</f>
        <v>#REF!</v>
      </c>
      <c r="AY107" t="e">
        <f>AND(#REF!,"cR2Tf0kD2DI=")</f>
        <v>#REF!</v>
      </c>
      <c r="AZ107" t="e">
        <f>AND(#REF!,"cR2Tf0kD2DM=")</f>
        <v>#REF!</v>
      </c>
      <c r="BA107" t="e">
        <f>AND(#REF!,"cR2Tf0kD2DQ=")</f>
        <v>#REF!</v>
      </c>
      <c r="BB107" t="e">
        <f>AND(#REF!,"cR2Tf0kD2DU=")</f>
        <v>#REF!</v>
      </c>
      <c r="BC107" t="e">
        <f>AND(#REF!,"cR2Tf0kD2DY=")</f>
        <v>#REF!</v>
      </c>
      <c r="BD107" t="e">
        <f>AND(#REF!,"cR2Tf0kD2Dc=")</f>
        <v>#REF!</v>
      </c>
      <c r="BE107" t="e">
        <f>AND(#REF!,"cR2Tf0kD2Dg=")</f>
        <v>#REF!</v>
      </c>
      <c r="BF107" t="e">
        <f>AND(#REF!,"cR2Tf0kD2Dk=")</f>
        <v>#REF!</v>
      </c>
      <c r="BG107" t="e">
        <f>AND(#REF!,"cR2Tf0kD2Do=")</f>
        <v>#REF!</v>
      </c>
      <c r="BH107" t="e">
        <f>AND(#REF!,"cR2Tf0kD2Ds=")</f>
        <v>#REF!</v>
      </c>
      <c r="BI107" t="e">
        <f>AND(#REF!,"cR2Tf0kD2Dw=")</f>
        <v>#REF!</v>
      </c>
      <c r="BJ107" t="e">
        <f>AND(#REF!,"cR2Tf0kD2D0=")</f>
        <v>#REF!</v>
      </c>
      <c r="BK107" t="e">
        <f>AND(#REF!,"cR2Tf0kD2D4=")</f>
        <v>#REF!</v>
      </c>
      <c r="BL107" t="e">
        <f>AND(#REF!,"cR2Tf0kD2D8=")</f>
        <v>#REF!</v>
      </c>
      <c r="BM107" t="e">
        <f>AND(#REF!,"cR2Tf0kD2EA=")</f>
        <v>#REF!</v>
      </c>
      <c r="BN107" t="e">
        <f>AND(#REF!,"cR2Tf0kD2EE=")</f>
        <v>#REF!</v>
      </c>
      <c r="BO107" t="e">
        <f>AND(#REF!,"cR2Tf0kD2EI=")</f>
        <v>#REF!</v>
      </c>
      <c r="BP107" t="e">
        <f>AND(#REF!,"cR2Tf0kD2EM=")</f>
        <v>#REF!</v>
      </c>
      <c r="BQ107" t="e">
        <f>AND(#REF!,"cR2Tf0kD2EQ=")</f>
        <v>#REF!</v>
      </c>
      <c r="BR107" t="e">
        <f>AND(#REF!,"cR2Tf0kD2EU=")</f>
        <v>#REF!</v>
      </c>
      <c r="BS107" t="e">
        <f>AND(#REF!,"cR2Tf0kD2EY=")</f>
        <v>#REF!</v>
      </c>
      <c r="BT107" t="e">
        <f>AND(#REF!,"cR2Tf0kD2Ec=")</f>
        <v>#REF!</v>
      </c>
      <c r="BU107" t="e">
        <f>AND(#REF!,"cR2Tf0kD2Eg=")</f>
        <v>#REF!</v>
      </c>
      <c r="BV107" t="e">
        <f>IF(#REF!,"cR2Tf0kD2Ek=",0)</f>
        <v>#REF!</v>
      </c>
      <c r="BW107" t="e">
        <f>AND(#REF!,"cR2Tf0kD2Eo=")</f>
        <v>#REF!</v>
      </c>
      <c r="BX107" t="e">
        <f>AND(#REF!,"cR2Tf0kD2Es=")</f>
        <v>#REF!</v>
      </c>
      <c r="BY107" t="e">
        <f>AND(#REF!,"cR2Tf0kD2Ew=")</f>
        <v>#REF!</v>
      </c>
      <c r="BZ107" t="e">
        <f>AND(#REF!,"cR2Tf0kD2E0=")</f>
        <v>#REF!</v>
      </c>
      <c r="CA107" t="e">
        <f>AND(#REF!,"cR2Tf0kD2E4=")</f>
        <v>#REF!</v>
      </c>
      <c r="CB107" t="e">
        <f>AND(#REF!,"cR2Tf0kD2E8=")</f>
        <v>#REF!</v>
      </c>
      <c r="CC107" t="e">
        <f>AND(#REF!,"cR2Tf0kD2FA=")</f>
        <v>#REF!</v>
      </c>
      <c r="CD107" t="e">
        <f>AND(#REF!,"cR2Tf0kD2FE=")</f>
        <v>#REF!</v>
      </c>
      <c r="CE107" t="e">
        <f>AND(#REF!,"cR2Tf0kD2FI=")</f>
        <v>#REF!</v>
      </c>
      <c r="CF107" t="e">
        <f>AND(#REF!,"cR2Tf0kD2FM=")</f>
        <v>#REF!</v>
      </c>
      <c r="CG107" t="e">
        <f>AND(#REF!,"cR2Tf0kD2FQ=")</f>
        <v>#REF!</v>
      </c>
      <c r="CH107" t="e">
        <f>AND(#REF!,"cR2Tf0kD2FU=")</f>
        <v>#REF!</v>
      </c>
      <c r="CI107" t="e">
        <f>AND(#REF!,"cR2Tf0kD2FY=")</f>
        <v>#REF!</v>
      </c>
      <c r="CJ107" t="e">
        <f>AND(#REF!,"cR2Tf0kD2Fc=")</f>
        <v>#REF!</v>
      </c>
      <c r="CK107" t="e">
        <f>AND(#REF!,"cR2Tf0kD2Fg=")</f>
        <v>#REF!</v>
      </c>
      <c r="CL107" t="e">
        <f>AND(#REF!,"cR2Tf0kD2Fk=")</f>
        <v>#REF!</v>
      </c>
      <c r="CM107" t="e">
        <f>AND(#REF!,"cR2Tf0kD2Fo=")</f>
        <v>#REF!</v>
      </c>
      <c r="CN107" t="e">
        <f>AND(#REF!,"cR2Tf0kD2Fs=")</f>
        <v>#REF!</v>
      </c>
      <c r="CO107" t="e">
        <f>AND(#REF!,"cR2Tf0kD2Fw=")</f>
        <v>#REF!</v>
      </c>
      <c r="CP107" t="e">
        <f>AND(#REF!,"cR2Tf0kD2F0=")</f>
        <v>#REF!</v>
      </c>
      <c r="CQ107" t="e">
        <f>AND(#REF!,"cR2Tf0kD2F4=")</f>
        <v>#REF!</v>
      </c>
      <c r="CR107" t="e">
        <f>AND(#REF!,"cR2Tf0kD2F8=")</f>
        <v>#REF!</v>
      </c>
      <c r="CS107" t="e">
        <f>AND(#REF!,"cR2Tf0kD2GA=")</f>
        <v>#REF!</v>
      </c>
      <c r="CT107" t="e">
        <f>AND(#REF!,"cR2Tf0kD2GE=")</f>
        <v>#REF!</v>
      </c>
      <c r="CU107" t="e">
        <f>AND(#REF!,"cR2Tf0kD2GI=")</f>
        <v>#REF!</v>
      </c>
      <c r="CV107" t="e">
        <f>AND(#REF!,"cR2Tf0kD2GM=")</f>
        <v>#REF!</v>
      </c>
      <c r="CW107" t="e">
        <f>AND(#REF!,"cR2Tf0kD2GQ=")</f>
        <v>#REF!</v>
      </c>
      <c r="CX107" t="e">
        <f>AND(#REF!,"cR2Tf0kD2GU=")</f>
        <v>#REF!</v>
      </c>
      <c r="CY107" t="e">
        <f>AND(#REF!,"cR2Tf0kD2GY=")</f>
        <v>#REF!</v>
      </c>
      <c r="CZ107" t="e">
        <f>AND(#REF!,"cR2Tf0kD2Gc=")</f>
        <v>#REF!</v>
      </c>
      <c r="DA107" t="e">
        <f>AND(#REF!,"cR2Tf0kD2Gg=")</f>
        <v>#REF!</v>
      </c>
      <c r="DB107" t="e">
        <f>AND(#REF!,"cR2Tf0kD2Gk=")</f>
        <v>#REF!</v>
      </c>
      <c r="DC107" t="e">
        <f>AND(#REF!,"cR2Tf0kD2Go=")</f>
        <v>#REF!</v>
      </c>
      <c r="DD107" t="e">
        <f>AND(#REF!,"cR2Tf0kD2Gs=")</f>
        <v>#REF!</v>
      </c>
      <c r="DE107" t="e">
        <f>AND(#REF!,"cR2Tf0kD2Gw=")</f>
        <v>#REF!</v>
      </c>
      <c r="DF107" t="e">
        <f>AND(#REF!,"cR2Tf0kD2G0=")</f>
        <v>#REF!</v>
      </c>
      <c r="DG107" t="e">
        <f>AND(#REF!,"cR2Tf0kD2G4=")</f>
        <v>#REF!</v>
      </c>
      <c r="DH107" t="e">
        <f>AND(#REF!,"cR2Tf0kD2G8=")</f>
        <v>#REF!</v>
      </c>
      <c r="DI107" t="e">
        <f>AND(#REF!,"cR2Tf0kD2HA=")</f>
        <v>#REF!</v>
      </c>
      <c r="DJ107" t="e">
        <f>AND(#REF!,"cR2Tf0kD2HE=")</f>
        <v>#REF!</v>
      </c>
      <c r="DK107" t="e">
        <f>AND(#REF!,"cR2Tf0kD2HI=")</f>
        <v>#REF!</v>
      </c>
      <c r="DL107" t="e">
        <f>AND(#REF!,"cR2Tf0kD2HM=")</f>
        <v>#REF!</v>
      </c>
      <c r="DM107" t="e">
        <f>AND(#REF!,"cR2Tf0kD2HQ=")</f>
        <v>#REF!</v>
      </c>
      <c r="DN107" t="e">
        <f>AND(#REF!,"cR2Tf0kD2HU=")</f>
        <v>#REF!</v>
      </c>
      <c r="DO107" t="e">
        <f>AND(#REF!,"cR2Tf0kD2HY=")</f>
        <v>#REF!</v>
      </c>
      <c r="DP107" t="e">
        <f>AND(#REF!,"cR2Tf0kD2Hc=")</f>
        <v>#REF!</v>
      </c>
      <c r="DQ107" t="e">
        <f>AND(#REF!,"cR2Tf0kD2Hg=")</f>
        <v>#REF!</v>
      </c>
      <c r="DR107" t="e">
        <f>AND(#REF!,"cR2Tf0kD2Hk=")</f>
        <v>#REF!</v>
      </c>
      <c r="DS107" t="e">
        <f>AND(#REF!,"cR2Tf0kD2Ho=")</f>
        <v>#REF!</v>
      </c>
      <c r="DT107" t="e">
        <f>AND(#REF!,"cR2Tf0kD2Hs=")</f>
        <v>#REF!</v>
      </c>
      <c r="DU107" t="e">
        <f>AND(#REF!,"cR2Tf0kD2Hw=")</f>
        <v>#REF!</v>
      </c>
      <c r="DV107" t="e">
        <f>AND(#REF!,"cR2Tf0kD2H0=")</f>
        <v>#REF!</v>
      </c>
      <c r="DW107" t="e">
        <f>AND(#REF!,"cR2Tf0kD2H4=")</f>
        <v>#REF!</v>
      </c>
      <c r="DX107" t="e">
        <f>AND(#REF!,"cR2Tf0kD2H8=")</f>
        <v>#REF!</v>
      </c>
      <c r="DY107" t="e">
        <f>AND(#REF!,"cR2Tf0kD2IA=")</f>
        <v>#REF!</v>
      </c>
      <c r="DZ107" t="e">
        <f>AND(#REF!,"cR2Tf0kD2IE=")</f>
        <v>#REF!</v>
      </c>
      <c r="EA107" t="e">
        <f>AND(#REF!,"cR2Tf0kD2II=")</f>
        <v>#REF!</v>
      </c>
      <c r="EB107" t="e">
        <f>AND(#REF!,"cR2Tf0kD2IM=")</f>
        <v>#REF!</v>
      </c>
      <c r="EC107" t="e">
        <f>AND(#REF!,"cR2Tf0kD2IQ=")</f>
        <v>#REF!</v>
      </c>
      <c r="ED107" t="e">
        <f>AND(#REF!,"cR2Tf0kD2IU=")</f>
        <v>#REF!</v>
      </c>
      <c r="EE107" t="e">
        <f>AND(#REF!,"cR2Tf0kD2IY=")</f>
        <v>#REF!</v>
      </c>
      <c r="EF107" t="e">
        <f>AND(#REF!,"cR2Tf0kD2Ic=")</f>
        <v>#REF!</v>
      </c>
      <c r="EG107" t="e">
        <f>AND(#REF!,"cR2Tf0kD2Ig=")</f>
        <v>#REF!</v>
      </c>
      <c r="EH107" t="e">
        <f>AND(#REF!,"cR2Tf0kD2Ik=")</f>
        <v>#REF!</v>
      </c>
      <c r="EI107" t="e">
        <f>AND(#REF!,"cR2Tf0kD2Io=")</f>
        <v>#REF!</v>
      </c>
      <c r="EJ107" t="e">
        <f>AND(#REF!,"cR2Tf0kD2Is=")</f>
        <v>#REF!</v>
      </c>
      <c r="EK107" t="e">
        <f>AND(#REF!,"cR2Tf0kD2Iw=")</f>
        <v>#REF!</v>
      </c>
      <c r="EL107" t="e">
        <f>AND(#REF!,"cR2Tf0kD2I0=")</f>
        <v>#REF!</v>
      </c>
      <c r="EM107" t="e">
        <f>AND(#REF!,"cR2Tf0kD2I4=")</f>
        <v>#REF!</v>
      </c>
      <c r="EN107" t="e">
        <f>AND(#REF!,"cR2Tf0kD2I8=")</f>
        <v>#REF!</v>
      </c>
      <c r="EO107" t="e">
        <f>AND(#REF!,"cR2Tf0kD2JA=")</f>
        <v>#REF!</v>
      </c>
      <c r="EP107" t="e">
        <f>AND(#REF!,"cR2Tf0kD2JE=")</f>
        <v>#REF!</v>
      </c>
      <c r="EQ107" t="e">
        <f>AND(#REF!,"cR2Tf0kD2JI=")</f>
        <v>#REF!</v>
      </c>
      <c r="ER107" t="e">
        <f>AND(#REF!,"cR2Tf0kD2JM=")</f>
        <v>#REF!</v>
      </c>
      <c r="ES107" t="e">
        <f>AND(#REF!,"cR2Tf0kD2JQ=")</f>
        <v>#REF!</v>
      </c>
      <c r="ET107" t="e">
        <f>AND(#REF!,"cR2Tf0kD2JU=")</f>
        <v>#REF!</v>
      </c>
      <c r="EU107" t="e">
        <f>AND(#REF!,"cR2Tf0kD2JY=")</f>
        <v>#REF!</v>
      </c>
      <c r="EV107" t="e">
        <f>AND(#REF!,"cR2Tf0kD2Jc=")</f>
        <v>#REF!</v>
      </c>
      <c r="EW107" t="e">
        <f>AND(#REF!,"cR2Tf0kD2Jg=")</f>
        <v>#REF!</v>
      </c>
      <c r="EX107" t="e">
        <f>AND(#REF!,"cR2Tf0kD2Jk=")</f>
        <v>#REF!</v>
      </c>
      <c r="EY107" t="e">
        <f>AND(#REF!,"cR2Tf0kD2Jo=")</f>
        <v>#REF!</v>
      </c>
      <c r="EZ107" t="e">
        <f>AND(#REF!,"cR2Tf0kD2Js=")</f>
        <v>#REF!</v>
      </c>
      <c r="FA107" t="e">
        <f>AND(#REF!,"cR2Tf0kD2Jw=")</f>
        <v>#REF!</v>
      </c>
      <c r="FB107" t="e">
        <f>AND(#REF!,"cR2Tf0kD2J0=")</f>
        <v>#REF!</v>
      </c>
      <c r="FC107" t="e">
        <f>AND(#REF!,"cR2Tf0kD2J4=")</f>
        <v>#REF!</v>
      </c>
      <c r="FD107" t="e">
        <f>AND(#REF!,"cR2Tf0kD2J8=")</f>
        <v>#REF!</v>
      </c>
      <c r="FE107" t="e">
        <f>AND(#REF!,"cR2Tf0kD2KA=")</f>
        <v>#REF!</v>
      </c>
      <c r="FF107" t="e">
        <f>AND(#REF!,"cR2Tf0kD2KE=")</f>
        <v>#REF!</v>
      </c>
      <c r="FG107" t="e">
        <f>AND(#REF!,"cR2Tf0kD2KI=")</f>
        <v>#REF!</v>
      </c>
      <c r="FH107" t="e">
        <f>AND(#REF!,"cR2Tf0kD2KM=")</f>
        <v>#REF!</v>
      </c>
      <c r="FI107" t="e">
        <f>AND(#REF!,"cR2Tf0kD2KQ=")</f>
        <v>#REF!</v>
      </c>
      <c r="FJ107" t="e">
        <f>AND(#REF!,"cR2Tf0kD2KU=")</f>
        <v>#REF!</v>
      </c>
      <c r="FK107" t="e">
        <f>AND(#REF!,"cR2Tf0kD2KY=")</f>
        <v>#REF!</v>
      </c>
      <c r="FL107" t="e">
        <f>AND(#REF!,"cR2Tf0kD2Kc=")</f>
        <v>#REF!</v>
      </c>
      <c r="FM107" t="e">
        <f>AND(#REF!,"cR2Tf0kD2Kg=")</f>
        <v>#REF!</v>
      </c>
      <c r="FN107" t="e">
        <f>AND(#REF!,"cR2Tf0kD2Kk=")</f>
        <v>#REF!</v>
      </c>
      <c r="FO107" t="e">
        <f>AND(#REF!,"cR2Tf0kD2Ko=")</f>
        <v>#REF!</v>
      </c>
      <c r="FP107" t="e">
        <f>AND(#REF!,"cR2Tf0kD2Ks=")</f>
        <v>#REF!</v>
      </c>
      <c r="FQ107" t="e">
        <f>AND(#REF!,"cR2Tf0kD2Kw=")</f>
        <v>#REF!</v>
      </c>
      <c r="FR107" t="e">
        <f>AND(#REF!,"cR2Tf0kD2K0=")</f>
        <v>#REF!</v>
      </c>
      <c r="FS107" t="e">
        <f>AND(#REF!,"cR2Tf0kD2K4=")</f>
        <v>#REF!</v>
      </c>
      <c r="FT107" t="e">
        <f>AND(#REF!,"cR2Tf0kD2K8=")</f>
        <v>#REF!</v>
      </c>
      <c r="FU107" t="e">
        <f>AND(#REF!,"cR2Tf0kD2LA=")</f>
        <v>#REF!</v>
      </c>
      <c r="FV107" t="e">
        <f>AND(#REF!,"cR2Tf0kD2LE=")</f>
        <v>#REF!</v>
      </c>
      <c r="FW107" t="e">
        <f>AND(#REF!,"cR2Tf0kD2LI=")</f>
        <v>#REF!</v>
      </c>
      <c r="FX107" t="e">
        <f>AND(#REF!,"cR2Tf0kD2LM=")</f>
        <v>#REF!</v>
      </c>
      <c r="FY107" t="e">
        <f>AND(#REF!,"cR2Tf0kD2LQ=")</f>
        <v>#REF!</v>
      </c>
      <c r="FZ107" t="e">
        <f>AND(#REF!,"cR2Tf0kD2LU=")</f>
        <v>#REF!</v>
      </c>
      <c r="GA107" t="e">
        <f>AND(#REF!,"cR2Tf0kD2LY=")</f>
        <v>#REF!</v>
      </c>
      <c r="GB107" t="e">
        <f>AND(#REF!,"cR2Tf0kD2Lc=")</f>
        <v>#REF!</v>
      </c>
      <c r="GC107" t="e">
        <f>AND(#REF!,"cR2Tf0kD2Lg=")</f>
        <v>#REF!</v>
      </c>
      <c r="GD107" t="e">
        <f>AND(#REF!,"cR2Tf0kD2Lk=")</f>
        <v>#REF!</v>
      </c>
      <c r="GE107" t="e">
        <f>AND(#REF!,"cR2Tf0kD2Lo=")</f>
        <v>#REF!</v>
      </c>
      <c r="GF107" t="e">
        <f>AND(#REF!,"cR2Tf0kD2Ls=")</f>
        <v>#REF!</v>
      </c>
      <c r="GG107" t="e">
        <f>AND(#REF!,"cR2Tf0kD2Lw=")</f>
        <v>#REF!</v>
      </c>
      <c r="GH107" t="e">
        <f>AND(#REF!,"cR2Tf0kD2L0=")</f>
        <v>#REF!</v>
      </c>
      <c r="GI107" t="e">
        <f>AND(#REF!,"cR2Tf0kD2L4=")</f>
        <v>#REF!</v>
      </c>
      <c r="GJ107" t="e">
        <f>AND(#REF!,"cR2Tf0kD2L8=")</f>
        <v>#REF!</v>
      </c>
      <c r="GK107" t="e">
        <f>AND(#REF!,"cR2Tf0kD2MA=")</f>
        <v>#REF!</v>
      </c>
      <c r="GL107" t="e">
        <f>AND(#REF!,"cR2Tf0kD2ME=")</f>
        <v>#REF!</v>
      </c>
      <c r="GM107" t="e">
        <f>AND(#REF!,"cR2Tf0kD2MI=")</f>
        <v>#REF!</v>
      </c>
      <c r="GN107" t="e">
        <f>AND(#REF!,"cR2Tf0kD2MM=")</f>
        <v>#REF!</v>
      </c>
      <c r="GO107" t="e">
        <f>AND(#REF!,"cR2Tf0kD2MQ=")</f>
        <v>#REF!</v>
      </c>
      <c r="GP107" t="e">
        <f>AND(#REF!,"cR2Tf0kD2MU=")</f>
        <v>#REF!</v>
      </c>
      <c r="GQ107" t="e">
        <f>AND(#REF!,"cR2Tf0kD2MY=")</f>
        <v>#REF!</v>
      </c>
      <c r="GR107" t="e">
        <f>AND(#REF!,"cR2Tf0kD2Mc=")</f>
        <v>#REF!</v>
      </c>
      <c r="GS107" t="e">
        <f>AND(#REF!,"cR2Tf0kD2Mg=")</f>
        <v>#REF!</v>
      </c>
      <c r="GT107" t="e">
        <f>AND(#REF!,"cR2Tf0kD2Mk=")</f>
        <v>#REF!</v>
      </c>
      <c r="GU107" t="e">
        <f>AND(#REF!,"cR2Tf0kD2Mo=")</f>
        <v>#REF!</v>
      </c>
      <c r="GV107" t="e">
        <f>AND(#REF!,"cR2Tf0kD2Ms=")</f>
        <v>#REF!</v>
      </c>
      <c r="GW107" t="e">
        <f>AND(#REF!,"cR2Tf0kD2Mw=")</f>
        <v>#REF!</v>
      </c>
      <c r="GX107" t="e">
        <f>AND(#REF!,"cR2Tf0kD2M0=")</f>
        <v>#REF!</v>
      </c>
      <c r="GY107" t="e">
        <f>AND(#REF!,"cR2Tf0kD2M4=")</f>
        <v>#REF!</v>
      </c>
      <c r="GZ107" t="e">
        <f>AND(#REF!,"cR2Tf0kD2M8=")</f>
        <v>#REF!</v>
      </c>
      <c r="HA107" t="e">
        <f>AND(#REF!,"cR2Tf0kD2NA=")</f>
        <v>#REF!</v>
      </c>
      <c r="HB107" t="e">
        <f>AND(#REF!,"cR2Tf0kD2NE=")</f>
        <v>#REF!</v>
      </c>
      <c r="HC107" t="e">
        <f>AND(#REF!,"cR2Tf0kD2NI=")</f>
        <v>#REF!</v>
      </c>
      <c r="HD107" t="e">
        <f>AND(#REF!,"cR2Tf0kD2NM=")</f>
        <v>#REF!</v>
      </c>
      <c r="HE107" t="e">
        <f>AND(#REF!,"cR2Tf0kD2NQ=")</f>
        <v>#REF!</v>
      </c>
      <c r="HF107" t="e">
        <f>AND(#REF!,"cR2Tf0kD2NU=")</f>
        <v>#REF!</v>
      </c>
      <c r="HG107" t="e">
        <f>AND(#REF!,"cR2Tf0kD2NY=")</f>
        <v>#REF!</v>
      </c>
      <c r="HH107" t="e">
        <f>AND(#REF!,"cR2Tf0kD2Nc=")</f>
        <v>#REF!</v>
      </c>
      <c r="HI107" t="e">
        <f>AND(#REF!,"cR2Tf0kD2Ng=")</f>
        <v>#REF!</v>
      </c>
      <c r="HJ107" t="e">
        <f>AND(#REF!,"cR2Tf0kD2Nk=")</f>
        <v>#REF!</v>
      </c>
      <c r="HK107" t="e">
        <f>AND(#REF!,"cR2Tf0kD2No=")</f>
        <v>#REF!</v>
      </c>
      <c r="HL107" t="e">
        <f>AND(#REF!,"cR2Tf0kD2Ns=")</f>
        <v>#REF!</v>
      </c>
      <c r="HM107" t="e">
        <f>AND(#REF!,"cR2Tf0kD2Nw=")</f>
        <v>#REF!</v>
      </c>
      <c r="HN107" t="e">
        <f>AND(#REF!,"cR2Tf0kD2N0=")</f>
        <v>#REF!</v>
      </c>
      <c r="HO107" t="e">
        <f>AND(#REF!,"cR2Tf0kD2N4=")</f>
        <v>#REF!</v>
      </c>
      <c r="HP107" t="e">
        <f>AND(#REF!,"cR2Tf0kD2N8=")</f>
        <v>#REF!</v>
      </c>
      <c r="HQ107" t="e">
        <f>AND(#REF!,"cR2Tf0kD2OA=")</f>
        <v>#REF!</v>
      </c>
      <c r="HR107" t="e">
        <f>AND(#REF!,"cR2Tf0kD2OE=")</f>
        <v>#REF!</v>
      </c>
      <c r="HS107" t="e">
        <f>AND(#REF!,"cR2Tf0kD2OI=")</f>
        <v>#REF!</v>
      </c>
      <c r="HT107" t="e">
        <f>AND(#REF!,"cR2Tf0kD2OM=")</f>
        <v>#REF!</v>
      </c>
      <c r="HU107" t="e">
        <f>AND(#REF!,"cR2Tf0kD2OQ=")</f>
        <v>#REF!</v>
      </c>
      <c r="HV107" t="e">
        <f>AND(#REF!,"cR2Tf0kD2OU=")</f>
        <v>#REF!</v>
      </c>
      <c r="HW107" t="e">
        <f>AND(#REF!,"cR2Tf0kD2OY=")</f>
        <v>#REF!</v>
      </c>
      <c r="HX107" t="e">
        <f>AND(#REF!,"cR2Tf0kD2Oc=")</f>
        <v>#REF!</v>
      </c>
      <c r="HY107" t="e">
        <f>AND(#REF!,"cR2Tf0kD2Og=")</f>
        <v>#REF!</v>
      </c>
      <c r="HZ107" t="e">
        <f>AND(#REF!,"cR2Tf0kD2Ok=")</f>
        <v>#REF!</v>
      </c>
      <c r="IA107" t="e">
        <f>AND(#REF!,"cR2Tf0kD2Oo=")</f>
        <v>#REF!</v>
      </c>
      <c r="IB107" t="e">
        <f>AND(#REF!,"cR2Tf0kD2Os=")</f>
        <v>#REF!</v>
      </c>
      <c r="IC107" t="e">
        <f>AND(#REF!,"cR2Tf0kD2Ow=")</f>
        <v>#REF!</v>
      </c>
      <c r="ID107" t="e">
        <f>AND(#REF!,"cR2Tf0kD2O0=")</f>
        <v>#REF!</v>
      </c>
      <c r="IE107" t="e">
        <f>AND(#REF!,"cR2Tf0kD2O4=")</f>
        <v>#REF!</v>
      </c>
      <c r="IF107" t="e">
        <f>AND(#REF!,"cR2Tf0kD2O8=")</f>
        <v>#REF!</v>
      </c>
      <c r="IG107" t="e">
        <f>AND(#REF!,"cR2Tf0kD2PA=")</f>
        <v>#REF!</v>
      </c>
      <c r="IH107" t="e">
        <f>AND(#REF!,"cR2Tf0kD2PE=")</f>
        <v>#REF!</v>
      </c>
      <c r="II107" t="e">
        <f>AND(#REF!,"cR2Tf0kD2PI=")</f>
        <v>#REF!</v>
      </c>
      <c r="IJ107" t="e">
        <f>AND(#REF!,"cR2Tf0kD2PM=")</f>
        <v>#REF!</v>
      </c>
      <c r="IK107" t="e">
        <f>AND(#REF!,"cR2Tf0kD2PQ=")</f>
        <v>#REF!</v>
      </c>
      <c r="IL107" t="e">
        <f>AND(#REF!,"cR2Tf0kD2PU=")</f>
        <v>#REF!</v>
      </c>
      <c r="IM107" t="e">
        <f>AND(#REF!,"cR2Tf0kD2PY=")</f>
        <v>#REF!</v>
      </c>
      <c r="IN107" t="e">
        <f>AND(#REF!,"cR2Tf0kD2Pc=")</f>
        <v>#REF!</v>
      </c>
      <c r="IO107" t="e">
        <f>AND(#REF!,"cR2Tf0kD2Pg=")</f>
        <v>#REF!</v>
      </c>
      <c r="IP107" t="e">
        <f>AND(#REF!,"cR2Tf0kD2Pk=")</f>
        <v>#REF!</v>
      </c>
      <c r="IQ107" t="e">
        <f>AND(#REF!,"cR2Tf0kD2Po=")</f>
        <v>#REF!</v>
      </c>
      <c r="IR107" t="e">
        <f>AND(#REF!,"cR2Tf0kD2Ps=")</f>
        <v>#REF!</v>
      </c>
      <c r="IS107" t="e">
        <f>AND(#REF!,"cR2Tf0kD2Pw=")</f>
        <v>#REF!</v>
      </c>
      <c r="IT107" t="e">
        <f>AND(#REF!,"cR2Tf0kD2P0=")</f>
        <v>#REF!</v>
      </c>
      <c r="IU107" t="e">
        <f>AND(#REF!,"cR2Tf0kD2P4=")</f>
        <v>#REF!</v>
      </c>
      <c r="IV107" t="e">
        <f>AND(#REF!,"cR2Tf0kD2P8=")</f>
        <v>#REF!</v>
      </c>
    </row>
    <row r="108" spans="1:256" x14ac:dyDescent="0.2">
      <c r="A108" t="e">
        <f>AND(#REF!,"SpA/cyUPxQA=")</f>
        <v>#REF!</v>
      </c>
      <c r="B108" t="e">
        <f>AND(#REF!,"SpA/cyUPxQE=")</f>
        <v>#REF!</v>
      </c>
      <c r="C108" t="e">
        <f>AND(#REF!,"SpA/cyUPxQI=")</f>
        <v>#REF!</v>
      </c>
      <c r="D108" t="e">
        <f>AND(#REF!,"SpA/cyUPxQM=")</f>
        <v>#REF!</v>
      </c>
      <c r="E108" t="e">
        <f>AND(#REF!,"SpA/cyUPxQQ=")</f>
        <v>#REF!</v>
      </c>
      <c r="F108" t="e">
        <f>AND(#REF!,"SpA/cyUPxQU=")</f>
        <v>#REF!</v>
      </c>
      <c r="G108" t="e">
        <f>AND(#REF!,"SpA/cyUPxQY=")</f>
        <v>#REF!</v>
      </c>
      <c r="H108" t="e">
        <f>AND(#REF!,"SpA/cyUPxQc=")</f>
        <v>#REF!</v>
      </c>
      <c r="I108" t="e">
        <f>AND(#REF!,"SpA/cyUPxQg=")</f>
        <v>#REF!</v>
      </c>
      <c r="J108" t="e">
        <f>AND(#REF!,"SpA/cyUPxQk=")</f>
        <v>#REF!</v>
      </c>
      <c r="K108" t="e">
        <f>AND(#REF!,"SpA/cyUPxQo=")</f>
        <v>#REF!</v>
      </c>
      <c r="L108" t="e">
        <f>AND(#REF!,"SpA/cyUPxQs=")</f>
        <v>#REF!</v>
      </c>
      <c r="M108" t="e">
        <f>AND(#REF!,"SpA/cyUPxQw=")</f>
        <v>#REF!</v>
      </c>
      <c r="N108" t="e">
        <f>AND(#REF!,"SpA/cyUPxQ0=")</f>
        <v>#REF!</v>
      </c>
      <c r="O108" t="e">
        <f>AND(#REF!,"SpA/cyUPxQ4=")</f>
        <v>#REF!</v>
      </c>
      <c r="P108" t="e">
        <f>AND(#REF!,"SpA/cyUPxQ8=")</f>
        <v>#REF!</v>
      </c>
      <c r="Q108" t="e">
        <f>IF(#REF!,"SpA/cyUPxRA=",0)</f>
        <v>#REF!</v>
      </c>
      <c r="R108" t="e">
        <f>AND(#REF!,"SpA/cyUPxRE=")</f>
        <v>#REF!</v>
      </c>
      <c r="S108" t="e">
        <f>AND(#REF!,"SpA/cyUPxRI=")</f>
        <v>#REF!</v>
      </c>
      <c r="T108" t="e">
        <f>AND(#REF!,"SpA/cyUPxRM=")</f>
        <v>#REF!</v>
      </c>
      <c r="U108" t="e">
        <f>AND(#REF!,"SpA/cyUPxRQ=")</f>
        <v>#REF!</v>
      </c>
      <c r="V108" t="e">
        <f>AND(#REF!,"SpA/cyUPxRU=")</f>
        <v>#REF!</v>
      </c>
      <c r="W108" t="e">
        <f>AND(#REF!,"SpA/cyUPxRY=")</f>
        <v>#REF!</v>
      </c>
      <c r="X108" t="e">
        <f>AND(#REF!,"SpA/cyUPxRc=")</f>
        <v>#REF!</v>
      </c>
      <c r="Y108" t="e">
        <f>AND(#REF!,"SpA/cyUPxRg=")</f>
        <v>#REF!</v>
      </c>
      <c r="Z108" t="e">
        <f>AND(#REF!,"SpA/cyUPxRk=")</f>
        <v>#REF!</v>
      </c>
      <c r="AA108" t="e">
        <f>AND(#REF!,"SpA/cyUPxRo=")</f>
        <v>#REF!</v>
      </c>
      <c r="AB108" t="e">
        <f>AND(#REF!,"SpA/cyUPxRs=")</f>
        <v>#REF!</v>
      </c>
      <c r="AC108" t="e">
        <f>AND(#REF!,"SpA/cyUPxRw=")</f>
        <v>#REF!</v>
      </c>
      <c r="AD108" t="e">
        <f>AND(#REF!,"SpA/cyUPxR0=")</f>
        <v>#REF!</v>
      </c>
      <c r="AE108" t="e">
        <f>AND(#REF!,"SpA/cyUPxR4=")</f>
        <v>#REF!</v>
      </c>
      <c r="AF108" t="e">
        <f>AND(#REF!,"SpA/cyUPxR8=")</f>
        <v>#REF!</v>
      </c>
      <c r="AG108" t="e">
        <f>AND(#REF!,"SpA/cyUPxSA=")</f>
        <v>#REF!</v>
      </c>
      <c r="AH108" t="e">
        <f>AND(#REF!,"SpA/cyUPxSE=")</f>
        <v>#REF!</v>
      </c>
      <c r="AI108" t="e">
        <f>AND(#REF!,"SpA/cyUPxSI=")</f>
        <v>#REF!</v>
      </c>
      <c r="AJ108" t="e">
        <f>AND(#REF!,"SpA/cyUPxSM=")</f>
        <v>#REF!</v>
      </c>
      <c r="AK108" t="e">
        <f>AND(#REF!,"SpA/cyUPxSQ=")</f>
        <v>#REF!</v>
      </c>
      <c r="AL108" t="e">
        <f>AND(#REF!,"SpA/cyUPxSU=")</f>
        <v>#REF!</v>
      </c>
      <c r="AM108" t="e">
        <f>AND(#REF!,"SpA/cyUPxSY=")</f>
        <v>#REF!</v>
      </c>
      <c r="AN108" t="e">
        <f>AND(#REF!,"SpA/cyUPxSc=")</f>
        <v>#REF!</v>
      </c>
      <c r="AO108" t="e">
        <f>AND(#REF!,"SpA/cyUPxSg=")</f>
        <v>#REF!</v>
      </c>
      <c r="AP108" t="e">
        <f>AND(#REF!,"SpA/cyUPxSk=")</f>
        <v>#REF!</v>
      </c>
      <c r="AQ108" t="e">
        <f>AND(#REF!,"SpA/cyUPxSo=")</f>
        <v>#REF!</v>
      </c>
      <c r="AR108" t="e">
        <f>AND(#REF!,"SpA/cyUPxSs=")</f>
        <v>#REF!</v>
      </c>
      <c r="AS108" t="e">
        <f>AND(#REF!,"SpA/cyUPxSw=")</f>
        <v>#REF!</v>
      </c>
      <c r="AT108" t="e">
        <f>AND(#REF!,"SpA/cyUPxS0=")</f>
        <v>#REF!</v>
      </c>
      <c r="AU108" t="e">
        <f>AND(#REF!,"SpA/cyUPxS4=")</f>
        <v>#REF!</v>
      </c>
      <c r="AV108" t="e">
        <f>AND(#REF!,"SpA/cyUPxS8=")</f>
        <v>#REF!</v>
      </c>
      <c r="AW108" t="e">
        <f>AND(#REF!,"SpA/cyUPxTA=")</f>
        <v>#REF!</v>
      </c>
      <c r="AX108" t="e">
        <f>AND(#REF!,"SpA/cyUPxTE=")</f>
        <v>#REF!</v>
      </c>
      <c r="AY108" t="e">
        <f>AND(#REF!,"SpA/cyUPxTI=")</f>
        <v>#REF!</v>
      </c>
      <c r="AZ108" t="e">
        <f>AND(#REF!,"SpA/cyUPxTM=")</f>
        <v>#REF!</v>
      </c>
      <c r="BA108" t="e">
        <f>AND(#REF!,"SpA/cyUPxTQ=")</f>
        <v>#REF!</v>
      </c>
      <c r="BB108" t="e">
        <f>AND(#REF!,"SpA/cyUPxTU=")</f>
        <v>#REF!</v>
      </c>
      <c r="BC108" t="e">
        <f>AND(#REF!,"SpA/cyUPxTY=")</f>
        <v>#REF!</v>
      </c>
      <c r="BD108" t="e">
        <f>AND(#REF!,"SpA/cyUPxTc=")</f>
        <v>#REF!</v>
      </c>
      <c r="BE108" t="e">
        <f>AND(#REF!,"SpA/cyUPxTg=")</f>
        <v>#REF!</v>
      </c>
      <c r="BF108" t="e">
        <f>AND(#REF!,"SpA/cyUPxTk=")</f>
        <v>#REF!</v>
      </c>
      <c r="BG108" t="e">
        <f>AND(#REF!,"SpA/cyUPxTo=")</f>
        <v>#REF!</v>
      </c>
      <c r="BH108" t="e">
        <f>AND(#REF!,"SpA/cyUPxTs=")</f>
        <v>#REF!</v>
      </c>
      <c r="BI108" t="e">
        <f>AND(#REF!,"SpA/cyUPxTw=")</f>
        <v>#REF!</v>
      </c>
      <c r="BJ108" t="e">
        <f>AND(#REF!,"SpA/cyUPxT0=")</f>
        <v>#REF!</v>
      </c>
      <c r="BK108" t="e">
        <f>AND(#REF!,"SpA/cyUPxT4=")</f>
        <v>#REF!</v>
      </c>
      <c r="BL108" t="e">
        <f>AND(#REF!,"SpA/cyUPxT8=")</f>
        <v>#REF!</v>
      </c>
      <c r="BM108" t="e">
        <f>AND(#REF!,"SpA/cyUPxUA=")</f>
        <v>#REF!</v>
      </c>
      <c r="BN108" t="e">
        <f>AND(#REF!,"SpA/cyUPxUE=")</f>
        <v>#REF!</v>
      </c>
      <c r="BO108" t="e">
        <f>AND(#REF!,"SpA/cyUPxUI=")</f>
        <v>#REF!</v>
      </c>
      <c r="BP108" t="e">
        <f>AND(#REF!,"SpA/cyUPxUM=")</f>
        <v>#REF!</v>
      </c>
      <c r="BQ108" t="e">
        <f>AND(#REF!,"SpA/cyUPxUQ=")</f>
        <v>#REF!</v>
      </c>
      <c r="BR108" t="e">
        <f>AND(#REF!,"SpA/cyUPxUU=")</f>
        <v>#REF!</v>
      </c>
      <c r="BS108" t="e">
        <f>AND(#REF!,"SpA/cyUPxUY=")</f>
        <v>#REF!</v>
      </c>
      <c r="BT108" t="e">
        <f>AND(#REF!,"SpA/cyUPxUc=")</f>
        <v>#REF!</v>
      </c>
      <c r="BU108" t="e">
        <f>AND(#REF!,"SpA/cyUPxUg=")</f>
        <v>#REF!</v>
      </c>
      <c r="BV108" t="e">
        <f>AND(#REF!,"SpA/cyUPxUk=")</f>
        <v>#REF!</v>
      </c>
      <c r="BW108" t="e">
        <f>AND(#REF!,"SpA/cyUPxUo=")</f>
        <v>#REF!</v>
      </c>
      <c r="BX108" t="e">
        <f>AND(#REF!,"SpA/cyUPxUs=")</f>
        <v>#REF!</v>
      </c>
      <c r="BY108" t="e">
        <f>AND(#REF!,"SpA/cyUPxUw=")</f>
        <v>#REF!</v>
      </c>
      <c r="BZ108" t="e">
        <f>AND(#REF!,"SpA/cyUPxU0=")</f>
        <v>#REF!</v>
      </c>
      <c r="CA108" t="e">
        <f>AND(#REF!,"SpA/cyUPxU4=")</f>
        <v>#REF!</v>
      </c>
      <c r="CB108" t="e">
        <f>AND(#REF!,"SpA/cyUPxU8=")</f>
        <v>#REF!</v>
      </c>
      <c r="CC108" t="e">
        <f>AND(#REF!,"SpA/cyUPxVA=")</f>
        <v>#REF!</v>
      </c>
      <c r="CD108" t="e">
        <f>AND(#REF!,"SpA/cyUPxVE=")</f>
        <v>#REF!</v>
      </c>
      <c r="CE108" t="e">
        <f>AND(#REF!,"SpA/cyUPxVI=")</f>
        <v>#REF!</v>
      </c>
      <c r="CF108" t="e">
        <f>AND(#REF!,"SpA/cyUPxVM=")</f>
        <v>#REF!</v>
      </c>
      <c r="CG108" t="e">
        <f>AND(#REF!,"SpA/cyUPxVQ=")</f>
        <v>#REF!</v>
      </c>
      <c r="CH108" t="e">
        <f>AND(#REF!,"SpA/cyUPxVU=")</f>
        <v>#REF!</v>
      </c>
      <c r="CI108" t="e">
        <f>AND(#REF!,"SpA/cyUPxVY=")</f>
        <v>#REF!</v>
      </c>
      <c r="CJ108" t="e">
        <f>AND(#REF!,"SpA/cyUPxVc=")</f>
        <v>#REF!</v>
      </c>
      <c r="CK108" t="e">
        <f>AND(#REF!,"SpA/cyUPxVg=")</f>
        <v>#REF!</v>
      </c>
      <c r="CL108" t="e">
        <f>AND(#REF!,"SpA/cyUPxVk=")</f>
        <v>#REF!</v>
      </c>
      <c r="CM108" t="e">
        <f>AND(#REF!,"SpA/cyUPxVo=")</f>
        <v>#REF!</v>
      </c>
      <c r="CN108" t="e">
        <f>AND(#REF!,"SpA/cyUPxVs=")</f>
        <v>#REF!</v>
      </c>
      <c r="CO108" t="e">
        <f>AND(#REF!,"SpA/cyUPxVw=")</f>
        <v>#REF!</v>
      </c>
      <c r="CP108" t="e">
        <f>AND(#REF!,"SpA/cyUPxV0=")</f>
        <v>#REF!</v>
      </c>
      <c r="CQ108" t="e">
        <f>AND(#REF!,"SpA/cyUPxV4=")</f>
        <v>#REF!</v>
      </c>
      <c r="CR108" t="e">
        <f>AND(#REF!,"SpA/cyUPxV8=")</f>
        <v>#REF!</v>
      </c>
      <c r="CS108" t="e">
        <f>AND(#REF!,"SpA/cyUPxWA=")</f>
        <v>#REF!</v>
      </c>
      <c r="CT108" t="e">
        <f>AND(#REF!,"SpA/cyUPxWE=")</f>
        <v>#REF!</v>
      </c>
      <c r="CU108" t="e">
        <f>AND(#REF!,"SpA/cyUPxWI=")</f>
        <v>#REF!</v>
      </c>
      <c r="CV108" t="e">
        <f>AND(#REF!,"SpA/cyUPxWM=")</f>
        <v>#REF!</v>
      </c>
      <c r="CW108" t="e">
        <f>AND(#REF!,"SpA/cyUPxWQ=")</f>
        <v>#REF!</v>
      </c>
      <c r="CX108" t="e">
        <f>AND(#REF!,"SpA/cyUPxWU=")</f>
        <v>#REF!</v>
      </c>
      <c r="CY108" t="e">
        <f>AND(#REF!,"SpA/cyUPxWY=")</f>
        <v>#REF!</v>
      </c>
      <c r="CZ108" t="e">
        <f>AND(#REF!,"SpA/cyUPxWc=")</f>
        <v>#REF!</v>
      </c>
      <c r="DA108" t="e">
        <f>AND(#REF!,"SpA/cyUPxWg=")</f>
        <v>#REF!</v>
      </c>
      <c r="DB108" t="e">
        <f>AND(#REF!,"SpA/cyUPxWk=")</f>
        <v>#REF!</v>
      </c>
      <c r="DC108" t="e">
        <f>AND(#REF!,"SpA/cyUPxWo=")</f>
        <v>#REF!</v>
      </c>
      <c r="DD108" t="e">
        <f>AND(#REF!,"SpA/cyUPxWs=")</f>
        <v>#REF!</v>
      </c>
      <c r="DE108" t="e">
        <f>AND(#REF!,"SpA/cyUPxWw=")</f>
        <v>#REF!</v>
      </c>
      <c r="DF108" t="e">
        <f>AND(#REF!,"SpA/cyUPxW0=")</f>
        <v>#REF!</v>
      </c>
      <c r="DG108" t="e">
        <f>AND(#REF!,"SpA/cyUPxW4=")</f>
        <v>#REF!</v>
      </c>
      <c r="DH108" t="e">
        <f>AND(#REF!,"SpA/cyUPxW8=")</f>
        <v>#REF!</v>
      </c>
      <c r="DI108" t="e">
        <f>AND(#REF!,"SpA/cyUPxXA=")</f>
        <v>#REF!</v>
      </c>
      <c r="DJ108" t="e">
        <f>AND(#REF!,"SpA/cyUPxXE=")</f>
        <v>#REF!</v>
      </c>
      <c r="DK108" t="e">
        <f>AND(#REF!,"SpA/cyUPxXI=")</f>
        <v>#REF!</v>
      </c>
      <c r="DL108" t="e">
        <f>AND(#REF!,"SpA/cyUPxXM=")</f>
        <v>#REF!</v>
      </c>
      <c r="DM108" t="e">
        <f>AND(#REF!,"SpA/cyUPxXQ=")</f>
        <v>#REF!</v>
      </c>
      <c r="DN108" t="e">
        <f>AND(#REF!,"SpA/cyUPxXU=")</f>
        <v>#REF!</v>
      </c>
      <c r="DO108" t="e">
        <f>AND(#REF!,"SpA/cyUPxXY=")</f>
        <v>#REF!</v>
      </c>
      <c r="DP108" t="e">
        <f>AND(#REF!,"SpA/cyUPxXc=")</f>
        <v>#REF!</v>
      </c>
      <c r="DQ108" t="e">
        <f>AND(#REF!,"SpA/cyUPxXg=")</f>
        <v>#REF!</v>
      </c>
      <c r="DR108" t="e">
        <f>AND(#REF!,"SpA/cyUPxXk=")</f>
        <v>#REF!</v>
      </c>
      <c r="DS108" t="e">
        <f>AND(#REF!,"SpA/cyUPxXo=")</f>
        <v>#REF!</v>
      </c>
      <c r="DT108" t="e">
        <f>AND(#REF!,"SpA/cyUPxXs=")</f>
        <v>#REF!</v>
      </c>
      <c r="DU108" t="e">
        <f>AND(#REF!,"SpA/cyUPxXw=")</f>
        <v>#REF!</v>
      </c>
      <c r="DV108" t="e">
        <f>AND(#REF!,"SpA/cyUPxX0=")</f>
        <v>#REF!</v>
      </c>
      <c r="DW108" t="e">
        <f>AND(#REF!,"SpA/cyUPxX4=")</f>
        <v>#REF!</v>
      </c>
      <c r="DX108" t="e">
        <f>AND(#REF!,"SpA/cyUPxX8=")</f>
        <v>#REF!</v>
      </c>
      <c r="DY108" t="e">
        <f>AND(#REF!,"SpA/cyUPxYA=")</f>
        <v>#REF!</v>
      </c>
      <c r="DZ108" t="e">
        <f>AND(#REF!,"SpA/cyUPxYE=")</f>
        <v>#REF!</v>
      </c>
      <c r="EA108" t="e">
        <f>AND(#REF!,"SpA/cyUPxYI=")</f>
        <v>#REF!</v>
      </c>
      <c r="EB108" t="e">
        <f>AND(#REF!,"SpA/cyUPxYM=")</f>
        <v>#REF!</v>
      </c>
      <c r="EC108" t="e">
        <f>AND(#REF!,"SpA/cyUPxYQ=")</f>
        <v>#REF!</v>
      </c>
      <c r="ED108" t="e">
        <f>AND(#REF!,"SpA/cyUPxYU=")</f>
        <v>#REF!</v>
      </c>
      <c r="EE108" t="e">
        <f>AND(#REF!,"SpA/cyUPxYY=")</f>
        <v>#REF!</v>
      </c>
      <c r="EF108" t="e">
        <f>AND(#REF!,"SpA/cyUPxYc=")</f>
        <v>#REF!</v>
      </c>
      <c r="EG108" t="e">
        <f>AND(#REF!,"SpA/cyUPxYg=")</f>
        <v>#REF!</v>
      </c>
      <c r="EH108" t="e">
        <f>AND(#REF!,"SpA/cyUPxYk=")</f>
        <v>#REF!</v>
      </c>
      <c r="EI108" t="e">
        <f>AND(#REF!,"SpA/cyUPxYo=")</f>
        <v>#REF!</v>
      </c>
      <c r="EJ108" t="e">
        <f>AND(#REF!,"SpA/cyUPxYs=")</f>
        <v>#REF!</v>
      </c>
      <c r="EK108" t="e">
        <f>AND(#REF!,"SpA/cyUPxYw=")</f>
        <v>#REF!</v>
      </c>
      <c r="EL108" t="e">
        <f>AND(#REF!,"SpA/cyUPxY0=")</f>
        <v>#REF!</v>
      </c>
      <c r="EM108" t="e">
        <f>AND(#REF!,"SpA/cyUPxY4=")</f>
        <v>#REF!</v>
      </c>
      <c r="EN108" t="e">
        <f>AND(#REF!,"SpA/cyUPxY8=")</f>
        <v>#REF!</v>
      </c>
      <c r="EO108" t="e">
        <f>AND(#REF!,"SpA/cyUPxZA=")</f>
        <v>#REF!</v>
      </c>
      <c r="EP108" t="e">
        <f>AND(#REF!,"SpA/cyUPxZE=")</f>
        <v>#REF!</v>
      </c>
      <c r="EQ108" t="e">
        <f>AND(#REF!,"SpA/cyUPxZI=")</f>
        <v>#REF!</v>
      </c>
      <c r="ER108" t="e">
        <f>AND(#REF!,"SpA/cyUPxZM=")</f>
        <v>#REF!</v>
      </c>
      <c r="ES108" t="e">
        <f>AND(#REF!,"SpA/cyUPxZQ=")</f>
        <v>#REF!</v>
      </c>
      <c r="ET108" t="e">
        <f>AND(#REF!,"SpA/cyUPxZU=")</f>
        <v>#REF!</v>
      </c>
      <c r="EU108" t="e">
        <f>AND(#REF!,"SpA/cyUPxZY=")</f>
        <v>#REF!</v>
      </c>
      <c r="EV108" t="e">
        <f>AND(#REF!,"SpA/cyUPxZc=")</f>
        <v>#REF!</v>
      </c>
      <c r="EW108" t="e">
        <f>AND(#REF!,"SpA/cyUPxZg=")</f>
        <v>#REF!</v>
      </c>
      <c r="EX108" t="e">
        <f>AND(#REF!,"SpA/cyUPxZk=")</f>
        <v>#REF!</v>
      </c>
      <c r="EY108" t="e">
        <f>AND(#REF!,"SpA/cyUPxZo=")</f>
        <v>#REF!</v>
      </c>
      <c r="EZ108" t="e">
        <f>AND(#REF!,"SpA/cyUPxZs=")</f>
        <v>#REF!</v>
      </c>
      <c r="FA108" t="e">
        <f>AND(#REF!,"SpA/cyUPxZw=")</f>
        <v>#REF!</v>
      </c>
      <c r="FB108" t="e">
        <f>AND(#REF!,"SpA/cyUPxZ0=")</f>
        <v>#REF!</v>
      </c>
      <c r="FC108" t="e">
        <f>AND(#REF!,"SpA/cyUPxZ4=")</f>
        <v>#REF!</v>
      </c>
      <c r="FD108" t="e">
        <f>AND(#REF!,"SpA/cyUPxZ8=")</f>
        <v>#REF!</v>
      </c>
      <c r="FE108" t="e">
        <f>AND(#REF!,"SpA/cyUPxaA=")</f>
        <v>#REF!</v>
      </c>
      <c r="FF108" t="e">
        <f>AND(#REF!,"SpA/cyUPxaE=")</f>
        <v>#REF!</v>
      </c>
      <c r="FG108" t="e">
        <f>AND(#REF!,"SpA/cyUPxaI=")</f>
        <v>#REF!</v>
      </c>
      <c r="FH108" t="e">
        <f>AND(#REF!,"SpA/cyUPxaM=")</f>
        <v>#REF!</v>
      </c>
      <c r="FI108" t="e">
        <f>AND(#REF!,"SpA/cyUPxaQ=")</f>
        <v>#REF!</v>
      </c>
      <c r="FJ108" t="e">
        <f>AND(#REF!,"SpA/cyUPxaU=")</f>
        <v>#REF!</v>
      </c>
      <c r="FK108" t="e">
        <f>AND(#REF!,"SpA/cyUPxaY=")</f>
        <v>#REF!</v>
      </c>
      <c r="FL108" t="e">
        <f>AND(#REF!,"SpA/cyUPxac=")</f>
        <v>#REF!</v>
      </c>
      <c r="FM108" t="e">
        <f>AND(#REF!,"SpA/cyUPxag=")</f>
        <v>#REF!</v>
      </c>
      <c r="FN108" t="e">
        <f>AND(#REF!,"SpA/cyUPxak=")</f>
        <v>#REF!</v>
      </c>
      <c r="FO108" t="e">
        <f>AND(#REF!,"SpA/cyUPxao=")</f>
        <v>#REF!</v>
      </c>
      <c r="FP108" t="e">
        <f>AND(#REF!,"SpA/cyUPxas=")</f>
        <v>#REF!</v>
      </c>
      <c r="FQ108" t="e">
        <f>AND(#REF!,"SpA/cyUPxaw=")</f>
        <v>#REF!</v>
      </c>
      <c r="FR108" t="e">
        <f>AND(#REF!,"SpA/cyUPxa0=")</f>
        <v>#REF!</v>
      </c>
      <c r="FS108" t="e">
        <f>AND(#REF!,"SpA/cyUPxa4=")</f>
        <v>#REF!</v>
      </c>
      <c r="FT108" t="e">
        <f>AND(#REF!,"SpA/cyUPxa8=")</f>
        <v>#REF!</v>
      </c>
      <c r="FU108" t="e">
        <f>AND(#REF!,"SpA/cyUPxbA=")</f>
        <v>#REF!</v>
      </c>
      <c r="FV108" t="e">
        <f>AND(#REF!,"SpA/cyUPxbE=")</f>
        <v>#REF!</v>
      </c>
      <c r="FW108" t="e">
        <f>AND(#REF!,"SpA/cyUPxbI=")</f>
        <v>#REF!</v>
      </c>
      <c r="FX108" t="e">
        <f>AND(#REF!,"SpA/cyUPxbM=")</f>
        <v>#REF!</v>
      </c>
      <c r="FY108" t="e">
        <f>AND(#REF!,"SpA/cyUPxbQ=")</f>
        <v>#REF!</v>
      </c>
      <c r="FZ108" t="e">
        <f>AND(#REF!,"SpA/cyUPxbU=")</f>
        <v>#REF!</v>
      </c>
      <c r="GA108" t="e">
        <f>AND(#REF!,"SpA/cyUPxbY=")</f>
        <v>#REF!</v>
      </c>
      <c r="GB108" t="e">
        <f>AND(#REF!,"SpA/cyUPxbc=")</f>
        <v>#REF!</v>
      </c>
      <c r="GC108" t="e">
        <f>AND(#REF!,"SpA/cyUPxbg=")</f>
        <v>#REF!</v>
      </c>
      <c r="GD108" t="e">
        <f>AND(#REF!,"SpA/cyUPxbk=")</f>
        <v>#REF!</v>
      </c>
      <c r="GE108" t="e">
        <f>AND(#REF!,"SpA/cyUPxbo=")</f>
        <v>#REF!</v>
      </c>
      <c r="GF108" t="e">
        <f>AND(#REF!,"SpA/cyUPxbs=")</f>
        <v>#REF!</v>
      </c>
      <c r="GG108" t="e">
        <f>AND(#REF!,"SpA/cyUPxbw=")</f>
        <v>#REF!</v>
      </c>
      <c r="GH108" t="e">
        <f>AND(#REF!,"SpA/cyUPxb0=")</f>
        <v>#REF!</v>
      </c>
      <c r="GI108" t="e">
        <f>AND(#REF!,"SpA/cyUPxb4=")</f>
        <v>#REF!</v>
      </c>
      <c r="GJ108" t="e">
        <f>AND(#REF!,"SpA/cyUPxb8=")</f>
        <v>#REF!</v>
      </c>
      <c r="GK108" t="e">
        <f>AND(#REF!,"SpA/cyUPxcA=")</f>
        <v>#REF!</v>
      </c>
      <c r="GL108" t="e">
        <f>AND(#REF!,"SpA/cyUPxcE=")</f>
        <v>#REF!</v>
      </c>
      <c r="GM108" t="e">
        <f>AND(#REF!,"SpA/cyUPxcI=")</f>
        <v>#REF!</v>
      </c>
      <c r="GN108" t="e">
        <f>AND(#REF!,"SpA/cyUPxcM=")</f>
        <v>#REF!</v>
      </c>
      <c r="GO108" t="e">
        <f>AND(#REF!,"SpA/cyUPxcQ=")</f>
        <v>#REF!</v>
      </c>
      <c r="GP108" t="e">
        <f>AND(#REF!,"SpA/cyUPxcU=")</f>
        <v>#REF!</v>
      </c>
      <c r="GQ108" t="e">
        <f>AND(#REF!,"SpA/cyUPxcY=")</f>
        <v>#REF!</v>
      </c>
      <c r="GR108" t="e">
        <f>AND(#REF!,"SpA/cyUPxcc=")</f>
        <v>#REF!</v>
      </c>
      <c r="GS108" t="e">
        <f>AND(#REF!,"SpA/cyUPxcg=")</f>
        <v>#REF!</v>
      </c>
      <c r="GT108" t="e">
        <f>AND(#REF!,"SpA/cyUPxck=")</f>
        <v>#REF!</v>
      </c>
      <c r="GU108" t="e">
        <f>AND(#REF!,"SpA/cyUPxco=")</f>
        <v>#REF!</v>
      </c>
      <c r="GV108" t="e">
        <f>AND(#REF!,"SpA/cyUPxcs=")</f>
        <v>#REF!</v>
      </c>
      <c r="GW108" t="e">
        <f>AND(#REF!,"SpA/cyUPxcw=")</f>
        <v>#REF!</v>
      </c>
      <c r="GX108" t="e">
        <f>AND(#REF!,"SpA/cyUPxc0=")</f>
        <v>#REF!</v>
      </c>
      <c r="GY108" t="e">
        <f>AND(#REF!,"SpA/cyUPxc4=")</f>
        <v>#REF!</v>
      </c>
      <c r="GZ108" t="e">
        <f>AND(#REF!,"SpA/cyUPxc8=")</f>
        <v>#REF!</v>
      </c>
      <c r="HA108" t="e">
        <f>AND(#REF!,"SpA/cyUPxdA=")</f>
        <v>#REF!</v>
      </c>
      <c r="HB108" t="e">
        <f>AND(#REF!,"SpA/cyUPxdE=")</f>
        <v>#REF!</v>
      </c>
      <c r="HC108" t="e">
        <f>AND(#REF!,"SpA/cyUPxdI=")</f>
        <v>#REF!</v>
      </c>
      <c r="HD108" t="e">
        <f>AND(#REF!,"SpA/cyUPxdM=")</f>
        <v>#REF!</v>
      </c>
      <c r="HE108" t="e">
        <f>AND(#REF!,"SpA/cyUPxdQ=")</f>
        <v>#REF!</v>
      </c>
      <c r="HF108" t="e">
        <f>AND(#REF!,"SpA/cyUPxdU=")</f>
        <v>#REF!</v>
      </c>
      <c r="HG108" t="e">
        <f>AND(#REF!,"SpA/cyUPxdY=")</f>
        <v>#REF!</v>
      </c>
      <c r="HH108" t="e">
        <f>IF(#REF!,"SpA/cyUPxdc=",0)</f>
        <v>#REF!</v>
      </c>
      <c r="HI108" t="e">
        <f>AND(#REF!,"SpA/cyUPxdg=")</f>
        <v>#REF!</v>
      </c>
      <c r="HJ108" t="e">
        <f>AND(#REF!,"SpA/cyUPxdk=")</f>
        <v>#REF!</v>
      </c>
      <c r="HK108" t="e">
        <f>AND(#REF!,"SpA/cyUPxdo=")</f>
        <v>#REF!</v>
      </c>
      <c r="HL108" t="e">
        <f>AND(#REF!,"SpA/cyUPxds=")</f>
        <v>#REF!</v>
      </c>
      <c r="HM108" t="e">
        <f>AND(#REF!,"SpA/cyUPxdw=")</f>
        <v>#REF!</v>
      </c>
      <c r="HN108" t="e">
        <f>AND(#REF!,"SpA/cyUPxd0=")</f>
        <v>#REF!</v>
      </c>
      <c r="HO108" t="e">
        <f>AND(#REF!,"SpA/cyUPxd4=")</f>
        <v>#REF!</v>
      </c>
      <c r="HP108" t="e">
        <f>AND(#REF!,"SpA/cyUPxd8=")</f>
        <v>#REF!</v>
      </c>
      <c r="HQ108" t="e">
        <f>AND(#REF!,"SpA/cyUPxeA=")</f>
        <v>#REF!</v>
      </c>
      <c r="HR108" t="e">
        <f>AND(#REF!,"SpA/cyUPxeE=")</f>
        <v>#REF!</v>
      </c>
      <c r="HS108" t="e">
        <f>AND(#REF!,"SpA/cyUPxeI=")</f>
        <v>#REF!</v>
      </c>
      <c r="HT108" t="e">
        <f>AND(#REF!,"SpA/cyUPxeM=")</f>
        <v>#REF!</v>
      </c>
      <c r="HU108" t="e">
        <f>AND(#REF!,"SpA/cyUPxeQ=")</f>
        <v>#REF!</v>
      </c>
      <c r="HV108" t="e">
        <f>AND(#REF!,"SpA/cyUPxeU=")</f>
        <v>#REF!</v>
      </c>
      <c r="HW108" t="e">
        <f>AND(#REF!,"SpA/cyUPxeY=")</f>
        <v>#REF!</v>
      </c>
      <c r="HX108" t="e">
        <f>AND(#REF!,"SpA/cyUPxec=")</f>
        <v>#REF!</v>
      </c>
      <c r="HY108" t="e">
        <f>AND(#REF!,"SpA/cyUPxeg=")</f>
        <v>#REF!</v>
      </c>
      <c r="HZ108" t="e">
        <f>AND(#REF!,"SpA/cyUPxek=")</f>
        <v>#REF!</v>
      </c>
      <c r="IA108" t="e">
        <f>AND(#REF!,"SpA/cyUPxeo=")</f>
        <v>#REF!</v>
      </c>
      <c r="IB108" t="e">
        <f>AND(#REF!,"SpA/cyUPxes=")</f>
        <v>#REF!</v>
      </c>
      <c r="IC108" t="e">
        <f>AND(#REF!,"SpA/cyUPxew=")</f>
        <v>#REF!</v>
      </c>
      <c r="ID108" t="e">
        <f>AND(#REF!,"SpA/cyUPxe0=")</f>
        <v>#REF!</v>
      </c>
      <c r="IE108" t="e">
        <f>AND(#REF!,"SpA/cyUPxe4=")</f>
        <v>#REF!</v>
      </c>
      <c r="IF108" t="e">
        <f>AND(#REF!,"SpA/cyUPxe8=")</f>
        <v>#REF!</v>
      </c>
      <c r="IG108" t="e">
        <f>AND(#REF!,"SpA/cyUPxfA=")</f>
        <v>#REF!</v>
      </c>
      <c r="IH108" t="e">
        <f>AND(#REF!,"SpA/cyUPxfE=")</f>
        <v>#REF!</v>
      </c>
      <c r="II108" t="e">
        <f>AND(#REF!,"SpA/cyUPxfI=")</f>
        <v>#REF!</v>
      </c>
      <c r="IJ108" t="e">
        <f>AND(#REF!,"SpA/cyUPxfM=")</f>
        <v>#REF!</v>
      </c>
      <c r="IK108" t="e">
        <f>AND(#REF!,"SpA/cyUPxfQ=")</f>
        <v>#REF!</v>
      </c>
      <c r="IL108" t="e">
        <f>AND(#REF!,"SpA/cyUPxfU=")</f>
        <v>#REF!</v>
      </c>
      <c r="IM108" t="e">
        <f>AND(#REF!,"SpA/cyUPxfY=")</f>
        <v>#REF!</v>
      </c>
      <c r="IN108" t="e">
        <f>AND(#REF!,"SpA/cyUPxfc=")</f>
        <v>#REF!</v>
      </c>
      <c r="IO108" t="e">
        <f>AND(#REF!,"SpA/cyUPxfg=")</f>
        <v>#REF!</v>
      </c>
      <c r="IP108" t="e">
        <f>AND(#REF!,"SpA/cyUPxfk=")</f>
        <v>#REF!</v>
      </c>
      <c r="IQ108" t="e">
        <f>AND(#REF!,"SpA/cyUPxfo=")</f>
        <v>#REF!</v>
      </c>
      <c r="IR108" t="e">
        <f>AND(#REF!,"SpA/cyUPxfs=")</f>
        <v>#REF!</v>
      </c>
      <c r="IS108" t="e">
        <f>AND(#REF!,"SpA/cyUPxfw=")</f>
        <v>#REF!</v>
      </c>
      <c r="IT108" t="e">
        <f>AND(#REF!,"SpA/cyUPxf0=")</f>
        <v>#REF!</v>
      </c>
      <c r="IU108" t="e">
        <f>AND(#REF!,"SpA/cyUPxf4=")</f>
        <v>#REF!</v>
      </c>
      <c r="IV108" t="e">
        <f>AND(#REF!,"SpA/cyUPxf8=")</f>
        <v>#REF!</v>
      </c>
    </row>
    <row r="109" spans="1:256" x14ac:dyDescent="0.2">
      <c r="A109" t="e">
        <f>AND(#REF!,"E9Thyh+5agA=")</f>
        <v>#REF!</v>
      </c>
      <c r="B109" t="e">
        <f>AND(#REF!,"E9Thyh+5agE=")</f>
        <v>#REF!</v>
      </c>
      <c r="C109" t="e">
        <f>AND(#REF!,"E9Thyh+5agI=")</f>
        <v>#REF!</v>
      </c>
      <c r="D109" t="e">
        <f>AND(#REF!,"E9Thyh+5agM=")</f>
        <v>#REF!</v>
      </c>
      <c r="E109" t="e">
        <f>AND(#REF!,"E9Thyh+5agQ=")</f>
        <v>#REF!</v>
      </c>
      <c r="F109" t="e">
        <f>AND(#REF!,"E9Thyh+5agU=")</f>
        <v>#REF!</v>
      </c>
      <c r="G109" t="e">
        <f>AND(#REF!,"E9Thyh+5agY=")</f>
        <v>#REF!</v>
      </c>
      <c r="H109" t="e">
        <f>AND(#REF!,"E9Thyh+5agc=")</f>
        <v>#REF!</v>
      </c>
      <c r="I109" t="e">
        <f>AND(#REF!,"E9Thyh+5agg=")</f>
        <v>#REF!</v>
      </c>
      <c r="J109" t="e">
        <f>AND(#REF!,"E9Thyh+5agk=")</f>
        <v>#REF!</v>
      </c>
      <c r="K109" t="e">
        <f>AND(#REF!,"E9Thyh+5ago=")</f>
        <v>#REF!</v>
      </c>
      <c r="L109" t="e">
        <f>AND(#REF!,"E9Thyh+5ags=")</f>
        <v>#REF!</v>
      </c>
      <c r="M109" t="e">
        <f>AND(#REF!,"E9Thyh+5agw=")</f>
        <v>#REF!</v>
      </c>
      <c r="N109" t="e">
        <f>AND(#REF!,"E9Thyh+5ag0=")</f>
        <v>#REF!</v>
      </c>
      <c r="O109" t="e">
        <f>AND(#REF!,"E9Thyh+5ag4=")</f>
        <v>#REF!</v>
      </c>
      <c r="P109" t="e">
        <f>AND(#REF!,"E9Thyh+5ag8=")</f>
        <v>#REF!</v>
      </c>
      <c r="Q109" t="e">
        <f>AND(#REF!,"E9Thyh+5ahA=")</f>
        <v>#REF!</v>
      </c>
      <c r="R109" t="e">
        <f>AND(#REF!,"E9Thyh+5ahE=")</f>
        <v>#REF!</v>
      </c>
      <c r="S109" t="e">
        <f>AND(#REF!,"E9Thyh+5ahI=")</f>
        <v>#REF!</v>
      </c>
      <c r="T109" t="e">
        <f>AND(#REF!,"E9Thyh+5ahM=")</f>
        <v>#REF!</v>
      </c>
      <c r="U109" t="e">
        <f>AND(#REF!,"E9Thyh+5ahQ=")</f>
        <v>#REF!</v>
      </c>
      <c r="V109" t="e">
        <f>AND(#REF!,"E9Thyh+5ahU=")</f>
        <v>#REF!</v>
      </c>
      <c r="W109" t="e">
        <f>AND(#REF!,"E9Thyh+5ahY=")</f>
        <v>#REF!</v>
      </c>
      <c r="X109" t="e">
        <f>AND(#REF!,"E9Thyh+5ahc=")</f>
        <v>#REF!</v>
      </c>
      <c r="Y109" t="e">
        <f>AND(#REF!,"E9Thyh+5ahg=")</f>
        <v>#REF!</v>
      </c>
      <c r="Z109" t="e">
        <f>AND(#REF!,"E9Thyh+5ahk=")</f>
        <v>#REF!</v>
      </c>
      <c r="AA109" t="e">
        <f>AND(#REF!,"E9Thyh+5aho=")</f>
        <v>#REF!</v>
      </c>
      <c r="AB109" t="e">
        <f>AND(#REF!,"E9Thyh+5ahs=")</f>
        <v>#REF!</v>
      </c>
      <c r="AC109" t="e">
        <f>AND(#REF!,"E9Thyh+5ahw=")</f>
        <v>#REF!</v>
      </c>
      <c r="AD109" t="e">
        <f>AND(#REF!,"E9Thyh+5ah0=")</f>
        <v>#REF!</v>
      </c>
      <c r="AE109" t="e">
        <f>AND(#REF!,"E9Thyh+5ah4=")</f>
        <v>#REF!</v>
      </c>
      <c r="AF109" t="e">
        <f>AND(#REF!,"E9Thyh+5ah8=")</f>
        <v>#REF!</v>
      </c>
      <c r="AG109" t="e">
        <f>AND(#REF!,"E9Thyh+5aiA=")</f>
        <v>#REF!</v>
      </c>
      <c r="AH109" t="e">
        <f>AND(#REF!,"E9Thyh+5aiE=")</f>
        <v>#REF!</v>
      </c>
      <c r="AI109" t="e">
        <f>AND(#REF!,"E9Thyh+5aiI=")</f>
        <v>#REF!</v>
      </c>
      <c r="AJ109" t="e">
        <f>AND(#REF!,"E9Thyh+5aiM=")</f>
        <v>#REF!</v>
      </c>
      <c r="AK109" t="e">
        <f>AND(#REF!,"E9Thyh+5aiQ=")</f>
        <v>#REF!</v>
      </c>
      <c r="AL109" t="e">
        <f>AND(#REF!,"E9Thyh+5aiU=")</f>
        <v>#REF!</v>
      </c>
      <c r="AM109" t="e">
        <f>AND(#REF!,"E9Thyh+5aiY=")</f>
        <v>#REF!</v>
      </c>
      <c r="AN109" t="e">
        <f>AND(#REF!,"E9Thyh+5aic=")</f>
        <v>#REF!</v>
      </c>
      <c r="AO109" t="e">
        <f>AND(#REF!,"E9Thyh+5aig=")</f>
        <v>#REF!</v>
      </c>
      <c r="AP109" t="e">
        <f>AND(#REF!,"E9Thyh+5aik=")</f>
        <v>#REF!</v>
      </c>
      <c r="AQ109" t="e">
        <f>AND(#REF!,"E9Thyh+5aio=")</f>
        <v>#REF!</v>
      </c>
      <c r="AR109" t="e">
        <f>AND(#REF!,"E9Thyh+5ais=")</f>
        <v>#REF!</v>
      </c>
      <c r="AS109" t="e">
        <f>AND(#REF!,"E9Thyh+5aiw=")</f>
        <v>#REF!</v>
      </c>
      <c r="AT109" t="e">
        <f>AND(#REF!,"E9Thyh+5ai0=")</f>
        <v>#REF!</v>
      </c>
      <c r="AU109" t="e">
        <f>AND(#REF!,"E9Thyh+5ai4=")</f>
        <v>#REF!</v>
      </c>
      <c r="AV109" t="e">
        <f>AND(#REF!,"E9Thyh+5ai8=")</f>
        <v>#REF!</v>
      </c>
      <c r="AW109" t="e">
        <f>AND(#REF!,"E9Thyh+5ajA=")</f>
        <v>#REF!</v>
      </c>
      <c r="AX109" t="e">
        <f>AND(#REF!,"E9Thyh+5ajE=")</f>
        <v>#REF!</v>
      </c>
      <c r="AY109" t="e">
        <f>AND(#REF!,"E9Thyh+5ajI=")</f>
        <v>#REF!</v>
      </c>
      <c r="AZ109" t="e">
        <f>AND(#REF!,"E9Thyh+5ajM=")</f>
        <v>#REF!</v>
      </c>
      <c r="BA109" t="e">
        <f>AND(#REF!,"E9Thyh+5ajQ=")</f>
        <v>#REF!</v>
      </c>
      <c r="BB109" t="e">
        <f>AND(#REF!,"E9Thyh+5ajU=")</f>
        <v>#REF!</v>
      </c>
      <c r="BC109" t="e">
        <f>AND(#REF!,"E9Thyh+5ajY=")</f>
        <v>#REF!</v>
      </c>
      <c r="BD109" t="e">
        <f>AND(#REF!,"E9Thyh+5ajc=")</f>
        <v>#REF!</v>
      </c>
      <c r="BE109" t="e">
        <f>AND(#REF!,"E9Thyh+5ajg=")</f>
        <v>#REF!</v>
      </c>
      <c r="BF109" t="e">
        <f>AND(#REF!,"E9Thyh+5ajk=")</f>
        <v>#REF!</v>
      </c>
      <c r="BG109" t="e">
        <f>AND(#REF!,"E9Thyh+5ajo=")</f>
        <v>#REF!</v>
      </c>
      <c r="BH109" t="e">
        <f>AND(#REF!,"E9Thyh+5ajs=")</f>
        <v>#REF!</v>
      </c>
      <c r="BI109" t="e">
        <f>AND(#REF!,"E9Thyh+5ajw=")</f>
        <v>#REF!</v>
      </c>
      <c r="BJ109" t="e">
        <f>AND(#REF!,"E9Thyh+5aj0=")</f>
        <v>#REF!</v>
      </c>
      <c r="BK109" t="e">
        <f>AND(#REF!,"E9Thyh+5aj4=")</f>
        <v>#REF!</v>
      </c>
      <c r="BL109" t="e">
        <f>AND(#REF!,"E9Thyh+5aj8=")</f>
        <v>#REF!</v>
      </c>
      <c r="BM109" t="e">
        <f>AND(#REF!,"E9Thyh+5akA=")</f>
        <v>#REF!</v>
      </c>
      <c r="BN109" t="e">
        <f>AND(#REF!,"E9Thyh+5akE=")</f>
        <v>#REF!</v>
      </c>
      <c r="BO109" t="e">
        <f>AND(#REF!,"E9Thyh+5akI=")</f>
        <v>#REF!</v>
      </c>
      <c r="BP109" t="e">
        <f>AND(#REF!,"E9Thyh+5akM=")</f>
        <v>#REF!</v>
      </c>
      <c r="BQ109" t="e">
        <f>AND(#REF!,"E9Thyh+5akQ=")</f>
        <v>#REF!</v>
      </c>
      <c r="BR109" t="e">
        <f>AND(#REF!,"E9Thyh+5akU=")</f>
        <v>#REF!</v>
      </c>
      <c r="BS109" t="e">
        <f>AND(#REF!,"E9Thyh+5akY=")</f>
        <v>#REF!</v>
      </c>
      <c r="BT109" t="e">
        <f>AND(#REF!,"E9Thyh+5akc=")</f>
        <v>#REF!</v>
      </c>
      <c r="BU109" t="e">
        <f>AND(#REF!,"E9Thyh+5akg=")</f>
        <v>#REF!</v>
      </c>
      <c r="BV109" t="e">
        <f>AND(#REF!,"E9Thyh+5akk=")</f>
        <v>#REF!</v>
      </c>
      <c r="BW109" t="e">
        <f>AND(#REF!,"E9Thyh+5ako=")</f>
        <v>#REF!</v>
      </c>
      <c r="BX109" t="e">
        <f>AND(#REF!,"E9Thyh+5aks=")</f>
        <v>#REF!</v>
      </c>
      <c r="BY109" t="e">
        <f>AND(#REF!,"E9Thyh+5akw=")</f>
        <v>#REF!</v>
      </c>
      <c r="BZ109" t="e">
        <f>AND(#REF!,"E9Thyh+5ak0=")</f>
        <v>#REF!</v>
      </c>
      <c r="CA109" t="e">
        <f>AND(#REF!,"E9Thyh+5ak4=")</f>
        <v>#REF!</v>
      </c>
      <c r="CB109" t="e">
        <f>AND(#REF!,"E9Thyh+5ak8=")</f>
        <v>#REF!</v>
      </c>
      <c r="CC109" t="e">
        <f>AND(#REF!,"E9Thyh+5alA=")</f>
        <v>#REF!</v>
      </c>
      <c r="CD109" t="e">
        <f>AND(#REF!,"E9Thyh+5alE=")</f>
        <v>#REF!</v>
      </c>
      <c r="CE109" t="e">
        <f>AND(#REF!,"E9Thyh+5alI=")</f>
        <v>#REF!</v>
      </c>
      <c r="CF109" t="e">
        <f>AND(#REF!,"E9Thyh+5alM=")</f>
        <v>#REF!</v>
      </c>
      <c r="CG109" t="e">
        <f>AND(#REF!,"E9Thyh+5alQ=")</f>
        <v>#REF!</v>
      </c>
      <c r="CH109" t="e">
        <f>AND(#REF!,"E9Thyh+5alU=")</f>
        <v>#REF!</v>
      </c>
      <c r="CI109" t="e">
        <f>AND(#REF!,"E9Thyh+5alY=")</f>
        <v>#REF!</v>
      </c>
      <c r="CJ109" t="e">
        <f>AND(#REF!,"E9Thyh+5alc=")</f>
        <v>#REF!</v>
      </c>
      <c r="CK109" t="e">
        <f>AND(#REF!,"E9Thyh+5alg=")</f>
        <v>#REF!</v>
      </c>
      <c r="CL109" t="e">
        <f>AND(#REF!,"E9Thyh+5alk=")</f>
        <v>#REF!</v>
      </c>
      <c r="CM109" t="e">
        <f>AND(#REF!,"E9Thyh+5alo=")</f>
        <v>#REF!</v>
      </c>
      <c r="CN109" t="e">
        <f>AND(#REF!,"E9Thyh+5als=")</f>
        <v>#REF!</v>
      </c>
      <c r="CO109" t="e">
        <f>AND(#REF!,"E9Thyh+5alw=")</f>
        <v>#REF!</v>
      </c>
      <c r="CP109" t="e">
        <f>AND(#REF!,"E9Thyh+5al0=")</f>
        <v>#REF!</v>
      </c>
      <c r="CQ109" t="e">
        <f>AND(#REF!,"E9Thyh+5al4=")</f>
        <v>#REF!</v>
      </c>
      <c r="CR109" t="e">
        <f>AND(#REF!,"E9Thyh+5al8=")</f>
        <v>#REF!</v>
      </c>
      <c r="CS109" t="e">
        <f>AND(#REF!,"E9Thyh+5amA=")</f>
        <v>#REF!</v>
      </c>
      <c r="CT109" t="e">
        <f>AND(#REF!,"E9Thyh+5amE=")</f>
        <v>#REF!</v>
      </c>
      <c r="CU109" t="e">
        <f>AND(#REF!,"E9Thyh+5amI=")</f>
        <v>#REF!</v>
      </c>
      <c r="CV109" t="e">
        <f>AND(#REF!,"E9Thyh+5amM=")</f>
        <v>#REF!</v>
      </c>
      <c r="CW109" t="e">
        <f>AND(#REF!,"E9Thyh+5amQ=")</f>
        <v>#REF!</v>
      </c>
      <c r="CX109" t="e">
        <f>AND(#REF!,"E9Thyh+5amU=")</f>
        <v>#REF!</v>
      </c>
      <c r="CY109" t="e">
        <f>AND(#REF!,"E9Thyh+5amY=")</f>
        <v>#REF!</v>
      </c>
      <c r="CZ109" t="e">
        <f>AND(#REF!,"E9Thyh+5amc=")</f>
        <v>#REF!</v>
      </c>
      <c r="DA109" t="e">
        <f>AND(#REF!,"E9Thyh+5amg=")</f>
        <v>#REF!</v>
      </c>
      <c r="DB109" t="e">
        <f>AND(#REF!,"E9Thyh+5amk=")</f>
        <v>#REF!</v>
      </c>
      <c r="DC109" t="e">
        <f>AND(#REF!,"E9Thyh+5amo=")</f>
        <v>#REF!</v>
      </c>
      <c r="DD109" t="e">
        <f>AND(#REF!,"E9Thyh+5ams=")</f>
        <v>#REF!</v>
      </c>
      <c r="DE109" t="e">
        <f>AND(#REF!,"E9Thyh+5amw=")</f>
        <v>#REF!</v>
      </c>
      <c r="DF109" t="e">
        <f>AND(#REF!,"E9Thyh+5am0=")</f>
        <v>#REF!</v>
      </c>
      <c r="DG109" t="e">
        <f>AND(#REF!,"E9Thyh+5am4=")</f>
        <v>#REF!</v>
      </c>
      <c r="DH109" t="e">
        <f>AND(#REF!,"E9Thyh+5am8=")</f>
        <v>#REF!</v>
      </c>
      <c r="DI109" t="e">
        <f>AND(#REF!,"E9Thyh+5anA=")</f>
        <v>#REF!</v>
      </c>
      <c r="DJ109" t="e">
        <f>AND(#REF!,"E9Thyh+5anE=")</f>
        <v>#REF!</v>
      </c>
      <c r="DK109" t="e">
        <f>AND(#REF!,"E9Thyh+5anI=")</f>
        <v>#REF!</v>
      </c>
      <c r="DL109" t="e">
        <f>AND(#REF!,"E9Thyh+5anM=")</f>
        <v>#REF!</v>
      </c>
      <c r="DM109" t="e">
        <f>AND(#REF!,"E9Thyh+5anQ=")</f>
        <v>#REF!</v>
      </c>
      <c r="DN109" t="e">
        <f>AND(#REF!,"E9Thyh+5anU=")</f>
        <v>#REF!</v>
      </c>
      <c r="DO109" t="e">
        <f>AND(#REF!,"E9Thyh+5anY=")</f>
        <v>#REF!</v>
      </c>
      <c r="DP109" t="e">
        <f>AND(#REF!,"E9Thyh+5anc=")</f>
        <v>#REF!</v>
      </c>
      <c r="DQ109" t="e">
        <f>AND(#REF!,"E9Thyh+5ang=")</f>
        <v>#REF!</v>
      </c>
      <c r="DR109" t="e">
        <f>AND(#REF!,"E9Thyh+5ank=")</f>
        <v>#REF!</v>
      </c>
      <c r="DS109" t="e">
        <f>AND(#REF!,"E9Thyh+5ano=")</f>
        <v>#REF!</v>
      </c>
      <c r="DT109" t="e">
        <f>AND(#REF!,"E9Thyh+5ans=")</f>
        <v>#REF!</v>
      </c>
      <c r="DU109" t="e">
        <f>AND(#REF!,"E9Thyh+5anw=")</f>
        <v>#REF!</v>
      </c>
      <c r="DV109" t="e">
        <f>AND(#REF!,"E9Thyh+5an0=")</f>
        <v>#REF!</v>
      </c>
      <c r="DW109" t="e">
        <f>AND(#REF!,"E9Thyh+5an4=")</f>
        <v>#REF!</v>
      </c>
      <c r="DX109" t="e">
        <f>AND(#REF!,"E9Thyh+5an8=")</f>
        <v>#REF!</v>
      </c>
      <c r="DY109" t="e">
        <f>AND(#REF!,"E9Thyh+5aoA=")</f>
        <v>#REF!</v>
      </c>
      <c r="DZ109" t="e">
        <f>AND(#REF!,"E9Thyh+5aoE=")</f>
        <v>#REF!</v>
      </c>
      <c r="EA109" t="e">
        <f>AND(#REF!,"E9Thyh+5aoI=")</f>
        <v>#REF!</v>
      </c>
      <c r="EB109" t="e">
        <f>AND(#REF!,"E9Thyh+5aoM=")</f>
        <v>#REF!</v>
      </c>
      <c r="EC109" t="e">
        <f>AND(#REF!,"E9Thyh+5aoQ=")</f>
        <v>#REF!</v>
      </c>
      <c r="ED109" t="e">
        <f>AND(#REF!,"E9Thyh+5aoU=")</f>
        <v>#REF!</v>
      </c>
      <c r="EE109" t="e">
        <f>AND(#REF!,"E9Thyh+5aoY=")</f>
        <v>#REF!</v>
      </c>
      <c r="EF109" t="e">
        <f>AND(#REF!,"E9Thyh+5aoc=")</f>
        <v>#REF!</v>
      </c>
      <c r="EG109" t="e">
        <f>AND(#REF!,"E9Thyh+5aog=")</f>
        <v>#REF!</v>
      </c>
      <c r="EH109" t="e">
        <f>AND(#REF!,"E9Thyh+5aok=")</f>
        <v>#REF!</v>
      </c>
      <c r="EI109" t="e">
        <f>AND(#REF!,"E9Thyh+5aoo=")</f>
        <v>#REF!</v>
      </c>
      <c r="EJ109" t="e">
        <f>AND(#REF!,"E9Thyh+5aos=")</f>
        <v>#REF!</v>
      </c>
      <c r="EK109" t="e">
        <f>AND(#REF!,"E9Thyh+5aow=")</f>
        <v>#REF!</v>
      </c>
      <c r="EL109" t="e">
        <f>AND(#REF!,"E9Thyh+5ao0=")</f>
        <v>#REF!</v>
      </c>
      <c r="EM109" t="e">
        <f>AND(#REF!,"E9Thyh+5ao4=")</f>
        <v>#REF!</v>
      </c>
      <c r="EN109" t="e">
        <f>AND(#REF!,"E9Thyh+5ao8=")</f>
        <v>#REF!</v>
      </c>
      <c r="EO109" t="e">
        <f>AND(#REF!,"E9Thyh+5apA=")</f>
        <v>#REF!</v>
      </c>
      <c r="EP109" t="e">
        <f>AND(#REF!,"E9Thyh+5apE=")</f>
        <v>#REF!</v>
      </c>
      <c r="EQ109" t="e">
        <f>AND(#REF!,"E9Thyh+5apI=")</f>
        <v>#REF!</v>
      </c>
      <c r="ER109" t="e">
        <f>AND(#REF!,"E9Thyh+5apM=")</f>
        <v>#REF!</v>
      </c>
      <c r="ES109" t="e">
        <f>AND(#REF!,"E9Thyh+5apQ=")</f>
        <v>#REF!</v>
      </c>
      <c r="ET109" t="e">
        <f>AND(#REF!,"E9Thyh+5apU=")</f>
        <v>#REF!</v>
      </c>
      <c r="EU109" t="e">
        <f>AND(#REF!,"E9Thyh+5apY=")</f>
        <v>#REF!</v>
      </c>
      <c r="EV109" t="e">
        <f>AND(#REF!,"E9Thyh+5apc=")</f>
        <v>#REF!</v>
      </c>
      <c r="EW109" t="e">
        <f>AND(#REF!,"E9Thyh+5apg=")</f>
        <v>#REF!</v>
      </c>
      <c r="EX109" t="e">
        <f>AND(#REF!,"E9Thyh+5apk=")</f>
        <v>#REF!</v>
      </c>
      <c r="EY109" t="e">
        <f>AND(#REF!,"E9Thyh+5apo=")</f>
        <v>#REF!</v>
      </c>
      <c r="EZ109" t="e">
        <f>AND(#REF!,"E9Thyh+5aps=")</f>
        <v>#REF!</v>
      </c>
      <c r="FA109" t="e">
        <f>AND(#REF!,"E9Thyh+5apw=")</f>
        <v>#REF!</v>
      </c>
      <c r="FB109" t="e">
        <f>AND(#REF!,"E9Thyh+5ap0=")</f>
        <v>#REF!</v>
      </c>
      <c r="FC109" t="e">
        <f>IF(#REF!,"E9Thyh+5ap4=",0)</f>
        <v>#REF!</v>
      </c>
      <c r="FD109" t="e">
        <f>AND(#REF!,"E9Thyh+5ap8=")</f>
        <v>#REF!</v>
      </c>
      <c r="FE109" t="e">
        <f>AND(#REF!,"E9Thyh+5aqA=")</f>
        <v>#REF!</v>
      </c>
      <c r="FF109" t="e">
        <f>AND(#REF!,"E9Thyh+5aqE=")</f>
        <v>#REF!</v>
      </c>
      <c r="FG109" t="e">
        <f>AND(#REF!,"E9Thyh+5aqI=")</f>
        <v>#REF!</v>
      </c>
      <c r="FH109" t="e">
        <f>AND(#REF!,"E9Thyh+5aqM=")</f>
        <v>#REF!</v>
      </c>
      <c r="FI109" t="e">
        <f>AND(#REF!,"E9Thyh+5aqQ=")</f>
        <v>#REF!</v>
      </c>
      <c r="FJ109" t="e">
        <f>AND(#REF!,"E9Thyh+5aqU=")</f>
        <v>#REF!</v>
      </c>
      <c r="FK109" t="e">
        <f>AND(#REF!,"E9Thyh+5aqY=")</f>
        <v>#REF!</v>
      </c>
      <c r="FL109" t="e">
        <f>AND(#REF!,"E9Thyh+5aqc=")</f>
        <v>#REF!</v>
      </c>
      <c r="FM109" t="e">
        <f>AND(#REF!,"E9Thyh+5aqg=")</f>
        <v>#REF!</v>
      </c>
      <c r="FN109" t="e">
        <f>AND(#REF!,"E9Thyh+5aqk=")</f>
        <v>#REF!</v>
      </c>
      <c r="FO109" t="e">
        <f>AND(#REF!,"E9Thyh+5aqo=")</f>
        <v>#REF!</v>
      </c>
      <c r="FP109" t="e">
        <f>AND(#REF!,"E9Thyh+5aqs=")</f>
        <v>#REF!</v>
      </c>
      <c r="FQ109" t="e">
        <f>AND(#REF!,"E9Thyh+5aqw=")</f>
        <v>#REF!</v>
      </c>
      <c r="FR109" t="e">
        <f>AND(#REF!,"E9Thyh+5aq0=")</f>
        <v>#REF!</v>
      </c>
      <c r="FS109" t="e">
        <f>AND(#REF!,"E9Thyh+5aq4=")</f>
        <v>#REF!</v>
      </c>
      <c r="FT109" t="e">
        <f>AND(#REF!,"E9Thyh+5aq8=")</f>
        <v>#REF!</v>
      </c>
      <c r="FU109" t="e">
        <f>AND(#REF!,"E9Thyh+5arA=")</f>
        <v>#REF!</v>
      </c>
      <c r="FV109" t="e">
        <f>AND(#REF!,"E9Thyh+5arE=")</f>
        <v>#REF!</v>
      </c>
      <c r="FW109" t="e">
        <f>AND(#REF!,"E9Thyh+5arI=")</f>
        <v>#REF!</v>
      </c>
      <c r="FX109" t="e">
        <f>AND(#REF!,"E9Thyh+5arM=")</f>
        <v>#REF!</v>
      </c>
      <c r="FY109" t="e">
        <f>AND(#REF!,"E9Thyh+5arQ=")</f>
        <v>#REF!</v>
      </c>
      <c r="FZ109" t="e">
        <f>AND(#REF!,"E9Thyh+5arU=")</f>
        <v>#REF!</v>
      </c>
      <c r="GA109" t="e">
        <f>AND(#REF!,"E9Thyh+5arY=")</f>
        <v>#REF!</v>
      </c>
      <c r="GB109" t="e">
        <f>AND(#REF!,"E9Thyh+5arc=")</f>
        <v>#REF!</v>
      </c>
      <c r="GC109" t="e">
        <f>AND(#REF!,"E9Thyh+5arg=")</f>
        <v>#REF!</v>
      </c>
      <c r="GD109" t="e">
        <f>AND(#REF!,"E9Thyh+5ark=")</f>
        <v>#REF!</v>
      </c>
      <c r="GE109" t="e">
        <f>AND(#REF!,"E9Thyh+5aro=")</f>
        <v>#REF!</v>
      </c>
      <c r="GF109" t="e">
        <f>AND(#REF!,"E9Thyh+5ars=")</f>
        <v>#REF!</v>
      </c>
      <c r="GG109" t="e">
        <f>AND(#REF!,"E9Thyh+5arw=")</f>
        <v>#REF!</v>
      </c>
      <c r="GH109" t="e">
        <f>AND(#REF!,"E9Thyh+5ar0=")</f>
        <v>#REF!</v>
      </c>
      <c r="GI109" t="e">
        <f>AND(#REF!,"E9Thyh+5ar4=")</f>
        <v>#REF!</v>
      </c>
      <c r="GJ109" t="e">
        <f>AND(#REF!,"E9Thyh+5ar8=")</f>
        <v>#REF!</v>
      </c>
      <c r="GK109" t="e">
        <f>AND(#REF!,"E9Thyh+5asA=")</f>
        <v>#REF!</v>
      </c>
      <c r="GL109" t="e">
        <f>AND(#REF!,"E9Thyh+5asE=")</f>
        <v>#REF!</v>
      </c>
      <c r="GM109" t="e">
        <f>AND(#REF!,"E9Thyh+5asI=")</f>
        <v>#REF!</v>
      </c>
      <c r="GN109" t="e">
        <f>AND(#REF!,"E9Thyh+5asM=")</f>
        <v>#REF!</v>
      </c>
      <c r="GO109" t="e">
        <f>AND(#REF!,"E9Thyh+5asQ=")</f>
        <v>#REF!</v>
      </c>
      <c r="GP109" t="e">
        <f>AND(#REF!,"E9Thyh+5asU=")</f>
        <v>#REF!</v>
      </c>
      <c r="GQ109" t="e">
        <f>AND(#REF!,"E9Thyh+5asY=")</f>
        <v>#REF!</v>
      </c>
      <c r="GR109" t="e">
        <f>AND(#REF!,"E9Thyh+5asc=")</f>
        <v>#REF!</v>
      </c>
      <c r="GS109" t="e">
        <f>AND(#REF!,"E9Thyh+5asg=")</f>
        <v>#REF!</v>
      </c>
      <c r="GT109" t="e">
        <f>AND(#REF!,"E9Thyh+5ask=")</f>
        <v>#REF!</v>
      </c>
      <c r="GU109" t="e">
        <f>AND(#REF!,"E9Thyh+5aso=")</f>
        <v>#REF!</v>
      </c>
      <c r="GV109" t="e">
        <f>AND(#REF!,"E9Thyh+5ass=")</f>
        <v>#REF!</v>
      </c>
      <c r="GW109" t="e">
        <f>AND(#REF!,"E9Thyh+5asw=")</f>
        <v>#REF!</v>
      </c>
      <c r="GX109" t="e">
        <f>AND(#REF!,"E9Thyh+5as0=")</f>
        <v>#REF!</v>
      </c>
      <c r="GY109" t="e">
        <f>AND(#REF!,"E9Thyh+5as4=")</f>
        <v>#REF!</v>
      </c>
      <c r="GZ109" t="e">
        <f>AND(#REF!,"E9Thyh+5as8=")</f>
        <v>#REF!</v>
      </c>
      <c r="HA109" t="e">
        <f>AND(#REF!,"E9Thyh+5atA=")</f>
        <v>#REF!</v>
      </c>
      <c r="HB109" t="e">
        <f>AND(#REF!,"E9Thyh+5atE=")</f>
        <v>#REF!</v>
      </c>
      <c r="HC109" t="e">
        <f>AND(#REF!,"E9Thyh+5atI=")</f>
        <v>#REF!</v>
      </c>
      <c r="HD109" t="e">
        <f>AND(#REF!,"E9Thyh+5atM=")</f>
        <v>#REF!</v>
      </c>
      <c r="HE109" t="e">
        <f>AND(#REF!,"E9Thyh+5atQ=")</f>
        <v>#REF!</v>
      </c>
      <c r="HF109" t="e">
        <f>AND(#REF!,"E9Thyh+5atU=")</f>
        <v>#REF!</v>
      </c>
      <c r="HG109" t="e">
        <f>AND(#REF!,"E9Thyh+5atY=")</f>
        <v>#REF!</v>
      </c>
      <c r="HH109" t="e">
        <f>AND(#REF!,"E9Thyh+5atc=")</f>
        <v>#REF!</v>
      </c>
      <c r="HI109" t="e">
        <f>AND(#REF!,"E9Thyh+5atg=")</f>
        <v>#REF!</v>
      </c>
      <c r="HJ109" t="e">
        <f>AND(#REF!,"E9Thyh+5atk=")</f>
        <v>#REF!</v>
      </c>
      <c r="HK109" t="e">
        <f>AND(#REF!,"E9Thyh+5ato=")</f>
        <v>#REF!</v>
      </c>
      <c r="HL109" t="e">
        <f>AND(#REF!,"E9Thyh+5ats=")</f>
        <v>#REF!</v>
      </c>
      <c r="HM109" t="e">
        <f>AND(#REF!,"E9Thyh+5atw=")</f>
        <v>#REF!</v>
      </c>
      <c r="HN109" t="e">
        <f>AND(#REF!,"E9Thyh+5at0=")</f>
        <v>#REF!</v>
      </c>
      <c r="HO109" t="e">
        <f>AND(#REF!,"E9Thyh+5at4=")</f>
        <v>#REF!</v>
      </c>
      <c r="HP109" t="e">
        <f>AND(#REF!,"E9Thyh+5at8=")</f>
        <v>#REF!</v>
      </c>
      <c r="HQ109" t="e">
        <f>AND(#REF!,"E9Thyh+5auA=")</f>
        <v>#REF!</v>
      </c>
      <c r="HR109" t="e">
        <f>AND(#REF!,"E9Thyh+5auE=")</f>
        <v>#REF!</v>
      </c>
      <c r="HS109" t="e">
        <f>AND(#REF!,"E9Thyh+5auI=")</f>
        <v>#REF!</v>
      </c>
      <c r="HT109" t="e">
        <f>AND(#REF!,"E9Thyh+5auM=")</f>
        <v>#REF!</v>
      </c>
      <c r="HU109" t="e">
        <f>AND(#REF!,"E9Thyh+5auQ=")</f>
        <v>#REF!</v>
      </c>
      <c r="HV109" t="e">
        <f>AND(#REF!,"E9Thyh+5auU=")</f>
        <v>#REF!</v>
      </c>
      <c r="HW109" t="e">
        <f>AND(#REF!,"E9Thyh+5auY=")</f>
        <v>#REF!</v>
      </c>
      <c r="HX109" t="e">
        <f>AND(#REF!,"E9Thyh+5auc=")</f>
        <v>#REF!</v>
      </c>
      <c r="HY109" t="e">
        <f>AND(#REF!,"E9Thyh+5aug=")</f>
        <v>#REF!</v>
      </c>
      <c r="HZ109" t="e">
        <f>AND(#REF!,"E9Thyh+5auk=")</f>
        <v>#REF!</v>
      </c>
      <c r="IA109" t="e">
        <f>AND(#REF!,"E9Thyh+5auo=")</f>
        <v>#REF!</v>
      </c>
      <c r="IB109" t="e">
        <f>AND(#REF!,"E9Thyh+5aus=")</f>
        <v>#REF!</v>
      </c>
      <c r="IC109" t="e">
        <f>AND(#REF!,"E9Thyh+5auw=")</f>
        <v>#REF!</v>
      </c>
      <c r="ID109" t="e">
        <f>AND(#REF!,"E9Thyh+5au0=")</f>
        <v>#REF!</v>
      </c>
      <c r="IE109" t="e">
        <f>AND(#REF!,"E9Thyh+5au4=")</f>
        <v>#REF!</v>
      </c>
      <c r="IF109" t="e">
        <f>AND(#REF!,"E9Thyh+5au8=")</f>
        <v>#REF!</v>
      </c>
      <c r="IG109" t="e">
        <f>AND(#REF!,"E9Thyh+5avA=")</f>
        <v>#REF!</v>
      </c>
      <c r="IH109" t="e">
        <f>AND(#REF!,"E9Thyh+5avE=")</f>
        <v>#REF!</v>
      </c>
      <c r="II109" t="e">
        <f>AND(#REF!,"E9Thyh+5avI=")</f>
        <v>#REF!</v>
      </c>
      <c r="IJ109" t="e">
        <f>AND(#REF!,"E9Thyh+5avM=")</f>
        <v>#REF!</v>
      </c>
      <c r="IK109" t="e">
        <f>AND(#REF!,"E9Thyh+5avQ=")</f>
        <v>#REF!</v>
      </c>
      <c r="IL109" t="e">
        <f>AND(#REF!,"E9Thyh+5avU=")</f>
        <v>#REF!</v>
      </c>
      <c r="IM109" t="e">
        <f>AND(#REF!,"E9Thyh+5avY=")</f>
        <v>#REF!</v>
      </c>
      <c r="IN109" t="e">
        <f>AND(#REF!,"E9Thyh+5avc=")</f>
        <v>#REF!</v>
      </c>
      <c r="IO109" t="e">
        <f>AND(#REF!,"E9Thyh+5avg=")</f>
        <v>#REF!</v>
      </c>
      <c r="IP109" t="e">
        <f>AND(#REF!,"E9Thyh+5avk=")</f>
        <v>#REF!</v>
      </c>
      <c r="IQ109" t="e">
        <f>AND(#REF!,"E9Thyh+5avo=")</f>
        <v>#REF!</v>
      </c>
      <c r="IR109" t="e">
        <f>AND(#REF!,"E9Thyh+5avs=")</f>
        <v>#REF!</v>
      </c>
      <c r="IS109" t="e">
        <f>AND(#REF!,"E9Thyh+5avw=")</f>
        <v>#REF!</v>
      </c>
      <c r="IT109" t="e">
        <f>AND(#REF!,"E9Thyh+5av0=")</f>
        <v>#REF!</v>
      </c>
      <c r="IU109" t="e">
        <f>AND(#REF!,"E9Thyh+5av4=")</f>
        <v>#REF!</v>
      </c>
      <c r="IV109" t="e">
        <f>AND(#REF!,"E9Thyh+5av8=")</f>
        <v>#REF!</v>
      </c>
    </row>
    <row r="110" spans="1:256" x14ac:dyDescent="0.2">
      <c r="A110" t="e">
        <f>AND(#REF!,"fpXq+ziSOQA=")</f>
        <v>#REF!</v>
      </c>
      <c r="B110" t="e">
        <f>AND(#REF!,"fpXq+ziSOQE=")</f>
        <v>#REF!</v>
      </c>
      <c r="C110" t="e">
        <f>AND(#REF!,"fpXq+ziSOQI=")</f>
        <v>#REF!</v>
      </c>
      <c r="D110" t="e">
        <f>AND(#REF!,"fpXq+ziSOQM=")</f>
        <v>#REF!</v>
      </c>
      <c r="E110" t="e">
        <f>AND(#REF!,"fpXq+ziSOQQ=")</f>
        <v>#REF!</v>
      </c>
      <c r="F110" t="e">
        <f>AND(#REF!,"fpXq+ziSOQU=")</f>
        <v>#REF!</v>
      </c>
      <c r="G110" t="e">
        <f>AND(#REF!,"fpXq+ziSOQY=")</f>
        <v>#REF!</v>
      </c>
      <c r="H110" t="e">
        <f>AND(#REF!,"fpXq+ziSOQc=")</f>
        <v>#REF!</v>
      </c>
      <c r="I110" t="e">
        <f>AND(#REF!,"fpXq+ziSOQg=")</f>
        <v>#REF!</v>
      </c>
      <c r="J110" t="e">
        <f>AND(#REF!,"fpXq+ziSOQk=")</f>
        <v>#REF!</v>
      </c>
      <c r="K110" t="e">
        <f>AND(#REF!,"fpXq+ziSOQo=")</f>
        <v>#REF!</v>
      </c>
      <c r="L110" t="e">
        <f>AND(#REF!,"fpXq+ziSOQs=")</f>
        <v>#REF!</v>
      </c>
      <c r="M110" t="e">
        <f>AND(#REF!,"fpXq+ziSOQw=")</f>
        <v>#REF!</v>
      </c>
      <c r="N110" t="e">
        <f>AND(#REF!,"fpXq+ziSOQ0=")</f>
        <v>#REF!</v>
      </c>
      <c r="O110" t="e">
        <f>AND(#REF!,"fpXq+ziSOQ4=")</f>
        <v>#REF!</v>
      </c>
      <c r="P110" t="e">
        <f>AND(#REF!,"fpXq+ziSOQ8=")</f>
        <v>#REF!</v>
      </c>
      <c r="Q110" t="e">
        <f>AND(#REF!,"fpXq+ziSORA=")</f>
        <v>#REF!</v>
      </c>
      <c r="R110" t="e">
        <f>AND(#REF!,"fpXq+ziSORE=")</f>
        <v>#REF!</v>
      </c>
      <c r="S110" t="e">
        <f>AND(#REF!,"fpXq+ziSORI=")</f>
        <v>#REF!</v>
      </c>
      <c r="T110" t="e">
        <f>AND(#REF!,"fpXq+ziSORM=")</f>
        <v>#REF!</v>
      </c>
      <c r="U110" t="e">
        <f>AND(#REF!,"fpXq+ziSORQ=")</f>
        <v>#REF!</v>
      </c>
      <c r="V110" t="e">
        <f>AND(#REF!,"fpXq+ziSORU=")</f>
        <v>#REF!</v>
      </c>
      <c r="W110" t="e">
        <f>AND(#REF!,"fpXq+ziSORY=")</f>
        <v>#REF!</v>
      </c>
      <c r="X110" t="e">
        <f>AND(#REF!,"fpXq+ziSORc=")</f>
        <v>#REF!</v>
      </c>
      <c r="Y110" t="e">
        <f>AND(#REF!,"fpXq+ziSORg=")</f>
        <v>#REF!</v>
      </c>
      <c r="Z110" t="e">
        <f>AND(#REF!,"fpXq+ziSORk=")</f>
        <v>#REF!</v>
      </c>
      <c r="AA110" t="e">
        <f>AND(#REF!,"fpXq+ziSORo=")</f>
        <v>#REF!</v>
      </c>
      <c r="AB110" t="e">
        <f>AND(#REF!,"fpXq+ziSORs=")</f>
        <v>#REF!</v>
      </c>
      <c r="AC110" t="e">
        <f>AND(#REF!,"fpXq+ziSORw=")</f>
        <v>#REF!</v>
      </c>
      <c r="AD110" t="e">
        <f>AND(#REF!,"fpXq+ziSOR0=")</f>
        <v>#REF!</v>
      </c>
      <c r="AE110" t="e">
        <f>AND(#REF!,"fpXq+ziSOR4=")</f>
        <v>#REF!</v>
      </c>
      <c r="AF110" t="e">
        <f>AND(#REF!,"fpXq+ziSOR8=")</f>
        <v>#REF!</v>
      </c>
      <c r="AG110" t="e">
        <f>AND(#REF!,"fpXq+ziSOSA=")</f>
        <v>#REF!</v>
      </c>
      <c r="AH110" t="e">
        <f>AND(#REF!,"fpXq+ziSOSE=")</f>
        <v>#REF!</v>
      </c>
      <c r="AI110" t="e">
        <f>AND(#REF!,"fpXq+ziSOSI=")</f>
        <v>#REF!</v>
      </c>
      <c r="AJ110" t="e">
        <f>AND(#REF!,"fpXq+ziSOSM=")</f>
        <v>#REF!</v>
      </c>
      <c r="AK110" t="e">
        <f>AND(#REF!,"fpXq+ziSOSQ=")</f>
        <v>#REF!</v>
      </c>
      <c r="AL110" t="e">
        <f>AND(#REF!,"fpXq+ziSOSU=")</f>
        <v>#REF!</v>
      </c>
      <c r="AM110" t="e">
        <f>AND(#REF!,"fpXq+ziSOSY=")</f>
        <v>#REF!</v>
      </c>
      <c r="AN110" t="e">
        <f>AND(#REF!,"fpXq+ziSOSc=")</f>
        <v>#REF!</v>
      </c>
      <c r="AO110" t="e">
        <f>AND(#REF!,"fpXq+ziSOSg=")</f>
        <v>#REF!</v>
      </c>
      <c r="AP110" t="e">
        <f>AND(#REF!,"fpXq+ziSOSk=")</f>
        <v>#REF!</v>
      </c>
      <c r="AQ110" t="e">
        <f>AND(#REF!,"fpXq+ziSOSo=")</f>
        <v>#REF!</v>
      </c>
      <c r="AR110" t="e">
        <f>AND(#REF!,"fpXq+ziSOSs=")</f>
        <v>#REF!</v>
      </c>
      <c r="AS110" t="e">
        <f>AND(#REF!,"fpXq+ziSOSw=")</f>
        <v>#REF!</v>
      </c>
      <c r="AT110" t="e">
        <f>AND(#REF!,"fpXq+ziSOS0=")</f>
        <v>#REF!</v>
      </c>
      <c r="AU110" t="e">
        <f>AND(#REF!,"fpXq+ziSOS4=")</f>
        <v>#REF!</v>
      </c>
      <c r="AV110" t="e">
        <f>AND(#REF!,"fpXq+ziSOS8=")</f>
        <v>#REF!</v>
      </c>
      <c r="AW110" t="e">
        <f>AND(#REF!,"fpXq+ziSOTA=")</f>
        <v>#REF!</v>
      </c>
      <c r="AX110" t="e">
        <f>AND(#REF!,"fpXq+ziSOTE=")</f>
        <v>#REF!</v>
      </c>
      <c r="AY110" t="e">
        <f>AND(#REF!,"fpXq+ziSOTI=")</f>
        <v>#REF!</v>
      </c>
      <c r="AZ110" t="e">
        <f>AND(#REF!,"fpXq+ziSOTM=")</f>
        <v>#REF!</v>
      </c>
      <c r="BA110" t="e">
        <f>AND(#REF!,"fpXq+ziSOTQ=")</f>
        <v>#REF!</v>
      </c>
      <c r="BB110" t="e">
        <f>AND(#REF!,"fpXq+ziSOTU=")</f>
        <v>#REF!</v>
      </c>
      <c r="BC110" t="e">
        <f>AND(#REF!,"fpXq+ziSOTY=")</f>
        <v>#REF!</v>
      </c>
      <c r="BD110" t="e">
        <f>AND(#REF!,"fpXq+ziSOTc=")</f>
        <v>#REF!</v>
      </c>
      <c r="BE110" t="e">
        <f>AND(#REF!,"fpXq+ziSOTg=")</f>
        <v>#REF!</v>
      </c>
      <c r="BF110" t="e">
        <f>AND(#REF!,"fpXq+ziSOTk=")</f>
        <v>#REF!</v>
      </c>
      <c r="BG110" t="e">
        <f>AND(#REF!,"fpXq+ziSOTo=")</f>
        <v>#REF!</v>
      </c>
      <c r="BH110" t="e">
        <f>AND(#REF!,"fpXq+ziSOTs=")</f>
        <v>#REF!</v>
      </c>
      <c r="BI110" t="e">
        <f>AND(#REF!,"fpXq+ziSOTw=")</f>
        <v>#REF!</v>
      </c>
      <c r="BJ110" t="e">
        <f>AND(#REF!,"fpXq+ziSOT0=")</f>
        <v>#REF!</v>
      </c>
      <c r="BK110" t="e">
        <f>AND(#REF!,"fpXq+ziSOT4=")</f>
        <v>#REF!</v>
      </c>
      <c r="BL110" t="e">
        <f>AND(#REF!,"fpXq+ziSOT8=")</f>
        <v>#REF!</v>
      </c>
      <c r="BM110" t="e">
        <f>AND(#REF!,"fpXq+ziSOUA=")</f>
        <v>#REF!</v>
      </c>
      <c r="BN110" t="e">
        <f>AND(#REF!,"fpXq+ziSOUE=")</f>
        <v>#REF!</v>
      </c>
      <c r="BO110" t="e">
        <f>AND(#REF!,"fpXq+ziSOUI=")</f>
        <v>#REF!</v>
      </c>
      <c r="BP110" t="e">
        <f>AND(#REF!,"fpXq+ziSOUM=")</f>
        <v>#REF!</v>
      </c>
      <c r="BQ110" t="e">
        <f>AND(#REF!,"fpXq+ziSOUQ=")</f>
        <v>#REF!</v>
      </c>
      <c r="BR110" t="e">
        <f>AND(#REF!,"fpXq+ziSOUU=")</f>
        <v>#REF!</v>
      </c>
      <c r="BS110" t="e">
        <f>AND(#REF!,"fpXq+ziSOUY=")</f>
        <v>#REF!</v>
      </c>
      <c r="BT110" t="e">
        <f>AND(#REF!,"fpXq+ziSOUc=")</f>
        <v>#REF!</v>
      </c>
      <c r="BU110" t="e">
        <f>AND(#REF!,"fpXq+ziSOUg=")</f>
        <v>#REF!</v>
      </c>
      <c r="BV110" t="e">
        <f>AND(#REF!,"fpXq+ziSOUk=")</f>
        <v>#REF!</v>
      </c>
      <c r="BW110" t="e">
        <f>AND(#REF!,"fpXq+ziSOUo=")</f>
        <v>#REF!</v>
      </c>
      <c r="BX110" t="e">
        <f>AND(#REF!,"fpXq+ziSOUs=")</f>
        <v>#REF!</v>
      </c>
      <c r="BY110" t="e">
        <f>AND(#REF!,"fpXq+ziSOUw=")</f>
        <v>#REF!</v>
      </c>
      <c r="BZ110" t="e">
        <f>AND(#REF!,"fpXq+ziSOU0=")</f>
        <v>#REF!</v>
      </c>
      <c r="CA110" t="e">
        <f>AND(#REF!,"fpXq+ziSOU4=")</f>
        <v>#REF!</v>
      </c>
      <c r="CB110" t="e">
        <f>AND(#REF!,"fpXq+ziSOU8=")</f>
        <v>#REF!</v>
      </c>
      <c r="CC110" t="e">
        <f>AND(#REF!,"fpXq+ziSOVA=")</f>
        <v>#REF!</v>
      </c>
      <c r="CD110" t="e">
        <f>AND(#REF!,"fpXq+ziSOVE=")</f>
        <v>#REF!</v>
      </c>
      <c r="CE110" t="e">
        <f>AND(#REF!,"fpXq+ziSOVI=")</f>
        <v>#REF!</v>
      </c>
      <c r="CF110" t="e">
        <f>AND(#REF!,"fpXq+ziSOVM=")</f>
        <v>#REF!</v>
      </c>
      <c r="CG110" t="e">
        <f>AND(#REF!,"fpXq+ziSOVQ=")</f>
        <v>#REF!</v>
      </c>
      <c r="CH110" t="e">
        <f>AND(#REF!,"fpXq+ziSOVU=")</f>
        <v>#REF!</v>
      </c>
      <c r="CI110" t="e">
        <f>AND(#REF!,"fpXq+ziSOVY=")</f>
        <v>#REF!</v>
      </c>
      <c r="CJ110" t="e">
        <f>AND(#REF!,"fpXq+ziSOVc=")</f>
        <v>#REF!</v>
      </c>
      <c r="CK110" t="e">
        <f>AND(#REF!,"fpXq+ziSOVg=")</f>
        <v>#REF!</v>
      </c>
      <c r="CL110" t="e">
        <f>AND(#REF!,"fpXq+ziSOVk=")</f>
        <v>#REF!</v>
      </c>
      <c r="CM110" t="e">
        <f>AND(#REF!,"fpXq+ziSOVo=")</f>
        <v>#REF!</v>
      </c>
      <c r="CN110" t="e">
        <f>AND(#REF!,"fpXq+ziSOVs=")</f>
        <v>#REF!</v>
      </c>
      <c r="CO110" t="e">
        <f>AND(#REF!,"fpXq+ziSOVw=")</f>
        <v>#REF!</v>
      </c>
      <c r="CP110" t="e">
        <f>AND(#REF!,"fpXq+ziSOV0=")</f>
        <v>#REF!</v>
      </c>
      <c r="CQ110" t="e">
        <f>AND(#REF!,"fpXq+ziSOV4=")</f>
        <v>#REF!</v>
      </c>
      <c r="CR110" t="e">
        <f>AND(#REF!,"fpXq+ziSOV8=")</f>
        <v>#REF!</v>
      </c>
      <c r="CS110" t="e">
        <f>AND(#REF!,"fpXq+ziSOWA=")</f>
        <v>#REF!</v>
      </c>
      <c r="CT110" t="e">
        <f>AND(#REF!,"fpXq+ziSOWE=")</f>
        <v>#REF!</v>
      </c>
      <c r="CU110" t="e">
        <f>AND(#REF!,"fpXq+ziSOWI=")</f>
        <v>#REF!</v>
      </c>
      <c r="CV110" t="e">
        <f>AND(#REF!,"fpXq+ziSOWM=")</f>
        <v>#REF!</v>
      </c>
      <c r="CW110" t="e">
        <f>AND(#REF!,"fpXq+ziSOWQ=")</f>
        <v>#REF!</v>
      </c>
      <c r="CX110" t="e">
        <f>IF(#REF!,"fpXq+ziSOWU=",0)</f>
        <v>#REF!</v>
      </c>
      <c r="CY110" t="e">
        <f>AND(#REF!,"fpXq+ziSOWY=")</f>
        <v>#REF!</v>
      </c>
      <c r="CZ110" t="e">
        <f>AND(#REF!,"fpXq+ziSOWc=")</f>
        <v>#REF!</v>
      </c>
      <c r="DA110" t="e">
        <f>AND(#REF!,"fpXq+ziSOWg=")</f>
        <v>#REF!</v>
      </c>
      <c r="DB110" t="e">
        <f>AND(#REF!,"fpXq+ziSOWk=")</f>
        <v>#REF!</v>
      </c>
      <c r="DC110" t="e">
        <f>AND(#REF!,"fpXq+ziSOWo=")</f>
        <v>#REF!</v>
      </c>
      <c r="DD110" t="e">
        <f>AND(#REF!,"fpXq+ziSOWs=")</f>
        <v>#REF!</v>
      </c>
      <c r="DE110" t="e">
        <f>AND(#REF!,"fpXq+ziSOWw=")</f>
        <v>#REF!</v>
      </c>
      <c r="DF110" t="e">
        <f>AND(#REF!,"fpXq+ziSOW0=")</f>
        <v>#REF!</v>
      </c>
      <c r="DG110" t="e">
        <f>AND(#REF!,"fpXq+ziSOW4=")</f>
        <v>#REF!</v>
      </c>
      <c r="DH110" t="e">
        <f>AND(#REF!,"fpXq+ziSOW8=")</f>
        <v>#REF!</v>
      </c>
      <c r="DI110" t="e">
        <f>AND(#REF!,"fpXq+ziSOXA=")</f>
        <v>#REF!</v>
      </c>
      <c r="DJ110" t="e">
        <f>AND(#REF!,"fpXq+ziSOXE=")</f>
        <v>#REF!</v>
      </c>
      <c r="DK110" t="e">
        <f>AND(#REF!,"fpXq+ziSOXI=")</f>
        <v>#REF!</v>
      </c>
      <c r="DL110" t="e">
        <f>AND(#REF!,"fpXq+ziSOXM=")</f>
        <v>#REF!</v>
      </c>
      <c r="DM110" t="e">
        <f>AND(#REF!,"fpXq+ziSOXQ=")</f>
        <v>#REF!</v>
      </c>
      <c r="DN110" t="e">
        <f>AND(#REF!,"fpXq+ziSOXU=")</f>
        <v>#REF!</v>
      </c>
      <c r="DO110" t="e">
        <f>AND(#REF!,"fpXq+ziSOXY=")</f>
        <v>#REF!</v>
      </c>
      <c r="DP110" t="e">
        <f>AND(#REF!,"fpXq+ziSOXc=")</f>
        <v>#REF!</v>
      </c>
      <c r="DQ110" t="e">
        <f>AND(#REF!,"fpXq+ziSOXg=")</f>
        <v>#REF!</v>
      </c>
      <c r="DR110" t="e">
        <f>AND(#REF!,"fpXq+ziSOXk=")</f>
        <v>#REF!</v>
      </c>
      <c r="DS110" t="e">
        <f>AND(#REF!,"fpXq+ziSOXo=")</f>
        <v>#REF!</v>
      </c>
      <c r="DT110" t="e">
        <f>AND(#REF!,"fpXq+ziSOXs=")</f>
        <v>#REF!</v>
      </c>
      <c r="DU110" t="e">
        <f>AND(#REF!,"fpXq+ziSOXw=")</f>
        <v>#REF!</v>
      </c>
      <c r="DV110" t="e">
        <f>AND(#REF!,"fpXq+ziSOX0=")</f>
        <v>#REF!</v>
      </c>
      <c r="DW110" t="e">
        <f>AND(#REF!,"fpXq+ziSOX4=")</f>
        <v>#REF!</v>
      </c>
      <c r="DX110" t="e">
        <f>AND(#REF!,"fpXq+ziSOX8=")</f>
        <v>#REF!</v>
      </c>
      <c r="DY110" t="e">
        <f>AND(#REF!,"fpXq+ziSOYA=")</f>
        <v>#REF!</v>
      </c>
      <c r="DZ110" t="e">
        <f>AND(#REF!,"fpXq+ziSOYE=")</f>
        <v>#REF!</v>
      </c>
      <c r="EA110" t="e">
        <f>AND(#REF!,"fpXq+ziSOYI=")</f>
        <v>#REF!</v>
      </c>
      <c r="EB110" t="e">
        <f>AND(#REF!,"fpXq+ziSOYM=")</f>
        <v>#REF!</v>
      </c>
      <c r="EC110" t="e">
        <f>AND(#REF!,"fpXq+ziSOYQ=")</f>
        <v>#REF!</v>
      </c>
      <c r="ED110" t="e">
        <f>AND(#REF!,"fpXq+ziSOYU=")</f>
        <v>#REF!</v>
      </c>
      <c r="EE110" t="e">
        <f>AND(#REF!,"fpXq+ziSOYY=")</f>
        <v>#REF!</v>
      </c>
      <c r="EF110" t="e">
        <f>AND(#REF!,"fpXq+ziSOYc=")</f>
        <v>#REF!</v>
      </c>
      <c r="EG110" t="e">
        <f>AND(#REF!,"fpXq+ziSOYg=")</f>
        <v>#REF!</v>
      </c>
      <c r="EH110" t="e">
        <f>AND(#REF!,"fpXq+ziSOYk=")</f>
        <v>#REF!</v>
      </c>
      <c r="EI110" t="e">
        <f>AND(#REF!,"fpXq+ziSOYo=")</f>
        <v>#REF!</v>
      </c>
      <c r="EJ110" t="e">
        <f>AND(#REF!,"fpXq+ziSOYs=")</f>
        <v>#REF!</v>
      </c>
      <c r="EK110" t="e">
        <f>AND(#REF!,"fpXq+ziSOYw=")</f>
        <v>#REF!</v>
      </c>
      <c r="EL110" t="e">
        <f>AND(#REF!,"fpXq+ziSOY0=")</f>
        <v>#REF!</v>
      </c>
      <c r="EM110" t="e">
        <f>AND(#REF!,"fpXq+ziSOY4=")</f>
        <v>#REF!</v>
      </c>
      <c r="EN110" t="e">
        <f>AND(#REF!,"fpXq+ziSOY8=")</f>
        <v>#REF!</v>
      </c>
      <c r="EO110" t="e">
        <f>AND(#REF!,"fpXq+ziSOZA=")</f>
        <v>#REF!</v>
      </c>
      <c r="EP110" t="e">
        <f>AND(#REF!,"fpXq+ziSOZE=")</f>
        <v>#REF!</v>
      </c>
      <c r="EQ110" t="e">
        <f>AND(#REF!,"fpXq+ziSOZI=")</f>
        <v>#REF!</v>
      </c>
      <c r="ER110" t="e">
        <f>AND(#REF!,"fpXq+ziSOZM=")</f>
        <v>#REF!</v>
      </c>
      <c r="ES110" t="e">
        <f>AND(#REF!,"fpXq+ziSOZQ=")</f>
        <v>#REF!</v>
      </c>
      <c r="ET110" t="e">
        <f>AND(#REF!,"fpXq+ziSOZU=")</f>
        <v>#REF!</v>
      </c>
      <c r="EU110" t="e">
        <f>AND(#REF!,"fpXq+ziSOZY=")</f>
        <v>#REF!</v>
      </c>
      <c r="EV110" t="e">
        <f>AND(#REF!,"fpXq+ziSOZc=")</f>
        <v>#REF!</v>
      </c>
      <c r="EW110" t="e">
        <f>AND(#REF!,"fpXq+ziSOZg=")</f>
        <v>#REF!</v>
      </c>
      <c r="EX110" t="e">
        <f>AND(#REF!,"fpXq+ziSOZk=")</f>
        <v>#REF!</v>
      </c>
      <c r="EY110" t="e">
        <f>AND(#REF!,"fpXq+ziSOZo=")</f>
        <v>#REF!</v>
      </c>
      <c r="EZ110" t="e">
        <f>AND(#REF!,"fpXq+ziSOZs=")</f>
        <v>#REF!</v>
      </c>
      <c r="FA110" t="e">
        <f>AND(#REF!,"fpXq+ziSOZw=")</f>
        <v>#REF!</v>
      </c>
      <c r="FB110" t="e">
        <f>AND(#REF!,"fpXq+ziSOZ0=")</f>
        <v>#REF!</v>
      </c>
      <c r="FC110" t="e">
        <f>AND(#REF!,"fpXq+ziSOZ4=")</f>
        <v>#REF!</v>
      </c>
      <c r="FD110" t="e">
        <f>AND(#REF!,"fpXq+ziSOZ8=")</f>
        <v>#REF!</v>
      </c>
      <c r="FE110" t="e">
        <f>AND(#REF!,"fpXq+ziSOaA=")</f>
        <v>#REF!</v>
      </c>
      <c r="FF110" t="e">
        <f>AND(#REF!,"fpXq+ziSOaE=")</f>
        <v>#REF!</v>
      </c>
      <c r="FG110" t="e">
        <f>AND(#REF!,"fpXq+ziSOaI=")</f>
        <v>#REF!</v>
      </c>
      <c r="FH110" t="e">
        <f>AND(#REF!,"fpXq+ziSOaM=")</f>
        <v>#REF!</v>
      </c>
      <c r="FI110" t="e">
        <f>AND(#REF!,"fpXq+ziSOaQ=")</f>
        <v>#REF!</v>
      </c>
      <c r="FJ110" t="e">
        <f>AND(#REF!,"fpXq+ziSOaU=")</f>
        <v>#REF!</v>
      </c>
      <c r="FK110" t="e">
        <f>AND(#REF!,"fpXq+ziSOaY=")</f>
        <v>#REF!</v>
      </c>
      <c r="FL110" t="e">
        <f>AND(#REF!,"fpXq+ziSOac=")</f>
        <v>#REF!</v>
      </c>
      <c r="FM110" t="e">
        <f>AND(#REF!,"fpXq+ziSOag=")</f>
        <v>#REF!</v>
      </c>
      <c r="FN110" t="e">
        <f>AND(#REF!,"fpXq+ziSOak=")</f>
        <v>#REF!</v>
      </c>
      <c r="FO110" t="e">
        <f>AND(#REF!,"fpXq+ziSOao=")</f>
        <v>#REF!</v>
      </c>
      <c r="FP110" t="e">
        <f>AND(#REF!,"fpXq+ziSOas=")</f>
        <v>#REF!</v>
      </c>
      <c r="FQ110" t="e">
        <f>AND(#REF!,"fpXq+ziSOaw=")</f>
        <v>#REF!</v>
      </c>
      <c r="FR110" t="e">
        <f>AND(#REF!,"fpXq+ziSOa0=")</f>
        <v>#REF!</v>
      </c>
      <c r="FS110" t="e">
        <f>AND(#REF!,"fpXq+ziSOa4=")</f>
        <v>#REF!</v>
      </c>
      <c r="FT110" t="e">
        <f>AND(#REF!,"fpXq+ziSOa8=")</f>
        <v>#REF!</v>
      </c>
      <c r="FU110" t="e">
        <f>AND(#REF!,"fpXq+ziSObA=")</f>
        <v>#REF!</v>
      </c>
      <c r="FV110" t="e">
        <f>AND(#REF!,"fpXq+ziSObE=")</f>
        <v>#REF!</v>
      </c>
      <c r="FW110" t="e">
        <f>AND(#REF!,"fpXq+ziSObI=")</f>
        <v>#REF!</v>
      </c>
      <c r="FX110" t="e">
        <f>AND(#REF!,"fpXq+ziSObM=")</f>
        <v>#REF!</v>
      </c>
      <c r="FY110" t="e">
        <f>AND(#REF!,"fpXq+ziSObQ=")</f>
        <v>#REF!</v>
      </c>
      <c r="FZ110" t="e">
        <f>AND(#REF!,"fpXq+ziSObU=")</f>
        <v>#REF!</v>
      </c>
      <c r="GA110" t="e">
        <f>AND(#REF!,"fpXq+ziSObY=")</f>
        <v>#REF!</v>
      </c>
      <c r="GB110" t="e">
        <f>AND(#REF!,"fpXq+ziSObc=")</f>
        <v>#REF!</v>
      </c>
      <c r="GC110" t="e">
        <f>AND(#REF!,"fpXq+ziSObg=")</f>
        <v>#REF!</v>
      </c>
      <c r="GD110" t="e">
        <f>AND(#REF!,"fpXq+ziSObk=")</f>
        <v>#REF!</v>
      </c>
      <c r="GE110" t="e">
        <f>AND(#REF!,"fpXq+ziSObo=")</f>
        <v>#REF!</v>
      </c>
      <c r="GF110" t="e">
        <f>AND(#REF!,"fpXq+ziSObs=")</f>
        <v>#REF!</v>
      </c>
      <c r="GG110" t="e">
        <f>AND(#REF!,"fpXq+ziSObw=")</f>
        <v>#REF!</v>
      </c>
      <c r="GH110" t="e">
        <f>AND(#REF!,"fpXq+ziSOb0=")</f>
        <v>#REF!</v>
      </c>
      <c r="GI110" t="e">
        <f>AND(#REF!,"fpXq+ziSOb4=")</f>
        <v>#REF!</v>
      </c>
      <c r="GJ110" t="e">
        <f>AND(#REF!,"fpXq+ziSOb8=")</f>
        <v>#REF!</v>
      </c>
      <c r="GK110" t="e">
        <f>AND(#REF!,"fpXq+ziSOcA=")</f>
        <v>#REF!</v>
      </c>
      <c r="GL110" t="e">
        <f>AND(#REF!,"fpXq+ziSOcE=")</f>
        <v>#REF!</v>
      </c>
      <c r="GM110" t="e">
        <f>AND(#REF!,"fpXq+ziSOcI=")</f>
        <v>#REF!</v>
      </c>
      <c r="GN110" t="e">
        <f>AND(#REF!,"fpXq+ziSOcM=")</f>
        <v>#REF!</v>
      </c>
      <c r="GO110" t="e">
        <f>AND(#REF!,"fpXq+ziSOcQ=")</f>
        <v>#REF!</v>
      </c>
      <c r="GP110" t="e">
        <f>AND(#REF!,"fpXq+ziSOcU=")</f>
        <v>#REF!</v>
      </c>
      <c r="GQ110" t="e">
        <f>AND(#REF!,"fpXq+ziSOcY=")</f>
        <v>#REF!</v>
      </c>
      <c r="GR110" t="e">
        <f>AND(#REF!,"fpXq+ziSOcc=")</f>
        <v>#REF!</v>
      </c>
      <c r="GS110" t="e">
        <f>AND(#REF!,"fpXq+ziSOcg=")</f>
        <v>#REF!</v>
      </c>
      <c r="GT110" t="e">
        <f>AND(#REF!,"fpXq+ziSOck=")</f>
        <v>#REF!</v>
      </c>
      <c r="GU110" t="e">
        <f>AND(#REF!,"fpXq+ziSOco=")</f>
        <v>#REF!</v>
      </c>
      <c r="GV110" t="e">
        <f>AND(#REF!,"fpXq+ziSOcs=")</f>
        <v>#REF!</v>
      </c>
      <c r="GW110" t="e">
        <f>AND(#REF!,"fpXq+ziSOcw=")</f>
        <v>#REF!</v>
      </c>
      <c r="GX110" t="e">
        <f>AND(#REF!,"fpXq+ziSOc0=")</f>
        <v>#REF!</v>
      </c>
      <c r="GY110" t="e">
        <f>AND(#REF!,"fpXq+ziSOc4=")</f>
        <v>#REF!</v>
      </c>
      <c r="GZ110" t="e">
        <f>AND(#REF!,"fpXq+ziSOc8=")</f>
        <v>#REF!</v>
      </c>
      <c r="HA110" t="e">
        <f>AND(#REF!,"fpXq+ziSOdA=")</f>
        <v>#REF!</v>
      </c>
      <c r="HB110" t="e">
        <f>AND(#REF!,"fpXq+ziSOdE=")</f>
        <v>#REF!</v>
      </c>
      <c r="HC110" t="e">
        <f>AND(#REF!,"fpXq+ziSOdI=")</f>
        <v>#REF!</v>
      </c>
      <c r="HD110" t="e">
        <f>AND(#REF!,"fpXq+ziSOdM=")</f>
        <v>#REF!</v>
      </c>
      <c r="HE110" t="e">
        <f>AND(#REF!,"fpXq+ziSOdQ=")</f>
        <v>#REF!</v>
      </c>
      <c r="HF110" t="e">
        <f>AND(#REF!,"fpXq+ziSOdU=")</f>
        <v>#REF!</v>
      </c>
      <c r="HG110" t="e">
        <f>AND(#REF!,"fpXq+ziSOdY=")</f>
        <v>#REF!</v>
      </c>
      <c r="HH110" t="e">
        <f>AND(#REF!,"fpXq+ziSOdc=")</f>
        <v>#REF!</v>
      </c>
      <c r="HI110" t="e">
        <f>AND(#REF!,"fpXq+ziSOdg=")</f>
        <v>#REF!</v>
      </c>
      <c r="HJ110" t="e">
        <f>AND(#REF!,"fpXq+ziSOdk=")</f>
        <v>#REF!</v>
      </c>
      <c r="HK110" t="e">
        <f>AND(#REF!,"fpXq+ziSOdo=")</f>
        <v>#REF!</v>
      </c>
      <c r="HL110" t="e">
        <f>AND(#REF!,"fpXq+ziSOds=")</f>
        <v>#REF!</v>
      </c>
      <c r="HM110" t="e">
        <f>AND(#REF!,"fpXq+ziSOdw=")</f>
        <v>#REF!</v>
      </c>
      <c r="HN110" t="e">
        <f>AND(#REF!,"fpXq+ziSOd0=")</f>
        <v>#REF!</v>
      </c>
      <c r="HO110" t="e">
        <f>AND(#REF!,"fpXq+ziSOd4=")</f>
        <v>#REF!</v>
      </c>
      <c r="HP110" t="e">
        <f>AND(#REF!,"fpXq+ziSOd8=")</f>
        <v>#REF!</v>
      </c>
      <c r="HQ110" t="e">
        <f>AND(#REF!,"fpXq+ziSOeA=")</f>
        <v>#REF!</v>
      </c>
      <c r="HR110" t="e">
        <f>AND(#REF!,"fpXq+ziSOeE=")</f>
        <v>#REF!</v>
      </c>
      <c r="HS110" t="e">
        <f>AND(#REF!,"fpXq+ziSOeI=")</f>
        <v>#REF!</v>
      </c>
      <c r="HT110" t="e">
        <f>AND(#REF!,"fpXq+ziSOeM=")</f>
        <v>#REF!</v>
      </c>
      <c r="HU110" t="e">
        <f>AND(#REF!,"fpXq+ziSOeQ=")</f>
        <v>#REF!</v>
      </c>
      <c r="HV110" t="e">
        <f>AND(#REF!,"fpXq+ziSOeU=")</f>
        <v>#REF!</v>
      </c>
      <c r="HW110" t="e">
        <f>AND(#REF!,"fpXq+ziSOeY=")</f>
        <v>#REF!</v>
      </c>
      <c r="HX110" t="e">
        <f>AND(#REF!,"fpXq+ziSOec=")</f>
        <v>#REF!</v>
      </c>
      <c r="HY110" t="e">
        <f>AND(#REF!,"fpXq+ziSOeg=")</f>
        <v>#REF!</v>
      </c>
      <c r="HZ110" t="e">
        <f>AND(#REF!,"fpXq+ziSOek=")</f>
        <v>#REF!</v>
      </c>
      <c r="IA110" t="e">
        <f>AND(#REF!,"fpXq+ziSOeo=")</f>
        <v>#REF!</v>
      </c>
      <c r="IB110" t="e">
        <f>AND(#REF!,"fpXq+ziSOes=")</f>
        <v>#REF!</v>
      </c>
      <c r="IC110" t="e">
        <f>AND(#REF!,"fpXq+ziSOew=")</f>
        <v>#REF!</v>
      </c>
      <c r="ID110" t="e">
        <f>AND(#REF!,"fpXq+ziSOe0=")</f>
        <v>#REF!</v>
      </c>
      <c r="IE110" t="e">
        <f>AND(#REF!,"fpXq+ziSOe4=")</f>
        <v>#REF!</v>
      </c>
      <c r="IF110" t="e">
        <f>AND(#REF!,"fpXq+ziSOe8=")</f>
        <v>#REF!</v>
      </c>
      <c r="IG110" t="e">
        <f>AND(#REF!,"fpXq+ziSOfA=")</f>
        <v>#REF!</v>
      </c>
      <c r="IH110" t="e">
        <f>AND(#REF!,"fpXq+ziSOfE=")</f>
        <v>#REF!</v>
      </c>
      <c r="II110" t="e">
        <f>AND(#REF!,"fpXq+ziSOfI=")</f>
        <v>#REF!</v>
      </c>
      <c r="IJ110" t="e">
        <f>AND(#REF!,"fpXq+ziSOfM=")</f>
        <v>#REF!</v>
      </c>
      <c r="IK110" t="e">
        <f>AND(#REF!,"fpXq+ziSOfQ=")</f>
        <v>#REF!</v>
      </c>
      <c r="IL110" t="e">
        <f>AND(#REF!,"fpXq+ziSOfU=")</f>
        <v>#REF!</v>
      </c>
      <c r="IM110" t="e">
        <f>AND(#REF!,"fpXq+ziSOfY=")</f>
        <v>#REF!</v>
      </c>
      <c r="IN110" t="e">
        <f>AND(#REF!,"fpXq+ziSOfc=")</f>
        <v>#REF!</v>
      </c>
      <c r="IO110" t="e">
        <f>AND(#REF!,"fpXq+ziSOfg=")</f>
        <v>#REF!</v>
      </c>
      <c r="IP110" t="e">
        <f>AND(#REF!,"fpXq+ziSOfk=")</f>
        <v>#REF!</v>
      </c>
      <c r="IQ110" t="e">
        <f>AND(#REF!,"fpXq+ziSOfo=")</f>
        <v>#REF!</v>
      </c>
      <c r="IR110" t="e">
        <f>AND(#REF!,"fpXq+ziSOfs=")</f>
        <v>#REF!</v>
      </c>
      <c r="IS110" t="e">
        <f>AND(#REF!,"fpXq+ziSOfw=")</f>
        <v>#REF!</v>
      </c>
      <c r="IT110" t="e">
        <f>AND(#REF!,"fpXq+ziSOf0=")</f>
        <v>#REF!</v>
      </c>
      <c r="IU110" t="e">
        <f>AND(#REF!,"fpXq+ziSOf4=")</f>
        <v>#REF!</v>
      </c>
      <c r="IV110" t="e">
        <f>AND(#REF!,"fpXq+ziSOf8=")</f>
        <v>#REF!</v>
      </c>
    </row>
    <row r="111" spans="1:256" x14ac:dyDescent="0.2">
      <c r="A111" t="e">
        <f>AND(#REF!,"dFUAC0GWaQA=")</f>
        <v>#REF!</v>
      </c>
      <c r="B111" t="e">
        <f>AND(#REF!,"dFUAC0GWaQE=")</f>
        <v>#REF!</v>
      </c>
      <c r="C111" t="e">
        <f>AND(#REF!,"dFUAC0GWaQI=")</f>
        <v>#REF!</v>
      </c>
      <c r="D111" t="e">
        <f>AND(#REF!,"dFUAC0GWaQM=")</f>
        <v>#REF!</v>
      </c>
      <c r="E111" t="e">
        <f>AND(#REF!,"dFUAC0GWaQQ=")</f>
        <v>#REF!</v>
      </c>
      <c r="F111" t="e">
        <f>AND(#REF!,"dFUAC0GWaQU=")</f>
        <v>#REF!</v>
      </c>
      <c r="G111" t="e">
        <f>AND(#REF!,"dFUAC0GWaQY=")</f>
        <v>#REF!</v>
      </c>
      <c r="H111" t="e">
        <f>AND(#REF!,"dFUAC0GWaQc=")</f>
        <v>#REF!</v>
      </c>
      <c r="I111" t="e">
        <f>AND(#REF!,"dFUAC0GWaQg=")</f>
        <v>#REF!</v>
      </c>
      <c r="J111" t="e">
        <f>AND(#REF!,"dFUAC0GWaQk=")</f>
        <v>#REF!</v>
      </c>
      <c r="K111" t="e">
        <f>AND(#REF!,"dFUAC0GWaQo=")</f>
        <v>#REF!</v>
      </c>
      <c r="L111" t="e">
        <f>AND(#REF!,"dFUAC0GWaQs=")</f>
        <v>#REF!</v>
      </c>
      <c r="M111" t="e">
        <f>AND(#REF!,"dFUAC0GWaQw=")</f>
        <v>#REF!</v>
      </c>
      <c r="N111" t="e">
        <f>AND(#REF!,"dFUAC0GWaQ0=")</f>
        <v>#REF!</v>
      </c>
      <c r="O111" t="e">
        <f>AND(#REF!,"dFUAC0GWaQ4=")</f>
        <v>#REF!</v>
      </c>
      <c r="P111" t="e">
        <f>AND(#REF!,"dFUAC0GWaQ8=")</f>
        <v>#REF!</v>
      </c>
      <c r="Q111" t="e">
        <f>AND(#REF!,"dFUAC0GWaRA=")</f>
        <v>#REF!</v>
      </c>
      <c r="R111" t="e">
        <f>AND(#REF!,"dFUAC0GWaRE=")</f>
        <v>#REF!</v>
      </c>
      <c r="S111" t="e">
        <f>AND(#REF!,"dFUAC0GWaRI=")</f>
        <v>#REF!</v>
      </c>
      <c r="T111" t="e">
        <f>AND(#REF!,"dFUAC0GWaRM=")</f>
        <v>#REF!</v>
      </c>
      <c r="U111" t="e">
        <f>AND(#REF!,"dFUAC0GWaRQ=")</f>
        <v>#REF!</v>
      </c>
      <c r="V111" t="e">
        <f>AND(#REF!,"dFUAC0GWaRU=")</f>
        <v>#REF!</v>
      </c>
      <c r="W111" t="e">
        <f>AND(#REF!,"dFUAC0GWaRY=")</f>
        <v>#REF!</v>
      </c>
      <c r="X111" t="e">
        <f>AND(#REF!,"dFUAC0GWaRc=")</f>
        <v>#REF!</v>
      </c>
      <c r="Y111" t="e">
        <f>AND(#REF!,"dFUAC0GWaRg=")</f>
        <v>#REF!</v>
      </c>
      <c r="Z111" t="e">
        <f>AND(#REF!,"dFUAC0GWaRk=")</f>
        <v>#REF!</v>
      </c>
      <c r="AA111" t="e">
        <f>AND(#REF!,"dFUAC0GWaRo=")</f>
        <v>#REF!</v>
      </c>
      <c r="AB111" t="e">
        <f>AND(#REF!,"dFUAC0GWaRs=")</f>
        <v>#REF!</v>
      </c>
      <c r="AC111" t="e">
        <f>AND(#REF!,"dFUAC0GWaRw=")</f>
        <v>#REF!</v>
      </c>
      <c r="AD111" t="e">
        <f>AND(#REF!,"dFUAC0GWaR0=")</f>
        <v>#REF!</v>
      </c>
      <c r="AE111" t="e">
        <f>AND(#REF!,"dFUAC0GWaR4=")</f>
        <v>#REF!</v>
      </c>
      <c r="AF111" t="e">
        <f>AND(#REF!,"dFUAC0GWaR8=")</f>
        <v>#REF!</v>
      </c>
      <c r="AG111" t="e">
        <f>AND(#REF!,"dFUAC0GWaSA=")</f>
        <v>#REF!</v>
      </c>
      <c r="AH111" t="e">
        <f>AND(#REF!,"dFUAC0GWaSE=")</f>
        <v>#REF!</v>
      </c>
      <c r="AI111" t="e">
        <f>AND(#REF!,"dFUAC0GWaSI=")</f>
        <v>#REF!</v>
      </c>
      <c r="AJ111" t="e">
        <f>AND(#REF!,"dFUAC0GWaSM=")</f>
        <v>#REF!</v>
      </c>
      <c r="AK111" t="e">
        <f>AND(#REF!,"dFUAC0GWaSQ=")</f>
        <v>#REF!</v>
      </c>
      <c r="AL111" t="e">
        <f>AND(#REF!,"dFUAC0GWaSU=")</f>
        <v>#REF!</v>
      </c>
      <c r="AM111" t="e">
        <f>AND(#REF!,"dFUAC0GWaSY=")</f>
        <v>#REF!</v>
      </c>
      <c r="AN111" t="e">
        <f>AND(#REF!,"dFUAC0GWaSc=")</f>
        <v>#REF!</v>
      </c>
      <c r="AO111" t="e">
        <f>AND(#REF!,"dFUAC0GWaSg=")</f>
        <v>#REF!</v>
      </c>
      <c r="AP111" t="e">
        <f>AND(#REF!,"dFUAC0GWaSk=")</f>
        <v>#REF!</v>
      </c>
      <c r="AQ111" t="e">
        <f>AND(#REF!,"dFUAC0GWaSo=")</f>
        <v>#REF!</v>
      </c>
      <c r="AR111" t="e">
        <f>AND(#REF!,"dFUAC0GWaSs=")</f>
        <v>#REF!</v>
      </c>
      <c r="AS111" t="e">
        <f>IF(#REF!,"dFUAC0GWaSw=",0)</f>
        <v>#REF!</v>
      </c>
      <c r="AT111" t="e">
        <f>AND(#REF!,"dFUAC0GWaS0=")</f>
        <v>#REF!</v>
      </c>
      <c r="AU111" t="e">
        <f>AND(#REF!,"dFUAC0GWaS4=")</f>
        <v>#REF!</v>
      </c>
      <c r="AV111" t="e">
        <f>AND(#REF!,"dFUAC0GWaS8=")</f>
        <v>#REF!</v>
      </c>
      <c r="AW111" t="e">
        <f>AND(#REF!,"dFUAC0GWaTA=")</f>
        <v>#REF!</v>
      </c>
      <c r="AX111" t="e">
        <f>AND(#REF!,"dFUAC0GWaTE=")</f>
        <v>#REF!</v>
      </c>
      <c r="AY111" t="e">
        <f>AND(#REF!,"dFUAC0GWaTI=")</f>
        <v>#REF!</v>
      </c>
      <c r="AZ111" t="e">
        <f>AND(#REF!,"dFUAC0GWaTM=")</f>
        <v>#REF!</v>
      </c>
      <c r="BA111" t="e">
        <f>AND(#REF!,"dFUAC0GWaTQ=")</f>
        <v>#REF!</v>
      </c>
      <c r="BB111" t="e">
        <f>AND(#REF!,"dFUAC0GWaTU=")</f>
        <v>#REF!</v>
      </c>
      <c r="BC111" t="e">
        <f>AND(#REF!,"dFUAC0GWaTY=")</f>
        <v>#REF!</v>
      </c>
      <c r="BD111" t="e">
        <f>AND(#REF!,"dFUAC0GWaTc=")</f>
        <v>#REF!</v>
      </c>
      <c r="BE111" t="e">
        <f>AND(#REF!,"dFUAC0GWaTg=")</f>
        <v>#REF!</v>
      </c>
      <c r="BF111" t="e">
        <f>AND(#REF!,"dFUAC0GWaTk=")</f>
        <v>#REF!</v>
      </c>
      <c r="BG111" t="e">
        <f>AND(#REF!,"dFUAC0GWaTo=")</f>
        <v>#REF!</v>
      </c>
      <c r="BH111" t="e">
        <f>AND(#REF!,"dFUAC0GWaTs=")</f>
        <v>#REF!</v>
      </c>
      <c r="BI111" t="e">
        <f>AND(#REF!,"dFUAC0GWaTw=")</f>
        <v>#REF!</v>
      </c>
      <c r="BJ111" t="e">
        <f>AND(#REF!,"dFUAC0GWaT0=")</f>
        <v>#REF!</v>
      </c>
      <c r="BK111" t="e">
        <f>AND(#REF!,"dFUAC0GWaT4=")</f>
        <v>#REF!</v>
      </c>
      <c r="BL111" t="e">
        <f>AND(#REF!,"dFUAC0GWaT8=")</f>
        <v>#REF!</v>
      </c>
      <c r="BM111" t="e">
        <f>AND(#REF!,"dFUAC0GWaUA=")</f>
        <v>#REF!</v>
      </c>
      <c r="BN111" t="e">
        <f>AND(#REF!,"dFUAC0GWaUE=")</f>
        <v>#REF!</v>
      </c>
      <c r="BO111" t="e">
        <f>AND(#REF!,"dFUAC0GWaUI=")</f>
        <v>#REF!</v>
      </c>
      <c r="BP111" t="e">
        <f>AND(#REF!,"dFUAC0GWaUM=")</f>
        <v>#REF!</v>
      </c>
      <c r="BQ111" t="e">
        <f>AND(#REF!,"dFUAC0GWaUQ=")</f>
        <v>#REF!</v>
      </c>
      <c r="BR111" t="e">
        <f>AND(#REF!,"dFUAC0GWaUU=")</f>
        <v>#REF!</v>
      </c>
      <c r="BS111" t="e">
        <f>AND(#REF!,"dFUAC0GWaUY=")</f>
        <v>#REF!</v>
      </c>
      <c r="BT111" t="e">
        <f>AND(#REF!,"dFUAC0GWaUc=")</f>
        <v>#REF!</v>
      </c>
      <c r="BU111" t="e">
        <f>AND(#REF!,"dFUAC0GWaUg=")</f>
        <v>#REF!</v>
      </c>
      <c r="BV111" t="e">
        <f>AND(#REF!,"dFUAC0GWaUk=")</f>
        <v>#REF!</v>
      </c>
      <c r="BW111" t="e">
        <f>AND(#REF!,"dFUAC0GWaUo=")</f>
        <v>#REF!</v>
      </c>
      <c r="BX111" t="e">
        <f>AND(#REF!,"dFUAC0GWaUs=")</f>
        <v>#REF!</v>
      </c>
      <c r="BY111" t="e">
        <f>AND(#REF!,"dFUAC0GWaUw=")</f>
        <v>#REF!</v>
      </c>
      <c r="BZ111" t="e">
        <f>AND(#REF!,"dFUAC0GWaU0=")</f>
        <v>#REF!</v>
      </c>
      <c r="CA111" t="e">
        <f>AND(#REF!,"dFUAC0GWaU4=")</f>
        <v>#REF!</v>
      </c>
      <c r="CB111" t="e">
        <f>AND(#REF!,"dFUAC0GWaU8=")</f>
        <v>#REF!</v>
      </c>
      <c r="CC111" t="e">
        <f>AND(#REF!,"dFUAC0GWaVA=")</f>
        <v>#REF!</v>
      </c>
      <c r="CD111" t="e">
        <f>AND(#REF!,"dFUAC0GWaVE=")</f>
        <v>#REF!</v>
      </c>
      <c r="CE111" t="e">
        <f>AND(#REF!,"dFUAC0GWaVI=")</f>
        <v>#REF!</v>
      </c>
      <c r="CF111" t="e">
        <f>AND(#REF!,"dFUAC0GWaVM=")</f>
        <v>#REF!</v>
      </c>
      <c r="CG111" t="e">
        <f>AND(#REF!,"dFUAC0GWaVQ=")</f>
        <v>#REF!</v>
      </c>
      <c r="CH111" t="e">
        <f>AND(#REF!,"dFUAC0GWaVU=")</f>
        <v>#REF!</v>
      </c>
      <c r="CI111" t="e">
        <f>AND(#REF!,"dFUAC0GWaVY=")</f>
        <v>#REF!</v>
      </c>
      <c r="CJ111" t="e">
        <f>AND(#REF!,"dFUAC0GWaVc=")</f>
        <v>#REF!</v>
      </c>
      <c r="CK111" t="e">
        <f>AND(#REF!,"dFUAC0GWaVg=")</f>
        <v>#REF!</v>
      </c>
      <c r="CL111" t="e">
        <f>AND(#REF!,"dFUAC0GWaVk=")</f>
        <v>#REF!</v>
      </c>
      <c r="CM111" t="e">
        <f>AND(#REF!,"dFUAC0GWaVo=")</f>
        <v>#REF!</v>
      </c>
      <c r="CN111" t="e">
        <f>AND(#REF!,"dFUAC0GWaVs=")</f>
        <v>#REF!</v>
      </c>
      <c r="CO111" t="e">
        <f>AND(#REF!,"dFUAC0GWaVw=")</f>
        <v>#REF!</v>
      </c>
      <c r="CP111" t="e">
        <f>AND(#REF!,"dFUAC0GWaV0=")</f>
        <v>#REF!</v>
      </c>
      <c r="CQ111" t="e">
        <f>AND(#REF!,"dFUAC0GWaV4=")</f>
        <v>#REF!</v>
      </c>
      <c r="CR111" t="e">
        <f>AND(#REF!,"dFUAC0GWaV8=")</f>
        <v>#REF!</v>
      </c>
      <c r="CS111" t="e">
        <f>AND(#REF!,"dFUAC0GWaWA=")</f>
        <v>#REF!</v>
      </c>
      <c r="CT111" t="e">
        <f>AND(#REF!,"dFUAC0GWaWE=")</f>
        <v>#REF!</v>
      </c>
      <c r="CU111" t="e">
        <f>AND(#REF!,"dFUAC0GWaWI=")</f>
        <v>#REF!</v>
      </c>
      <c r="CV111" t="e">
        <f>AND(#REF!,"dFUAC0GWaWM=")</f>
        <v>#REF!</v>
      </c>
      <c r="CW111" t="e">
        <f>AND(#REF!,"dFUAC0GWaWQ=")</f>
        <v>#REF!</v>
      </c>
      <c r="CX111" t="e">
        <f>AND(#REF!,"dFUAC0GWaWU=")</f>
        <v>#REF!</v>
      </c>
      <c r="CY111" t="e">
        <f>AND(#REF!,"dFUAC0GWaWY=")</f>
        <v>#REF!</v>
      </c>
      <c r="CZ111" t="e">
        <f>AND(#REF!,"dFUAC0GWaWc=")</f>
        <v>#REF!</v>
      </c>
      <c r="DA111" t="e">
        <f>AND(#REF!,"dFUAC0GWaWg=")</f>
        <v>#REF!</v>
      </c>
      <c r="DB111" t="e">
        <f>AND(#REF!,"dFUAC0GWaWk=")</f>
        <v>#REF!</v>
      </c>
      <c r="DC111" t="e">
        <f>AND(#REF!,"dFUAC0GWaWo=")</f>
        <v>#REF!</v>
      </c>
      <c r="DD111" t="e">
        <f>AND(#REF!,"dFUAC0GWaWs=")</f>
        <v>#REF!</v>
      </c>
      <c r="DE111" t="e">
        <f>AND(#REF!,"dFUAC0GWaWw=")</f>
        <v>#REF!</v>
      </c>
      <c r="DF111" t="e">
        <f>AND(#REF!,"dFUAC0GWaW0=")</f>
        <v>#REF!</v>
      </c>
      <c r="DG111" t="e">
        <f>AND(#REF!,"dFUAC0GWaW4=")</f>
        <v>#REF!</v>
      </c>
      <c r="DH111" t="e">
        <f>AND(#REF!,"dFUAC0GWaW8=")</f>
        <v>#REF!</v>
      </c>
      <c r="DI111" t="e">
        <f>AND(#REF!,"dFUAC0GWaXA=")</f>
        <v>#REF!</v>
      </c>
      <c r="DJ111" t="e">
        <f>AND(#REF!,"dFUAC0GWaXE=")</f>
        <v>#REF!</v>
      </c>
      <c r="DK111" t="e">
        <f>AND(#REF!,"dFUAC0GWaXI=")</f>
        <v>#REF!</v>
      </c>
      <c r="DL111" t="e">
        <f>AND(#REF!,"dFUAC0GWaXM=")</f>
        <v>#REF!</v>
      </c>
      <c r="DM111" t="e">
        <f>AND(#REF!,"dFUAC0GWaXQ=")</f>
        <v>#REF!</v>
      </c>
      <c r="DN111" t="e">
        <f>AND(#REF!,"dFUAC0GWaXU=")</f>
        <v>#REF!</v>
      </c>
      <c r="DO111" t="e">
        <f>AND(#REF!,"dFUAC0GWaXY=")</f>
        <v>#REF!</v>
      </c>
      <c r="DP111" t="e">
        <f>AND(#REF!,"dFUAC0GWaXc=")</f>
        <v>#REF!</v>
      </c>
      <c r="DQ111" t="e">
        <f>AND(#REF!,"dFUAC0GWaXg=")</f>
        <v>#REF!</v>
      </c>
      <c r="DR111" t="e">
        <f>AND(#REF!,"dFUAC0GWaXk=")</f>
        <v>#REF!</v>
      </c>
      <c r="DS111" t="e">
        <f>AND(#REF!,"dFUAC0GWaXo=")</f>
        <v>#REF!</v>
      </c>
      <c r="DT111" t="e">
        <f>AND(#REF!,"dFUAC0GWaXs=")</f>
        <v>#REF!</v>
      </c>
      <c r="DU111" t="e">
        <f>AND(#REF!,"dFUAC0GWaXw=")</f>
        <v>#REF!</v>
      </c>
      <c r="DV111" t="e">
        <f>AND(#REF!,"dFUAC0GWaX0=")</f>
        <v>#REF!</v>
      </c>
      <c r="DW111" t="e">
        <f>AND(#REF!,"dFUAC0GWaX4=")</f>
        <v>#REF!</v>
      </c>
      <c r="DX111" t="e">
        <f>AND(#REF!,"dFUAC0GWaX8=")</f>
        <v>#REF!</v>
      </c>
      <c r="DY111" t="e">
        <f>AND(#REF!,"dFUAC0GWaYA=")</f>
        <v>#REF!</v>
      </c>
      <c r="DZ111" t="e">
        <f>AND(#REF!,"dFUAC0GWaYE=")</f>
        <v>#REF!</v>
      </c>
      <c r="EA111" t="e">
        <f>AND(#REF!,"dFUAC0GWaYI=")</f>
        <v>#REF!</v>
      </c>
      <c r="EB111" t="e">
        <f>AND(#REF!,"dFUAC0GWaYM=")</f>
        <v>#REF!</v>
      </c>
      <c r="EC111" t="e">
        <f>AND(#REF!,"dFUAC0GWaYQ=")</f>
        <v>#REF!</v>
      </c>
      <c r="ED111" t="e">
        <f>AND(#REF!,"dFUAC0GWaYU=")</f>
        <v>#REF!</v>
      </c>
      <c r="EE111" t="e">
        <f>AND(#REF!,"dFUAC0GWaYY=")</f>
        <v>#REF!</v>
      </c>
      <c r="EF111" t="e">
        <f>AND(#REF!,"dFUAC0GWaYc=")</f>
        <v>#REF!</v>
      </c>
      <c r="EG111" t="e">
        <f>AND(#REF!,"dFUAC0GWaYg=")</f>
        <v>#REF!</v>
      </c>
      <c r="EH111" t="e">
        <f>AND(#REF!,"dFUAC0GWaYk=")</f>
        <v>#REF!</v>
      </c>
      <c r="EI111" t="e">
        <f>AND(#REF!,"dFUAC0GWaYo=")</f>
        <v>#REF!</v>
      </c>
      <c r="EJ111" t="e">
        <f>AND(#REF!,"dFUAC0GWaYs=")</f>
        <v>#REF!</v>
      </c>
      <c r="EK111" t="e">
        <f>AND(#REF!,"dFUAC0GWaYw=")</f>
        <v>#REF!</v>
      </c>
      <c r="EL111" t="e">
        <f>AND(#REF!,"dFUAC0GWaY0=")</f>
        <v>#REF!</v>
      </c>
      <c r="EM111" t="e">
        <f>AND(#REF!,"dFUAC0GWaY4=")</f>
        <v>#REF!</v>
      </c>
      <c r="EN111" t="e">
        <f>AND(#REF!,"dFUAC0GWaY8=")</f>
        <v>#REF!</v>
      </c>
      <c r="EO111" t="e">
        <f>AND(#REF!,"dFUAC0GWaZA=")</f>
        <v>#REF!</v>
      </c>
      <c r="EP111" t="e">
        <f>AND(#REF!,"dFUAC0GWaZE=")</f>
        <v>#REF!</v>
      </c>
      <c r="EQ111" t="e">
        <f>AND(#REF!,"dFUAC0GWaZI=")</f>
        <v>#REF!</v>
      </c>
      <c r="ER111" t="e">
        <f>AND(#REF!,"dFUAC0GWaZM=")</f>
        <v>#REF!</v>
      </c>
      <c r="ES111" t="e">
        <f>AND(#REF!,"dFUAC0GWaZQ=")</f>
        <v>#REF!</v>
      </c>
      <c r="ET111" t="e">
        <f>AND(#REF!,"dFUAC0GWaZU=")</f>
        <v>#REF!</v>
      </c>
      <c r="EU111" t="e">
        <f>AND(#REF!,"dFUAC0GWaZY=")</f>
        <v>#REF!</v>
      </c>
      <c r="EV111" t="e">
        <f>AND(#REF!,"dFUAC0GWaZc=")</f>
        <v>#REF!</v>
      </c>
      <c r="EW111" t="e">
        <f>AND(#REF!,"dFUAC0GWaZg=")</f>
        <v>#REF!</v>
      </c>
      <c r="EX111" t="e">
        <f>AND(#REF!,"dFUAC0GWaZk=")</f>
        <v>#REF!</v>
      </c>
      <c r="EY111" t="e">
        <f>AND(#REF!,"dFUAC0GWaZo=")</f>
        <v>#REF!</v>
      </c>
      <c r="EZ111" t="e">
        <f>AND(#REF!,"dFUAC0GWaZs=")</f>
        <v>#REF!</v>
      </c>
      <c r="FA111" t="e">
        <f>AND(#REF!,"dFUAC0GWaZw=")</f>
        <v>#REF!</v>
      </c>
      <c r="FB111" t="e">
        <f>AND(#REF!,"dFUAC0GWaZ0=")</f>
        <v>#REF!</v>
      </c>
      <c r="FC111" t="e">
        <f>AND(#REF!,"dFUAC0GWaZ4=")</f>
        <v>#REF!</v>
      </c>
      <c r="FD111" t="e">
        <f>AND(#REF!,"dFUAC0GWaZ8=")</f>
        <v>#REF!</v>
      </c>
      <c r="FE111" t="e">
        <f>AND(#REF!,"dFUAC0GWaaA=")</f>
        <v>#REF!</v>
      </c>
      <c r="FF111" t="e">
        <f>AND(#REF!,"dFUAC0GWaaE=")</f>
        <v>#REF!</v>
      </c>
      <c r="FG111" t="e">
        <f>AND(#REF!,"dFUAC0GWaaI=")</f>
        <v>#REF!</v>
      </c>
      <c r="FH111" t="e">
        <f>AND(#REF!,"dFUAC0GWaaM=")</f>
        <v>#REF!</v>
      </c>
      <c r="FI111" t="e">
        <f>AND(#REF!,"dFUAC0GWaaQ=")</f>
        <v>#REF!</v>
      </c>
      <c r="FJ111" t="e">
        <f>AND(#REF!,"dFUAC0GWaaU=")</f>
        <v>#REF!</v>
      </c>
      <c r="FK111" t="e">
        <f>AND(#REF!,"dFUAC0GWaaY=")</f>
        <v>#REF!</v>
      </c>
      <c r="FL111" t="e">
        <f>AND(#REF!,"dFUAC0GWaac=")</f>
        <v>#REF!</v>
      </c>
      <c r="FM111" t="e">
        <f>AND(#REF!,"dFUAC0GWaag=")</f>
        <v>#REF!</v>
      </c>
      <c r="FN111" t="e">
        <f>AND(#REF!,"dFUAC0GWaak=")</f>
        <v>#REF!</v>
      </c>
      <c r="FO111" t="e">
        <f>AND(#REF!,"dFUAC0GWaao=")</f>
        <v>#REF!</v>
      </c>
      <c r="FP111" t="e">
        <f>AND(#REF!,"dFUAC0GWaas=")</f>
        <v>#REF!</v>
      </c>
      <c r="FQ111" t="e">
        <f>AND(#REF!,"dFUAC0GWaaw=")</f>
        <v>#REF!</v>
      </c>
      <c r="FR111" t="e">
        <f>AND(#REF!,"dFUAC0GWaa0=")</f>
        <v>#REF!</v>
      </c>
      <c r="FS111" t="e">
        <f>AND(#REF!,"dFUAC0GWaa4=")</f>
        <v>#REF!</v>
      </c>
      <c r="FT111" t="e">
        <f>AND(#REF!,"dFUAC0GWaa8=")</f>
        <v>#REF!</v>
      </c>
      <c r="FU111" t="e">
        <f>AND(#REF!,"dFUAC0GWabA=")</f>
        <v>#REF!</v>
      </c>
      <c r="FV111" t="e">
        <f>AND(#REF!,"dFUAC0GWabE=")</f>
        <v>#REF!</v>
      </c>
      <c r="FW111" t="e">
        <f>AND(#REF!,"dFUAC0GWabI=")</f>
        <v>#REF!</v>
      </c>
      <c r="FX111" t="e">
        <f>AND(#REF!,"dFUAC0GWabM=")</f>
        <v>#REF!</v>
      </c>
      <c r="FY111" t="e">
        <f>AND(#REF!,"dFUAC0GWabQ=")</f>
        <v>#REF!</v>
      </c>
      <c r="FZ111" t="e">
        <f>AND(#REF!,"dFUAC0GWabU=")</f>
        <v>#REF!</v>
      </c>
      <c r="GA111" t="e">
        <f>AND(#REF!,"dFUAC0GWabY=")</f>
        <v>#REF!</v>
      </c>
      <c r="GB111" t="e">
        <f>AND(#REF!,"dFUAC0GWabc=")</f>
        <v>#REF!</v>
      </c>
      <c r="GC111" t="e">
        <f>AND(#REF!,"dFUAC0GWabg=")</f>
        <v>#REF!</v>
      </c>
      <c r="GD111" t="e">
        <f>AND(#REF!,"dFUAC0GWabk=")</f>
        <v>#REF!</v>
      </c>
      <c r="GE111" t="e">
        <f>AND(#REF!,"dFUAC0GWabo=")</f>
        <v>#REF!</v>
      </c>
      <c r="GF111" t="e">
        <f>AND(#REF!,"dFUAC0GWabs=")</f>
        <v>#REF!</v>
      </c>
      <c r="GG111" t="e">
        <f>AND(#REF!,"dFUAC0GWabw=")</f>
        <v>#REF!</v>
      </c>
      <c r="GH111" t="e">
        <f>AND(#REF!,"dFUAC0GWab0=")</f>
        <v>#REF!</v>
      </c>
      <c r="GI111" t="e">
        <f>AND(#REF!,"dFUAC0GWab4=")</f>
        <v>#REF!</v>
      </c>
      <c r="GJ111" t="e">
        <f>AND(#REF!,"dFUAC0GWab8=")</f>
        <v>#REF!</v>
      </c>
      <c r="GK111" t="e">
        <f>AND(#REF!,"dFUAC0GWacA=")</f>
        <v>#REF!</v>
      </c>
      <c r="GL111" t="e">
        <f>AND(#REF!,"dFUAC0GWacE=")</f>
        <v>#REF!</v>
      </c>
      <c r="GM111" t="e">
        <f>AND(#REF!,"dFUAC0GWacI=")</f>
        <v>#REF!</v>
      </c>
      <c r="GN111" t="e">
        <f>AND(#REF!,"dFUAC0GWacM=")</f>
        <v>#REF!</v>
      </c>
      <c r="GO111" t="e">
        <f>AND(#REF!,"dFUAC0GWacQ=")</f>
        <v>#REF!</v>
      </c>
      <c r="GP111" t="e">
        <f>AND(#REF!,"dFUAC0GWacU=")</f>
        <v>#REF!</v>
      </c>
      <c r="GQ111" t="e">
        <f>AND(#REF!,"dFUAC0GWacY=")</f>
        <v>#REF!</v>
      </c>
      <c r="GR111" t="e">
        <f>AND(#REF!,"dFUAC0GWacc=")</f>
        <v>#REF!</v>
      </c>
      <c r="GS111" t="e">
        <f>AND(#REF!,"dFUAC0GWacg=")</f>
        <v>#REF!</v>
      </c>
      <c r="GT111" t="e">
        <f>AND(#REF!,"dFUAC0GWack=")</f>
        <v>#REF!</v>
      </c>
      <c r="GU111" t="e">
        <f>AND(#REF!,"dFUAC0GWaco=")</f>
        <v>#REF!</v>
      </c>
      <c r="GV111" t="e">
        <f>AND(#REF!,"dFUAC0GWacs=")</f>
        <v>#REF!</v>
      </c>
      <c r="GW111" t="e">
        <f>AND(#REF!,"dFUAC0GWacw=")</f>
        <v>#REF!</v>
      </c>
      <c r="GX111" t="e">
        <f>AND(#REF!,"dFUAC0GWac0=")</f>
        <v>#REF!</v>
      </c>
      <c r="GY111" t="e">
        <f>AND(#REF!,"dFUAC0GWac4=")</f>
        <v>#REF!</v>
      </c>
      <c r="GZ111" t="e">
        <f>AND(#REF!,"dFUAC0GWac8=")</f>
        <v>#REF!</v>
      </c>
      <c r="HA111" t="e">
        <f>AND(#REF!,"dFUAC0GWadA=")</f>
        <v>#REF!</v>
      </c>
      <c r="HB111" t="e">
        <f>AND(#REF!,"dFUAC0GWadE=")</f>
        <v>#REF!</v>
      </c>
      <c r="HC111" t="e">
        <f>AND(#REF!,"dFUAC0GWadI=")</f>
        <v>#REF!</v>
      </c>
      <c r="HD111" t="e">
        <f>AND(#REF!,"dFUAC0GWadM=")</f>
        <v>#REF!</v>
      </c>
      <c r="HE111" t="e">
        <f>AND(#REF!,"dFUAC0GWadQ=")</f>
        <v>#REF!</v>
      </c>
      <c r="HF111" t="e">
        <f>AND(#REF!,"dFUAC0GWadU=")</f>
        <v>#REF!</v>
      </c>
      <c r="HG111" t="e">
        <f>AND(#REF!,"dFUAC0GWadY=")</f>
        <v>#REF!</v>
      </c>
      <c r="HH111" t="e">
        <f>AND(#REF!,"dFUAC0GWadc=")</f>
        <v>#REF!</v>
      </c>
      <c r="HI111" t="e">
        <f>AND(#REF!,"dFUAC0GWadg=")</f>
        <v>#REF!</v>
      </c>
      <c r="HJ111" t="e">
        <f>AND(#REF!,"dFUAC0GWadk=")</f>
        <v>#REF!</v>
      </c>
      <c r="HK111" t="e">
        <f>AND(#REF!,"dFUAC0GWado=")</f>
        <v>#REF!</v>
      </c>
      <c r="HL111" t="e">
        <f>AND(#REF!,"dFUAC0GWads=")</f>
        <v>#REF!</v>
      </c>
      <c r="HM111" t="e">
        <f>AND(#REF!,"dFUAC0GWadw=")</f>
        <v>#REF!</v>
      </c>
      <c r="HN111" t="e">
        <f>AND(#REF!,"dFUAC0GWad0=")</f>
        <v>#REF!</v>
      </c>
      <c r="HO111" t="e">
        <f>AND(#REF!,"dFUAC0GWad4=")</f>
        <v>#REF!</v>
      </c>
      <c r="HP111" t="e">
        <f>AND(#REF!,"dFUAC0GWad8=")</f>
        <v>#REF!</v>
      </c>
      <c r="HQ111" t="e">
        <f>AND(#REF!,"dFUAC0GWaeA=")</f>
        <v>#REF!</v>
      </c>
      <c r="HR111" t="e">
        <f>AND(#REF!,"dFUAC0GWaeE=")</f>
        <v>#REF!</v>
      </c>
      <c r="HS111" t="e">
        <f>AND(#REF!,"dFUAC0GWaeI=")</f>
        <v>#REF!</v>
      </c>
      <c r="HT111" t="e">
        <f>AND(#REF!,"dFUAC0GWaeM=")</f>
        <v>#REF!</v>
      </c>
      <c r="HU111" t="e">
        <f>AND(#REF!,"dFUAC0GWaeQ=")</f>
        <v>#REF!</v>
      </c>
      <c r="HV111" t="e">
        <f>AND(#REF!,"dFUAC0GWaeU=")</f>
        <v>#REF!</v>
      </c>
      <c r="HW111" t="e">
        <f>AND(#REF!,"dFUAC0GWaeY=")</f>
        <v>#REF!</v>
      </c>
      <c r="HX111" t="e">
        <f>AND(#REF!,"dFUAC0GWaec=")</f>
        <v>#REF!</v>
      </c>
      <c r="HY111" t="e">
        <f>AND(#REF!,"dFUAC0GWaeg=")</f>
        <v>#REF!</v>
      </c>
      <c r="HZ111" t="e">
        <f>AND(#REF!,"dFUAC0GWaek=")</f>
        <v>#REF!</v>
      </c>
      <c r="IA111" t="e">
        <f>AND(#REF!,"dFUAC0GWaeo=")</f>
        <v>#REF!</v>
      </c>
      <c r="IB111" t="e">
        <f>AND(#REF!,"dFUAC0GWaes=")</f>
        <v>#REF!</v>
      </c>
      <c r="IC111" t="e">
        <f>AND(#REF!,"dFUAC0GWaew=")</f>
        <v>#REF!</v>
      </c>
      <c r="ID111" t="e">
        <f>AND(#REF!,"dFUAC0GWae0=")</f>
        <v>#REF!</v>
      </c>
      <c r="IE111" t="e">
        <f>AND(#REF!,"dFUAC0GWae4=")</f>
        <v>#REF!</v>
      </c>
      <c r="IF111" t="e">
        <f>AND(#REF!,"dFUAC0GWae8=")</f>
        <v>#REF!</v>
      </c>
      <c r="IG111" t="e">
        <f>AND(#REF!,"dFUAC0GWafA=")</f>
        <v>#REF!</v>
      </c>
      <c r="IH111" t="e">
        <f>AND(#REF!,"dFUAC0GWafE=")</f>
        <v>#REF!</v>
      </c>
      <c r="II111" t="e">
        <f>AND(#REF!,"dFUAC0GWafI=")</f>
        <v>#REF!</v>
      </c>
      <c r="IJ111" t="e">
        <f>IF(#REF!,"dFUAC0GWafM=",0)</f>
        <v>#REF!</v>
      </c>
      <c r="IK111" t="e">
        <f>AND(#REF!,"dFUAC0GWafQ=")</f>
        <v>#REF!</v>
      </c>
      <c r="IL111" t="e">
        <f>AND(#REF!,"dFUAC0GWafU=")</f>
        <v>#REF!</v>
      </c>
      <c r="IM111" t="e">
        <f>AND(#REF!,"dFUAC0GWafY=")</f>
        <v>#REF!</v>
      </c>
      <c r="IN111" t="e">
        <f>AND(#REF!,"dFUAC0GWafc=")</f>
        <v>#REF!</v>
      </c>
      <c r="IO111" t="e">
        <f>AND(#REF!,"dFUAC0GWafg=")</f>
        <v>#REF!</v>
      </c>
      <c r="IP111" t="e">
        <f>AND(#REF!,"dFUAC0GWafk=")</f>
        <v>#REF!</v>
      </c>
      <c r="IQ111" t="e">
        <f>AND(#REF!,"dFUAC0GWafo=")</f>
        <v>#REF!</v>
      </c>
      <c r="IR111" t="e">
        <f>AND(#REF!,"dFUAC0GWafs=")</f>
        <v>#REF!</v>
      </c>
      <c r="IS111" t="e">
        <f>AND(#REF!,"dFUAC0GWafw=")</f>
        <v>#REF!</v>
      </c>
      <c r="IT111" t="e">
        <f>AND(#REF!,"dFUAC0GWaf0=")</f>
        <v>#REF!</v>
      </c>
      <c r="IU111" t="e">
        <f>AND(#REF!,"dFUAC0GWaf4=")</f>
        <v>#REF!</v>
      </c>
      <c r="IV111" t="e">
        <f>AND(#REF!,"dFUAC0GWaf8=")</f>
        <v>#REF!</v>
      </c>
    </row>
    <row r="112" spans="1:256" x14ac:dyDescent="0.2">
      <c r="A112" t="e">
        <f>AND(#REF!,"WRwkJji4CwA=")</f>
        <v>#REF!</v>
      </c>
      <c r="B112" t="e">
        <f>AND(#REF!,"WRwkJji4CwE=")</f>
        <v>#REF!</v>
      </c>
      <c r="C112" t="e">
        <f>AND(#REF!,"WRwkJji4CwI=")</f>
        <v>#REF!</v>
      </c>
      <c r="D112" t="e">
        <f>AND(#REF!,"WRwkJji4CwM=")</f>
        <v>#REF!</v>
      </c>
      <c r="E112" t="e">
        <f>AND(#REF!,"WRwkJji4CwQ=")</f>
        <v>#REF!</v>
      </c>
      <c r="F112" t="e">
        <f>AND(#REF!,"WRwkJji4CwU=")</f>
        <v>#REF!</v>
      </c>
      <c r="G112" t="e">
        <f>AND(#REF!,"WRwkJji4CwY=")</f>
        <v>#REF!</v>
      </c>
      <c r="H112" t="e">
        <f>AND(#REF!,"WRwkJji4Cwc=")</f>
        <v>#REF!</v>
      </c>
      <c r="I112" t="e">
        <f>AND(#REF!,"WRwkJji4Cwg=")</f>
        <v>#REF!</v>
      </c>
      <c r="J112" t="e">
        <f>AND(#REF!,"WRwkJji4Cwk=")</f>
        <v>#REF!</v>
      </c>
      <c r="K112" t="e">
        <f>AND(#REF!,"WRwkJji4Cwo=")</f>
        <v>#REF!</v>
      </c>
      <c r="L112" t="e">
        <f>AND(#REF!,"WRwkJji4Cws=")</f>
        <v>#REF!</v>
      </c>
      <c r="M112" t="e">
        <f>AND(#REF!,"WRwkJji4Cww=")</f>
        <v>#REF!</v>
      </c>
      <c r="N112" t="e">
        <f>AND(#REF!,"WRwkJji4Cw0=")</f>
        <v>#REF!</v>
      </c>
      <c r="O112" t="e">
        <f>AND(#REF!,"WRwkJji4Cw4=")</f>
        <v>#REF!</v>
      </c>
      <c r="P112" t="e">
        <f>AND(#REF!,"WRwkJji4Cw8=")</f>
        <v>#REF!</v>
      </c>
      <c r="Q112" t="e">
        <f>AND(#REF!,"WRwkJji4CxA=")</f>
        <v>#REF!</v>
      </c>
      <c r="R112" t="e">
        <f>AND(#REF!,"WRwkJji4CxE=")</f>
        <v>#REF!</v>
      </c>
      <c r="S112" t="e">
        <f>AND(#REF!,"WRwkJji4CxI=")</f>
        <v>#REF!</v>
      </c>
      <c r="T112" t="e">
        <f>AND(#REF!,"WRwkJji4CxM=")</f>
        <v>#REF!</v>
      </c>
      <c r="U112" t="e">
        <f>AND(#REF!,"WRwkJji4CxQ=")</f>
        <v>#REF!</v>
      </c>
      <c r="V112" t="e">
        <f>AND(#REF!,"WRwkJji4CxU=")</f>
        <v>#REF!</v>
      </c>
      <c r="W112" t="e">
        <f>AND(#REF!,"WRwkJji4CxY=")</f>
        <v>#REF!</v>
      </c>
      <c r="X112" t="e">
        <f>AND(#REF!,"WRwkJji4Cxc=")</f>
        <v>#REF!</v>
      </c>
      <c r="Y112" t="e">
        <f>AND(#REF!,"WRwkJji4Cxg=")</f>
        <v>#REF!</v>
      </c>
      <c r="Z112" t="e">
        <f>AND(#REF!,"WRwkJji4Cxk=")</f>
        <v>#REF!</v>
      </c>
      <c r="AA112" t="e">
        <f>AND(#REF!,"WRwkJji4Cxo=")</f>
        <v>#REF!</v>
      </c>
      <c r="AB112" t="e">
        <f>AND(#REF!,"WRwkJji4Cxs=")</f>
        <v>#REF!</v>
      </c>
      <c r="AC112" t="e">
        <f>AND(#REF!,"WRwkJji4Cxw=")</f>
        <v>#REF!</v>
      </c>
      <c r="AD112" t="e">
        <f>AND(#REF!,"WRwkJji4Cx0=")</f>
        <v>#REF!</v>
      </c>
      <c r="AE112" t="e">
        <f>AND(#REF!,"WRwkJji4Cx4=")</f>
        <v>#REF!</v>
      </c>
      <c r="AF112" t="e">
        <f>AND(#REF!,"WRwkJji4Cx8=")</f>
        <v>#REF!</v>
      </c>
      <c r="AG112" t="e">
        <f>AND(#REF!,"WRwkJji4CyA=")</f>
        <v>#REF!</v>
      </c>
      <c r="AH112" t="e">
        <f>AND(#REF!,"WRwkJji4CyE=")</f>
        <v>#REF!</v>
      </c>
      <c r="AI112" t="e">
        <f>AND(#REF!,"WRwkJji4CyI=")</f>
        <v>#REF!</v>
      </c>
      <c r="AJ112" t="e">
        <f>AND(#REF!,"WRwkJji4CyM=")</f>
        <v>#REF!</v>
      </c>
      <c r="AK112" t="e">
        <f>AND(#REF!,"WRwkJji4CyQ=")</f>
        <v>#REF!</v>
      </c>
      <c r="AL112" t="e">
        <f>AND(#REF!,"WRwkJji4CyU=")</f>
        <v>#REF!</v>
      </c>
      <c r="AM112" t="e">
        <f>AND(#REF!,"WRwkJji4CyY=")</f>
        <v>#REF!</v>
      </c>
      <c r="AN112" t="e">
        <f>AND(#REF!,"WRwkJji4Cyc=")</f>
        <v>#REF!</v>
      </c>
      <c r="AO112" t="e">
        <f>AND(#REF!,"WRwkJji4Cyg=")</f>
        <v>#REF!</v>
      </c>
      <c r="AP112" t="e">
        <f>AND(#REF!,"WRwkJji4Cyk=")</f>
        <v>#REF!</v>
      </c>
      <c r="AQ112" t="e">
        <f>AND(#REF!,"WRwkJji4Cyo=")</f>
        <v>#REF!</v>
      </c>
      <c r="AR112" t="e">
        <f>AND(#REF!,"WRwkJji4Cys=")</f>
        <v>#REF!</v>
      </c>
      <c r="AS112" t="e">
        <f>AND(#REF!,"WRwkJji4Cyw=")</f>
        <v>#REF!</v>
      </c>
      <c r="AT112" t="e">
        <f>AND(#REF!,"WRwkJji4Cy0=")</f>
        <v>#REF!</v>
      </c>
      <c r="AU112" t="e">
        <f>AND(#REF!,"WRwkJji4Cy4=")</f>
        <v>#REF!</v>
      </c>
      <c r="AV112" t="e">
        <f>AND(#REF!,"WRwkJji4Cy8=")</f>
        <v>#REF!</v>
      </c>
      <c r="AW112" t="e">
        <f>AND(#REF!,"WRwkJji4CzA=")</f>
        <v>#REF!</v>
      </c>
      <c r="AX112" t="e">
        <f>AND(#REF!,"WRwkJji4CzE=")</f>
        <v>#REF!</v>
      </c>
      <c r="AY112" t="e">
        <f>AND(#REF!,"WRwkJji4CzI=")</f>
        <v>#REF!</v>
      </c>
      <c r="AZ112" t="e">
        <f>AND(#REF!,"WRwkJji4CzM=")</f>
        <v>#REF!</v>
      </c>
      <c r="BA112" t="e">
        <f>AND(#REF!,"WRwkJji4CzQ=")</f>
        <v>#REF!</v>
      </c>
      <c r="BB112" t="e">
        <f>AND(#REF!,"WRwkJji4CzU=")</f>
        <v>#REF!</v>
      </c>
      <c r="BC112" t="e">
        <f>AND(#REF!,"WRwkJji4CzY=")</f>
        <v>#REF!</v>
      </c>
      <c r="BD112" t="e">
        <f>AND(#REF!,"WRwkJji4Czc=")</f>
        <v>#REF!</v>
      </c>
      <c r="BE112" t="e">
        <f>AND(#REF!,"WRwkJji4Czg=")</f>
        <v>#REF!</v>
      </c>
      <c r="BF112" t="e">
        <f>AND(#REF!,"WRwkJji4Czk=")</f>
        <v>#REF!</v>
      </c>
      <c r="BG112" t="e">
        <f>AND(#REF!,"WRwkJji4Czo=")</f>
        <v>#REF!</v>
      </c>
      <c r="BH112" t="e">
        <f>AND(#REF!,"WRwkJji4Czs=")</f>
        <v>#REF!</v>
      </c>
      <c r="BI112" t="e">
        <f>AND(#REF!,"WRwkJji4Czw=")</f>
        <v>#REF!</v>
      </c>
      <c r="BJ112" t="e">
        <f>AND(#REF!,"WRwkJji4Cz0=")</f>
        <v>#REF!</v>
      </c>
      <c r="BK112" t="e">
        <f>AND(#REF!,"WRwkJji4Cz4=")</f>
        <v>#REF!</v>
      </c>
      <c r="BL112" t="e">
        <f>AND(#REF!,"WRwkJji4Cz8=")</f>
        <v>#REF!</v>
      </c>
      <c r="BM112" t="e">
        <f>AND(#REF!,"WRwkJji4C0A=")</f>
        <v>#REF!</v>
      </c>
      <c r="BN112" t="e">
        <f>AND(#REF!,"WRwkJji4C0E=")</f>
        <v>#REF!</v>
      </c>
      <c r="BO112" t="e">
        <f>AND(#REF!,"WRwkJji4C0I=")</f>
        <v>#REF!</v>
      </c>
      <c r="BP112" t="e">
        <f>AND(#REF!,"WRwkJji4C0M=")</f>
        <v>#REF!</v>
      </c>
      <c r="BQ112" t="e">
        <f>AND(#REF!,"WRwkJji4C0Q=")</f>
        <v>#REF!</v>
      </c>
      <c r="BR112" t="e">
        <f>AND(#REF!,"WRwkJji4C0U=")</f>
        <v>#REF!</v>
      </c>
      <c r="BS112" t="e">
        <f>AND(#REF!,"WRwkJji4C0Y=")</f>
        <v>#REF!</v>
      </c>
      <c r="BT112" t="e">
        <f>AND(#REF!,"WRwkJji4C0c=")</f>
        <v>#REF!</v>
      </c>
      <c r="BU112" t="e">
        <f>AND(#REF!,"WRwkJji4C0g=")</f>
        <v>#REF!</v>
      </c>
      <c r="BV112" t="e">
        <f>AND(#REF!,"WRwkJji4C0k=")</f>
        <v>#REF!</v>
      </c>
      <c r="BW112" t="e">
        <f>AND(#REF!,"WRwkJji4C0o=")</f>
        <v>#REF!</v>
      </c>
      <c r="BX112" t="e">
        <f>AND(#REF!,"WRwkJji4C0s=")</f>
        <v>#REF!</v>
      </c>
      <c r="BY112" t="e">
        <f>AND(#REF!,"WRwkJji4C0w=")</f>
        <v>#REF!</v>
      </c>
      <c r="BZ112" t="e">
        <f>AND(#REF!,"WRwkJji4C00=")</f>
        <v>#REF!</v>
      </c>
      <c r="CA112" t="e">
        <f>AND(#REF!,"WRwkJji4C04=")</f>
        <v>#REF!</v>
      </c>
      <c r="CB112" t="e">
        <f>AND(#REF!,"WRwkJji4C08=")</f>
        <v>#REF!</v>
      </c>
      <c r="CC112" t="e">
        <f>AND(#REF!,"WRwkJji4C1A=")</f>
        <v>#REF!</v>
      </c>
      <c r="CD112" t="e">
        <f>AND(#REF!,"WRwkJji4C1E=")</f>
        <v>#REF!</v>
      </c>
      <c r="CE112" t="e">
        <f>AND(#REF!,"WRwkJji4C1I=")</f>
        <v>#REF!</v>
      </c>
      <c r="CF112" t="e">
        <f>AND(#REF!,"WRwkJji4C1M=")</f>
        <v>#REF!</v>
      </c>
      <c r="CG112" t="e">
        <f>AND(#REF!,"WRwkJji4C1Q=")</f>
        <v>#REF!</v>
      </c>
      <c r="CH112" t="e">
        <f>AND(#REF!,"WRwkJji4C1U=")</f>
        <v>#REF!</v>
      </c>
      <c r="CI112" t="e">
        <f>AND(#REF!,"WRwkJji4C1Y=")</f>
        <v>#REF!</v>
      </c>
      <c r="CJ112" t="e">
        <f>AND(#REF!,"WRwkJji4C1c=")</f>
        <v>#REF!</v>
      </c>
      <c r="CK112" t="e">
        <f>AND(#REF!,"WRwkJji4C1g=")</f>
        <v>#REF!</v>
      </c>
      <c r="CL112" t="e">
        <f>AND(#REF!,"WRwkJji4C1k=")</f>
        <v>#REF!</v>
      </c>
      <c r="CM112" t="e">
        <f>AND(#REF!,"WRwkJji4C1o=")</f>
        <v>#REF!</v>
      </c>
      <c r="CN112" t="e">
        <f>AND(#REF!,"WRwkJji4C1s=")</f>
        <v>#REF!</v>
      </c>
      <c r="CO112" t="e">
        <f>AND(#REF!,"WRwkJji4C1w=")</f>
        <v>#REF!</v>
      </c>
      <c r="CP112" t="e">
        <f>AND(#REF!,"WRwkJji4C10=")</f>
        <v>#REF!</v>
      </c>
      <c r="CQ112" t="e">
        <f>AND(#REF!,"WRwkJji4C14=")</f>
        <v>#REF!</v>
      </c>
      <c r="CR112" t="e">
        <f>AND(#REF!,"WRwkJji4C18=")</f>
        <v>#REF!</v>
      </c>
      <c r="CS112" t="e">
        <f>AND(#REF!,"WRwkJji4C2A=")</f>
        <v>#REF!</v>
      </c>
      <c r="CT112" t="e">
        <f>AND(#REF!,"WRwkJji4C2E=")</f>
        <v>#REF!</v>
      </c>
      <c r="CU112" t="e">
        <f>AND(#REF!,"WRwkJji4C2I=")</f>
        <v>#REF!</v>
      </c>
      <c r="CV112" t="e">
        <f>AND(#REF!,"WRwkJji4C2M=")</f>
        <v>#REF!</v>
      </c>
      <c r="CW112" t="e">
        <f>AND(#REF!,"WRwkJji4C2Q=")</f>
        <v>#REF!</v>
      </c>
      <c r="CX112" t="e">
        <f>AND(#REF!,"WRwkJji4C2U=")</f>
        <v>#REF!</v>
      </c>
      <c r="CY112" t="e">
        <f>AND(#REF!,"WRwkJji4C2Y=")</f>
        <v>#REF!</v>
      </c>
      <c r="CZ112" t="e">
        <f>AND(#REF!,"WRwkJji4C2c=")</f>
        <v>#REF!</v>
      </c>
      <c r="DA112" t="e">
        <f>AND(#REF!,"WRwkJji4C2g=")</f>
        <v>#REF!</v>
      </c>
      <c r="DB112" t="e">
        <f>AND(#REF!,"WRwkJji4C2k=")</f>
        <v>#REF!</v>
      </c>
      <c r="DC112" t="e">
        <f>AND(#REF!,"WRwkJji4C2o=")</f>
        <v>#REF!</v>
      </c>
      <c r="DD112" t="e">
        <f>AND(#REF!,"WRwkJji4C2s=")</f>
        <v>#REF!</v>
      </c>
      <c r="DE112" t="e">
        <f>AND(#REF!,"WRwkJji4C2w=")</f>
        <v>#REF!</v>
      </c>
      <c r="DF112" t="e">
        <f>AND(#REF!,"WRwkJji4C20=")</f>
        <v>#REF!</v>
      </c>
      <c r="DG112" t="e">
        <f>AND(#REF!,"WRwkJji4C24=")</f>
        <v>#REF!</v>
      </c>
      <c r="DH112" t="e">
        <f>AND(#REF!,"WRwkJji4C28=")</f>
        <v>#REF!</v>
      </c>
      <c r="DI112" t="e">
        <f>AND(#REF!,"WRwkJji4C3A=")</f>
        <v>#REF!</v>
      </c>
      <c r="DJ112" t="e">
        <f>AND(#REF!,"WRwkJji4C3E=")</f>
        <v>#REF!</v>
      </c>
      <c r="DK112" t="e">
        <f>AND(#REF!,"WRwkJji4C3I=")</f>
        <v>#REF!</v>
      </c>
      <c r="DL112" t="e">
        <f>AND(#REF!,"WRwkJji4C3M=")</f>
        <v>#REF!</v>
      </c>
      <c r="DM112" t="e">
        <f>AND(#REF!,"WRwkJji4C3Q=")</f>
        <v>#REF!</v>
      </c>
      <c r="DN112" t="e">
        <f>AND(#REF!,"WRwkJji4C3U=")</f>
        <v>#REF!</v>
      </c>
      <c r="DO112" t="e">
        <f>AND(#REF!,"WRwkJji4C3Y=")</f>
        <v>#REF!</v>
      </c>
      <c r="DP112" t="e">
        <f>AND(#REF!,"WRwkJji4C3c=")</f>
        <v>#REF!</v>
      </c>
      <c r="DQ112" t="e">
        <f>AND(#REF!,"WRwkJji4C3g=")</f>
        <v>#REF!</v>
      </c>
      <c r="DR112" t="e">
        <f>AND(#REF!,"WRwkJji4C3k=")</f>
        <v>#REF!</v>
      </c>
      <c r="DS112" t="e">
        <f>AND(#REF!,"WRwkJji4C3o=")</f>
        <v>#REF!</v>
      </c>
      <c r="DT112" t="e">
        <f>AND(#REF!,"WRwkJji4C3s=")</f>
        <v>#REF!</v>
      </c>
      <c r="DU112" t="e">
        <f>AND(#REF!,"WRwkJji4C3w=")</f>
        <v>#REF!</v>
      </c>
      <c r="DV112" t="e">
        <f>AND(#REF!,"WRwkJji4C30=")</f>
        <v>#REF!</v>
      </c>
      <c r="DW112" t="e">
        <f>AND(#REF!,"WRwkJji4C34=")</f>
        <v>#REF!</v>
      </c>
      <c r="DX112" t="e">
        <f>AND(#REF!,"WRwkJji4C38=")</f>
        <v>#REF!</v>
      </c>
      <c r="DY112" t="e">
        <f>AND(#REF!,"WRwkJji4C4A=")</f>
        <v>#REF!</v>
      </c>
      <c r="DZ112" t="e">
        <f>AND(#REF!,"WRwkJji4C4E=")</f>
        <v>#REF!</v>
      </c>
      <c r="EA112" t="e">
        <f>AND(#REF!,"WRwkJji4C4I=")</f>
        <v>#REF!</v>
      </c>
      <c r="EB112" t="e">
        <f>AND(#REF!,"WRwkJji4C4M=")</f>
        <v>#REF!</v>
      </c>
      <c r="EC112" t="e">
        <f>AND(#REF!,"WRwkJji4C4Q=")</f>
        <v>#REF!</v>
      </c>
      <c r="ED112" t="e">
        <f>AND(#REF!,"WRwkJji4C4U=")</f>
        <v>#REF!</v>
      </c>
      <c r="EE112" t="e">
        <f>AND(#REF!,"WRwkJji4C4Y=")</f>
        <v>#REF!</v>
      </c>
      <c r="EF112" t="e">
        <f>AND(#REF!,"WRwkJji4C4c=")</f>
        <v>#REF!</v>
      </c>
      <c r="EG112" t="e">
        <f>AND(#REF!,"WRwkJji4C4g=")</f>
        <v>#REF!</v>
      </c>
      <c r="EH112" t="e">
        <f>AND(#REF!,"WRwkJji4C4k=")</f>
        <v>#REF!</v>
      </c>
      <c r="EI112" t="e">
        <f>AND(#REF!,"WRwkJji4C4o=")</f>
        <v>#REF!</v>
      </c>
      <c r="EJ112" t="e">
        <f>AND(#REF!,"WRwkJji4C4s=")</f>
        <v>#REF!</v>
      </c>
      <c r="EK112" t="e">
        <f>AND(#REF!,"WRwkJji4C4w=")</f>
        <v>#REF!</v>
      </c>
      <c r="EL112" t="e">
        <f>AND(#REF!,"WRwkJji4C40=")</f>
        <v>#REF!</v>
      </c>
      <c r="EM112" t="e">
        <f>AND(#REF!,"WRwkJji4C44=")</f>
        <v>#REF!</v>
      </c>
      <c r="EN112" t="e">
        <f>AND(#REF!,"WRwkJji4C48=")</f>
        <v>#REF!</v>
      </c>
      <c r="EO112" t="e">
        <f>AND(#REF!,"WRwkJji4C5A=")</f>
        <v>#REF!</v>
      </c>
      <c r="EP112" t="e">
        <f>AND(#REF!,"WRwkJji4C5E=")</f>
        <v>#REF!</v>
      </c>
      <c r="EQ112" t="e">
        <f>AND(#REF!,"WRwkJji4C5I=")</f>
        <v>#REF!</v>
      </c>
      <c r="ER112" t="e">
        <f>AND(#REF!,"WRwkJji4C5M=")</f>
        <v>#REF!</v>
      </c>
      <c r="ES112" t="e">
        <f>AND(#REF!,"WRwkJji4C5Q=")</f>
        <v>#REF!</v>
      </c>
      <c r="ET112" t="e">
        <f>AND(#REF!,"WRwkJji4C5U=")</f>
        <v>#REF!</v>
      </c>
      <c r="EU112" t="e">
        <f>AND(#REF!,"WRwkJji4C5Y=")</f>
        <v>#REF!</v>
      </c>
      <c r="EV112" t="e">
        <f>AND(#REF!,"WRwkJji4C5c=")</f>
        <v>#REF!</v>
      </c>
      <c r="EW112" t="e">
        <f>AND(#REF!,"WRwkJji4C5g=")</f>
        <v>#REF!</v>
      </c>
      <c r="EX112" t="e">
        <f>AND(#REF!,"WRwkJji4C5k=")</f>
        <v>#REF!</v>
      </c>
      <c r="EY112" t="e">
        <f>AND(#REF!,"WRwkJji4C5o=")</f>
        <v>#REF!</v>
      </c>
      <c r="EZ112" t="e">
        <f>AND(#REF!,"WRwkJji4C5s=")</f>
        <v>#REF!</v>
      </c>
      <c r="FA112" t="e">
        <f>AND(#REF!,"WRwkJji4C5w=")</f>
        <v>#REF!</v>
      </c>
      <c r="FB112" t="e">
        <f>AND(#REF!,"WRwkJji4C50=")</f>
        <v>#REF!</v>
      </c>
      <c r="FC112" t="e">
        <f>AND(#REF!,"WRwkJji4C54=")</f>
        <v>#REF!</v>
      </c>
      <c r="FD112" t="e">
        <f>AND(#REF!,"WRwkJji4C58=")</f>
        <v>#REF!</v>
      </c>
      <c r="FE112" t="e">
        <f>AND(#REF!,"WRwkJji4C6A=")</f>
        <v>#REF!</v>
      </c>
      <c r="FF112" t="e">
        <f>AND(#REF!,"WRwkJji4C6E=")</f>
        <v>#REF!</v>
      </c>
      <c r="FG112" t="e">
        <f>AND(#REF!,"WRwkJji4C6I=")</f>
        <v>#REF!</v>
      </c>
      <c r="FH112" t="e">
        <f>AND(#REF!,"WRwkJji4C6M=")</f>
        <v>#REF!</v>
      </c>
      <c r="FI112" t="e">
        <f>AND(#REF!,"WRwkJji4C6Q=")</f>
        <v>#REF!</v>
      </c>
      <c r="FJ112" t="e">
        <f>AND(#REF!,"WRwkJji4C6U=")</f>
        <v>#REF!</v>
      </c>
      <c r="FK112" t="e">
        <f>AND(#REF!,"WRwkJji4C6Y=")</f>
        <v>#REF!</v>
      </c>
      <c r="FL112" t="e">
        <f>AND(#REF!,"WRwkJji4C6c=")</f>
        <v>#REF!</v>
      </c>
      <c r="FM112" t="e">
        <f>AND(#REF!,"WRwkJji4C6g=")</f>
        <v>#REF!</v>
      </c>
      <c r="FN112" t="e">
        <f>AND(#REF!,"WRwkJji4C6k=")</f>
        <v>#REF!</v>
      </c>
      <c r="FO112" t="e">
        <f>AND(#REF!,"WRwkJji4C6o=")</f>
        <v>#REF!</v>
      </c>
      <c r="FP112" t="e">
        <f>AND(#REF!,"WRwkJji4C6s=")</f>
        <v>#REF!</v>
      </c>
      <c r="FQ112" t="e">
        <f>AND(#REF!,"WRwkJji4C6w=")</f>
        <v>#REF!</v>
      </c>
      <c r="FR112" t="e">
        <f>AND(#REF!,"WRwkJji4C60=")</f>
        <v>#REF!</v>
      </c>
      <c r="FS112" t="e">
        <f>AND(#REF!,"WRwkJji4C64=")</f>
        <v>#REF!</v>
      </c>
      <c r="FT112" t="e">
        <f>AND(#REF!,"WRwkJji4C68=")</f>
        <v>#REF!</v>
      </c>
      <c r="FU112" t="e">
        <f>AND(#REF!,"WRwkJji4C7A=")</f>
        <v>#REF!</v>
      </c>
      <c r="FV112" t="e">
        <f>AND(#REF!,"WRwkJji4C7E=")</f>
        <v>#REF!</v>
      </c>
      <c r="FW112" t="e">
        <f>AND(#REF!,"WRwkJji4C7I=")</f>
        <v>#REF!</v>
      </c>
      <c r="FX112" t="e">
        <f>AND(#REF!,"WRwkJji4C7M=")</f>
        <v>#REF!</v>
      </c>
      <c r="FY112" t="e">
        <f>AND(#REF!,"WRwkJji4C7Q=")</f>
        <v>#REF!</v>
      </c>
      <c r="FZ112" t="e">
        <f>AND(#REF!,"WRwkJji4C7U=")</f>
        <v>#REF!</v>
      </c>
      <c r="GA112" t="e">
        <f>AND(#REF!,"WRwkJji4C7Y=")</f>
        <v>#REF!</v>
      </c>
      <c r="GB112" t="e">
        <f>AND(#REF!,"WRwkJji4C7c=")</f>
        <v>#REF!</v>
      </c>
      <c r="GC112" t="e">
        <f>AND(#REF!,"WRwkJji4C7g=")</f>
        <v>#REF!</v>
      </c>
      <c r="GD112" t="e">
        <f>AND(#REF!,"WRwkJji4C7k=")</f>
        <v>#REF!</v>
      </c>
      <c r="GE112" t="e">
        <f>IF(#REF!,"WRwkJji4C7o=",0)</f>
        <v>#REF!</v>
      </c>
      <c r="GF112" t="e">
        <f>AND(#REF!,"WRwkJji4C7s=")</f>
        <v>#REF!</v>
      </c>
      <c r="GG112" t="e">
        <f>AND(#REF!,"WRwkJji4C7w=")</f>
        <v>#REF!</v>
      </c>
      <c r="GH112" t="e">
        <f>AND(#REF!,"WRwkJji4C70=")</f>
        <v>#REF!</v>
      </c>
      <c r="GI112" t="e">
        <f>AND(#REF!,"WRwkJji4C74=")</f>
        <v>#REF!</v>
      </c>
      <c r="GJ112" t="e">
        <f>AND(#REF!,"WRwkJji4C78=")</f>
        <v>#REF!</v>
      </c>
      <c r="GK112" t="e">
        <f>AND(#REF!,"WRwkJji4C8A=")</f>
        <v>#REF!</v>
      </c>
      <c r="GL112" t="e">
        <f>AND(#REF!,"WRwkJji4C8E=")</f>
        <v>#REF!</v>
      </c>
      <c r="GM112" t="e">
        <f>AND(#REF!,"WRwkJji4C8I=")</f>
        <v>#REF!</v>
      </c>
      <c r="GN112" t="e">
        <f>AND(#REF!,"WRwkJji4C8M=")</f>
        <v>#REF!</v>
      </c>
      <c r="GO112" t="e">
        <f>AND(#REF!,"WRwkJji4C8Q=")</f>
        <v>#REF!</v>
      </c>
      <c r="GP112" t="e">
        <f>AND(#REF!,"WRwkJji4C8U=")</f>
        <v>#REF!</v>
      </c>
      <c r="GQ112" t="e">
        <f>AND(#REF!,"WRwkJji4C8Y=")</f>
        <v>#REF!</v>
      </c>
      <c r="GR112" t="e">
        <f>AND(#REF!,"WRwkJji4C8c=")</f>
        <v>#REF!</v>
      </c>
      <c r="GS112" t="e">
        <f>AND(#REF!,"WRwkJji4C8g=")</f>
        <v>#REF!</v>
      </c>
      <c r="GT112" t="e">
        <f>AND(#REF!,"WRwkJji4C8k=")</f>
        <v>#REF!</v>
      </c>
      <c r="GU112" t="e">
        <f>AND(#REF!,"WRwkJji4C8o=")</f>
        <v>#REF!</v>
      </c>
      <c r="GV112" t="e">
        <f>AND(#REF!,"WRwkJji4C8s=")</f>
        <v>#REF!</v>
      </c>
      <c r="GW112" t="e">
        <f>AND(#REF!,"WRwkJji4C8w=")</f>
        <v>#REF!</v>
      </c>
      <c r="GX112" t="e">
        <f>AND(#REF!,"WRwkJji4C80=")</f>
        <v>#REF!</v>
      </c>
      <c r="GY112" t="e">
        <f>AND(#REF!,"WRwkJji4C84=")</f>
        <v>#REF!</v>
      </c>
      <c r="GZ112" t="e">
        <f>AND(#REF!,"WRwkJji4C88=")</f>
        <v>#REF!</v>
      </c>
      <c r="HA112" t="e">
        <f>AND(#REF!,"WRwkJji4C9A=")</f>
        <v>#REF!</v>
      </c>
      <c r="HB112" t="e">
        <f>AND(#REF!,"WRwkJji4C9E=")</f>
        <v>#REF!</v>
      </c>
      <c r="HC112" t="e">
        <f>AND(#REF!,"WRwkJji4C9I=")</f>
        <v>#REF!</v>
      </c>
      <c r="HD112" t="e">
        <f>AND(#REF!,"WRwkJji4C9M=")</f>
        <v>#REF!</v>
      </c>
      <c r="HE112" t="e">
        <f>AND(#REF!,"WRwkJji4C9Q=")</f>
        <v>#REF!</v>
      </c>
      <c r="HF112" t="e">
        <f>AND(#REF!,"WRwkJji4C9U=")</f>
        <v>#REF!</v>
      </c>
      <c r="HG112" t="e">
        <f>AND(#REF!,"WRwkJji4C9Y=")</f>
        <v>#REF!</v>
      </c>
      <c r="HH112" t="e">
        <f>AND(#REF!,"WRwkJji4C9c=")</f>
        <v>#REF!</v>
      </c>
      <c r="HI112" t="e">
        <f>AND(#REF!,"WRwkJji4C9g=")</f>
        <v>#REF!</v>
      </c>
      <c r="HJ112" t="e">
        <f>AND(#REF!,"WRwkJji4C9k=")</f>
        <v>#REF!</v>
      </c>
      <c r="HK112" t="e">
        <f>AND(#REF!,"WRwkJji4C9o=")</f>
        <v>#REF!</v>
      </c>
      <c r="HL112" t="e">
        <f>AND(#REF!,"WRwkJji4C9s=")</f>
        <v>#REF!</v>
      </c>
      <c r="HM112" t="e">
        <f>AND(#REF!,"WRwkJji4C9w=")</f>
        <v>#REF!</v>
      </c>
      <c r="HN112" t="e">
        <f>AND(#REF!,"WRwkJji4C90=")</f>
        <v>#REF!</v>
      </c>
      <c r="HO112" t="e">
        <f>AND(#REF!,"WRwkJji4C94=")</f>
        <v>#REF!</v>
      </c>
      <c r="HP112" t="e">
        <f>AND(#REF!,"WRwkJji4C98=")</f>
        <v>#REF!</v>
      </c>
      <c r="HQ112" t="e">
        <f>AND(#REF!,"WRwkJji4C+A=")</f>
        <v>#REF!</v>
      </c>
      <c r="HR112" t="e">
        <f>AND(#REF!,"WRwkJji4C+E=")</f>
        <v>#REF!</v>
      </c>
      <c r="HS112" t="e">
        <f>AND(#REF!,"WRwkJji4C+I=")</f>
        <v>#REF!</v>
      </c>
      <c r="HT112" t="e">
        <f>AND(#REF!,"WRwkJji4C+M=")</f>
        <v>#REF!</v>
      </c>
      <c r="HU112" t="e">
        <f>AND(#REF!,"WRwkJji4C+Q=")</f>
        <v>#REF!</v>
      </c>
      <c r="HV112" t="e">
        <f>AND(#REF!,"WRwkJji4C+U=")</f>
        <v>#REF!</v>
      </c>
      <c r="HW112" t="e">
        <f>AND(#REF!,"WRwkJji4C+Y=")</f>
        <v>#REF!</v>
      </c>
      <c r="HX112" t="e">
        <f>AND(#REF!,"WRwkJji4C+c=")</f>
        <v>#REF!</v>
      </c>
      <c r="HY112" t="e">
        <f>AND(#REF!,"WRwkJji4C+g=")</f>
        <v>#REF!</v>
      </c>
      <c r="HZ112" t="e">
        <f>AND(#REF!,"WRwkJji4C+k=")</f>
        <v>#REF!</v>
      </c>
      <c r="IA112" t="e">
        <f>AND(#REF!,"WRwkJji4C+o=")</f>
        <v>#REF!</v>
      </c>
      <c r="IB112" t="e">
        <f>AND(#REF!,"WRwkJji4C+s=")</f>
        <v>#REF!</v>
      </c>
      <c r="IC112" t="e">
        <f>AND(#REF!,"WRwkJji4C+w=")</f>
        <v>#REF!</v>
      </c>
      <c r="ID112" t="e">
        <f>AND(#REF!,"WRwkJji4C+0=")</f>
        <v>#REF!</v>
      </c>
      <c r="IE112" t="e">
        <f>AND(#REF!,"WRwkJji4C+4=")</f>
        <v>#REF!</v>
      </c>
      <c r="IF112" t="e">
        <f>AND(#REF!,"WRwkJji4C+8=")</f>
        <v>#REF!</v>
      </c>
      <c r="IG112" t="e">
        <f>AND(#REF!,"WRwkJji4C/A=")</f>
        <v>#REF!</v>
      </c>
      <c r="IH112" t="e">
        <f>AND(#REF!,"WRwkJji4C/E=")</f>
        <v>#REF!</v>
      </c>
      <c r="II112" t="e">
        <f>AND(#REF!,"WRwkJji4C/I=")</f>
        <v>#REF!</v>
      </c>
      <c r="IJ112" t="e">
        <f>AND(#REF!,"WRwkJji4C/M=")</f>
        <v>#REF!</v>
      </c>
      <c r="IK112" t="e">
        <f>AND(#REF!,"WRwkJji4C/Q=")</f>
        <v>#REF!</v>
      </c>
      <c r="IL112" t="e">
        <f>AND(#REF!,"WRwkJji4C/U=")</f>
        <v>#REF!</v>
      </c>
      <c r="IM112" t="e">
        <f>AND(#REF!,"WRwkJji4C/Y=")</f>
        <v>#REF!</v>
      </c>
      <c r="IN112" t="e">
        <f>AND(#REF!,"WRwkJji4C/c=")</f>
        <v>#REF!</v>
      </c>
      <c r="IO112" t="e">
        <f>AND(#REF!,"WRwkJji4C/g=")</f>
        <v>#REF!</v>
      </c>
      <c r="IP112" t="e">
        <f>AND(#REF!,"WRwkJji4C/k=")</f>
        <v>#REF!</v>
      </c>
      <c r="IQ112" t="e">
        <f>AND(#REF!,"WRwkJji4C/o=")</f>
        <v>#REF!</v>
      </c>
      <c r="IR112" t="e">
        <f>AND(#REF!,"WRwkJji4C/s=")</f>
        <v>#REF!</v>
      </c>
      <c r="IS112" t="e">
        <f>AND(#REF!,"WRwkJji4C/w=")</f>
        <v>#REF!</v>
      </c>
      <c r="IT112" t="e">
        <f>AND(#REF!,"WRwkJji4C/0=")</f>
        <v>#REF!</v>
      </c>
      <c r="IU112" t="e">
        <f>AND(#REF!,"WRwkJji4C/4=")</f>
        <v>#REF!</v>
      </c>
      <c r="IV112" t="e">
        <f>AND(#REF!,"WRwkJji4C/8=")</f>
        <v>#REF!</v>
      </c>
    </row>
    <row r="113" spans="1:256" x14ac:dyDescent="0.2">
      <c r="A113" t="e">
        <f>AND(#REF!,"ZHH871PYdQA=")</f>
        <v>#REF!</v>
      </c>
      <c r="B113" t="e">
        <f>AND(#REF!,"ZHH871PYdQE=")</f>
        <v>#REF!</v>
      </c>
      <c r="C113" t="e">
        <f>AND(#REF!,"ZHH871PYdQI=")</f>
        <v>#REF!</v>
      </c>
      <c r="D113" t="e">
        <f>AND(#REF!,"ZHH871PYdQM=")</f>
        <v>#REF!</v>
      </c>
      <c r="E113" t="e">
        <f>AND(#REF!,"ZHH871PYdQQ=")</f>
        <v>#REF!</v>
      </c>
      <c r="F113" t="e">
        <f>AND(#REF!,"ZHH871PYdQU=")</f>
        <v>#REF!</v>
      </c>
      <c r="G113" t="e">
        <f>AND(#REF!,"ZHH871PYdQY=")</f>
        <v>#REF!</v>
      </c>
      <c r="H113" t="e">
        <f>AND(#REF!,"ZHH871PYdQc=")</f>
        <v>#REF!</v>
      </c>
      <c r="I113" t="e">
        <f>AND(#REF!,"ZHH871PYdQg=")</f>
        <v>#REF!</v>
      </c>
      <c r="J113" t="e">
        <f>AND(#REF!,"ZHH871PYdQk=")</f>
        <v>#REF!</v>
      </c>
      <c r="K113" t="e">
        <f>AND(#REF!,"ZHH871PYdQo=")</f>
        <v>#REF!</v>
      </c>
      <c r="L113" t="e">
        <f>AND(#REF!,"ZHH871PYdQs=")</f>
        <v>#REF!</v>
      </c>
      <c r="M113" t="e">
        <f>AND(#REF!,"ZHH871PYdQw=")</f>
        <v>#REF!</v>
      </c>
      <c r="N113" t="e">
        <f>AND(#REF!,"ZHH871PYdQ0=")</f>
        <v>#REF!</v>
      </c>
      <c r="O113" t="e">
        <f>AND(#REF!,"ZHH871PYdQ4=")</f>
        <v>#REF!</v>
      </c>
      <c r="P113" t="e">
        <f>AND(#REF!,"ZHH871PYdQ8=")</f>
        <v>#REF!</v>
      </c>
      <c r="Q113" t="e">
        <f>AND(#REF!,"ZHH871PYdRA=")</f>
        <v>#REF!</v>
      </c>
      <c r="R113" t="e">
        <f>AND(#REF!,"ZHH871PYdRE=")</f>
        <v>#REF!</v>
      </c>
      <c r="S113" t="e">
        <f>AND(#REF!,"ZHH871PYdRI=")</f>
        <v>#REF!</v>
      </c>
      <c r="T113" t="e">
        <f>AND(#REF!,"ZHH871PYdRM=")</f>
        <v>#REF!</v>
      </c>
      <c r="U113" t="e">
        <f>AND(#REF!,"ZHH871PYdRQ=")</f>
        <v>#REF!</v>
      </c>
      <c r="V113" t="e">
        <f>AND(#REF!,"ZHH871PYdRU=")</f>
        <v>#REF!</v>
      </c>
      <c r="W113" t="e">
        <f>AND(#REF!,"ZHH871PYdRY=")</f>
        <v>#REF!</v>
      </c>
      <c r="X113" t="e">
        <f>AND(#REF!,"ZHH871PYdRc=")</f>
        <v>#REF!</v>
      </c>
      <c r="Y113" t="e">
        <f>AND(#REF!,"ZHH871PYdRg=")</f>
        <v>#REF!</v>
      </c>
      <c r="Z113" t="e">
        <f>AND(#REF!,"ZHH871PYdRk=")</f>
        <v>#REF!</v>
      </c>
      <c r="AA113" t="e">
        <f>AND(#REF!,"ZHH871PYdRo=")</f>
        <v>#REF!</v>
      </c>
      <c r="AB113" t="e">
        <f>AND(#REF!,"ZHH871PYdRs=")</f>
        <v>#REF!</v>
      </c>
      <c r="AC113" t="e">
        <f>AND(#REF!,"ZHH871PYdRw=")</f>
        <v>#REF!</v>
      </c>
      <c r="AD113" t="e">
        <f>AND(#REF!,"ZHH871PYdR0=")</f>
        <v>#REF!</v>
      </c>
      <c r="AE113" t="e">
        <f>AND(#REF!,"ZHH871PYdR4=")</f>
        <v>#REF!</v>
      </c>
      <c r="AF113" t="e">
        <f>AND(#REF!,"ZHH871PYdR8=")</f>
        <v>#REF!</v>
      </c>
      <c r="AG113" t="e">
        <f>AND(#REF!,"ZHH871PYdSA=")</f>
        <v>#REF!</v>
      </c>
      <c r="AH113" t="e">
        <f>AND(#REF!,"ZHH871PYdSE=")</f>
        <v>#REF!</v>
      </c>
      <c r="AI113" t="e">
        <f>AND(#REF!,"ZHH871PYdSI=")</f>
        <v>#REF!</v>
      </c>
      <c r="AJ113" t="e">
        <f>AND(#REF!,"ZHH871PYdSM=")</f>
        <v>#REF!</v>
      </c>
      <c r="AK113" t="e">
        <f>AND(#REF!,"ZHH871PYdSQ=")</f>
        <v>#REF!</v>
      </c>
      <c r="AL113" t="e">
        <f>AND(#REF!,"ZHH871PYdSU=")</f>
        <v>#REF!</v>
      </c>
      <c r="AM113" t="e">
        <f>AND(#REF!,"ZHH871PYdSY=")</f>
        <v>#REF!</v>
      </c>
      <c r="AN113" t="e">
        <f>AND(#REF!,"ZHH871PYdSc=")</f>
        <v>#REF!</v>
      </c>
      <c r="AO113" t="e">
        <f>AND(#REF!,"ZHH871PYdSg=")</f>
        <v>#REF!</v>
      </c>
      <c r="AP113" t="e">
        <f>AND(#REF!,"ZHH871PYdSk=")</f>
        <v>#REF!</v>
      </c>
      <c r="AQ113" t="e">
        <f>AND(#REF!,"ZHH871PYdSo=")</f>
        <v>#REF!</v>
      </c>
      <c r="AR113" t="e">
        <f>AND(#REF!,"ZHH871PYdSs=")</f>
        <v>#REF!</v>
      </c>
      <c r="AS113" t="e">
        <f>AND(#REF!,"ZHH871PYdSw=")</f>
        <v>#REF!</v>
      </c>
      <c r="AT113" t="e">
        <f>AND(#REF!,"ZHH871PYdS0=")</f>
        <v>#REF!</v>
      </c>
      <c r="AU113" t="e">
        <f>AND(#REF!,"ZHH871PYdS4=")</f>
        <v>#REF!</v>
      </c>
      <c r="AV113" t="e">
        <f>AND(#REF!,"ZHH871PYdS8=")</f>
        <v>#REF!</v>
      </c>
      <c r="AW113" t="e">
        <f>AND(#REF!,"ZHH871PYdTA=")</f>
        <v>#REF!</v>
      </c>
      <c r="AX113" t="e">
        <f>AND(#REF!,"ZHH871PYdTE=")</f>
        <v>#REF!</v>
      </c>
      <c r="AY113" t="e">
        <f>AND(#REF!,"ZHH871PYdTI=")</f>
        <v>#REF!</v>
      </c>
      <c r="AZ113" t="e">
        <f>AND(#REF!,"ZHH871PYdTM=")</f>
        <v>#REF!</v>
      </c>
      <c r="BA113" t="e">
        <f>AND(#REF!,"ZHH871PYdTQ=")</f>
        <v>#REF!</v>
      </c>
      <c r="BB113" t="e">
        <f>AND(#REF!,"ZHH871PYdTU=")</f>
        <v>#REF!</v>
      </c>
      <c r="BC113" t="e">
        <f>AND(#REF!,"ZHH871PYdTY=")</f>
        <v>#REF!</v>
      </c>
      <c r="BD113" t="e">
        <f>AND(#REF!,"ZHH871PYdTc=")</f>
        <v>#REF!</v>
      </c>
      <c r="BE113" t="e">
        <f>AND(#REF!,"ZHH871PYdTg=")</f>
        <v>#REF!</v>
      </c>
      <c r="BF113" t="e">
        <f>AND(#REF!,"ZHH871PYdTk=")</f>
        <v>#REF!</v>
      </c>
      <c r="BG113" t="e">
        <f>AND(#REF!,"ZHH871PYdTo=")</f>
        <v>#REF!</v>
      </c>
      <c r="BH113" t="e">
        <f>AND(#REF!,"ZHH871PYdTs=")</f>
        <v>#REF!</v>
      </c>
      <c r="BI113" t="e">
        <f>AND(#REF!,"ZHH871PYdTw=")</f>
        <v>#REF!</v>
      </c>
      <c r="BJ113" t="e">
        <f>AND(#REF!,"ZHH871PYdT0=")</f>
        <v>#REF!</v>
      </c>
      <c r="BK113" t="e">
        <f>AND(#REF!,"ZHH871PYdT4=")</f>
        <v>#REF!</v>
      </c>
      <c r="BL113" t="e">
        <f>AND(#REF!,"ZHH871PYdT8=")</f>
        <v>#REF!</v>
      </c>
      <c r="BM113" t="e">
        <f>AND(#REF!,"ZHH871PYdUA=")</f>
        <v>#REF!</v>
      </c>
      <c r="BN113" t="e">
        <f>AND(#REF!,"ZHH871PYdUE=")</f>
        <v>#REF!</v>
      </c>
      <c r="BO113" t="e">
        <f>AND(#REF!,"ZHH871PYdUI=")</f>
        <v>#REF!</v>
      </c>
      <c r="BP113" t="e">
        <f>AND(#REF!,"ZHH871PYdUM=")</f>
        <v>#REF!</v>
      </c>
      <c r="BQ113" t="e">
        <f>AND(#REF!,"ZHH871PYdUQ=")</f>
        <v>#REF!</v>
      </c>
      <c r="BR113" t="e">
        <f>AND(#REF!,"ZHH871PYdUU=")</f>
        <v>#REF!</v>
      </c>
      <c r="BS113" t="e">
        <f>AND(#REF!,"ZHH871PYdUY=")</f>
        <v>#REF!</v>
      </c>
      <c r="BT113" t="e">
        <f>AND(#REF!,"ZHH871PYdUc=")</f>
        <v>#REF!</v>
      </c>
      <c r="BU113" t="e">
        <f>AND(#REF!,"ZHH871PYdUg=")</f>
        <v>#REF!</v>
      </c>
      <c r="BV113" t="e">
        <f>AND(#REF!,"ZHH871PYdUk=")</f>
        <v>#REF!</v>
      </c>
      <c r="BW113" t="e">
        <f>AND(#REF!,"ZHH871PYdUo=")</f>
        <v>#REF!</v>
      </c>
      <c r="BX113" t="e">
        <f>AND(#REF!,"ZHH871PYdUs=")</f>
        <v>#REF!</v>
      </c>
      <c r="BY113" t="e">
        <f>AND(#REF!,"ZHH871PYdUw=")</f>
        <v>#REF!</v>
      </c>
      <c r="BZ113" t="e">
        <f>AND(#REF!,"ZHH871PYdU0=")</f>
        <v>#REF!</v>
      </c>
      <c r="CA113" t="e">
        <f>AND(#REF!,"ZHH871PYdU4=")</f>
        <v>#REF!</v>
      </c>
      <c r="CB113" t="e">
        <f>AND(#REF!,"ZHH871PYdU8=")</f>
        <v>#REF!</v>
      </c>
      <c r="CC113" t="e">
        <f>AND(#REF!,"ZHH871PYdVA=")</f>
        <v>#REF!</v>
      </c>
      <c r="CD113" t="e">
        <f>AND(#REF!,"ZHH871PYdVE=")</f>
        <v>#REF!</v>
      </c>
      <c r="CE113" t="e">
        <f>AND(#REF!,"ZHH871PYdVI=")</f>
        <v>#REF!</v>
      </c>
      <c r="CF113" t="e">
        <f>AND(#REF!,"ZHH871PYdVM=")</f>
        <v>#REF!</v>
      </c>
      <c r="CG113" t="e">
        <f>AND(#REF!,"ZHH871PYdVQ=")</f>
        <v>#REF!</v>
      </c>
      <c r="CH113" t="e">
        <f>AND(#REF!,"ZHH871PYdVU=")</f>
        <v>#REF!</v>
      </c>
      <c r="CI113" t="e">
        <f>AND(#REF!,"ZHH871PYdVY=")</f>
        <v>#REF!</v>
      </c>
      <c r="CJ113" t="e">
        <f>AND(#REF!,"ZHH871PYdVc=")</f>
        <v>#REF!</v>
      </c>
      <c r="CK113" t="e">
        <f>AND(#REF!,"ZHH871PYdVg=")</f>
        <v>#REF!</v>
      </c>
      <c r="CL113" t="e">
        <f>AND(#REF!,"ZHH871PYdVk=")</f>
        <v>#REF!</v>
      </c>
      <c r="CM113" t="e">
        <f>AND(#REF!,"ZHH871PYdVo=")</f>
        <v>#REF!</v>
      </c>
      <c r="CN113" t="e">
        <f>AND(#REF!,"ZHH871PYdVs=")</f>
        <v>#REF!</v>
      </c>
      <c r="CO113" t="e">
        <f>AND(#REF!,"ZHH871PYdVw=")</f>
        <v>#REF!</v>
      </c>
      <c r="CP113" t="e">
        <f>AND(#REF!,"ZHH871PYdV0=")</f>
        <v>#REF!</v>
      </c>
      <c r="CQ113" t="e">
        <f>AND(#REF!,"ZHH871PYdV4=")</f>
        <v>#REF!</v>
      </c>
      <c r="CR113" t="e">
        <f>AND(#REF!,"ZHH871PYdV8=")</f>
        <v>#REF!</v>
      </c>
      <c r="CS113" t="e">
        <f>AND(#REF!,"ZHH871PYdWA=")</f>
        <v>#REF!</v>
      </c>
      <c r="CT113" t="e">
        <f>AND(#REF!,"ZHH871PYdWE=")</f>
        <v>#REF!</v>
      </c>
      <c r="CU113" t="e">
        <f>AND(#REF!,"ZHH871PYdWI=")</f>
        <v>#REF!</v>
      </c>
      <c r="CV113" t="e">
        <f>AND(#REF!,"ZHH871PYdWM=")</f>
        <v>#REF!</v>
      </c>
      <c r="CW113" t="e">
        <f>AND(#REF!,"ZHH871PYdWQ=")</f>
        <v>#REF!</v>
      </c>
      <c r="CX113" t="e">
        <f>AND(#REF!,"ZHH871PYdWU=")</f>
        <v>#REF!</v>
      </c>
      <c r="CY113" t="e">
        <f>AND(#REF!,"ZHH871PYdWY=")</f>
        <v>#REF!</v>
      </c>
      <c r="CZ113" t="e">
        <f>AND(#REF!,"ZHH871PYdWc=")</f>
        <v>#REF!</v>
      </c>
      <c r="DA113" t="e">
        <f>AND(#REF!,"ZHH871PYdWg=")</f>
        <v>#REF!</v>
      </c>
      <c r="DB113" t="e">
        <f>AND(#REF!,"ZHH871PYdWk=")</f>
        <v>#REF!</v>
      </c>
      <c r="DC113" t="e">
        <f>AND(#REF!,"ZHH871PYdWo=")</f>
        <v>#REF!</v>
      </c>
      <c r="DD113" t="e">
        <f>AND(#REF!,"ZHH871PYdWs=")</f>
        <v>#REF!</v>
      </c>
      <c r="DE113" t="e">
        <f>AND(#REF!,"ZHH871PYdWw=")</f>
        <v>#REF!</v>
      </c>
      <c r="DF113" t="e">
        <f>AND(#REF!,"ZHH871PYdW0=")</f>
        <v>#REF!</v>
      </c>
      <c r="DG113" t="e">
        <f>AND(#REF!,"ZHH871PYdW4=")</f>
        <v>#REF!</v>
      </c>
      <c r="DH113" t="e">
        <f>AND(#REF!,"ZHH871PYdW8=")</f>
        <v>#REF!</v>
      </c>
      <c r="DI113" t="e">
        <f>AND(#REF!,"ZHH871PYdXA=")</f>
        <v>#REF!</v>
      </c>
      <c r="DJ113" t="e">
        <f>AND(#REF!,"ZHH871PYdXE=")</f>
        <v>#REF!</v>
      </c>
      <c r="DK113" t="e">
        <f>AND(#REF!,"ZHH871PYdXI=")</f>
        <v>#REF!</v>
      </c>
      <c r="DL113" t="e">
        <f>AND(#REF!,"ZHH871PYdXM=")</f>
        <v>#REF!</v>
      </c>
      <c r="DM113" t="e">
        <f>AND(#REF!,"ZHH871PYdXQ=")</f>
        <v>#REF!</v>
      </c>
      <c r="DN113" t="e">
        <f>AND(#REF!,"ZHH871PYdXU=")</f>
        <v>#REF!</v>
      </c>
      <c r="DO113" t="e">
        <f>AND(#REF!,"ZHH871PYdXY=")</f>
        <v>#REF!</v>
      </c>
      <c r="DP113" t="e">
        <f>AND(#REF!,"ZHH871PYdXc=")</f>
        <v>#REF!</v>
      </c>
      <c r="DQ113" t="e">
        <f>AND(#REF!,"ZHH871PYdXg=")</f>
        <v>#REF!</v>
      </c>
      <c r="DR113" t="e">
        <f>AND(#REF!,"ZHH871PYdXk=")</f>
        <v>#REF!</v>
      </c>
      <c r="DS113" t="e">
        <f>AND(#REF!,"ZHH871PYdXo=")</f>
        <v>#REF!</v>
      </c>
      <c r="DT113" t="e">
        <f>AND(#REF!,"ZHH871PYdXs=")</f>
        <v>#REF!</v>
      </c>
      <c r="DU113" t="e">
        <f>AND(#REF!,"ZHH871PYdXw=")</f>
        <v>#REF!</v>
      </c>
      <c r="DV113" t="e">
        <f>AND(#REF!,"ZHH871PYdX0=")</f>
        <v>#REF!</v>
      </c>
      <c r="DW113" t="e">
        <f>AND(#REF!,"ZHH871PYdX4=")</f>
        <v>#REF!</v>
      </c>
      <c r="DX113" t="e">
        <f>AND(#REF!,"ZHH871PYdX8=")</f>
        <v>#REF!</v>
      </c>
      <c r="DY113" t="e">
        <f>AND(#REF!,"ZHH871PYdYA=")</f>
        <v>#REF!</v>
      </c>
      <c r="DZ113" t="e">
        <f>IF(#REF!,"ZHH871PYdYE=",0)</f>
        <v>#REF!</v>
      </c>
      <c r="EA113" t="e">
        <f>AND(#REF!,"ZHH871PYdYI=")</f>
        <v>#REF!</v>
      </c>
      <c r="EB113" t="e">
        <f>AND(#REF!,"ZHH871PYdYM=")</f>
        <v>#REF!</v>
      </c>
      <c r="EC113" t="e">
        <f>AND(#REF!,"ZHH871PYdYQ=")</f>
        <v>#REF!</v>
      </c>
      <c r="ED113" t="e">
        <f>AND(#REF!,"ZHH871PYdYU=")</f>
        <v>#REF!</v>
      </c>
      <c r="EE113" t="e">
        <f>AND(#REF!,"ZHH871PYdYY=")</f>
        <v>#REF!</v>
      </c>
      <c r="EF113" t="e">
        <f>AND(#REF!,"ZHH871PYdYc=")</f>
        <v>#REF!</v>
      </c>
      <c r="EG113" t="e">
        <f>AND(#REF!,"ZHH871PYdYg=")</f>
        <v>#REF!</v>
      </c>
      <c r="EH113" t="e">
        <f>AND(#REF!,"ZHH871PYdYk=")</f>
        <v>#REF!</v>
      </c>
      <c r="EI113" t="e">
        <f>AND(#REF!,"ZHH871PYdYo=")</f>
        <v>#REF!</v>
      </c>
      <c r="EJ113" t="e">
        <f>AND(#REF!,"ZHH871PYdYs=")</f>
        <v>#REF!</v>
      </c>
      <c r="EK113" t="e">
        <f>AND(#REF!,"ZHH871PYdYw=")</f>
        <v>#REF!</v>
      </c>
      <c r="EL113" t="e">
        <f>AND(#REF!,"ZHH871PYdY0=")</f>
        <v>#REF!</v>
      </c>
      <c r="EM113" t="e">
        <f>AND(#REF!,"ZHH871PYdY4=")</f>
        <v>#REF!</v>
      </c>
      <c r="EN113" t="e">
        <f>AND(#REF!,"ZHH871PYdY8=")</f>
        <v>#REF!</v>
      </c>
      <c r="EO113" t="e">
        <f>AND(#REF!,"ZHH871PYdZA=")</f>
        <v>#REF!</v>
      </c>
      <c r="EP113" t="e">
        <f>AND(#REF!,"ZHH871PYdZE=")</f>
        <v>#REF!</v>
      </c>
      <c r="EQ113" t="e">
        <f>AND(#REF!,"ZHH871PYdZI=")</f>
        <v>#REF!</v>
      </c>
      <c r="ER113" t="e">
        <f>AND(#REF!,"ZHH871PYdZM=")</f>
        <v>#REF!</v>
      </c>
      <c r="ES113" t="e">
        <f>AND(#REF!,"ZHH871PYdZQ=")</f>
        <v>#REF!</v>
      </c>
      <c r="ET113" t="e">
        <f>AND(#REF!,"ZHH871PYdZU=")</f>
        <v>#REF!</v>
      </c>
      <c r="EU113" t="e">
        <f>AND(#REF!,"ZHH871PYdZY=")</f>
        <v>#REF!</v>
      </c>
      <c r="EV113" t="e">
        <f>AND(#REF!,"ZHH871PYdZc=")</f>
        <v>#REF!</v>
      </c>
      <c r="EW113" t="e">
        <f>AND(#REF!,"ZHH871PYdZg=")</f>
        <v>#REF!</v>
      </c>
      <c r="EX113" t="e">
        <f>AND(#REF!,"ZHH871PYdZk=")</f>
        <v>#REF!</v>
      </c>
      <c r="EY113" t="e">
        <f>AND(#REF!,"ZHH871PYdZo=")</f>
        <v>#REF!</v>
      </c>
      <c r="EZ113" t="e">
        <f>AND(#REF!,"ZHH871PYdZs=")</f>
        <v>#REF!</v>
      </c>
      <c r="FA113" t="e">
        <f>AND(#REF!,"ZHH871PYdZw=")</f>
        <v>#REF!</v>
      </c>
      <c r="FB113" t="e">
        <f>AND(#REF!,"ZHH871PYdZ0=")</f>
        <v>#REF!</v>
      </c>
      <c r="FC113" t="e">
        <f>AND(#REF!,"ZHH871PYdZ4=")</f>
        <v>#REF!</v>
      </c>
      <c r="FD113" t="e">
        <f>AND(#REF!,"ZHH871PYdZ8=")</f>
        <v>#REF!</v>
      </c>
      <c r="FE113" t="e">
        <f>AND(#REF!,"ZHH871PYdaA=")</f>
        <v>#REF!</v>
      </c>
      <c r="FF113" t="e">
        <f>AND(#REF!,"ZHH871PYdaE=")</f>
        <v>#REF!</v>
      </c>
      <c r="FG113" t="e">
        <f>AND(#REF!,"ZHH871PYdaI=")</f>
        <v>#REF!</v>
      </c>
      <c r="FH113" t="e">
        <f>AND(#REF!,"ZHH871PYdaM=")</f>
        <v>#REF!</v>
      </c>
      <c r="FI113" t="e">
        <f>AND(#REF!,"ZHH871PYdaQ=")</f>
        <v>#REF!</v>
      </c>
      <c r="FJ113" t="e">
        <f>AND(#REF!,"ZHH871PYdaU=")</f>
        <v>#REF!</v>
      </c>
      <c r="FK113" t="e">
        <f>AND(#REF!,"ZHH871PYdaY=")</f>
        <v>#REF!</v>
      </c>
      <c r="FL113" t="e">
        <f>AND(#REF!,"ZHH871PYdac=")</f>
        <v>#REF!</v>
      </c>
      <c r="FM113" t="e">
        <f>AND(#REF!,"ZHH871PYdag=")</f>
        <v>#REF!</v>
      </c>
      <c r="FN113" t="e">
        <f>AND(#REF!,"ZHH871PYdak=")</f>
        <v>#REF!</v>
      </c>
      <c r="FO113" t="e">
        <f>AND(#REF!,"ZHH871PYdao=")</f>
        <v>#REF!</v>
      </c>
      <c r="FP113" t="e">
        <f>AND(#REF!,"ZHH871PYdas=")</f>
        <v>#REF!</v>
      </c>
      <c r="FQ113" t="e">
        <f>AND(#REF!,"ZHH871PYdaw=")</f>
        <v>#REF!</v>
      </c>
      <c r="FR113" t="e">
        <f>AND(#REF!,"ZHH871PYda0=")</f>
        <v>#REF!</v>
      </c>
      <c r="FS113" t="e">
        <f>AND(#REF!,"ZHH871PYda4=")</f>
        <v>#REF!</v>
      </c>
      <c r="FT113" t="e">
        <f>AND(#REF!,"ZHH871PYda8=")</f>
        <v>#REF!</v>
      </c>
      <c r="FU113" t="e">
        <f>AND(#REF!,"ZHH871PYdbA=")</f>
        <v>#REF!</v>
      </c>
      <c r="FV113" t="e">
        <f>AND(#REF!,"ZHH871PYdbE=")</f>
        <v>#REF!</v>
      </c>
      <c r="FW113" t="e">
        <f>AND(#REF!,"ZHH871PYdbI=")</f>
        <v>#REF!</v>
      </c>
      <c r="FX113" t="e">
        <f>AND(#REF!,"ZHH871PYdbM=")</f>
        <v>#REF!</v>
      </c>
      <c r="FY113" t="e">
        <f>AND(#REF!,"ZHH871PYdbQ=")</f>
        <v>#REF!</v>
      </c>
      <c r="FZ113" t="e">
        <f>AND(#REF!,"ZHH871PYdbU=")</f>
        <v>#REF!</v>
      </c>
      <c r="GA113" t="e">
        <f>AND(#REF!,"ZHH871PYdbY=")</f>
        <v>#REF!</v>
      </c>
      <c r="GB113" t="e">
        <f>AND(#REF!,"ZHH871PYdbc=")</f>
        <v>#REF!</v>
      </c>
      <c r="GC113" t="e">
        <f>AND(#REF!,"ZHH871PYdbg=")</f>
        <v>#REF!</v>
      </c>
      <c r="GD113" t="e">
        <f>AND(#REF!,"ZHH871PYdbk=")</f>
        <v>#REF!</v>
      </c>
      <c r="GE113" t="e">
        <f>AND(#REF!,"ZHH871PYdbo=")</f>
        <v>#REF!</v>
      </c>
      <c r="GF113" t="e">
        <f>AND(#REF!,"ZHH871PYdbs=")</f>
        <v>#REF!</v>
      </c>
      <c r="GG113" t="e">
        <f>AND(#REF!,"ZHH871PYdbw=")</f>
        <v>#REF!</v>
      </c>
      <c r="GH113" t="e">
        <f>AND(#REF!,"ZHH871PYdb0=")</f>
        <v>#REF!</v>
      </c>
      <c r="GI113" t="e">
        <f>AND(#REF!,"ZHH871PYdb4=")</f>
        <v>#REF!</v>
      </c>
      <c r="GJ113" t="e">
        <f>AND(#REF!,"ZHH871PYdb8=")</f>
        <v>#REF!</v>
      </c>
      <c r="GK113" t="e">
        <f>AND(#REF!,"ZHH871PYdcA=")</f>
        <v>#REF!</v>
      </c>
      <c r="GL113" t="e">
        <f>AND(#REF!,"ZHH871PYdcE=")</f>
        <v>#REF!</v>
      </c>
      <c r="GM113" t="e">
        <f>AND(#REF!,"ZHH871PYdcI=")</f>
        <v>#REF!</v>
      </c>
      <c r="GN113" t="e">
        <f>AND(#REF!,"ZHH871PYdcM=")</f>
        <v>#REF!</v>
      </c>
      <c r="GO113" t="e">
        <f>AND(#REF!,"ZHH871PYdcQ=")</f>
        <v>#REF!</v>
      </c>
      <c r="GP113" t="e">
        <f>AND(#REF!,"ZHH871PYdcU=")</f>
        <v>#REF!</v>
      </c>
      <c r="GQ113" t="e">
        <f>AND(#REF!,"ZHH871PYdcY=")</f>
        <v>#REF!</v>
      </c>
      <c r="GR113" t="e">
        <f>AND(#REF!,"ZHH871PYdcc=")</f>
        <v>#REF!</v>
      </c>
      <c r="GS113" t="e">
        <f>AND(#REF!,"ZHH871PYdcg=")</f>
        <v>#REF!</v>
      </c>
      <c r="GT113" t="e">
        <f>AND(#REF!,"ZHH871PYdck=")</f>
        <v>#REF!</v>
      </c>
      <c r="GU113" t="e">
        <f>AND(#REF!,"ZHH871PYdco=")</f>
        <v>#REF!</v>
      </c>
      <c r="GV113" t="e">
        <f>AND(#REF!,"ZHH871PYdcs=")</f>
        <v>#REF!</v>
      </c>
      <c r="GW113" t="e">
        <f>AND(#REF!,"ZHH871PYdcw=")</f>
        <v>#REF!</v>
      </c>
      <c r="GX113" t="e">
        <f>AND(#REF!,"ZHH871PYdc0=")</f>
        <v>#REF!</v>
      </c>
      <c r="GY113" t="e">
        <f>AND(#REF!,"ZHH871PYdc4=")</f>
        <v>#REF!</v>
      </c>
      <c r="GZ113" t="e">
        <f>AND(#REF!,"ZHH871PYdc8=")</f>
        <v>#REF!</v>
      </c>
      <c r="HA113" t="e">
        <f>AND(#REF!,"ZHH871PYddA=")</f>
        <v>#REF!</v>
      </c>
      <c r="HB113" t="e">
        <f>AND(#REF!,"ZHH871PYddE=")</f>
        <v>#REF!</v>
      </c>
      <c r="HC113" t="e">
        <f>AND(#REF!,"ZHH871PYddI=")</f>
        <v>#REF!</v>
      </c>
      <c r="HD113" t="e">
        <f>AND(#REF!,"ZHH871PYddM=")</f>
        <v>#REF!</v>
      </c>
      <c r="HE113" t="e">
        <f>AND(#REF!,"ZHH871PYddQ=")</f>
        <v>#REF!</v>
      </c>
      <c r="HF113" t="e">
        <f>AND(#REF!,"ZHH871PYddU=")</f>
        <v>#REF!</v>
      </c>
      <c r="HG113" t="e">
        <f>AND(#REF!,"ZHH871PYddY=")</f>
        <v>#REF!</v>
      </c>
      <c r="HH113" t="e">
        <f>AND(#REF!,"ZHH871PYddc=")</f>
        <v>#REF!</v>
      </c>
      <c r="HI113" t="e">
        <f>AND(#REF!,"ZHH871PYddg=")</f>
        <v>#REF!</v>
      </c>
      <c r="HJ113" t="e">
        <f>AND(#REF!,"ZHH871PYddk=")</f>
        <v>#REF!</v>
      </c>
      <c r="HK113" t="e">
        <f>AND(#REF!,"ZHH871PYddo=")</f>
        <v>#REF!</v>
      </c>
      <c r="HL113" t="e">
        <f>AND(#REF!,"ZHH871PYdds=")</f>
        <v>#REF!</v>
      </c>
      <c r="HM113" t="e">
        <f>AND(#REF!,"ZHH871PYddw=")</f>
        <v>#REF!</v>
      </c>
      <c r="HN113" t="e">
        <f>AND(#REF!,"ZHH871PYdd0=")</f>
        <v>#REF!</v>
      </c>
      <c r="HO113" t="e">
        <f>AND(#REF!,"ZHH871PYdd4=")</f>
        <v>#REF!</v>
      </c>
      <c r="HP113" t="e">
        <f>AND(#REF!,"ZHH871PYdd8=")</f>
        <v>#REF!</v>
      </c>
      <c r="HQ113" t="e">
        <f>AND(#REF!,"ZHH871PYdeA=")</f>
        <v>#REF!</v>
      </c>
      <c r="HR113" t="e">
        <f>AND(#REF!,"ZHH871PYdeE=")</f>
        <v>#REF!</v>
      </c>
      <c r="HS113" t="e">
        <f>AND(#REF!,"ZHH871PYdeI=")</f>
        <v>#REF!</v>
      </c>
      <c r="HT113" t="e">
        <f>AND(#REF!,"ZHH871PYdeM=")</f>
        <v>#REF!</v>
      </c>
      <c r="HU113" t="e">
        <f>AND(#REF!,"ZHH871PYdeQ=")</f>
        <v>#REF!</v>
      </c>
      <c r="HV113" t="e">
        <f>AND(#REF!,"ZHH871PYdeU=")</f>
        <v>#REF!</v>
      </c>
      <c r="HW113" t="e">
        <f>AND(#REF!,"ZHH871PYdeY=")</f>
        <v>#REF!</v>
      </c>
      <c r="HX113" t="e">
        <f>AND(#REF!,"ZHH871PYdec=")</f>
        <v>#REF!</v>
      </c>
      <c r="HY113" t="e">
        <f>AND(#REF!,"ZHH871PYdeg=")</f>
        <v>#REF!</v>
      </c>
      <c r="HZ113" t="e">
        <f>AND(#REF!,"ZHH871PYdek=")</f>
        <v>#REF!</v>
      </c>
      <c r="IA113" t="e">
        <f>AND(#REF!,"ZHH871PYdeo=")</f>
        <v>#REF!</v>
      </c>
      <c r="IB113" t="e">
        <f>AND(#REF!,"ZHH871PYdes=")</f>
        <v>#REF!</v>
      </c>
      <c r="IC113" t="e">
        <f>AND(#REF!,"ZHH871PYdew=")</f>
        <v>#REF!</v>
      </c>
      <c r="ID113" t="e">
        <f>AND(#REF!,"ZHH871PYde0=")</f>
        <v>#REF!</v>
      </c>
      <c r="IE113" t="e">
        <f>AND(#REF!,"ZHH871PYde4=")</f>
        <v>#REF!</v>
      </c>
      <c r="IF113" t="e">
        <f>AND(#REF!,"ZHH871PYde8=")</f>
        <v>#REF!</v>
      </c>
      <c r="IG113" t="e">
        <f>AND(#REF!,"ZHH871PYdfA=")</f>
        <v>#REF!</v>
      </c>
      <c r="IH113" t="e">
        <f>AND(#REF!,"ZHH871PYdfE=")</f>
        <v>#REF!</v>
      </c>
      <c r="II113" t="e">
        <f>AND(#REF!,"ZHH871PYdfI=")</f>
        <v>#REF!</v>
      </c>
      <c r="IJ113" t="e">
        <f>AND(#REF!,"ZHH871PYdfM=")</f>
        <v>#REF!</v>
      </c>
      <c r="IK113" t="e">
        <f>AND(#REF!,"ZHH871PYdfQ=")</f>
        <v>#REF!</v>
      </c>
      <c r="IL113" t="e">
        <f>AND(#REF!,"ZHH871PYdfU=")</f>
        <v>#REF!</v>
      </c>
      <c r="IM113" t="e">
        <f>AND(#REF!,"ZHH871PYdfY=")</f>
        <v>#REF!</v>
      </c>
      <c r="IN113" t="e">
        <f>AND(#REF!,"ZHH871PYdfc=")</f>
        <v>#REF!</v>
      </c>
      <c r="IO113" t="e">
        <f>AND(#REF!,"ZHH871PYdfg=")</f>
        <v>#REF!</v>
      </c>
      <c r="IP113" t="e">
        <f>AND(#REF!,"ZHH871PYdfk=")</f>
        <v>#REF!</v>
      </c>
      <c r="IQ113" t="e">
        <f>AND(#REF!,"ZHH871PYdfo=")</f>
        <v>#REF!</v>
      </c>
      <c r="IR113" t="e">
        <f>AND(#REF!,"ZHH871PYdfs=")</f>
        <v>#REF!</v>
      </c>
      <c r="IS113" t="e">
        <f>AND(#REF!,"ZHH871PYdfw=")</f>
        <v>#REF!</v>
      </c>
      <c r="IT113" t="e">
        <f>AND(#REF!,"ZHH871PYdf0=")</f>
        <v>#REF!</v>
      </c>
      <c r="IU113" t="e">
        <f>AND(#REF!,"ZHH871PYdf4=")</f>
        <v>#REF!</v>
      </c>
      <c r="IV113" t="e">
        <f>AND(#REF!,"ZHH871PYdf8=")</f>
        <v>#REF!</v>
      </c>
    </row>
    <row r="114" spans="1:256" x14ac:dyDescent="0.2">
      <c r="A114" t="e">
        <f>AND(#REF!,"atZTe21XXwA=")</f>
        <v>#REF!</v>
      </c>
      <c r="B114" t="e">
        <f>AND(#REF!,"atZTe21XXwE=")</f>
        <v>#REF!</v>
      </c>
      <c r="C114" t="e">
        <f>AND(#REF!,"atZTe21XXwI=")</f>
        <v>#REF!</v>
      </c>
      <c r="D114" t="e">
        <f>AND(#REF!,"atZTe21XXwM=")</f>
        <v>#REF!</v>
      </c>
      <c r="E114" t="e">
        <f>AND(#REF!,"atZTe21XXwQ=")</f>
        <v>#REF!</v>
      </c>
      <c r="F114" t="e">
        <f>AND(#REF!,"atZTe21XXwU=")</f>
        <v>#REF!</v>
      </c>
      <c r="G114" t="e">
        <f>AND(#REF!,"atZTe21XXwY=")</f>
        <v>#REF!</v>
      </c>
      <c r="H114" t="e">
        <f>AND(#REF!,"atZTe21XXwc=")</f>
        <v>#REF!</v>
      </c>
      <c r="I114" t="e">
        <f>AND(#REF!,"atZTe21XXwg=")</f>
        <v>#REF!</v>
      </c>
      <c r="J114" t="e">
        <f>AND(#REF!,"atZTe21XXwk=")</f>
        <v>#REF!</v>
      </c>
      <c r="K114" t="e">
        <f>AND(#REF!,"atZTe21XXwo=")</f>
        <v>#REF!</v>
      </c>
      <c r="L114" t="e">
        <f>AND(#REF!,"atZTe21XXws=")</f>
        <v>#REF!</v>
      </c>
      <c r="M114" t="e">
        <f>AND(#REF!,"atZTe21XXww=")</f>
        <v>#REF!</v>
      </c>
      <c r="N114" t="e">
        <f>AND(#REF!,"atZTe21XXw0=")</f>
        <v>#REF!</v>
      </c>
      <c r="O114" t="e">
        <f>AND(#REF!,"atZTe21XXw4=")</f>
        <v>#REF!</v>
      </c>
      <c r="P114" t="e">
        <f>AND(#REF!,"atZTe21XXw8=")</f>
        <v>#REF!</v>
      </c>
      <c r="Q114" t="e">
        <f>AND(#REF!,"atZTe21XXxA=")</f>
        <v>#REF!</v>
      </c>
      <c r="R114" t="e">
        <f>AND(#REF!,"atZTe21XXxE=")</f>
        <v>#REF!</v>
      </c>
      <c r="S114" t="e">
        <f>AND(#REF!,"atZTe21XXxI=")</f>
        <v>#REF!</v>
      </c>
      <c r="T114" t="e">
        <f>AND(#REF!,"atZTe21XXxM=")</f>
        <v>#REF!</v>
      </c>
      <c r="U114" t="e">
        <f>AND(#REF!,"atZTe21XXxQ=")</f>
        <v>#REF!</v>
      </c>
      <c r="V114" t="e">
        <f>AND(#REF!,"atZTe21XXxU=")</f>
        <v>#REF!</v>
      </c>
      <c r="W114" t="e">
        <f>AND(#REF!,"atZTe21XXxY=")</f>
        <v>#REF!</v>
      </c>
      <c r="X114" t="e">
        <f>AND(#REF!,"atZTe21XXxc=")</f>
        <v>#REF!</v>
      </c>
      <c r="Y114" t="e">
        <f>AND(#REF!,"atZTe21XXxg=")</f>
        <v>#REF!</v>
      </c>
      <c r="Z114" t="e">
        <f>AND(#REF!,"atZTe21XXxk=")</f>
        <v>#REF!</v>
      </c>
      <c r="AA114" t="e">
        <f>AND(#REF!,"atZTe21XXxo=")</f>
        <v>#REF!</v>
      </c>
      <c r="AB114" t="e">
        <f>AND(#REF!,"atZTe21XXxs=")</f>
        <v>#REF!</v>
      </c>
      <c r="AC114" t="e">
        <f>AND(#REF!,"atZTe21XXxw=")</f>
        <v>#REF!</v>
      </c>
      <c r="AD114" t="e">
        <f>AND(#REF!,"atZTe21XXx0=")</f>
        <v>#REF!</v>
      </c>
      <c r="AE114" t="e">
        <f>AND(#REF!,"atZTe21XXx4=")</f>
        <v>#REF!</v>
      </c>
      <c r="AF114" t="e">
        <f>AND(#REF!,"atZTe21XXx8=")</f>
        <v>#REF!</v>
      </c>
      <c r="AG114" t="e">
        <f>AND(#REF!,"atZTe21XXyA=")</f>
        <v>#REF!</v>
      </c>
      <c r="AH114" t="e">
        <f>AND(#REF!,"atZTe21XXyE=")</f>
        <v>#REF!</v>
      </c>
      <c r="AI114" t="e">
        <f>AND(#REF!,"atZTe21XXyI=")</f>
        <v>#REF!</v>
      </c>
      <c r="AJ114" t="e">
        <f>AND(#REF!,"atZTe21XXyM=")</f>
        <v>#REF!</v>
      </c>
      <c r="AK114" t="e">
        <f>AND(#REF!,"atZTe21XXyQ=")</f>
        <v>#REF!</v>
      </c>
      <c r="AL114" t="e">
        <f>AND(#REF!,"atZTe21XXyU=")</f>
        <v>#REF!</v>
      </c>
      <c r="AM114" t="e">
        <f>AND(#REF!,"atZTe21XXyY=")</f>
        <v>#REF!</v>
      </c>
      <c r="AN114" t="e">
        <f>AND(#REF!,"atZTe21XXyc=")</f>
        <v>#REF!</v>
      </c>
      <c r="AO114" t="e">
        <f>AND(#REF!,"atZTe21XXyg=")</f>
        <v>#REF!</v>
      </c>
      <c r="AP114" t="e">
        <f>AND(#REF!,"atZTe21XXyk=")</f>
        <v>#REF!</v>
      </c>
      <c r="AQ114" t="e">
        <f>AND(#REF!,"atZTe21XXyo=")</f>
        <v>#REF!</v>
      </c>
      <c r="AR114" t="e">
        <f>AND(#REF!,"atZTe21XXys=")</f>
        <v>#REF!</v>
      </c>
      <c r="AS114" t="e">
        <f>AND(#REF!,"atZTe21XXyw=")</f>
        <v>#REF!</v>
      </c>
      <c r="AT114" t="e">
        <f>AND(#REF!,"atZTe21XXy0=")</f>
        <v>#REF!</v>
      </c>
      <c r="AU114" t="e">
        <f>AND(#REF!,"atZTe21XXy4=")</f>
        <v>#REF!</v>
      </c>
      <c r="AV114" t="e">
        <f>AND(#REF!,"atZTe21XXy8=")</f>
        <v>#REF!</v>
      </c>
      <c r="AW114" t="e">
        <f>AND(#REF!,"atZTe21XXzA=")</f>
        <v>#REF!</v>
      </c>
      <c r="AX114" t="e">
        <f>AND(#REF!,"atZTe21XXzE=")</f>
        <v>#REF!</v>
      </c>
      <c r="AY114" t="e">
        <f>AND(#REF!,"atZTe21XXzI=")</f>
        <v>#REF!</v>
      </c>
      <c r="AZ114" t="e">
        <f>AND(#REF!,"atZTe21XXzM=")</f>
        <v>#REF!</v>
      </c>
      <c r="BA114" t="e">
        <f>AND(#REF!,"atZTe21XXzQ=")</f>
        <v>#REF!</v>
      </c>
      <c r="BB114" t="e">
        <f>AND(#REF!,"atZTe21XXzU=")</f>
        <v>#REF!</v>
      </c>
      <c r="BC114" t="e">
        <f>AND(#REF!,"atZTe21XXzY=")</f>
        <v>#REF!</v>
      </c>
      <c r="BD114" t="e">
        <f>AND(#REF!,"atZTe21XXzc=")</f>
        <v>#REF!</v>
      </c>
      <c r="BE114" t="e">
        <f>AND(#REF!,"atZTe21XXzg=")</f>
        <v>#REF!</v>
      </c>
      <c r="BF114" t="e">
        <f>AND(#REF!,"atZTe21XXzk=")</f>
        <v>#REF!</v>
      </c>
      <c r="BG114" t="e">
        <f>AND(#REF!,"atZTe21XXzo=")</f>
        <v>#REF!</v>
      </c>
      <c r="BH114" t="e">
        <f>AND(#REF!,"atZTe21XXzs=")</f>
        <v>#REF!</v>
      </c>
      <c r="BI114" t="e">
        <f>AND(#REF!,"atZTe21XXzw=")</f>
        <v>#REF!</v>
      </c>
      <c r="BJ114" t="e">
        <f>AND(#REF!,"atZTe21XXz0=")</f>
        <v>#REF!</v>
      </c>
      <c r="BK114" t="e">
        <f>AND(#REF!,"atZTe21XXz4=")</f>
        <v>#REF!</v>
      </c>
      <c r="BL114" t="e">
        <f>AND(#REF!,"atZTe21XXz8=")</f>
        <v>#REF!</v>
      </c>
      <c r="BM114" t="e">
        <f>AND(#REF!,"atZTe21XX0A=")</f>
        <v>#REF!</v>
      </c>
      <c r="BN114" t="e">
        <f>AND(#REF!,"atZTe21XX0E=")</f>
        <v>#REF!</v>
      </c>
      <c r="BO114" t="e">
        <f>AND(#REF!,"atZTe21XX0I=")</f>
        <v>#REF!</v>
      </c>
      <c r="BP114" t="e">
        <f>AND(#REF!,"atZTe21XX0M=")</f>
        <v>#REF!</v>
      </c>
      <c r="BQ114" t="e">
        <f>AND(#REF!,"atZTe21XX0Q=")</f>
        <v>#REF!</v>
      </c>
      <c r="BR114" t="e">
        <f>AND(#REF!,"atZTe21XX0U=")</f>
        <v>#REF!</v>
      </c>
      <c r="BS114" t="e">
        <f>AND(#REF!,"atZTe21XX0Y=")</f>
        <v>#REF!</v>
      </c>
      <c r="BT114" t="e">
        <f>AND(#REF!,"atZTe21XX0c=")</f>
        <v>#REF!</v>
      </c>
      <c r="BU114" t="e">
        <f>IF(#REF!,"atZTe21XX0g=",0)</f>
        <v>#REF!</v>
      </c>
      <c r="BV114" t="e">
        <f>AND(#REF!,"atZTe21XX0k=")</f>
        <v>#REF!</v>
      </c>
      <c r="BW114" t="e">
        <f>AND(#REF!,"atZTe21XX0o=")</f>
        <v>#REF!</v>
      </c>
      <c r="BX114" t="e">
        <f>AND(#REF!,"atZTe21XX0s=")</f>
        <v>#REF!</v>
      </c>
      <c r="BY114" t="e">
        <f>AND(#REF!,"atZTe21XX0w=")</f>
        <v>#REF!</v>
      </c>
      <c r="BZ114" t="e">
        <f>AND(#REF!,"atZTe21XX00=")</f>
        <v>#REF!</v>
      </c>
      <c r="CA114" t="e">
        <f>AND(#REF!,"atZTe21XX04=")</f>
        <v>#REF!</v>
      </c>
      <c r="CB114" t="e">
        <f>AND(#REF!,"atZTe21XX08=")</f>
        <v>#REF!</v>
      </c>
      <c r="CC114" t="e">
        <f>AND(#REF!,"atZTe21XX1A=")</f>
        <v>#REF!</v>
      </c>
      <c r="CD114" t="e">
        <f>AND(#REF!,"atZTe21XX1E=")</f>
        <v>#REF!</v>
      </c>
      <c r="CE114" t="e">
        <f>AND(#REF!,"atZTe21XX1I=")</f>
        <v>#REF!</v>
      </c>
      <c r="CF114" t="e">
        <f>AND(#REF!,"atZTe21XX1M=")</f>
        <v>#REF!</v>
      </c>
      <c r="CG114" t="e">
        <f>AND(#REF!,"atZTe21XX1Q=")</f>
        <v>#REF!</v>
      </c>
      <c r="CH114" t="e">
        <f>AND(#REF!,"atZTe21XX1U=")</f>
        <v>#REF!</v>
      </c>
      <c r="CI114" t="e">
        <f>AND(#REF!,"atZTe21XX1Y=")</f>
        <v>#REF!</v>
      </c>
      <c r="CJ114" t="e">
        <f>AND(#REF!,"atZTe21XX1c=")</f>
        <v>#REF!</v>
      </c>
      <c r="CK114" t="e">
        <f>AND(#REF!,"atZTe21XX1g=")</f>
        <v>#REF!</v>
      </c>
      <c r="CL114" t="e">
        <f>AND(#REF!,"atZTe21XX1k=")</f>
        <v>#REF!</v>
      </c>
      <c r="CM114" t="e">
        <f>AND(#REF!,"atZTe21XX1o=")</f>
        <v>#REF!</v>
      </c>
      <c r="CN114" t="e">
        <f>AND(#REF!,"atZTe21XX1s=")</f>
        <v>#REF!</v>
      </c>
      <c r="CO114" t="e">
        <f>AND(#REF!,"atZTe21XX1w=")</f>
        <v>#REF!</v>
      </c>
      <c r="CP114" t="e">
        <f>AND(#REF!,"atZTe21XX10=")</f>
        <v>#REF!</v>
      </c>
      <c r="CQ114" t="e">
        <f>AND(#REF!,"atZTe21XX14=")</f>
        <v>#REF!</v>
      </c>
      <c r="CR114" t="e">
        <f>AND(#REF!,"atZTe21XX18=")</f>
        <v>#REF!</v>
      </c>
      <c r="CS114" t="e">
        <f>AND(#REF!,"atZTe21XX2A=")</f>
        <v>#REF!</v>
      </c>
      <c r="CT114" t="e">
        <f>AND(#REF!,"atZTe21XX2E=")</f>
        <v>#REF!</v>
      </c>
      <c r="CU114" t="e">
        <f>AND(#REF!,"atZTe21XX2I=")</f>
        <v>#REF!</v>
      </c>
      <c r="CV114" t="e">
        <f>AND(#REF!,"atZTe21XX2M=")</f>
        <v>#REF!</v>
      </c>
      <c r="CW114" t="e">
        <f>AND(#REF!,"atZTe21XX2Q=")</f>
        <v>#REF!</v>
      </c>
      <c r="CX114" t="e">
        <f>AND(#REF!,"atZTe21XX2U=")</f>
        <v>#REF!</v>
      </c>
      <c r="CY114" t="e">
        <f>AND(#REF!,"atZTe21XX2Y=")</f>
        <v>#REF!</v>
      </c>
      <c r="CZ114" t="e">
        <f>AND(#REF!,"atZTe21XX2c=")</f>
        <v>#REF!</v>
      </c>
      <c r="DA114" t="e">
        <f>AND(#REF!,"atZTe21XX2g=")</f>
        <v>#REF!</v>
      </c>
      <c r="DB114" t="e">
        <f>AND(#REF!,"atZTe21XX2k=")</f>
        <v>#REF!</v>
      </c>
      <c r="DC114" t="e">
        <f>AND(#REF!,"atZTe21XX2o=")</f>
        <v>#REF!</v>
      </c>
      <c r="DD114" t="e">
        <f>AND(#REF!,"atZTe21XX2s=")</f>
        <v>#REF!</v>
      </c>
      <c r="DE114" t="e">
        <f>AND(#REF!,"atZTe21XX2w=")</f>
        <v>#REF!</v>
      </c>
      <c r="DF114" t="e">
        <f>AND(#REF!,"atZTe21XX20=")</f>
        <v>#REF!</v>
      </c>
      <c r="DG114" t="e">
        <f>AND(#REF!,"atZTe21XX24=")</f>
        <v>#REF!</v>
      </c>
      <c r="DH114" t="e">
        <f>AND(#REF!,"atZTe21XX28=")</f>
        <v>#REF!</v>
      </c>
      <c r="DI114" t="e">
        <f>AND(#REF!,"atZTe21XX3A=")</f>
        <v>#REF!</v>
      </c>
      <c r="DJ114" t="e">
        <f>AND(#REF!,"atZTe21XX3E=")</f>
        <v>#REF!</v>
      </c>
      <c r="DK114" t="e">
        <f>AND(#REF!,"atZTe21XX3I=")</f>
        <v>#REF!</v>
      </c>
      <c r="DL114" t="e">
        <f>AND(#REF!,"atZTe21XX3M=")</f>
        <v>#REF!</v>
      </c>
      <c r="DM114" t="e">
        <f>AND(#REF!,"atZTe21XX3Q=")</f>
        <v>#REF!</v>
      </c>
      <c r="DN114" t="e">
        <f>AND(#REF!,"atZTe21XX3U=")</f>
        <v>#REF!</v>
      </c>
      <c r="DO114" t="e">
        <f>AND(#REF!,"atZTe21XX3Y=")</f>
        <v>#REF!</v>
      </c>
      <c r="DP114" t="e">
        <f>AND(#REF!,"atZTe21XX3c=")</f>
        <v>#REF!</v>
      </c>
      <c r="DQ114" t="e">
        <f>AND(#REF!,"atZTe21XX3g=")</f>
        <v>#REF!</v>
      </c>
      <c r="DR114" t="e">
        <f>AND(#REF!,"atZTe21XX3k=")</f>
        <v>#REF!</v>
      </c>
      <c r="DS114" t="e">
        <f>AND(#REF!,"atZTe21XX3o=")</f>
        <v>#REF!</v>
      </c>
      <c r="DT114" t="e">
        <f>AND(#REF!,"atZTe21XX3s=")</f>
        <v>#REF!</v>
      </c>
      <c r="DU114" t="e">
        <f>AND(#REF!,"atZTe21XX3w=")</f>
        <v>#REF!</v>
      </c>
      <c r="DV114" t="e">
        <f>AND(#REF!,"atZTe21XX30=")</f>
        <v>#REF!</v>
      </c>
      <c r="DW114" t="e">
        <f>AND(#REF!,"atZTe21XX34=")</f>
        <v>#REF!</v>
      </c>
      <c r="DX114" t="e">
        <f>AND(#REF!,"atZTe21XX38=")</f>
        <v>#REF!</v>
      </c>
      <c r="DY114" t="e">
        <f>AND(#REF!,"atZTe21XX4A=")</f>
        <v>#REF!</v>
      </c>
      <c r="DZ114" t="e">
        <f>AND(#REF!,"atZTe21XX4E=")</f>
        <v>#REF!</v>
      </c>
      <c r="EA114" t="e">
        <f>AND(#REF!,"atZTe21XX4I=")</f>
        <v>#REF!</v>
      </c>
      <c r="EB114" t="e">
        <f>AND(#REF!,"atZTe21XX4M=")</f>
        <v>#REF!</v>
      </c>
      <c r="EC114" t="e">
        <f>AND(#REF!,"atZTe21XX4Q=")</f>
        <v>#REF!</v>
      </c>
      <c r="ED114" t="e">
        <f>AND(#REF!,"atZTe21XX4U=")</f>
        <v>#REF!</v>
      </c>
      <c r="EE114" t="e">
        <f>AND(#REF!,"atZTe21XX4Y=")</f>
        <v>#REF!</v>
      </c>
      <c r="EF114" t="e">
        <f>AND(#REF!,"atZTe21XX4c=")</f>
        <v>#REF!</v>
      </c>
      <c r="EG114" t="e">
        <f>AND(#REF!,"atZTe21XX4g=")</f>
        <v>#REF!</v>
      </c>
      <c r="EH114" t="e">
        <f>AND(#REF!,"atZTe21XX4k=")</f>
        <v>#REF!</v>
      </c>
      <c r="EI114" t="e">
        <f>AND(#REF!,"atZTe21XX4o=")</f>
        <v>#REF!</v>
      </c>
      <c r="EJ114" t="e">
        <f>AND(#REF!,"atZTe21XX4s=")</f>
        <v>#REF!</v>
      </c>
      <c r="EK114" t="e">
        <f>AND(#REF!,"atZTe21XX4w=")</f>
        <v>#REF!</v>
      </c>
      <c r="EL114" t="e">
        <f>AND(#REF!,"atZTe21XX40=")</f>
        <v>#REF!</v>
      </c>
      <c r="EM114" t="e">
        <f>AND(#REF!,"atZTe21XX44=")</f>
        <v>#REF!</v>
      </c>
      <c r="EN114" t="e">
        <f>AND(#REF!,"atZTe21XX48=")</f>
        <v>#REF!</v>
      </c>
      <c r="EO114" t="e">
        <f>AND(#REF!,"atZTe21XX5A=")</f>
        <v>#REF!</v>
      </c>
      <c r="EP114" t="e">
        <f>AND(#REF!,"atZTe21XX5E=")</f>
        <v>#REF!</v>
      </c>
      <c r="EQ114" t="e">
        <f>AND(#REF!,"atZTe21XX5I=")</f>
        <v>#REF!</v>
      </c>
      <c r="ER114" t="e">
        <f>AND(#REF!,"atZTe21XX5M=")</f>
        <v>#REF!</v>
      </c>
      <c r="ES114" t="e">
        <f>AND(#REF!,"atZTe21XX5Q=")</f>
        <v>#REF!</v>
      </c>
      <c r="ET114" t="e">
        <f>AND(#REF!,"atZTe21XX5U=")</f>
        <v>#REF!</v>
      </c>
      <c r="EU114" t="e">
        <f>AND(#REF!,"atZTe21XX5Y=")</f>
        <v>#REF!</v>
      </c>
      <c r="EV114" t="e">
        <f>AND(#REF!,"atZTe21XX5c=")</f>
        <v>#REF!</v>
      </c>
      <c r="EW114" t="e">
        <f>AND(#REF!,"atZTe21XX5g=")</f>
        <v>#REF!</v>
      </c>
      <c r="EX114" t="e">
        <f>AND(#REF!,"atZTe21XX5k=")</f>
        <v>#REF!</v>
      </c>
      <c r="EY114" t="e">
        <f>AND(#REF!,"atZTe21XX5o=")</f>
        <v>#REF!</v>
      </c>
      <c r="EZ114" t="e">
        <f>AND(#REF!,"atZTe21XX5s=")</f>
        <v>#REF!</v>
      </c>
      <c r="FA114" t="e">
        <f>AND(#REF!,"atZTe21XX5w=")</f>
        <v>#REF!</v>
      </c>
      <c r="FB114" t="e">
        <f>AND(#REF!,"atZTe21XX50=")</f>
        <v>#REF!</v>
      </c>
      <c r="FC114" t="e">
        <f>AND(#REF!,"atZTe21XX54=")</f>
        <v>#REF!</v>
      </c>
      <c r="FD114" t="e">
        <f>AND(#REF!,"atZTe21XX58=")</f>
        <v>#REF!</v>
      </c>
      <c r="FE114" t="e">
        <f>AND(#REF!,"atZTe21XX6A=")</f>
        <v>#REF!</v>
      </c>
      <c r="FF114" t="e">
        <f>AND(#REF!,"atZTe21XX6E=")</f>
        <v>#REF!</v>
      </c>
      <c r="FG114" t="e">
        <f>AND(#REF!,"atZTe21XX6I=")</f>
        <v>#REF!</v>
      </c>
      <c r="FH114" t="e">
        <f>AND(#REF!,"atZTe21XX6M=")</f>
        <v>#REF!</v>
      </c>
      <c r="FI114" t="e">
        <f>AND(#REF!,"atZTe21XX6Q=")</f>
        <v>#REF!</v>
      </c>
      <c r="FJ114" t="e">
        <f>AND(#REF!,"atZTe21XX6U=")</f>
        <v>#REF!</v>
      </c>
      <c r="FK114" t="e">
        <f>AND(#REF!,"atZTe21XX6Y=")</f>
        <v>#REF!</v>
      </c>
      <c r="FL114" t="e">
        <f>AND(#REF!,"atZTe21XX6c=")</f>
        <v>#REF!</v>
      </c>
      <c r="FM114" t="e">
        <f>AND(#REF!,"atZTe21XX6g=")</f>
        <v>#REF!</v>
      </c>
      <c r="FN114" t="e">
        <f>AND(#REF!,"atZTe21XX6k=")</f>
        <v>#REF!</v>
      </c>
      <c r="FO114" t="e">
        <f>AND(#REF!,"atZTe21XX6o=")</f>
        <v>#REF!</v>
      </c>
      <c r="FP114" t="e">
        <f>AND(#REF!,"atZTe21XX6s=")</f>
        <v>#REF!</v>
      </c>
      <c r="FQ114" t="e">
        <f>AND(#REF!,"atZTe21XX6w=")</f>
        <v>#REF!</v>
      </c>
      <c r="FR114" t="e">
        <f>AND(#REF!,"atZTe21XX60=")</f>
        <v>#REF!</v>
      </c>
      <c r="FS114" t="e">
        <f>AND(#REF!,"atZTe21XX64=")</f>
        <v>#REF!</v>
      </c>
      <c r="FT114" t="e">
        <f>AND(#REF!,"atZTe21XX68=")</f>
        <v>#REF!</v>
      </c>
      <c r="FU114" t="e">
        <f>AND(#REF!,"atZTe21XX7A=")</f>
        <v>#REF!</v>
      </c>
      <c r="FV114" t="e">
        <f>AND(#REF!,"atZTe21XX7E=")</f>
        <v>#REF!</v>
      </c>
      <c r="FW114" t="e">
        <f>AND(#REF!,"atZTe21XX7I=")</f>
        <v>#REF!</v>
      </c>
      <c r="FX114" t="e">
        <f>AND(#REF!,"atZTe21XX7M=")</f>
        <v>#REF!</v>
      </c>
      <c r="FY114" t="e">
        <f>AND(#REF!,"atZTe21XX7Q=")</f>
        <v>#REF!</v>
      </c>
      <c r="FZ114" t="e">
        <f>AND(#REF!,"atZTe21XX7U=")</f>
        <v>#REF!</v>
      </c>
      <c r="GA114" t="e">
        <f>AND(#REF!,"atZTe21XX7Y=")</f>
        <v>#REF!</v>
      </c>
      <c r="GB114" t="e">
        <f>AND(#REF!,"atZTe21XX7c=")</f>
        <v>#REF!</v>
      </c>
      <c r="GC114" t="e">
        <f>AND(#REF!,"atZTe21XX7g=")</f>
        <v>#REF!</v>
      </c>
      <c r="GD114" t="e">
        <f>AND(#REF!,"atZTe21XX7k=")</f>
        <v>#REF!</v>
      </c>
      <c r="GE114" t="e">
        <f>AND(#REF!,"atZTe21XX7o=")</f>
        <v>#REF!</v>
      </c>
      <c r="GF114" t="e">
        <f>AND(#REF!,"atZTe21XX7s=")</f>
        <v>#REF!</v>
      </c>
      <c r="GG114" t="e">
        <f>AND(#REF!,"atZTe21XX7w=")</f>
        <v>#REF!</v>
      </c>
      <c r="GH114" t="e">
        <f>AND(#REF!,"atZTe21XX70=")</f>
        <v>#REF!</v>
      </c>
      <c r="GI114" t="e">
        <f>AND(#REF!,"atZTe21XX74=")</f>
        <v>#REF!</v>
      </c>
      <c r="GJ114" t="e">
        <f>AND(#REF!,"atZTe21XX78=")</f>
        <v>#REF!</v>
      </c>
      <c r="GK114" t="e">
        <f>AND(#REF!,"atZTe21XX8A=")</f>
        <v>#REF!</v>
      </c>
      <c r="GL114" t="e">
        <f>AND(#REF!,"atZTe21XX8E=")</f>
        <v>#REF!</v>
      </c>
      <c r="GM114" t="e">
        <f>AND(#REF!,"atZTe21XX8I=")</f>
        <v>#REF!</v>
      </c>
      <c r="GN114" t="e">
        <f>AND(#REF!,"atZTe21XX8M=")</f>
        <v>#REF!</v>
      </c>
      <c r="GO114" t="e">
        <f>AND(#REF!,"atZTe21XX8Q=")</f>
        <v>#REF!</v>
      </c>
      <c r="GP114" t="e">
        <f>AND(#REF!,"atZTe21XX8U=")</f>
        <v>#REF!</v>
      </c>
      <c r="GQ114" t="e">
        <f>AND(#REF!,"atZTe21XX8Y=")</f>
        <v>#REF!</v>
      </c>
      <c r="GR114" t="e">
        <f>AND(#REF!,"atZTe21XX8c=")</f>
        <v>#REF!</v>
      </c>
      <c r="GS114" t="e">
        <f>AND(#REF!,"atZTe21XX8g=")</f>
        <v>#REF!</v>
      </c>
      <c r="GT114" t="e">
        <f>AND(#REF!,"atZTe21XX8k=")</f>
        <v>#REF!</v>
      </c>
      <c r="GU114" t="e">
        <f>AND(#REF!,"atZTe21XX8o=")</f>
        <v>#REF!</v>
      </c>
      <c r="GV114" t="e">
        <f>AND(#REF!,"atZTe21XX8s=")</f>
        <v>#REF!</v>
      </c>
      <c r="GW114" t="e">
        <f>AND(#REF!,"atZTe21XX8w=")</f>
        <v>#REF!</v>
      </c>
      <c r="GX114" t="e">
        <f>AND(#REF!,"atZTe21XX80=")</f>
        <v>#REF!</v>
      </c>
      <c r="GY114" t="e">
        <f>AND(#REF!,"atZTe21XX84=")</f>
        <v>#REF!</v>
      </c>
      <c r="GZ114" t="e">
        <f>AND(#REF!,"atZTe21XX88=")</f>
        <v>#REF!</v>
      </c>
      <c r="HA114" t="e">
        <f>AND(#REF!,"atZTe21XX9A=")</f>
        <v>#REF!</v>
      </c>
      <c r="HB114" t="e">
        <f>AND(#REF!,"atZTe21XX9E=")</f>
        <v>#REF!</v>
      </c>
      <c r="HC114" t="e">
        <f>AND(#REF!,"atZTe21XX9I=")</f>
        <v>#REF!</v>
      </c>
      <c r="HD114" t="e">
        <f>AND(#REF!,"atZTe21XX9M=")</f>
        <v>#REF!</v>
      </c>
      <c r="HE114" t="e">
        <f>AND(#REF!,"atZTe21XX9Q=")</f>
        <v>#REF!</v>
      </c>
      <c r="HF114" t="e">
        <f>AND(#REF!,"atZTe21XX9U=")</f>
        <v>#REF!</v>
      </c>
      <c r="HG114" t="e">
        <f>AND(#REF!,"atZTe21XX9Y=")</f>
        <v>#REF!</v>
      </c>
      <c r="HH114" t="e">
        <f>AND(#REF!,"atZTe21XX9c=")</f>
        <v>#REF!</v>
      </c>
      <c r="HI114" t="e">
        <f>AND(#REF!,"atZTe21XX9g=")</f>
        <v>#REF!</v>
      </c>
      <c r="HJ114" t="e">
        <f>AND(#REF!,"atZTe21XX9k=")</f>
        <v>#REF!</v>
      </c>
      <c r="HK114" t="e">
        <f>AND(#REF!,"atZTe21XX9o=")</f>
        <v>#REF!</v>
      </c>
      <c r="HL114" t="e">
        <f>AND(#REF!,"atZTe21XX9s=")</f>
        <v>#REF!</v>
      </c>
      <c r="HM114" t="e">
        <f>AND(#REF!,"atZTe21XX9w=")</f>
        <v>#REF!</v>
      </c>
      <c r="HN114" t="e">
        <f>AND(#REF!,"atZTe21XX90=")</f>
        <v>#REF!</v>
      </c>
      <c r="HO114" t="e">
        <f>AND(#REF!,"atZTe21XX94=")</f>
        <v>#REF!</v>
      </c>
      <c r="HP114" t="e">
        <f>AND(#REF!,"atZTe21XX98=")</f>
        <v>#REF!</v>
      </c>
      <c r="HQ114" t="e">
        <f>AND(#REF!,"atZTe21XX+A=")</f>
        <v>#REF!</v>
      </c>
      <c r="HR114" t="e">
        <f>AND(#REF!,"atZTe21XX+E=")</f>
        <v>#REF!</v>
      </c>
      <c r="HS114" t="e">
        <f>AND(#REF!,"atZTe21XX+I=")</f>
        <v>#REF!</v>
      </c>
      <c r="HT114" t="e">
        <f>AND(#REF!,"atZTe21XX+M=")</f>
        <v>#REF!</v>
      </c>
      <c r="HU114" t="e">
        <f>AND(#REF!,"atZTe21XX+Q=")</f>
        <v>#REF!</v>
      </c>
      <c r="HV114" t="e">
        <f>AND(#REF!,"atZTe21XX+U=")</f>
        <v>#REF!</v>
      </c>
      <c r="HW114" t="e">
        <f>AND(#REF!,"atZTe21XX+Y=")</f>
        <v>#REF!</v>
      </c>
      <c r="HX114" t="e">
        <f>AND(#REF!,"atZTe21XX+c=")</f>
        <v>#REF!</v>
      </c>
      <c r="HY114" t="e">
        <f>AND(#REF!,"atZTe21XX+g=")</f>
        <v>#REF!</v>
      </c>
      <c r="HZ114" t="e">
        <f>AND(#REF!,"atZTe21XX+k=")</f>
        <v>#REF!</v>
      </c>
      <c r="IA114" t="e">
        <f>AND(#REF!,"atZTe21XX+o=")</f>
        <v>#REF!</v>
      </c>
      <c r="IB114" t="e">
        <f>AND(#REF!,"atZTe21XX+s=")</f>
        <v>#REF!</v>
      </c>
      <c r="IC114" t="e">
        <f>AND(#REF!,"atZTe21XX+w=")</f>
        <v>#REF!</v>
      </c>
      <c r="ID114" t="e">
        <f>AND(#REF!,"atZTe21XX+0=")</f>
        <v>#REF!</v>
      </c>
      <c r="IE114" t="e">
        <f>AND(#REF!,"atZTe21XX+4=")</f>
        <v>#REF!</v>
      </c>
      <c r="IF114" t="e">
        <f>AND(#REF!,"atZTe21XX+8=")</f>
        <v>#REF!</v>
      </c>
      <c r="IG114" t="e">
        <f>AND(#REF!,"atZTe21XX/A=")</f>
        <v>#REF!</v>
      </c>
      <c r="IH114" t="e">
        <f>AND(#REF!,"atZTe21XX/E=")</f>
        <v>#REF!</v>
      </c>
      <c r="II114" t="e">
        <f>AND(#REF!,"atZTe21XX/I=")</f>
        <v>#REF!</v>
      </c>
      <c r="IJ114" t="e">
        <f>AND(#REF!,"atZTe21XX/M=")</f>
        <v>#REF!</v>
      </c>
      <c r="IK114" t="e">
        <f>AND(#REF!,"atZTe21XX/Q=")</f>
        <v>#REF!</v>
      </c>
      <c r="IL114" t="e">
        <f>AND(#REF!,"atZTe21XX/U=")</f>
        <v>#REF!</v>
      </c>
      <c r="IM114" t="e">
        <f>AND(#REF!,"atZTe21XX/Y=")</f>
        <v>#REF!</v>
      </c>
      <c r="IN114" t="e">
        <f>AND(#REF!,"atZTe21XX/c=")</f>
        <v>#REF!</v>
      </c>
      <c r="IO114" t="e">
        <f>AND(#REF!,"atZTe21XX/g=")</f>
        <v>#REF!</v>
      </c>
      <c r="IP114" t="e">
        <f>AND(#REF!,"atZTe21XX/k=")</f>
        <v>#REF!</v>
      </c>
      <c r="IQ114" t="e">
        <f>AND(#REF!,"atZTe21XX/o=")</f>
        <v>#REF!</v>
      </c>
      <c r="IR114" t="e">
        <f>AND(#REF!,"atZTe21XX/s=")</f>
        <v>#REF!</v>
      </c>
      <c r="IS114" t="e">
        <f>AND(#REF!,"atZTe21XX/w=")</f>
        <v>#REF!</v>
      </c>
      <c r="IT114" t="e">
        <f>AND(#REF!,"atZTe21XX/0=")</f>
        <v>#REF!</v>
      </c>
      <c r="IU114" t="e">
        <f>AND(#REF!,"atZTe21XX/4=")</f>
        <v>#REF!</v>
      </c>
      <c r="IV114" t="e">
        <f>AND(#REF!,"atZTe21XX/8=")</f>
        <v>#REF!</v>
      </c>
    </row>
    <row r="115" spans="1:256" x14ac:dyDescent="0.2">
      <c r="A115" t="e">
        <f>AND(#REF!,"FrsrfVXdcAA=")</f>
        <v>#REF!</v>
      </c>
      <c r="B115" t="e">
        <f>AND(#REF!,"FrsrfVXdcAE=")</f>
        <v>#REF!</v>
      </c>
      <c r="C115" t="e">
        <f>AND(#REF!,"FrsrfVXdcAI=")</f>
        <v>#REF!</v>
      </c>
      <c r="D115" t="e">
        <f>AND(#REF!,"FrsrfVXdcAM=")</f>
        <v>#REF!</v>
      </c>
      <c r="E115" t="e">
        <f>AND(#REF!,"FrsrfVXdcAQ=")</f>
        <v>#REF!</v>
      </c>
      <c r="F115" t="e">
        <f>AND(#REF!,"FrsrfVXdcAU=")</f>
        <v>#REF!</v>
      </c>
      <c r="G115" t="e">
        <f>AND(#REF!,"FrsrfVXdcAY=")</f>
        <v>#REF!</v>
      </c>
      <c r="H115" t="e">
        <f>AND(#REF!,"FrsrfVXdcAc=")</f>
        <v>#REF!</v>
      </c>
      <c r="I115" t="e">
        <f>AND(#REF!,"FrsrfVXdcAg=")</f>
        <v>#REF!</v>
      </c>
      <c r="J115" t="e">
        <f>AND(#REF!,"FrsrfVXdcAk=")</f>
        <v>#REF!</v>
      </c>
      <c r="K115" t="e">
        <f>AND(#REF!,"FrsrfVXdcAo=")</f>
        <v>#REF!</v>
      </c>
      <c r="L115" t="e">
        <f>AND(#REF!,"FrsrfVXdcAs=")</f>
        <v>#REF!</v>
      </c>
      <c r="M115" t="e">
        <f>AND(#REF!,"FrsrfVXdcAw=")</f>
        <v>#REF!</v>
      </c>
      <c r="N115" t="e">
        <f>AND(#REF!,"FrsrfVXdcA0=")</f>
        <v>#REF!</v>
      </c>
      <c r="O115" t="e">
        <f>AND(#REF!,"FrsrfVXdcA4=")</f>
        <v>#REF!</v>
      </c>
      <c r="P115" t="e">
        <f>IF(#REF!,"FrsrfVXdcA8=",0)</f>
        <v>#REF!</v>
      </c>
      <c r="Q115" t="e">
        <f>AND(#REF!,"FrsrfVXdcBA=")</f>
        <v>#REF!</v>
      </c>
      <c r="R115" t="e">
        <f>AND(#REF!,"FrsrfVXdcBE=")</f>
        <v>#REF!</v>
      </c>
      <c r="S115" t="e">
        <f>AND(#REF!,"FrsrfVXdcBI=")</f>
        <v>#REF!</v>
      </c>
      <c r="T115" t="e">
        <f>AND(#REF!,"FrsrfVXdcBM=")</f>
        <v>#REF!</v>
      </c>
      <c r="U115" t="e">
        <f>AND(#REF!,"FrsrfVXdcBQ=")</f>
        <v>#REF!</v>
      </c>
      <c r="V115" t="e">
        <f>AND(#REF!,"FrsrfVXdcBU=")</f>
        <v>#REF!</v>
      </c>
      <c r="W115" t="e">
        <f>AND(#REF!,"FrsrfVXdcBY=")</f>
        <v>#REF!</v>
      </c>
      <c r="X115" t="e">
        <f>AND(#REF!,"FrsrfVXdcBc=")</f>
        <v>#REF!</v>
      </c>
      <c r="Y115" t="e">
        <f>AND(#REF!,"FrsrfVXdcBg=")</f>
        <v>#REF!</v>
      </c>
      <c r="Z115" t="e">
        <f>AND(#REF!,"FrsrfVXdcBk=")</f>
        <v>#REF!</v>
      </c>
      <c r="AA115" t="e">
        <f>AND(#REF!,"FrsrfVXdcBo=")</f>
        <v>#REF!</v>
      </c>
      <c r="AB115" t="e">
        <f>AND(#REF!,"FrsrfVXdcBs=")</f>
        <v>#REF!</v>
      </c>
      <c r="AC115" t="e">
        <f>AND(#REF!,"FrsrfVXdcBw=")</f>
        <v>#REF!</v>
      </c>
      <c r="AD115" t="e">
        <f>AND(#REF!,"FrsrfVXdcB0=")</f>
        <v>#REF!</v>
      </c>
      <c r="AE115" t="e">
        <f>AND(#REF!,"FrsrfVXdcB4=")</f>
        <v>#REF!</v>
      </c>
      <c r="AF115" t="e">
        <f>AND(#REF!,"FrsrfVXdcB8=")</f>
        <v>#REF!</v>
      </c>
      <c r="AG115" t="e">
        <f>AND(#REF!,"FrsrfVXdcCA=")</f>
        <v>#REF!</v>
      </c>
      <c r="AH115" t="e">
        <f>AND(#REF!,"FrsrfVXdcCE=")</f>
        <v>#REF!</v>
      </c>
      <c r="AI115" t="e">
        <f>AND(#REF!,"FrsrfVXdcCI=")</f>
        <v>#REF!</v>
      </c>
      <c r="AJ115" t="e">
        <f>AND(#REF!,"FrsrfVXdcCM=")</f>
        <v>#REF!</v>
      </c>
      <c r="AK115" t="e">
        <f>AND(#REF!,"FrsrfVXdcCQ=")</f>
        <v>#REF!</v>
      </c>
      <c r="AL115" t="e">
        <f>AND(#REF!,"FrsrfVXdcCU=")</f>
        <v>#REF!</v>
      </c>
      <c r="AM115" t="e">
        <f>AND(#REF!,"FrsrfVXdcCY=")</f>
        <v>#REF!</v>
      </c>
      <c r="AN115" t="e">
        <f>AND(#REF!,"FrsrfVXdcCc=")</f>
        <v>#REF!</v>
      </c>
      <c r="AO115" t="e">
        <f>AND(#REF!,"FrsrfVXdcCg=")</f>
        <v>#REF!</v>
      </c>
      <c r="AP115" t="e">
        <f>AND(#REF!,"FrsrfVXdcCk=")</f>
        <v>#REF!</v>
      </c>
      <c r="AQ115" t="e">
        <f>AND(#REF!,"FrsrfVXdcCo=")</f>
        <v>#REF!</v>
      </c>
      <c r="AR115" t="e">
        <f>AND(#REF!,"FrsrfVXdcCs=")</f>
        <v>#REF!</v>
      </c>
      <c r="AS115" t="e">
        <f>AND(#REF!,"FrsrfVXdcCw=")</f>
        <v>#REF!</v>
      </c>
      <c r="AT115" t="e">
        <f>AND(#REF!,"FrsrfVXdcC0=")</f>
        <v>#REF!</v>
      </c>
      <c r="AU115" t="e">
        <f>AND(#REF!,"FrsrfVXdcC4=")</f>
        <v>#REF!</v>
      </c>
      <c r="AV115" t="e">
        <f>AND(#REF!,"FrsrfVXdcC8=")</f>
        <v>#REF!</v>
      </c>
      <c r="AW115" t="e">
        <f>AND(#REF!,"FrsrfVXdcDA=")</f>
        <v>#REF!</v>
      </c>
      <c r="AX115" t="e">
        <f>AND(#REF!,"FrsrfVXdcDE=")</f>
        <v>#REF!</v>
      </c>
      <c r="AY115" t="e">
        <f>AND(#REF!,"FrsrfVXdcDI=")</f>
        <v>#REF!</v>
      </c>
      <c r="AZ115" t="e">
        <f>AND(#REF!,"FrsrfVXdcDM=")</f>
        <v>#REF!</v>
      </c>
      <c r="BA115" t="e">
        <f>AND(#REF!,"FrsrfVXdcDQ=")</f>
        <v>#REF!</v>
      </c>
      <c r="BB115" t="e">
        <f>AND(#REF!,"FrsrfVXdcDU=")</f>
        <v>#REF!</v>
      </c>
      <c r="BC115" t="e">
        <f>AND(#REF!,"FrsrfVXdcDY=")</f>
        <v>#REF!</v>
      </c>
      <c r="BD115" t="e">
        <f>AND(#REF!,"FrsrfVXdcDc=")</f>
        <v>#REF!</v>
      </c>
      <c r="BE115" t="e">
        <f>AND(#REF!,"FrsrfVXdcDg=")</f>
        <v>#REF!</v>
      </c>
      <c r="BF115" t="e">
        <f>AND(#REF!,"FrsrfVXdcDk=")</f>
        <v>#REF!</v>
      </c>
      <c r="BG115" t="e">
        <f>AND(#REF!,"FrsrfVXdcDo=")</f>
        <v>#REF!</v>
      </c>
      <c r="BH115" t="e">
        <f>AND(#REF!,"FrsrfVXdcDs=")</f>
        <v>#REF!</v>
      </c>
      <c r="BI115" t="e">
        <f>AND(#REF!,"FrsrfVXdcDw=")</f>
        <v>#REF!</v>
      </c>
      <c r="BJ115" t="e">
        <f>AND(#REF!,"FrsrfVXdcD0=")</f>
        <v>#REF!</v>
      </c>
      <c r="BK115" t="e">
        <f>AND(#REF!,"FrsrfVXdcD4=")</f>
        <v>#REF!</v>
      </c>
      <c r="BL115" t="e">
        <f>AND(#REF!,"FrsrfVXdcD8=")</f>
        <v>#REF!</v>
      </c>
      <c r="BM115" t="e">
        <f>AND(#REF!,"FrsrfVXdcEA=")</f>
        <v>#REF!</v>
      </c>
      <c r="BN115" t="e">
        <f>AND(#REF!,"FrsrfVXdcEE=")</f>
        <v>#REF!</v>
      </c>
      <c r="BO115" t="e">
        <f>AND(#REF!,"FrsrfVXdcEI=")</f>
        <v>#REF!</v>
      </c>
      <c r="BP115" t="e">
        <f>AND(#REF!,"FrsrfVXdcEM=")</f>
        <v>#REF!</v>
      </c>
      <c r="BQ115" t="e">
        <f>AND(#REF!,"FrsrfVXdcEQ=")</f>
        <v>#REF!</v>
      </c>
      <c r="BR115" t="e">
        <f>AND(#REF!,"FrsrfVXdcEU=")</f>
        <v>#REF!</v>
      </c>
      <c r="BS115" t="e">
        <f>AND(#REF!,"FrsrfVXdcEY=")</f>
        <v>#REF!</v>
      </c>
      <c r="BT115" t="e">
        <f>AND(#REF!,"FrsrfVXdcEc=")</f>
        <v>#REF!</v>
      </c>
      <c r="BU115" t="e">
        <f>AND(#REF!,"FrsrfVXdcEg=")</f>
        <v>#REF!</v>
      </c>
      <c r="BV115" t="e">
        <f>AND(#REF!,"FrsrfVXdcEk=")</f>
        <v>#REF!</v>
      </c>
      <c r="BW115" t="e">
        <f>AND(#REF!,"FrsrfVXdcEo=")</f>
        <v>#REF!</v>
      </c>
      <c r="BX115" t="e">
        <f>AND(#REF!,"FrsrfVXdcEs=")</f>
        <v>#REF!</v>
      </c>
      <c r="BY115" t="e">
        <f>AND(#REF!,"FrsrfVXdcEw=")</f>
        <v>#REF!</v>
      </c>
      <c r="BZ115" t="e">
        <f>AND(#REF!,"FrsrfVXdcE0=")</f>
        <v>#REF!</v>
      </c>
      <c r="CA115" t="e">
        <f>AND(#REF!,"FrsrfVXdcE4=")</f>
        <v>#REF!</v>
      </c>
      <c r="CB115" t="e">
        <f>AND(#REF!,"FrsrfVXdcE8=")</f>
        <v>#REF!</v>
      </c>
      <c r="CC115" t="e">
        <f>AND(#REF!,"FrsrfVXdcFA=")</f>
        <v>#REF!</v>
      </c>
      <c r="CD115" t="e">
        <f>AND(#REF!,"FrsrfVXdcFE=")</f>
        <v>#REF!</v>
      </c>
      <c r="CE115" t="e">
        <f>AND(#REF!,"FrsrfVXdcFI=")</f>
        <v>#REF!</v>
      </c>
      <c r="CF115" t="e">
        <f>AND(#REF!,"FrsrfVXdcFM=")</f>
        <v>#REF!</v>
      </c>
      <c r="CG115" t="e">
        <f>AND(#REF!,"FrsrfVXdcFQ=")</f>
        <v>#REF!</v>
      </c>
      <c r="CH115" t="e">
        <f>AND(#REF!,"FrsrfVXdcFU=")</f>
        <v>#REF!</v>
      </c>
      <c r="CI115" t="e">
        <f>AND(#REF!,"FrsrfVXdcFY=")</f>
        <v>#REF!</v>
      </c>
      <c r="CJ115" t="e">
        <f>AND(#REF!,"FrsrfVXdcFc=")</f>
        <v>#REF!</v>
      </c>
      <c r="CK115" t="e">
        <f>AND(#REF!,"FrsrfVXdcFg=")</f>
        <v>#REF!</v>
      </c>
      <c r="CL115" t="e">
        <f>AND(#REF!,"FrsrfVXdcFk=")</f>
        <v>#REF!</v>
      </c>
      <c r="CM115" t="e">
        <f>AND(#REF!,"FrsrfVXdcFo=")</f>
        <v>#REF!</v>
      </c>
      <c r="CN115" t="e">
        <f>AND(#REF!,"FrsrfVXdcFs=")</f>
        <v>#REF!</v>
      </c>
      <c r="CO115" t="e">
        <f>AND(#REF!,"FrsrfVXdcFw=")</f>
        <v>#REF!</v>
      </c>
      <c r="CP115" t="e">
        <f>AND(#REF!,"FrsrfVXdcF0=")</f>
        <v>#REF!</v>
      </c>
      <c r="CQ115" t="e">
        <f>AND(#REF!,"FrsrfVXdcF4=")</f>
        <v>#REF!</v>
      </c>
      <c r="CR115" t="e">
        <f>AND(#REF!,"FrsrfVXdcF8=")</f>
        <v>#REF!</v>
      </c>
      <c r="CS115" t="e">
        <f>AND(#REF!,"FrsrfVXdcGA=")</f>
        <v>#REF!</v>
      </c>
      <c r="CT115" t="e">
        <f>AND(#REF!,"FrsrfVXdcGE=")</f>
        <v>#REF!</v>
      </c>
      <c r="CU115" t="e">
        <f>AND(#REF!,"FrsrfVXdcGI=")</f>
        <v>#REF!</v>
      </c>
      <c r="CV115" t="e">
        <f>AND(#REF!,"FrsrfVXdcGM=")</f>
        <v>#REF!</v>
      </c>
      <c r="CW115" t="e">
        <f>AND(#REF!,"FrsrfVXdcGQ=")</f>
        <v>#REF!</v>
      </c>
      <c r="CX115" t="e">
        <f>AND(#REF!,"FrsrfVXdcGU=")</f>
        <v>#REF!</v>
      </c>
      <c r="CY115" t="e">
        <f>AND(#REF!,"FrsrfVXdcGY=")</f>
        <v>#REF!</v>
      </c>
      <c r="CZ115" t="e">
        <f>AND(#REF!,"FrsrfVXdcGc=")</f>
        <v>#REF!</v>
      </c>
      <c r="DA115" t="e">
        <f>AND(#REF!,"FrsrfVXdcGg=")</f>
        <v>#REF!</v>
      </c>
      <c r="DB115" t="e">
        <f>AND(#REF!,"FrsrfVXdcGk=")</f>
        <v>#REF!</v>
      </c>
      <c r="DC115" t="e">
        <f>AND(#REF!,"FrsrfVXdcGo=")</f>
        <v>#REF!</v>
      </c>
      <c r="DD115" t="e">
        <f>AND(#REF!,"FrsrfVXdcGs=")</f>
        <v>#REF!</v>
      </c>
      <c r="DE115" t="e">
        <f>AND(#REF!,"FrsrfVXdcGw=")</f>
        <v>#REF!</v>
      </c>
      <c r="DF115" t="e">
        <f>AND(#REF!,"FrsrfVXdcG0=")</f>
        <v>#REF!</v>
      </c>
      <c r="DG115" t="e">
        <f>AND(#REF!,"FrsrfVXdcG4=")</f>
        <v>#REF!</v>
      </c>
      <c r="DH115" t="e">
        <f>AND(#REF!,"FrsrfVXdcG8=")</f>
        <v>#REF!</v>
      </c>
      <c r="DI115" t="e">
        <f>AND(#REF!,"FrsrfVXdcHA=")</f>
        <v>#REF!</v>
      </c>
      <c r="DJ115" t="e">
        <f>AND(#REF!,"FrsrfVXdcHE=")</f>
        <v>#REF!</v>
      </c>
      <c r="DK115" t="e">
        <f>AND(#REF!,"FrsrfVXdcHI=")</f>
        <v>#REF!</v>
      </c>
      <c r="DL115" t="e">
        <f>AND(#REF!,"FrsrfVXdcHM=")</f>
        <v>#REF!</v>
      </c>
      <c r="DM115" t="e">
        <f>AND(#REF!,"FrsrfVXdcHQ=")</f>
        <v>#REF!</v>
      </c>
      <c r="DN115" t="e">
        <f>AND(#REF!,"FrsrfVXdcHU=")</f>
        <v>#REF!</v>
      </c>
      <c r="DO115" t="e">
        <f>AND(#REF!,"FrsrfVXdcHY=")</f>
        <v>#REF!</v>
      </c>
      <c r="DP115" t="e">
        <f>AND(#REF!,"FrsrfVXdcHc=")</f>
        <v>#REF!</v>
      </c>
      <c r="DQ115" t="e">
        <f>AND(#REF!,"FrsrfVXdcHg=")</f>
        <v>#REF!</v>
      </c>
      <c r="DR115" t="e">
        <f>AND(#REF!,"FrsrfVXdcHk=")</f>
        <v>#REF!</v>
      </c>
      <c r="DS115" t="e">
        <f>AND(#REF!,"FrsrfVXdcHo=")</f>
        <v>#REF!</v>
      </c>
      <c r="DT115" t="e">
        <f>AND(#REF!,"FrsrfVXdcHs=")</f>
        <v>#REF!</v>
      </c>
      <c r="DU115" t="e">
        <f>AND(#REF!,"FrsrfVXdcHw=")</f>
        <v>#REF!</v>
      </c>
      <c r="DV115" t="e">
        <f>AND(#REF!,"FrsrfVXdcH0=")</f>
        <v>#REF!</v>
      </c>
      <c r="DW115" t="e">
        <f>AND(#REF!,"FrsrfVXdcH4=")</f>
        <v>#REF!</v>
      </c>
      <c r="DX115" t="e">
        <f>AND(#REF!,"FrsrfVXdcH8=")</f>
        <v>#REF!</v>
      </c>
      <c r="DY115" t="e">
        <f>AND(#REF!,"FrsrfVXdcIA=")</f>
        <v>#REF!</v>
      </c>
      <c r="DZ115" t="e">
        <f>AND(#REF!,"FrsrfVXdcIE=")</f>
        <v>#REF!</v>
      </c>
      <c r="EA115" t="e">
        <f>AND(#REF!,"FrsrfVXdcII=")</f>
        <v>#REF!</v>
      </c>
      <c r="EB115" t="e">
        <f>AND(#REF!,"FrsrfVXdcIM=")</f>
        <v>#REF!</v>
      </c>
      <c r="EC115" t="e">
        <f>AND(#REF!,"FrsrfVXdcIQ=")</f>
        <v>#REF!</v>
      </c>
      <c r="ED115" t="e">
        <f>AND(#REF!,"FrsrfVXdcIU=")</f>
        <v>#REF!</v>
      </c>
      <c r="EE115" t="e">
        <f>AND(#REF!,"FrsrfVXdcIY=")</f>
        <v>#REF!</v>
      </c>
      <c r="EF115" t="e">
        <f>AND(#REF!,"FrsrfVXdcIc=")</f>
        <v>#REF!</v>
      </c>
      <c r="EG115" t="e">
        <f>AND(#REF!,"FrsrfVXdcIg=")</f>
        <v>#REF!</v>
      </c>
      <c r="EH115" t="e">
        <f>AND(#REF!,"FrsrfVXdcIk=")</f>
        <v>#REF!</v>
      </c>
      <c r="EI115" t="e">
        <f>AND(#REF!,"FrsrfVXdcIo=")</f>
        <v>#REF!</v>
      </c>
      <c r="EJ115" t="e">
        <f>AND(#REF!,"FrsrfVXdcIs=")</f>
        <v>#REF!</v>
      </c>
      <c r="EK115" t="e">
        <f>AND(#REF!,"FrsrfVXdcIw=")</f>
        <v>#REF!</v>
      </c>
      <c r="EL115" t="e">
        <f>AND(#REF!,"FrsrfVXdcI0=")</f>
        <v>#REF!</v>
      </c>
      <c r="EM115" t="e">
        <f>AND(#REF!,"FrsrfVXdcI4=")</f>
        <v>#REF!</v>
      </c>
      <c r="EN115" t="e">
        <f>AND(#REF!,"FrsrfVXdcI8=")</f>
        <v>#REF!</v>
      </c>
      <c r="EO115" t="e">
        <f>AND(#REF!,"FrsrfVXdcJA=")</f>
        <v>#REF!</v>
      </c>
      <c r="EP115" t="e">
        <f>AND(#REF!,"FrsrfVXdcJE=")</f>
        <v>#REF!</v>
      </c>
      <c r="EQ115" t="e">
        <f>AND(#REF!,"FrsrfVXdcJI=")</f>
        <v>#REF!</v>
      </c>
      <c r="ER115" t="e">
        <f>AND(#REF!,"FrsrfVXdcJM=")</f>
        <v>#REF!</v>
      </c>
      <c r="ES115" t="e">
        <f>AND(#REF!,"FrsrfVXdcJQ=")</f>
        <v>#REF!</v>
      </c>
      <c r="ET115" t="e">
        <f>AND(#REF!,"FrsrfVXdcJU=")</f>
        <v>#REF!</v>
      </c>
      <c r="EU115" t="e">
        <f>AND(#REF!,"FrsrfVXdcJY=")</f>
        <v>#REF!</v>
      </c>
      <c r="EV115" t="e">
        <f>AND(#REF!,"FrsrfVXdcJc=")</f>
        <v>#REF!</v>
      </c>
      <c r="EW115" t="e">
        <f>AND(#REF!,"FrsrfVXdcJg=")</f>
        <v>#REF!</v>
      </c>
      <c r="EX115" t="e">
        <f>AND(#REF!,"FrsrfVXdcJk=")</f>
        <v>#REF!</v>
      </c>
      <c r="EY115" t="e">
        <f>AND(#REF!,"FrsrfVXdcJo=")</f>
        <v>#REF!</v>
      </c>
      <c r="EZ115" t="e">
        <f>AND(#REF!,"FrsrfVXdcJs=")</f>
        <v>#REF!</v>
      </c>
      <c r="FA115" t="e">
        <f>AND(#REF!,"FrsrfVXdcJw=")</f>
        <v>#REF!</v>
      </c>
      <c r="FB115" t="e">
        <f>AND(#REF!,"FrsrfVXdcJ0=")</f>
        <v>#REF!</v>
      </c>
      <c r="FC115" t="e">
        <f>AND(#REF!,"FrsrfVXdcJ4=")</f>
        <v>#REF!</v>
      </c>
      <c r="FD115" t="e">
        <f>AND(#REF!,"FrsrfVXdcJ8=")</f>
        <v>#REF!</v>
      </c>
      <c r="FE115" t="e">
        <f>AND(#REF!,"FrsrfVXdcKA=")</f>
        <v>#REF!</v>
      </c>
      <c r="FF115" t="e">
        <f>AND(#REF!,"FrsrfVXdcKE=")</f>
        <v>#REF!</v>
      </c>
      <c r="FG115" t="e">
        <f>AND(#REF!,"FrsrfVXdcKI=")</f>
        <v>#REF!</v>
      </c>
      <c r="FH115" t="e">
        <f>AND(#REF!,"FrsrfVXdcKM=")</f>
        <v>#REF!</v>
      </c>
      <c r="FI115" t="e">
        <f>AND(#REF!,"FrsrfVXdcKQ=")</f>
        <v>#REF!</v>
      </c>
      <c r="FJ115" t="e">
        <f>AND(#REF!,"FrsrfVXdcKU=")</f>
        <v>#REF!</v>
      </c>
      <c r="FK115" t="e">
        <f>AND(#REF!,"FrsrfVXdcKY=")</f>
        <v>#REF!</v>
      </c>
      <c r="FL115" t="e">
        <f>AND(#REF!,"FrsrfVXdcKc=")</f>
        <v>#REF!</v>
      </c>
      <c r="FM115" t="e">
        <f>AND(#REF!,"FrsrfVXdcKg=")</f>
        <v>#REF!</v>
      </c>
      <c r="FN115" t="e">
        <f>AND(#REF!,"FrsrfVXdcKk=")</f>
        <v>#REF!</v>
      </c>
      <c r="FO115" t="e">
        <f>AND(#REF!,"FrsrfVXdcKo=")</f>
        <v>#REF!</v>
      </c>
      <c r="FP115" t="e">
        <f>AND(#REF!,"FrsrfVXdcKs=")</f>
        <v>#REF!</v>
      </c>
      <c r="FQ115" t="e">
        <f>AND(#REF!,"FrsrfVXdcKw=")</f>
        <v>#REF!</v>
      </c>
      <c r="FR115" t="e">
        <f>AND(#REF!,"FrsrfVXdcK0=")</f>
        <v>#REF!</v>
      </c>
      <c r="FS115" t="e">
        <f>AND(#REF!,"FrsrfVXdcK4=")</f>
        <v>#REF!</v>
      </c>
      <c r="FT115" t="e">
        <f>AND(#REF!,"FrsrfVXdcK8=")</f>
        <v>#REF!</v>
      </c>
      <c r="FU115" t="e">
        <f>AND(#REF!,"FrsrfVXdcLA=")</f>
        <v>#REF!</v>
      </c>
      <c r="FV115" t="e">
        <f>AND(#REF!,"FrsrfVXdcLE=")</f>
        <v>#REF!</v>
      </c>
      <c r="FW115" t="e">
        <f>AND(#REF!,"FrsrfVXdcLI=")</f>
        <v>#REF!</v>
      </c>
      <c r="FX115" t="e">
        <f>AND(#REF!,"FrsrfVXdcLM=")</f>
        <v>#REF!</v>
      </c>
      <c r="FY115" t="e">
        <f>AND(#REF!,"FrsrfVXdcLQ=")</f>
        <v>#REF!</v>
      </c>
      <c r="FZ115" t="e">
        <f>AND(#REF!,"FrsrfVXdcLU=")</f>
        <v>#REF!</v>
      </c>
      <c r="GA115" t="e">
        <f>AND(#REF!,"FrsrfVXdcLY=")</f>
        <v>#REF!</v>
      </c>
      <c r="GB115" t="e">
        <f>AND(#REF!,"FrsrfVXdcLc=")</f>
        <v>#REF!</v>
      </c>
      <c r="GC115" t="e">
        <f>AND(#REF!,"FrsrfVXdcLg=")</f>
        <v>#REF!</v>
      </c>
      <c r="GD115" t="e">
        <f>AND(#REF!,"FrsrfVXdcLk=")</f>
        <v>#REF!</v>
      </c>
      <c r="GE115" t="e">
        <f>AND(#REF!,"FrsrfVXdcLo=")</f>
        <v>#REF!</v>
      </c>
      <c r="GF115" t="e">
        <f>AND(#REF!,"FrsrfVXdcLs=")</f>
        <v>#REF!</v>
      </c>
      <c r="GG115" t="e">
        <f>AND(#REF!,"FrsrfVXdcLw=")</f>
        <v>#REF!</v>
      </c>
      <c r="GH115" t="e">
        <f>AND(#REF!,"FrsrfVXdcL0=")</f>
        <v>#REF!</v>
      </c>
      <c r="GI115" t="e">
        <f>AND(#REF!,"FrsrfVXdcL4=")</f>
        <v>#REF!</v>
      </c>
      <c r="GJ115" t="e">
        <f>AND(#REF!,"FrsrfVXdcL8=")</f>
        <v>#REF!</v>
      </c>
      <c r="GK115" t="e">
        <f>AND(#REF!,"FrsrfVXdcMA=")</f>
        <v>#REF!</v>
      </c>
      <c r="GL115" t="e">
        <f>AND(#REF!,"FrsrfVXdcME=")</f>
        <v>#REF!</v>
      </c>
      <c r="GM115" t="e">
        <f>AND(#REF!,"FrsrfVXdcMI=")</f>
        <v>#REF!</v>
      </c>
      <c r="GN115" t="e">
        <f>AND(#REF!,"FrsrfVXdcMM=")</f>
        <v>#REF!</v>
      </c>
      <c r="GO115" t="e">
        <f>AND(#REF!,"FrsrfVXdcMQ=")</f>
        <v>#REF!</v>
      </c>
      <c r="GP115" t="e">
        <f>AND(#REF!,"FrsrfVXdcMU=")</f>
        <v>#REF!</v>
      </c>
      <c r="GQ115" t="e">
        <f>AND(#REF!,"FrsrfVXdcMY=")</f>
        <v>#REF!</v>
      </c>
      <c r="GR115" t="e">
        <f>AND(#REF!,"FrsrfVXdcMc=")</f>
        <v>#REF!</v>
      </c>
      <c r="GS115" t="e">
        <f>AND(#REF!,"FrsrfVXdcMg=")</f>
        <v>#REF!</v>
      </c>
      <c r="GT115" t="e">
        <f>AND(#REF!,"FrsrfVXdcMk=")</f>
        <v>#REF!</v>
      </c>
      <c r="GU115" t="e">
        <f>AND(#REF!,"FrsrfVXdcMo=")</f>
        <v>#REF!</v>
      </c>
      <c r="GV115" t="e">
        <f>AND(#REF!,"FrsrfVXdcMs=")</f>
        <v>#REF!</v>
      </c>
      <c r="GW115" t="e">
        <f>AND(#REF!,"FrsrfVXdcMw=")</f>
        <v>#REF!</v>
      </c>
      <c r="GX115" t="e">
        <f>AND(#REF!,"FrsrfVXdcM0=")</f>
        <v>#REF!</v>
      </c>
      <c r="GY115" t="e">
        <f>AND(#REF!,"FrsrfVXdcM4=")</f>
        <v>#REF!</v>
      </c>
      <c r="GZ115" t="e">
        <f>AND(#REF!,"FrsrfVXdcM8=")</f>
        <v>#REF!</v>
      </c>
      <c r="HA115" t="e">
        <f>AND(#REF!,"FrsrfVXdcNA=")</f>
        <v>#REF!</v>
      </c>
      <c r="HB115" t="e">
        <f>AND(#REF!,"FrsrfVXdcNE=")</f>
        <v>#REF!</v>
      </c>
      <c r="HC115" t="e">
        <f>AND(#REF!,"FrsrfVXdcNI=")</f>
        <v>#REF!</v>
      </c>
      <c r="HD115" t="e">
        <f>AND(#REF!,"FrsrfVXdcNM=")</f>
        <v>#REF!</v>
      </c>
      <c r="HE115" t="e">
        <f>AND(#REF!,"FrsrfVXdcNQ=")</f>
        <v>#REF!</v>
      </c>
      <c r="HF115" t="e">
        <f>AND(#REF!,"FrsrfVXdcNU=")</f>
        <v>#REF!</v>
      </c>
      <c r="HG115" t="e">
        <f>IF(#REF!,"FrsrfVXdcNY=",0)</f>
        <v>#REF!</v>
      </c>
      <c r="HH115" t="e">
        <f>AND(#REF!,"FrsrfVXdcNc=")</f>
        <v>#REF!</v>
      </c>
      <c r="HI115" t="e">
        <f>AND(#REF!,"FrsrfVXdcNg=")</f>
        <v>#REF!</v>
      </c>
      <c r="HJ115" t="e">
        <f>AND(#REF!,"FrsrfVXdcNk=")</f>
        <v>#REF!</v>
      </c>
      <c r="HK115" t="e">
        <f>AND(#REF!,"FrsrfVXdcNo=")</f>
        <v>#REF!</v>
      </c>
      <c r="HL115" t="e">
        <f>AND(#REF!,"FrsrfVXdcNs=")</f>
        <v>#REF!</v>
      </c>
      <c r="HM115" t="e">
        <f>AND(#REF!,"FrsrfVXdcNw=")</f>
        <v>#REF!</v>
      </c>
      <c r="HN115" t="e">
        <f>AND(#REF!,"FrsrfVXdcN0=")</f>
        <v>#REF!</v>
      </c>
      <c r="HO115" t="e">
        <f>AND(#REF!,"FrsrfVXdcN4=")</f>
        <v>#REF!</v>
      </c>
      <c r="HP115" t="e">
        <f>AND(#REF!,"FrsrfVXdcN8=")</f>
        <v>#REF!</v>
      </c>
      <c r="HQ115" t="e">
        <f>AND(#REF!,"FrsrfVXdcOA=")</f>
        <v>#REF!</v>
      </c>
      <c r="HR115" t="e">
        <f>AND(#REF!,"FrsrfVXdcOE=")</f>
        <v>#REF!</v>
      </c>
      <c r="HS115" t="e">
        <f>AND(#REF!,"FrsrfVXdcOI=")</f>
        <v>#REF!</v>
      </c>
      <c r="HT115" t="e">
        <f>AND(#REF!,"FrsrfVXdcOM=")</f>
        <v>#REF!</v>
      </c>
      <c r="HU115" t="e">
        <f>AND(#REF!,"FrsrfVXdcOQ=")</f>
        <v>#REF!</v>
      </c>
      <c r="HV115" t="e">
        <f>AND(#REF!,"FrsrfVXdcOU=")</f>
        <v>#REF!</v>
      </c>
      <c r="HW115" t="e">
        <f>AND(#REF!,"FrsrfVXdcOY=")</f>
        <v>#REF!</v>
      </c>
      <c r="HX115" t="e">
        <f>AND(#REF!,"FrsrfVXdcOc=")</f>
        <v>#REF!</v>
      </c>
      <c r="HY115" t="e">
        <f>AND(#REF!,"FrsrfVXdcOg=")</f>
        <v>#REF!</v>
      </c>
      <c r="HZ115" t="e">
        <f>AND(#REF!,"FrsrfVXdcOk=")</f>
        <v>#REF!</v>
      </c>
      <c r="IA115" t="e">
        <f>AND(#REF!,"FrsrfVXdcOo=")</f>
        <v>#REF!</v>
      </c>
      <c r="IB115" t="e">
        <f>AND(#REF!,"FrsrfVXdcOs=")</f>
        <v>#REF!</v>
      </c>
      <c r="IC115" t="e">
        <f>AND(#REF!,"FrsrfVXdcOw=")</f>
        <v>#REF!</v>
      </c>
      <c r="ID115" t="e">
        <f>AND(#REF!,"FrsrfVXdcO0=")</f>
        <v>#REF!</v>
      </c>
      <c r="IE115" t="e">
        <f>AND(#REF!,"FrsrfVXdcO4=")</f>
        <v>#REF!</v>
      </c>
      <c r="IF115" t="e">
        <f>AND(#REF!,"FrsrfVXdcO8=")</f>
        <v>#REF!</v>
      </c>
      <c r="IG115" t="e">
        <f>AND(#REF!,"FrsrfVXdcPA=")</f>
        <v>#REF!</v>
      </c>
      <c r="IH115" t="e">
        <f>AND(#REF!,"FrsrfVXdcPE=")</f>
        <v>#REF!</v>
      </c>
      <c r="II115" t="e">
        <f>AND(#REF!,"FrsrfVXdcPI=")</f>
        <v>#REF!</v>
      </c>
      <c r="IJ115" t="e">
        <f>AND(#REF!,"FrsrfVXdcPM=")</f>
        <v>#REF!</v>
      </c>
      <c r="IK115" t="e">
        <f>AND(#REF!,"FrsrfVXdcPQ=")</f>
        <v>#REF!</v>
      </c>
      <c r="IL115" t="e">
        <f>AND(#REF!,"FrsrfVXdcPU=")</f>
        <v>#REF!</v>
      </c>
      <c r="IM115" t="e">
        <f>AND(#REF!,"FrsrfVXdcPY=")</f>
        <v>#REF!</v>
      </c>
      <c r="IN115" t="e">
        <f>AND(#REF!,"FrsrfVXdcPc=")</f>
        <v>#REF!</v>
      </c>
      <c r="IO115" t="e">
        <f>AND(#REF!,"FrsrfVXdcPg=")</f>
        <v>#REF!</v>
      </c>
      <c r="IP115" t="e">
        <f>AND(#REF!,"FrsrfVXdcPk=")</f>
        <v>#REF!</v>
      </c>
      <c r="IQ115" t="e">
        <f>AND(#REF!,"FrsrfVXdcPo=")</f>
        <v>#REF!</v>
      </c>
      <c r="IR115" t="e">
        <f>AND(#REF!,"FrsrfVXdcPs=")</f>
        <v>#REF!</v>
      </c>
      <c r="IS115" t="e">
        <f>AND(#REF!,"FrsrfVXdcPw=")</f>
        <v>#REF!</v>
      </c>
      <c r="IT115" t="e">
        <f>AND(#REF!,"FrsrfVXdcP0=")</f>
        <v>#REF!</v>
      </c>
      <c r="IU115" t="e">
        <f>AND(#REF!,"FrsrfVXdcP4=")</f>
        <v>#REF!</v>
      </c>
      <c r="IV115" t="e">
        <f>AND(#REF!,"FrsrfVXdcP8=")</f>
        <v>#REF!</v>
      </c>
    </row>
    <row r="116" spans="1:256" x14ac:dyDescent="0.2">
      <c r="A116" t="e">
        <f>AND(#REF!,"XOzQKgqEEgA=")</f>
        <v>#REF!</v>
      </c>
      <c r="B116" t="e">
        <f>AND(#REF!,"XOzQKgqEEgE=")</f>
        <v>#REF!</v>
      </c>
      <c r="C116" t="e">
        <f>AND(#REF!,"XOzQKgqEEgI=")</f>
        <v>#REF!</v>
      </c>
      <c r="D116" t="e">
        <f>AND(#REF!,"XOzQKgqEEgM=")</f>
        <v>#REF!</v>
      </c>
      <c r="E116" t="e">
        <f>AND(#REF!,"XOzQKgqEEgQ=")</f>
        <v>#REF!</v>
      </c>
      <c r="F116" t="e">
        <f>AND(#REF!,"XOzQKgqEEgU=")</f>
        <v>#REF!</v>
      </c>
      <c r="G116" t="e">
        <f>AND(#REF!,"XOzQKgqEEgY=")</f>
        <v>#REF!</v>
      </c>
      <c r="H116" t="e">
        <f>AND(#REF!,"XOzQKgqEEgc=")</f>
        <v>#REF!</v>
      </c>
      <c r="I116" t="e">
        <f>AND(#REF!,"XOzQKgqEEgg=")</f>
        <v>#REF!</v>
      </c>
      <c r="J116" t="e">
        <f>AND(#REF!,"XOzQKgqEEgk=")</f>
        <v>#REF!</v>
      </c>
      <c r="K116" t="e">
        <f>AND(#REF!,"XOzQKgqEEgo=")</f>
        <v>#REF!</v>
      </c>
      <c r="L116" t="e">
        <f>AND(#REF!,"XOzQKgqEEgs=")</f>
        <v>#REF!</v>
      </c>
      <c r="M116" t="e">
        <f>AND(#REF!,"XOzQKgqEEgw=")</f>
        <v>#REF!</v>
      </c>
      <c r="N116" t="e">
        <f>AND(#REF!,"XOzQKgqEEg0=")</f>
        <v>#REF!</v>
      </c>
      <c r="O116" t="e">
        <f>AND(#REF!,"XOzQKgqEEg4=")</f>
        <v>#REF!</v>
      </c>
      <c r="P116" t="e">
        <f>AND(#REF!,"XOzQKgqEEg8=")</f>
        <v>#REF!</v>
      </c>
      <c r="Q116" t="e">
        <f>AND(#REF!,"XOzQKgqEEhA=")</f>
        <v>#REF!</v>
      </c>
      <c r="R116" t="e">
        <f>AND(#REF!,"XOzQKgqEEhE=")</f>
        <v>#REF!</v>
      </c>
      <c r="S116" t="e">
        <f>AND(#REF!,"XOzQKgqEEhI=")</f>
        <v>#REF!</v>
      </c>
      <c r="T116" t="e">
        <f>AND(#REF!,"XOzQKgqEEhM=")</f>
        <v>#REF!</v>
      </c>
      <c r="U116" t="e">
        <f>AND(#REF!,"XOzQKgqEEhQ=")</f>
        <v>#REF!</v>
      </c>
      <c r="V116" t="e">
        <f>AND(#REF!,"XOzQKgqEEhU=")</f>
        <v>#REF!</v>
      </c>
      <c r="W116" t="e">
        <f>AND(#REF!,"XOzQKgqEEhY=")</f>
        <v>#REF!</v>
      </c>
      <c r="X116" t="e">
        <f>AND(#REF!,"XOzQKgqEEhc=")</f>
        <v>#REF!</v>
      </c>
      <c r="Y116" t="e">
        <f>AND(#REF!,"XOzQKgqEEhg=")</f>
        <v>#REF!</v>
      </c>
      <c r="Z116" t="e">
        <f>AND(#REF!,"XOzQKgqEEhk=")</f>
        <v>#REF!</v>
      </c>
      <c r="AA116" t="e">
        <f>AND(#REF!,"XOzQKgqEEho=")</f>
        <v>#REF!</v>
      </c>
      <c r="AB116" t="e">
        <f>AND(#REF!,"XOzQKgqEEhs=")</f>
        <v>#REF!</v>
      </c>
      <c r="AC116" t="e">
        <f>AND(#REF!,"XOzQKgqEEhw=")</f>
        <v>#REF!</v>
      </c>
      <c r="AD116" t="e">
        <f>AND(#REF!,"XOzQKgqEEh0=")</f>
        <v>#REF!</v>
      </c>
      <c r="AE116" t="e">
        <f>AND(#REF!,"XOzQKgqEEh4=")</f>
        <v>#REF!</v>
      </c>
      <c r="AF116" t="e">
        <f>AND(#REF!,"XOzQKgqEEh8=")</f>
        <v>#REF!</v>
      </c>
      <c r="AG116" t="e">
        <f>AND(#REF!,"XOzQKgqEEiA=")</f>
        <v>#REF!</v>
      </c>
      <c r="AH116" t="e">
        <f>AND(#REF!,"XOzQKgqEEiE=")</f>
        <v>#REF!</v>
      </c>
      <c r="AI116" t="e">
        <f>AND(#REF!,"XOzQKgqEEiI=")</f>
        <v>#REF!</v>
      </c>
      <c r="AJ116" t="e">
        <f>AND(#REF!,"XOzQKgqEEiM=")</f>
        <v>#REF!</v>
      </c>
      <c r="AK116" t="e">
        <f>AND(#REF!,"XOzQKgqEEiQ=")</f>
        <v>#REF!</v>
      </c>
      <c r="AL116" t="e">
        <f>AND(#REF!,"XOzQKgqEEiU=")</f>
        <v>#REF!</v>
      </c>
      <c r="AM116" t="e">
        <f>AND(#REF!,"XOzQKgqEEiY=")</f>
        <v>#REF!</v>
      </c>
      <c r="AN116" t="e">
        <f>AND(#REF!,"XOzQKgqEEic=")</f>
        <v>#REF!</v>
      </c>
      <c r="AO116" t="e">
        <f>AND(#REF!,"XOzQKgqEEig=")</f>
        <v>#REF!</v>
      </c>
      <c r="AP116" t="e">
        <f>AND(#REF!,"XOzQKgqEEik=")</f>
        <v>#REF!</v>
      </c>
      <c r="AQ116" t="e">
        <f>AND(#REF!,"XOzQKgqEEio=")</f>
        <v>#REF!</v>
      </c>
      <c r="AR116" t="e">
        <f>AND(#REF!,"XOzQKgqEEis=")</f>
        <v>#REF!</v>
      </c>
      <c r="AS116" t="e">
        <f>AND(#REF!,"XOzQKgqEEiw=")</f>
        <v>#REF!</v>
      </c>
      <c r="AT116" t="e">
        <f>AND(#REF!,"XOzQKgqEEi0=")</f>
        <v>#REF!</v>
      </c>
      <c r="AU116" t="e">
        <f>AND(#REF!,"XOzQKgqEEi4=")</f>
        <v>#REF!</v>
      </c>
      <c r="AV116" t="e">
        <f>AND(#REF!,"XOzQKgqEEi8=")</f>
        <v>#REF!</v>
      </c>
      <c r="AW116" t="e">
        <f>AND(#REF!,"XOzQKgqEEjA=")</f>
        <v>#REF!</v>
      </c>
      <c r="AX116" t="e">
        <f>AND(#REF!,"XOzQKgqEEjE=")</f>
        <v>#REF!</v>
      </c>
      <c r="AY116" t="e">
        <f>AND(#REF!,"XOzQKgqEEjI=")</f>
        <v>#REF!</v>
      </c>
      <c r="AZ116" t="e">
        <f>AND(#REF!,"XOzQKgqEEjM=")</f>
        <v>#REF!</v>
      </c>
      <c r="BA116" t="e">
        <f>AND(#REF!,"XOzQKgqEEjQ=")</f>
        <v>#REF!</v>
      </c>
      <c r="BB116" t="e">
        <f>AND(#REF!,"XOzQKgqEEjU=")</f>
        <v>#REF!</v>
      </c>
      <c r="BC116" t="e">
        <f>AND(#REF!,"XOzQKgqEEjY=")</f>
        <v>#REF!</v>
      </c>
      <c r="BD116" t="e">
        <f>AND(#REF!,"XOzQKgqEEjc=")</f>
        <v>#REF!</v>
      </c>
      <c r="BE116" t="e">
        <f>AND(#REF!,"XOzQKgqEEjg=")</f>
        <v>#REF!</v>
      </c>
      <c r="BF116" t="e">
        <f>AND(#REF!,"XOzQKgqEEjk=")</f>
        <v>#REF!</v>
      </c>
      <c r="BG116" t="e">
        <f>AND(#REF!,"XOzQKgqEEjo=")</f>
        <v>#REF!</v>
      </c>
      <c r="BH116" t="e">
        <f>AND(#REF!,"XOzQKgqEEjs=")</f>
        <v>#REF!</v>
      </c>
      <c r="BI116" t="e">
        <f>AND(#REF!,"XOzQKgqEEjw=")</f>
        <v>#REF!</v>
      </c>
      <c r="BJ116" t="e">
        <f>AND(#REF!,"XOzQKgqEEj0=")</f>
        <v>#REF!</v>
      </c>
      <c r="BK116" t="e">
        <f>AND(#REF!,"XOzQKgqEEj4=")</f>
        <v>#REF!</v>
      </c>
      <c r="BL116" t="e">
        <f>AND(#REF!,"XOzQKgqEEj8=")</f>
        <v>#REF!</v>
      </c>
      <c r="BM116" t="e">
        <f>AND(#REF!,"XOzQKgqEEkA=")</f>
        <v>#REF!</v>
      </c>
      <c r="BN116" t="e">
        <f>AND(#REF!,"XOzQKgqEEkE=")</f>
        <v>#REF!</v>
      </c>
      <c r="BO116" t="e">
        <f>AND(#REF!,"XOzQKgqEEkI=")</f>
        <v>#REF!</v>
      </c>
      <c r="BP116" t="e">
        <f>AND(#REF!,"XOzQKgqEEkM=")</f>
        <v>#REF!</v>
      </c>
      <c r="BQ116" t="e">
        <f>AND(#REF!,"XOzQKgqEEkQ=")</f>
        <v>#REF!</v>
      </c>
      <c r="BR116" t="e">
        <f>AND(#REF!,"XOzQKgqEEkU=")</f>
        <v>#REF!</v>
      </c>
      <c r="BS116" t="e">
        <f>AND(#REF!,"XOzQKgqEEkY=")</f>
        <v>#REF!</v>
      </c>
      <c r="BT116" t="e">
        <f>AND(#REF!,"XOzQKgqEEkc=")</f>
        <v>#REF!</v>
      </c>
      <c r="BU116" t="e">
        <f>AND(#REF!,"XOzQKgqEEkg=")</f>
        <v>#REF!</v>
      </c>
      <c r="BV116" t="e">
        <f>AND(#REF!,"XOzQKgqEEkk=")</f>
        <v>#REF!</v>
      </c>
      <c r="BW116" t="e">
        <f>AND(#REF!,"XOzQKgqEEko=")</f>
        <v>#REF!</v>
      </c>
      <c r="BX116" t="e">
        <f>AND(#REF!,"XOzQKgqEEks=")</f>
        <v>#REF!</v>
      </c>
      <c r="BY116" t="e">
        <f>AND(#REF!,"XOzQKgqEEkw=")</f>
        <v>#REF!</v>
      </c>
      <c r="BZ116" t="e">
        <f>AND(#REF!,"XOzQKgqEEk0=")</f>
        <v>#REF!</v>
      </c>
      <c r="CA116" t="e">
        <f>AND(#REF!,"XOzQKgqEEk4=")</f>
        <v>#REF!</v>
      </c>
      <c r="CB116" t="e">
        <f>AND(#REF!,"XOzQKgqEEk8=")</f>
        <v>#REF!</v>
      </c>
      <c r="CC116" t="e">
        <f>AND(#REF!,"XOzQKgqEElA=")</f>
        <v>#REF!</v>
      </c>
      <c r="CD116" t="e">
        <f>AND(#REF!,"XOzQKgqEElE=")</f>
        <v>#REF!</v>
      </c>
      <c r="CE116" t="e">
        <f>AND(#REF!,"XOzQKgqEElI=")</f>
        <v>#REF!</v>
      </c>
      <c r="CF116" t="e">
        <f>AND(#REF!,"XOzQKgqEElM=")</f>
        <v>#REF!</v>
      </c>
      <c r="CG116" t="e">
        <f>AND(#REF!,"XOzQKgqEElQ=")</f>
        <v>#REF!</v>
      </c>
      <c r="CH116" t="e">
        <f>AND(#REF!,"XOzQKgqEElU=")</f>
        <v>#REF!</v>
      </c>
      <c r="CI116" t="e">
        <f>AND(#REF!,"XOzQKgqEElY=")</f>
        <v>#REF!</v>
      </c>
      <c r="CJ116" t="e">
        <f>AND(#REF!,"XOzQKgqEElc=")</f>
        <v>#REF!</v>
      </c>
      <c r="CK116" t="e">
        <f>AND(#REF!,"XOzQKgqEElg=")</f>
        <v>#REF!</v>
      </c>
      <c r="CL116" t="e">
        <f>AND(#REF!,"XOzQKgqEElk=")</f>
        <v>#REF!</v>
      </c>
      <c r="CM116" t="e">
        <f>AND(#REF!,"XOzQKgqEElo=")</f>
        <v>#REF!</v>
      </c>
      <c r="CN116" t="e">
        <f>AND(#REF!,"XOzQKgqEEls=")</f>
        <v>#REF!</v>
      </c>
      <c r="CO116" t="e">
        <f>AND(#REF!,"XOzQKgqEElw=")</f>
        <v>#REF!</v>
      </c>
      <c r="CP116" t="e">
        <f>AND(#REF!,"XOzQKgqEEl0=")</f>
        <v>#REF!</v>
      </c>
      <c r="CQ116" t="e">
        <f>AND(#REF!,"XOzQKgqEEl4=")</f>
        <v>#REF!</v>
      </c>
      <c r="CR116" t="e">
        <f>AND(#REF!,"XOzQKgqEEl8=")</f>
        <v>#REF!</v>
      </c>
      <c r="CS116" t="e">
        <f>AND(#REF!,"XOzQKgqEEmA=")</f>
        <v>#REF!</v>
      </c>
      <c r="CT116" t="e">
        <f>AND(#REF!,"XOzQKgqEEmE=")</f>
        <v>#REF!</v>
      </c>
      <c r="CU116" t="e">
        <f>AND(#REF!,"XOzQKgqEEmI=")</f>
        <v>#REF!</v>
      </c>
      <c r="CV116" t="e">
        <f>AND(#REF!,"XOzQKgqEEmM=")</f>
        <v>#REF!</v>
      </c>
      <c r="CW116" t="e">
        <f>AND(#REF!,"XOzQKgqEEmQ=")</f>
        <v>#REF!</v>
      </c>
      <c r="CX116" t="e">
        <f>AND(#REF!,"XOzQKgqEEmU=")</f>
        <v>#REF!</v>
      </c>
      <c r="CY116" t="e">
        <f>AND(#REF!,"XOzQKgqEEmY=")</f>
        <v>#REF!</v>
      </c>
      <c r="CZ116" t="e">
        <f>AND(#REF!,"XOzQKgqEEmc=")</f>
        <v>#REF!</v>
      </c>
      <c r="DA116" t="e">
        <f>AND(#REF!,"XOzQKgqEEmg=")</f>
        <v>#REF!</v>
      </c>
      <c r="DB116" t="e">
        <f>AND(#REF!,"XOzQKgqEEmk=")</f>
        <v>#REF!</v>
      </c>
      <c r="DC116" t="e">
        <f>AND(#REF!,"XOzQKgqEEmo=")</f>
        <v>#REF!</v>
      </c>
      <c r="DD116" t="e">
        <f>AND(#REF!,"XOzQKgqEEms=")</f>
        <v>#REF!</v>
      </c>
      <c r="DE116" t="e">
        <f>AND(#REF!,"XOzQKgqEEmw=")</f>
        <v>#REF!</v>
      </c>
      <c r="DF116" t="e">
        <f>AND(#REF!,"XOzQKgqEEm0=")</f>
        <v>#REF!</v>
      </c>
      <c r="DG116" t="e">
        <f>AND(#REF!,"XOzQKgqEEm4=")</f>
        <v>#REF!</v>
      </c>
      <c r="DH116" t="e">
        <f>AND(#REF!,"XOzQKgqEEm8=")</f>
        <v>#REF!</v>
      </c>
      <c r="DI116" t="e">
        <f>AND(#REF!,"XOzQKgqEEnA=")</f>
        <v>#REF!</v>
      </c>
      <c r="DJ116" t="e">
        <f>AND(#REF!,"XOzQKgqEEnE=")</f>
        <v>#REF!</v>
      </c>
      <c r="DK116" t="e">
        <f>AND(#REF!,"XOzQKgqEEnI=")</f>
        <v>#REF!</v>
      </c>
      <c r="DL116" t="e">
        <f>AND(#REF!,"XOzQKgqEEnM=")</f>
        <v>#REF!</v>
      </c>
      <c r="DM116" t="e">
        <f>AND(#REF!,"XOzQKgqEEnQ=")</f>
        <v>#REF!</v>
      </c>
      <c r="DN116" t="e">
        <f>AND(#REF!,"XOzQKgqEEnU=")</f>
        <v>#REF!</v>
      </c>
      <c r="DO116" t="e">
        <f>AND(#REF!,"XOzQKgqEEnY=")</f>
        <v>#REF!</v>
      </c>
      <c r="DP116" t="e">
        <f>AND(#REF!,"XOzQKgqEEnc=")</f>
        <v>#REF!</v>
      </c>
      <c r="DQ116" t="e">
        <f>AND(#REF!,"XOzQKgqEEng=")</f>
        <v>#REF!</v>
      </c>
      <c r="DR116" t="e">
        <f>AND(#REF!,"XOzQKgqEEnk=")</f>
        <v>#REF!</v>
      </c>
      <c r="DS116" t="e">
        <f>AND(#REF!,"XOzQKgqEEno=")</f>
        <v>#REF!</v>
      </c>
      <c r="DT116" t="e">
        <f>AND(#REF!,"XOzQKgqEEns=")</f>
        <v>#REF!</v>
      </c>
      <c r="DU116" t="e">
        <f>AND(#REF!,"XOzQKgqEEnw=")</f>
        <v>#REF!</v>
      </c>
      <c r="DV116" t="e">
        <f>AND(#REF!,"XOzQKgqEEn0=")</f>
        <v>#REF!</v>
      </c>
      <c r="DW116" t="e">
        <f>AND(#REF!,"XOzQKgqEEn4=")</f>
        <v>#REF!</v>
      </c>
      <c r="DX116" t="e">
        <f>AND(#REF!,"XOzQKgqEEn8=")</f>
        <v>#REF!</v>
      </c>
      <c r="DY116" t="e">
        <f>AND(#REF!,"XOzQKgqEEoA=")</f>
        <v>#REF!</v>
      </c>
      <c r="DZ116" t="e">
        <f>AND(#REF!,"XOzQKgqEEoE=")</f>
        <v>#REF!</v>
      </c>
      <c r="EA116" t="e">
        <f>AND(#REF!,"XOzQKgqEEoI=")</f>
        <v>#REF!</v>
      </c>
      <c r="EB116" t="e">
        <f>AND(#REF!,"XOzQKgqEEoM=")</f>
        <v>#REF!</v>
      </c>
      <c r="EC116" t="e">
        <f>AND(#REF!,"XOzQKgqEEoQ=")</f>
        <v>#REF!</v>
      </c>
      <c r="ED116" t="e">
        <f>AND(#REF!,"XOzQKgqEEoU=")</f>
        <v>#REF!</v>
      </c>
      <c r="EE116" t="e">
        <f>AND(#REF!,"XOzQKgqEEoY=")</f>
        <v>#REF!</v>
      </c>
      <c r="EF116" t="e">
        <f>AND(#REF!,"XOzQKgqEEoc=")</f>
        <v>#REF!</v>
      </c>
      <c r="EG116" t="e">
        <f>AND(#REF!,"XOzQKgqEEog=")</f>
        <v>#REF!</v>
      </c>
      <c r="EH116" t="e">
        <f>AND(#REF!,"XOzQKgqEEok=")</f>
        <v>#REF!</v>
      </c>
      <c r="EI116" t="e">
        <f>AND(#REF!,"XOzQKgqEEoo=")</f>
        <v>#REF!</v>
      </c>
      <c r="EJ116" t="e">
        <f>AND(#REF!,"XOzQKgqEEos=")</f>
        <v>#REF!</v>
      </c>
      <c r="EK116" t="e">
        <f>AND(#REF!,"XOzQKgqEEow=")</f>
        <v>#REF!</v>
      </c>
      <c r="EL116" t="e">
        <f>AND(#REF!,"XOzQKgqEEo0=")</f>
        <v>#REF!</v>
      </c>
      <c r="EM116" t="e">
        <f>AND(#REF!,"XOzQKgqEEo4=")</f>
        <v>#REF!</v>
      </c>
      <c r="EN116" t="e">
        <f>AND(#REF!,"XOzQKgqEEo8=")</f>
        <v>#REF!</v>
      </c>
      <c r="EO116" t="e">
        <f>AND(#REF!,"XOzQKgqEEpA=")</f>
        <v>#REF!</v>
      </c>
      <c r="EP116" t="e">
        <f>AND(#REF!,"XOzQKgqEEpE=")</f>
        <v>#REF!</v>
      </c>
      <c r="EQ116" t="e">
        <f>AND(#REF!,"XOzQKgqEEpI=")</f>
        <v>#REF!</v>
      </c>
      <c r="ER116" t="e">
        <f>AND(#REF!,"XOzQKgqEEpM=")</f>
        <v>#REF!</v>
      </c>
      <c r="ES116" t="e">
        <f>AND(#REF!,"XOzQKgqEEpQ=")</f>
        <v>#REF!</v>
      </c>
      <c r="ET116" t="e">
        <f>AND(#REF!,"XOzQKgqEEpU=")</f>
        <v>#REF!</v>
      </c>
      <c r="EU116" t="e">
        <f>AND(#REF!,"XOzQKgqEEpY=")</f>
        <v>#REF!</v>
      </c>
      <c r="EV116" t="e">
        <f>AND(#REF!,"XOzQKgqEEpc=")</f>
        <v>#REF!</v>
      </c>
      <c r="EW116" t="e">
        <f>AND(#REF!,"XOzQKgqEEpg=")</f>
        <v>#REF!</v>
      </c>
      <c r="EX116" t="e">
        <f>AND(#REF!,"XOzQKgqEEpk=")</f>
        <v>#REF!</v>
      </c>
      <c r="EY116" t="e">
        <f>AND(#REF!,"XOzQKgqEEpo=")</f>
        <v>#REF!</v>
      </c>
      <c r="EZ116" t="e">
        <f>AND(#REF!,"XOzQKgqEEps=")</f>
        <v>#REF!</v>
      </c>
      <c r="FA116" t="e">
        <f>AND(#REF!,"XOzQKgqEEpw=")</f>
        <v>#REF!</v>
      </c>
      <c r="FB116" t="e">
        <f>IF(#REF!,"XOzQKgqEEp0=",0)</f>
        <v>#REF!</v>
      </c>
      <c r="FC116" t="e">
        <f>AND(#REF!,"XOzQKgqEEp4=")</f>
        <v>#REF!</v>
      </c>
      <c r="FD116" t="e">
        <f>AND(#REF!,"XOzQKgqEEp8=")</f>
        <v>#REF!</v>
      </c>
      <c r="FE116" t="e">
        <f>AND(#REF!,"XOzQKgqEEqA=")</f>
        <v>#REF!</v>
      </c>
      <c r="FF116" t="e">
        <f>AND(#REF!,"XOzQKgqEEqE=")</f>
        <v>#REF!</v>
      </c>
      <c r="FG116" t="e">
        <f>AND(#REF!,"XOzQKgqEEqI=")</f>
        <v>#REF!</v>
      </c>
      <c r="FH116" t="e">
        <f>AND(#REF!,"XOzQKgqEEqM=")</f>
        <v>#REF!</v>
      </c>
      <c r="FI116" t="e">
        <f>AND(#REF!,"XOzQKgqEEqQ=")</f>
        <v>#REF!</v>
      </c>
      <c r="FJ116" t="e">
        <f>AND(#REF!,"XOzQKgqEEqU=")</f>
        <v>#REF!</v>
      </c>
      <c r="FK116" t="e">
        <f>AND(#REF!,"XOzQKgqEEqY=")</f>
        <v>#REF!</v>
      </c>
      <c r="FL116" t="e">
        <f>AND(#REF!,"XOzQKgqEEqc=")</f>
        <v>#REF!</v>
      </c>
      <c r="FM116" t="e">
        <f>AND(#REF!,"XOzQKgqEEqg=")</f>
        <v>#REF!</v>
      </c>
      <c r="FN116" t="e">
        <f>AND(#REF!,"XOzQKgqEEqk=")</f>
        <v>#REF!</v>
      </c>
      <c r="FO116" t="e">
        <f>AND(#REF!,"XOzQKgqEEqo=")</f>
        <v>#REF!</v>
      </c>
      <c r="FP116" t="e">
        <f>AND(#REF!,"XOzQKgqEEqs=")</f>
        <v>#REF!</v>
      </c>
      <c r="FQ116" t="e">
        <f>AND(#REF!,"XOzQKgqEEqw=")</f>
        <v>#REF!</v>
      </c>
      <c r="FR116" t="e">
        <f>AND(#REF!,"XOzQKgqEEq0=")</f>
        <v>#REF!</v>
      </c>
      <c r="FS116" t="e">
        <f>AND(#REF!,"XOzQKgqEEq4=")</f>
        <v>#REF!</v>
      </c>
      <c r="FT116" t="e">
        <f>AND(#REF!,"XOzQKgqEEq8=")</f>
        <v>#REF!</v>
      </c>
      <c r="FU116" t="e">
        <f>AND(#REF!,"XOzQKgqEErA=")</f>
        <v>#REF!</v>
      </c>
      <c r="FV116" t="e">
        <f>AND(#REF!,"XOzQKgqEErE=")</f>
        <v>#REF!</v>
      </c>
      <c r="FW116" t="e">
        <f>AND(#REF!,"XOzQKgqEErI=")</f>
        <v>#REF!</v>
      </c>
      <c r="FX116" t="e">
        <f>AND(#REF!,"XOzQKgqEErM=")</f>
        <v>#REF!</v>
      </c>
      <c r="FY116" t="e">
        <f>AND(#REF!,"XOzQKgqEErQ=")</f>
        <v>#REF!</v>
      </c>
      <c r="FZ116" t="e">
        <f>AND(#REF!,"XOzQKgqEErU=")</f>
        <v>#REF!</v>
      </c>
      <c r="GA116" t="e">
        <f>AND(#REF!,"XOzQKgqEErY=")</f>
        <v>#REF!</v>
      </c>
      <c r="GB116" t="e">
        <f>AND(#REF!,"XOzQKgqEErc=")</f>
        <v>#REF!</v>
      </c>
      <c r="GC116" t="e">
        <f>AND(#REF!,"XOzQKgqEErg=")</f>
        <v>#REF!</v>
      </c>
      <c r="GD116" t="e">
        <f>AND(#REF!,"XOzQKgqEErk=")</f>
        <v>#REF!</v>
      </c>
      <c r="GE116" t="e">
        <f>AND(#REF!,"XOzQKgqEEro=")</f>
        <v>#REF!</v>
      </c>
      <c r="GF116" t="e">
        <f>AND(#REF!,"XOzQKgqEErs=")</f>
        <v>#REF!</v>
      </c>
      <c r="GG116" t="e">
        <f>AND(#REF!,"XOzQKgqEErw=")</f>
        <v>#REF!</v>
      </c>
      <c r="GH116" t="e">
        <f>AND(#REF!,"XOzQKgqEEr0=")</f>
        <v>#REF!</v>
      </c>
      <c r="GI116" t="e">
        <f>AND(#REF!,"XOzQKgqEEr4=")</f>
        <v>#REF!</v>
      </c>
      <c r="GJ116" t="e">
        <f>AND(#REF!,"XOzQKgqEEr8=")</f>
        <v>#REF!</v>
      </c>
      <c r="GK116" t="e">
        <f>AND(#REF!,"XOzQKgqEEsA=")</f>
        <v>#REF!</v>
      </c>
      <c r="GL116" t="e">
        <f>AND(#REF!,"XOzQKgqEEsE=")</f>
        <v>#REF!</v>
      </c>
      <c r="GM116" t="e">
        <f>AND(#REF!,"XOzQKgqEEsI=")</f>
        <v>#REF!</v>
      </c>
      <c r="GN116" t="e">
        <f>AND(#REF!,"XOzQKgqEEsM=")</f>
        <v>#REF!</v>
      </c>
      <c r="GO116" t="e">
        <f>AND(#REF!,"XOzQKgqEEsQ=")</f>
        <v>#REF!</v>
      </c>
      <c r="GP116" t="e">
        <f>AND(#REF!,"XOzQKgqEEsU=")</f>
        <v>#REF!</v>
      </c>
      <c r="GQ116" t="e">
        <f>AND(#REF!,"XOzQKgqEEsY=")</f>
        <v>#REF!</v>
      </c>
      <c r="GR116" t="e">
        <f>AND(#REF!,"XOzQKgqEEsc=")</f>
        <v>#REF!</v>
      </c>
      <c r="GS116" t="e">
        <f>AND(#REF!,"XOzQKgqEEsg=")</f>
        <v>#REF!</v>
      </c>
      <c r="GT116" t="e">
        <f>AND(#REF!,"XOzQKgqEEsk=")</f>
        <v>#REF!</v>
      </c>
      <c r="GU116" t="e">
        <f>AND(#REF!,"XOzQKgqEEso=")</f>
        <v>#REF!</v>
      </c>
      <c r="GV116" t="e">
        <f>AND(#REF!,"XOzQKgqEEss=")</f>
        <v>#REF!</v>
      </c>
      <c r="GW116" t="e">
        <f>AND(#REF!,"XOzQKgqEEsw=")</f>
        <v>#REF!</v>
      </c>
      <c r="GX116" t="e">
        <f>AND(#REF!,"XOzQKgqEEs0=")</f>
        <v>#REF!</v>
      </c>
      <c r="GY116" t="e">
        <f>AND(#REF!,"XOzQKgqEEs4=")</f>
        <v>#REF!</v>
      </c>
      <c r="GZ116" t="e">
        <f>AND(#REF!,"XOzQKgqEEs8=")</f>
        <v>#REF!</v>
      </c>
      <c r="HA116" t="e">
        <f>AND(#REF!,"XOzQKgqEEtA=")</f>
        <v>#REF!</v>
      </c>
      <c r="HB116" t="e">
        <f>AND(#REF!,"XOzQKgqEEtE=")</f>
        <v>#REF!</v>
      </c>
      <c r="HC116" t="e">
        <f>AND(#REF!,"XOzQKgqEEtI=")</f>
        <v>#REF!</v>
      </c>
      <c r="HD116" t="e">
        <f>AND(#REF!,"XOzQKgqEEtM=")</f>
        <v>#REF!</v>
      </c>
      <c r="HE116" t="e">
        <f>AND(#REF!,"XOzQKgqEEtQ=")</f>
        <v>#REF!</v>
      </c>
      <c r="HF116" t="e">
        <f>AND(#REF!,"XOzQKgqEEtU=")</f>
        <v>#REF!</v>
      </c>
      <c r="HG116" t="e">
        <f>AND(#REF!,"XOzQKgqEEtY=")</f>
        <v>#REF!</v>
      </c>
      <c r="HH116" t="e">
        <f>AND(#REF!,"XOzQKgqEEtc=")</f>
        <v>#REF!</v>
      </c>
      <c r="HI116" t="e">
        <f>AND(#REF!,"XOzQKgqEEtg=")</f>
        <v>#REF!</v>
      </c>
      <c r="HJ116" t="e">
        <f>AND(#REF!,"XOzQKgqEEtk=")</f>
        <v>#REF!</v>
      </c>
      <c r="HK116" t="e">
        <f>AND(#REF!,"XOzQKgqEEto=")</f>
        <v>#REF!</v>
      </c>
      <c r="HL116" t="e">
        <f>AND(#REF!,"XOzQKgqEEts=")</f>
        <v>#REF!</v>
      </c>
      <c r="HM116" t="e">
        <f>AND(#REF!,"XOzQKgqEEtw=")</f>
        <v>#REF!</v>
      </c>
      <c r="HN116" t="e">
        <f>AND(#REF!,"XOzQKgqEEt0=")</f>
        <v>#REF!</v>
      </c>
      <c r="HO116" t="e">
        <f>AND(#REF!,"XOzQKgqEEt4=")</f>
        <v>#REF!</v>
      </c>
      <c r="HP116" t="e">
        <f>AND(#REF!,"XOzQKgqEEt8=")</f>
        <v>#REF!</v>
      </c>
      <c r="HQ116" t="e">
        <f>AND(#REF!,"XOzQKgqEEuA=")</f>
        <v>#REF!</v>
      </c>
      <c r="HR116" t="e">
        <f>AND(#REF!,"XOzQKgqEEuE=")</f>
        <v>#REF!</v>
      </c>
      <c r="HS116" t="e">
        <f>AND(#REF!,"XOzQKgqEEuI=")</f>
        <v>#REF!</v>
      </c>
      <c r="HT116" t="e">
        <f>AND(#REF!,"XOzQKgqEEuM=")</f>
        <v>#REF!</v>
      </c>
      <c r="HU116" t="e">
        <f>AND(#REF!,"XOzQKgqEEuQ=")</f>
        <v>#REF!</v>
      </c>
      <c r="HV116" t="e">
        <f>AND(#REF!,"XOzQKgqEEuU=")</f>
        <v>#REF!</v>
      </c>
      <c r="HW116" t="e">
        <f>AND(#REF!,"XOzQKgqEEuY=")</f>
        <v>#REF!</v>
      </c>
      <c r="HX116" t="e">
        <f>AND(#REF!,"XOzQKgqEEuc=")</f>
        <v>#REF!</v>
      </c>
      <c r="HY116" t="e">
        <f>AND(#REF!,"XOzQKgqEEug=")</f>
        <v>#REF!</v>
      </c>
      <c r="HZ116" t="e">
        <f>AND(#REF!,"XOzQKgqEEuk=")</f>
        <v>#REF!</v>
      </c>
      <c r="IA116" t="e">
        <f>AND(#REF!,"XOzQKgqEEuo=")</f>
        <v>#REF!</v>
      </c>
      <c r="IB116" t="e">
        <f>AND(#REF!,"XOzQKgqEEus=")</f>
        <v>#REF!</v>
      </c>
      <c r="IC116" t="e">
        <f>AND(#REF!,"XOzQKgqEEuw=")</f>
        <v>#REF!</v>
      </c>
      <c r="ID116" t="e">
        <f>AND(#REF!,"XOzQKgqEEu0=")</f>
        <v>#REF!</v>
      </c>
      <c r="IE116" t="e">
        <f>AND(#REF!,"XOzQKgqEEu4=")</f>
        <v>#REF!</v>
      </c>
      <c r="IF116" t="e">
        <f>AND(#REF!,"XOzQKgqEEu8=")</f>
        <v>#REF!</v>
      </c>
      <c r="IG116" t="e">
        <f>AND(#REF!,"XOzQKgqEEvA=")</f>
        <v>#REF!</v>
      </c>
      <c r="IH116" t="e">
        <f>AND(#REF!,"XOzQKgqEEvE=")</f>
        <v>#REF!</v>
      </c>
      <c r="II116" t="e">
        <f>AND(#REF!,"XOzQKgqEEvI=")</f>
        <v>#REF!</v>
      </c>
      <c r="IJ116" t="e">
        <f>AND(#REF!,"XOzQKgqEEvM=")</f>
        <v>#REF!</v>
      </c>
      <c r="IK116" t="e">
        <f>AND(#REF!,"XOzQKgqEEvQ=")</f>
        <v>#REF!</v>
      </c>
      <c r="IL116" t="e">
        <f>AND(#REF!,"XOzQKgqEEvU=")</f>
        <v>#REF!</v>
      </c>
      <c r="IM116" t="e">
        <f>AND(#REF!,"XOzQKgqEEvY=")</f>
        <v>#REF!</v>
      </c>
      <c r="IN116" t="e">
        <f>AND(#REF!,"XOzQKgqEEvc=")</f>
        <v>#REF!</v>
      </c>
      <c r="IO116" t="e">
        <f>AND(#REF!,"XOzQKgqEEvg=")</f>
        <v>#REF!</v>
      </c>
      <c r="IP116" t="e">
        <f>AND(#REF!,"XOzQKgqEEvk=")</f>
        <v>#REF!</v>
      </c>
      <c r="IQ116" t="e">
        <f>AND(#REF!,"XOzQKgqEEvo=")</f>
        <v>#REF!</v>
      </c>
      <c r="IR116" t="e">
        <f>AND(#REF!,"XOzQKgqEEvs=")</f>
        <v>#REF!</v>
      </c>
      <c r="IS116" t="e">
        <f>AND(#REF!,"XOzQKgqEEvw=")</f>
        <v>#REF!</v>
      </c>
      <c r="IT116" t="e">
        <f>AND(#REF!,"XOzQKgqEEv0=")</f>
        <v>#REF!</v>
      </c>
      <c r="IU116" t="e">
        <f>AND(#REF!,"XOzQKgqEEv4=")</f>
        <v>#REF!</v>
      </c>
      <c r="IV116" t="e">
        <f>AND(#REF!,"XOzQKgqEEv8=")</f>
        <v>#REF!</v>
      </c>
    </row>
    <row r="117" spans="1:256" x14ac:dyDescent="0.2">
      <c r="A117" t="e">
        <f>AND(#REF!,"LgOG6kUgUwA=")</f>
        <v>#REF!</v>
      </c>
      <c r="B117" t="e">
        <f>AND(#REF!,"LgOG6kUgUwE=")</f>
        <v>#REF!</v>
      </c>
      <c r="C117" t="e">
        <f>AND(#REF!,"LgOG6kUgUwI=")</f>
        <v>#REF!</v>
      </c>
      <c r="D117" t="e">
        <f>AND(#REF!,"LgOG6kUgUwM=")</f>
        <v>#REF!</v>
      </c>
      <c r="E117" t="e">
        <f>AND(#REF!,"LgOG6kUgUwQ=")</f>
        <v>#REF!</v>
      </c>
      <c r="F117" t="e">
        <f>AND(#REF!,"LgOG6kUgUwU=")</f>
        <v>#REF!</v>
      </c>
      <c r="G117" t="e">
        <f>AND(#REF!,"LgOG6kUgUwY=")</f>
        <v>#REF!</v>
      </c>
      <c r="H117" t="e">
        <f>AND(#REF!,"LgOG6kUgUwc=")</f>
        <v>#REF!</v>
      </c>
      <c r="I117" t="e">
        <f>AND(#REF!,"LgOG6kUgUwg=")</f>
        <v>#REF!</v>
      </c>
      <c r="J117" t="e">
        <f>AND(#REF!,"LgOG6kUgUwk=")</f>
        <v>#REF!</v>
      </c>
      <c r="K117" t="e">
        <f>AND(#REF!,"LgOG6kUgUwo=")</f>
        <v>#REF!</v>
      </c>
      <c r="L117" t="e">
        <f>AND(#REF!,"LgOG6kUgUws=")</f>
        <v>#REF!</v>
      </c>
      <c r="M117" t="e">
        <f>AND(#REF!,"LgOG6kUgUww=")</f>
        <v>#REF!</v>
      </c>
      <c r="N117" t="e">
        <f>AND(#REF!,"LgOG6kUgUw0=")</f>
        <v>#REF!</v>
      </c>
      <c r="O117" t="e">
        <f>AND(#REF!,"LgOG6kUgUw4=")</f>
        <v>#REF!</v>
      </c>
      <c r="P117" t="e">
        <f>AND(#REF!,"LgOG6kUgUw8=")</f>
        <v>#REF!</v>
      </c>
      <c r="Q117" t="e">
        <f>AND(#REF!,"LgOG6kUgUxA=")</f>
        <v>#REF!</v>
      </c>
      <c r="R117" t="e">
        <f>AND(#REF!,"LgOG6kUgUxE=")</f>
        <v>#REF!</v>
      </c>
      <c r="S117" t="e">
        <f>AND(#REF!,"LgOG6kUgUxI=")</f>
        <v>#REF!</v>
      </c>
      <c r="T117" t="e">
        <f>AND(#REF!,"LgOG6kUgUxM=")</f>
        <v>#REF!</v>
      </c>
      <c r="U117" t="e">
        <f>AND(#REF!,"LgOG6kUgUxQ=")</f>
        <v>#REF!</v>
      </c>
      <c r="V117" t="e">
        <f>AND(#REF!,"LgOG6kUgUxU=")</f>
        <v>#REF!</v>
      </c>
      <c r="W117" t="e">
        <f>AND(#REF!,"LgOG6kUgUxY=")</f>
        <v>#REF!</v>
      </c>
      <c r="X117" t="e">
        <f>AND(#REF!,"LgOG6kUgUxc=")</f>
        <v>#REF!</v>
      </c>
      <c r="Y117" t="e">
        <f>AND(#REF!,"LgOG6kUgUxg=")</f>
        <v>#REF!</v>
      </c>
      <c r="Z117" t="e">
        <f>AND(#REF!,"LgOG6kUgUxk=")</f>
        <v>#REF!</v>
      </c>
      <c r="AA117" t="e">
        <f>AND(#REF!,"LgOG6kUgUxo=")</f>
        <v>#REF!</v>
      </c>
      <c r="AB117" t="e">
        <f>AND(#REF!,"LgOG6kUgUxs=")</f>
        <v>#REF!</v>
      </c>
      <c r="AC117" t="e">
        <f>AND(#REF!,"LgOG6kUgUxw=")</f>
        <v>#REF!</v>
      </c>
      <c r="AD117" t="e">
        <f>AND(#REF!,"LgOG6kUgUx0=")</f>
        <v>#REF!</v>
      </c>
      <c r="AE117" t="e">
        <f>AND(#REF!,"LgOG6kUgUx4=")</f>
        <v>#REF!</v>
      </c>
      <c r="AF117" t="e">
        <f>AND(#REF!,"LgOG6kUgUx8=")</f>
        <v>#REF!</v>
      </c>
      <c r="AG117" t="e">
        <f>AND(#REF!,"LgOG6kUgUyA=")</f>
        <v>#REF!</v>
      </c>
      <c r="AH117" t="e">
        <f>AND(#REF!,"LgOG6kUgUyE=")</f>
        <v>#REF!</v>
      </c>
      <c r="AI117" t="e">
        <f>AND(#REF!,"LgOG6kUgUyI=")</f>
        <v>#REF!</v>
      </c>
      <c r="AJ117" t="e">
        <f>AND(#REF!,"LgOG6kUgUyM=")</f>
        <v>#REF!</v>
      </c>
      <c r="AK117" t="e">
        <f>AND(#REF!,"LgOG6kUgUyQ=")</f>
        <v>#REF!</v>
      </c>
      <c r="AL117" t="e">
        <f>AND(#REF!,"LgOG6kUgUyU=")</f>
        <v>#REF!</v>
      </c>
      <c r="AM117" t="e">
        <f>AND(#REF!,"LgOG6kUgUyY=")</f>
        <v>#REF!</v>
      </c>
      <c r="AN117" t="e">
        <f>AND(#REF!,"LgOG6kUgUyc=")</f>
        <v>#REF!</v>
      </c>
      <c r="AO117" t="e">
        <f>AND(#REF!,"LgOG6kUgUyg=")</f>
        <v>#REF!</v>
      </c>
      <c r="AP117" t="e">
        <f>AND(#REF!,"LgOG6kUgUyk=")</f>
        <v>#REF!</v>
      </c>
      <c r="AQ117" t="e">
        <f>AND(#REF!,"LgOG6kUgUyo=")</f>
        <v>#REF!</v>
      </c>
      <c r="AR117" t="e">
        <f>AND(#REF!,"LgOG6kUgUys=")</f>
        <v>#REF!</v>
      </c>
      <c r="AS117" t="e">
        <f>AND(#REF!,"LgOG6kUgUyw=")</f>
        <v>#REF!</v>
      </c>
      <c r="AT117" t="e">
        <f>AND(#REF!,"LgOG6kUgUy0=")</f>
        <v>#REF!</v>
      </c>
      <c r="AU117" t="e">
        <f>AND(#REF!,"LgOG6kUgUy4=")</f>
        <v>#REF!</v>
      </c>
      <c r="AV117" t="e">
        <f>AND(#REF!,"LgOG6kUgUy8=")</f>
        <v>#REF!</v>
      </c>
      <c r="AW117" t="e">
        <f>AND(#REF!,"LgOG6kUgUzA=")</f>
        <v>#REF!</v>
      </c>
      <c r="AX117" t="e">
        <f>AND(#REF!,"LgOG6kUgUzE=")</f>
        <v>#REF!</v>
      </c>
      <c r="AY117" t="e">
        <f>AND(#REF!,"LgOG6kUgUzI=")</f>
        <v>#REF!</v>
      </c>
      <c r="AZ117" t="e">
        <f>AND(#REF!,"LgOG6kUgUzM=")</f>
        <v>#REF!</v>
      </c>
      <c r="BA117" t="e">
        <f>AND(#REF!,"LgOG6kUgUzQ=")</f>
        <v>#REF!</v>
      </c>
      <c r="BB117" t="e">
        <f>AND(#REF!,"LgOG6kUgUzU=")</f>
        <v>#REF!</v>
      </c>
      <c r="BC117" t="e">
        <f>AND(#REF!,"LgOG6kUgUzY=")</f>
        <v>#REF!</v>
      </c>
      <c r="BD117" t="e">
        <f>AND(#REF!,"LgOG6kUgUzc=")</f>
        <v>#REF!</v>
      </c>
      <c r="BE117" t="e">
        <f>AND(#REF!,"LgOG6kUgUzg=")</f>
        <v>#REF!</v>
      </c>
      <c r="BF117" t="e">
        <f>AND(#REF!,"LgOG6kUgUzk=")</f>
        <v>#REF!</v>
      </c>
      <c r="BG117" t="e">
        <f>AND(#REF!,"LgOG6kUgUzo=")</f>
        <v>#REF!</v>
      </c>
      <c r="BH117" t="e">
        <f>AND(#REF!,"LgOG6kUgUzs=")</f>
        <v>#REF!</v>
      </c>
      <c r="BI117" t="e">
        <f>AND(#REF!,"LgOG6kUgUzw=")</f>
        <v>#REF!</v>
      </c>
      <c r="BJ117" t="e">
        <f>AND(#REF!,"LgOG6kUgUz0=")</f>
        <v>#REF!</v>
      </c>
      <c r="BK117" t="e">
        <f>AND(#REF!,"LgOG6kUgUz4=")</f>
        <v>#REF!</v>
      </c>
      <c r="BL117" t="e">
        <f>AND(#REF!,"LgOG6kUgUz8=")</f>
        <v>#REF!</v>
      </c>
      <c r="BM117" t="e">
        <f>AND(#REF!,"LgOG6kUgU0A=")</f>
        <v>#REF!</v>
      </c>
      <c r="BN117" t="e">
        <f>AND(#REF!,"LgOG6kUgU0E=")</f>
        <v>#REF!</v>
      </c>
      <c r="BO117" t="e">
        <f>AND(#REF!,"LgOG6kUgU0I=")</f>
        <v>#REF!</v>
      </c>
      <c r="BP117" t="e">
        <f>AND(#REF!,"LgOG6kUgU0M=")</f>
        <v>#REF!</v>
      </c>
      <c r="BQ117" t="e">
        <f>AND(#REF!,"LgOG6kUgU0Q=")</f>
        <v>#REF!</v>
      </c>
      <c r="BR117" t="e">
        <f>AND(#REF!,"LgOG6kUgU0U=")</f>
        <v>#REF!</v>
      </c>
      <c r="BS117" t="e">
        <f>AND(#REF!,"LgOG6kUgU0Y=")</f>
        <v>#REF!</v>
      </c>
      <c r="BT117" t="e">
        <f>AND(#REF!,"LgOG6kUgU0c=")</f>
        <v>#REF!</v>
      </c>
      <c r="BU117" t="e">
        <f>AND(#REF!,"LgOG6kUgU0g=")</f>
        <v>#REF!</v>
      </c>
      <c r="BV117" t="e">
        <f>AND(#REF!,"LgOG6kUgU0k=")</f>
        <v>#REF!</v>
      </c>
      <c r="BW117" t="e">
        <f>AND(#REF!,"LgOG6kUgU0o=")</f>
        <v>#REF!</v>
      </c>
      <c r="BX117" t="e">
        <f>AND(#REF!,"LgOG6kUgU0s=")</f>
        <v>#REF!</v>
      </c>
      <c r="BY117" t="e">
        <f>AND(#REF!,"LgOG6kUgU0w=")</f>
        <v>#REF!</v>
      </c>
      <c r="BZ117" t="e">
        <f>AND(#REF!,"LgOG6kUgU00=")</f>
        <v>#REF!</v>
      </c>
      <c r="CA117" t="e">
        <f>AND(#REF!,"LgOG6kUgU04=")</f>
        <v>#REF!</v>
      </c>
      <c r="CB117" t="e">
        <f>AND(#REF!,"LgOG6kUgU08=")</f>
        <v>#REF!</v>
      </c>
      <c r="CC117" t="e">
        <f>AND(#REF!,"LgOG6kUgU1A=")</f>
        <v>#REF!</v>
      </c>
      <c r="CD117" t="e">
        <f>AND(#REF!,"LgOG6kUgU1E=")</f>
        <v>#REF!</v>
      </c>
      <c r="CE117" t="e">
        <f>AND(#REF!,"LgOG6kUgU1I=")</f>
        <v>#REF!</v>
      </c>
      <c r="CF117" t="e">
        <f>AND(#REF!,"LgOG6kUgU1M=")</f>
        <v>#REF!</v>
      </c>
      <c r="CG117" t="e">
        <f>AND(#REF!,"LgOG6kUgU1Q=")</f>
        <v>#REF!</v>
      </c>
      <c r="CH117" t="e">
        <f>AND(#REF!,"LgOG6kUgU1U=")</f>
        <v>#REF!</v>
      </c>
      <c r="CI117" t="e">
        <f>AND(#REF!,"LgOG6kUgU1Y=")</f>
        <v>#REF!</v>
      </c>
      <c r="CJ117" t="e">
        <f>AND(#REF!,"LgOG6kUgU1c=")</f>
        <v>#REF!</v>
      </c>
      <c r="CK117" t="e">
        <f>AND(#REF!,"LgOG6kUgU1g=")</f>
        <v>#REF!</v>
      </c>
      <c r="CL117" t="e">
        <f>AND(#REF!,"LgOG6kUgU1k=")</f>
        <v>#REF!</v>
      </c>
      <c r="CM117" t="e">
        <f>AND(#REF!,"LgOG6kUgU1o=")</f>
        <v>#REF!</v>
      </c>
      <c r="CN117" t="e">
        <f>AND(#REF!,"LgOG6kUgU1s=")</f>
        <v>#REF!</v>
      </c>
      <c r="CO117" t="e">
        <f>AND(#REF!,"LgOG6kUgU1w=")</f>
        <v>#REF!</v>
      </c>
      <c r="CP117" t="e">
        <f>AND(#REF!,"LgOG6kUgU10=")</f>
        <v>#REF!</v>
      </c>
      <c r="CQ117" t="e">
        <f>AND(#REF!,"LgOG6kUgU14=")</f>
        <v>#REF!</v>
      </c>
      <c r="CR117" t="e">
        <f>AND(#REF!,"LgOG6kUgU18=")</f>
        <v>#REF!</v>
      </c>
      <c r="CS117" t="e">
        <f>AND(#REF!,"LgOG6kUgU2A=")</f>
        <v>#REF!</v>
      </c>
      <c r="CT117" t="e">
        <f>AND(#REF!,"LgOG6kUgU2E=")</f>
        <v>#REF!</v>
      </c>
      <c r="CU117" t="e">
        <f>AND(#REF!,"LgOG6kUgU2I=")</f>
        <v>#REF!</v>
      </c>
      <c r="CV117" t="e">
        <f>AND(#REF!,"LgOG6kUgU2M=")</f>
        <v>#REF!</v>
      </c>
      <c r="CW117" t="e">
        <f>IF(#REF!,"LgOG6kUgU2Q=",0)</f>
        <v>#REF!</v>
      </c>
      <c r="CX117" t="e">
        <f>AND(#REF!,"LgOG6kUgU2U=")</f>
        <v>#REF!</v>
      </c>
      <c r="CY117" t="e">
        <f>AND(#REF!,"LgOG6kUgU2Y=")</f>
        <v>#REF!</v>
      </c>
      <c r="CZ117" t="e">
        <f>AND(#REF!,"LgOG6kUgU2c=")</f>
        <v>#REF!</v>
      </c>
      <c r="DA117" t="e">
        <f>AND(#REF!,"LgOG6kUgU2g=")</f>
        <v>#REF!</v>
      </c>
      <c r="DB117" t="e">
        <f>AND(#REF!,"LgOG6kUgU2k=")</f>
        <v>#REF!</v>
      </c>
      <c r="DC117" t="e">
        <f>AND(#REF!,"LgOG6kUgU2o=")</f>
        <v>#REF!</v>
      </c>
      <c r="DD117" t="e">
        <f>AND(#REF!,"LgOG6kUgU2s=")</f>
        <v>#REF!</v>
      </c>
      <c r="DE117" t="e">
        <f>AND(#REF!,"LgOG6kUgU2w=")</f>
        <v>#REF!</v>
      </c>
      <c r="DF117" t="e">
        <f>AND(#REF!,"LgOG6kUgU20=")</f>
        <v>#REF!</v>
      </c>
      <c r="DG117" t="e">
        <f>AND(#REF!,"LgOG6kUgU24=")</f>
        <v>#REF!</v>
      </c>
      <c r="DH117" t="e">
        <f>AND(#REF!,"LgOG6kUgU28=")</f>
        <v>#REF!</v>
      </c>
      <c r="DI117" t="e">
        <f>AND(#REF!,"LgOG6kUgU3A=")</f>
        <v>#REF!</v>
      </c>
      <c r="DJ117" t="e">
        <f>AND(#REF!,"LgOG6kUgU3E=")</f>
        <v>#REF!</v>
      </c>
      <c r="DK117" t="e">
        <f>AND(#REF!,"LgOG6kUgU3I=")</f>
        <v>#REF!</v>
      </c>
      <c r="DL117" t="e">
        <f>AND(#REF!,"LgOG6kUgU3M=")</f>
        <v>#REF!</v>
      </c>
      <c r="DM117" t="e">
        <f>AND(#REF!,"LgOG6kUgU3Q=")</f>
        <v>#REF!</v>
      </c>
      <c r="DN117" t="e">
        <f>AND(#REF!,"LgOG6kUgU3U=")</f>
        <v>#REF!</v>
      </c>
      <c r="DO117" t="e">
        <f>AND(#REF!,"LgOG6kUgU3Y=")</f>
        <v>#REF!</v>
      </c>
      <c r="DP117" t="e">
        <f>AND(#REF!,"LgOG6kUgU3c=")</f>
        <v>#REF!</v>
      </c>
      <c r="DQ117" t="e">
        <f>AND(#REF!,"LgOG6kUgU3g=")</f>
        <v>#REF!</v>
      </c>
      <c r="DR117" t="e">
        <f>AND(#REF!,"LgOG6kUgU3k=")</f>
        <v>#REF!</v>
      </c>
      <c r="DS117" t="e">
        <f>AND(#REF!,"LgOG6kUgU3o=")</f>
        <v>#REF!</v>
      </c>
      <c r="DT117" t="e">
        <f>AND(#REF!,"LgOG6kUgU3s=")</f>
        <v>#REF!</v>
      </c>
      <c r="DU117" t="e">
        <f>AND(#REF!,"LgOG6kUgU3w=")</f>
        <v>#REF!</v>
      </c>
      <c r="DV117" t="e">
        <f>AND(#REF!,"LgOG6kUgU30=")</f>
        <v>#REF!</v>
      </c>
      <c r="DW117" t="e">
        <f>AND(#REF!,"LgOG6kUgU34=")</f>
        <v>#REF!</v>
      </c>
      <c r="DX117" t="e">
        <f>AND(#REF!,"LgOG6kUgU38=")</f>
        <v>#REF!</v>
      </c>
      <c r="DY117" t="e">
        <f>AND(#REF!,"LgOG6kUgU4A=")</f>
        <v>#REF!</v>
      </c>
      <c r="DZ117" t="e">
        <f>AND(#REF!,"LgOG6kUgU4E=")</f>
        <v>#REF!</v>
      </c>
      <c r="EA117" t="e">
        <f>AND(#REF!,"LgOG6kUgU4I=")</f>
        <v>#REF!</v>
      </c>
      <c r="EB117" t="e">
        <f>AND(#REF!,"LgOG6kUgU4M=")</f>
        <v>#REF!</v>
      </c>
      <c r="EC117" t="e">
        <f>AND(#REF!,"LgOG6kUgU4Q=")</f>
        <v>#REF!</v>
      </c>
      <c r="ED117" t="e">
        <f>AND(#REF!,"LgOG6kUgU4U=")</f>
        <v>#REF!</v>
      </c>
      <c r="EE117" t="e">
        <f>AND(#REF!,"LgOG6kUgU4Y=")</f>
        <v>#REF!</v>
      </c>
      <c r="EF117" t="e">
        <f>AND(#REF!,"LgOG6kUgU4c=")</f>
        <v>#REF!</v>
      </c>
      <c r="EG117" t="e">
        <f>AND(#REF!,"LgOG6kUgU4g=")</f>
        <v>#REF!</v>
      </c>
      <c r="EH117" t="e">
        <f>AND(#REF!,"LgOG6kUgU4k=")</f>
        <v>#REF!</v>
      </c>
      <c r="EI117" t="e">
        <f>AND(#REF!,"LgOG6kUgU4o=")</f>
        <v>#REF!</v>
      </c>
      <c r="EJ117" t="e">
        <f>AND(#REF!,"LgOG6kUgU4s=")</f>
        <v>#REF!</v>
      </c>
      <c r="EK117" t="e">
        <f>AND(#REF!,"LgOG6kUgU4w=")</f>
        <v>#REF!</v>
      </c>
      <c r="EL117" t="e">
        <f>AND(#REF!,"LgOG6kUgU40=")</f>
        <v>#REF!</v>
      </c>
      <c r="EM117" t="e">
        <f>AND(#REF!,"LgOG6kUgU44=")</f>
        <v>#REF!</v>
      </c>
      <c r="EN117" t="e">
        <f>AND(#REF!,"LgOG6kUgU48=")</f>
        <v>#REF!</v>
      </c>
      <c r="EO117" t="e">
        <f>AND(#REF!,"LgOG6kUgU5A=")</f>
        <v>#REF!</v>
      </c>
      <c r="EP117" t="e">
        <f>AND(#REF!,"LgOG6kUgU5E=")</f>
        <v>#REF!</v>
      </c>
      <c r="EQ117" t="e">
        <f>AND(#REF!,"LgOG6kUgU5I=")</f>
        <v>#REF!</v>
      </c>
      <c r="ER117" t="e">
        <f>AND(#REF!,"LgOG6kUgU5M=")</f>
        <v>#REF!</v>
      </c>
      <c r="ES117" t="e">
        <f>AND(#REF!,"LgOG6kUgU5Q=")</f>
        <v>#REF!</v>
      </c>
      <c r="ET117" t="e">
        <f>AND(#REF!,"LgOG6kUgU5U=")</f>
        <v>#REF!</v>
      </c>
      <c r="EU117" t="e">
        <f>AND(#REF!,"LgOG6kUgU5Y=")</f>
        <v>#REF!</v>
      </c>
      <c r="EV117" t="e">
        <f>AND(#REF!,"LgOG6kUgU5c=")</f>
        <v>#REF!</v>
      </c>
      <c r="EW117" t="e">
        <f>AND(#REF!,"LgOG6kUgU5g=")</f>
        <v>#REF!</v>
      </c>
      <c r="EX117" t="e">
        <f>AND(#REF!,"LgOG6kUgU5k=")</f>
        <v>#REF!</v>
      </c>
      <c r="EY117" t="e">
        <f>AND(#REF!,"LgOG6kUgU5o=")</f>
        <v>#REF!</v>
      </c>
      <c r="EZ117" t="e">
        <f>AND(#REF!,"LgOG6kUgU5s=")</f>
        <v>#REF!</v>
      </c>
      <c r="FA117" t="e">
        <f>AND(#REF!,"LgOG6kUgU5w=")</f>
        <v>#REF!</v>
      </c>
      <c r="FB117" t="e">
        <f>AND(#REF!,"LgOG6kUgU50=")</f>
        <v>#REF!</v>
      </c>
      <c r="FC117" t="e">
        <f>AND(#REF!,"LgOG6kUgU54=")</f>
        <v>#REF!</v>
      </c>
      <c r="FD117" t="e">
        <f>AND(#REF!,"LgOG6kUgU58=")</f>
        <v>#REF!</v>
      </c>
      <c r="FE117" t="e">
        <f>AND(#REF!,"LgOG6kUgU6A=")</f>
        <v>#REF!</v>
      </c>
      <c r="FF117" t="e">
        <f>AND(#REF!,"LgOG6kUgU6E=")</f>
        <v>#REF!</v>
      </c>
      <c r="FG117" t="e">
        <f>AND(#REF!,"LgOG6kUgU6I=")</f>
        <v>#REF!</v>
      </c>
      <c r="FH117" t="e">
        <f>AND(#REF!,"LgOG6kUgU6M=")</f>
        <v>#REF!</v>
      </c>
      <c r="FI117" t="e">
        <f>AND(#REF!,"LgOG6kUgU6Q=")</f>
        <v>#REF!</v>
      </c>
      <c r="FJ117" t="e">
        <f>AND(#REF!,"LgOG6kUgU6U=")</f>
        <v>#REF!</v>
      </c>
      <c r="FK117" t="e">
        <f>AND(#REF!,"LgOG6kUgU6Y=")</f>
        <v>#REF!</v>
      </c>
      <c r="FL117" t="e">
        <f>AND(#REF!,"LgOG6kUgU6c=")</f>
        <v>#REF!</v>
      </c>
      <c r="FM117" t="e">
        <f>AND(#REF!,"LgOG6kUgU6g=")</f>
        <v>#REF!</v>
      </c>
      <c r="FN117" t="e">
        <f>AND(#REF!,"LgOG6kUgU6k=")</f>
        <v>#REF!</v>
      </c>
      <c r="FO117" t="e">
        <f>AND(#REF!,"LgOG6kUgU6o=")</f>
        <v>#REF!</v>
      </c>
      <c r="FP117" t="e">
        <f>AND(#REF!,"LgOG6kUgU6s=")</f>
        <v>#REF!</v>
      </c>
      <c r="FQ117" t="e">
        <f>AND(#REF!,"LgOG6kUgU6w=")</f>
        <v>#REF!</v>
      </c>
      <c r="FR117" t="e">
        <f>AND(#REF!,"LgOG6kUgU60=")</f>
        <v>#REF!</v>
      </c>
      <c r="FS117" t="e">
        <f>AND(#REF!,"LgOG6kUgU64=")</f>
        <v>#REF!</v>
      </c>
      <c r="FT117" t="e">
        <f>AND(#REF!,"LgOG6kUgU68=")</f>
        <v>#REF!</v>
      </c>
      <c r="FU117" t="e">
        <f>AND(#REF!,"LgOG6kUgU7A=")</f>
        <v>#REF!</v>
      </c>
      <c r="FV117" t="e">
        <f>AND(#REF!,"LgOG6kUgU7E=")</f>
        <v>#REF!</v>
      </c>
      <c r="FW117" t="e">
        <f>AND(#REF!,"LgOG6kUgU7I=")</f>
        <v>#REF!</v>
      </c>
      <c r="FX117" t="e">
        <f>AND(#REF!,"LgOG6kUgU7M=")</f>
        <v>#REF!</v>
      </c>
      <c r="FY117" t="e">
        <f>AND(#REF!,"LgOG6kUgU7Q=")</f>
        <v>#REF!</v>
      </c>
      <c r="FZ117" t="e">
        <f>AND(#REF!,"LgOG6kUgU7U=")</f>
        <v>#REF!</v>
      </c>
      <c r="GA117" t="e">
        <f>AND(#REF!,"LgOG6kUgU7Y=")</f>
        <v>#REF!</v>
      </c>
      <c r="GB117" t="e">
        <f>AND(#REF!,"LgOG6kUgU7c=")</f>
        <v>#REF!</v>
      </c>
      <c r="GC117" t="e">
        <f>AND(#REF!,"LgOG6kUgU7g=")</f>
        <v>#REF!</v>
      </c>
      <c r="GD117" t="e">
        <f>AND(#REF!,"LgOG6kUgU7k=")</f>
        <v>#REF!</v>
      </c>
      <c r="GE117" t="e">
        <f>AND(#REF!,"LgOG6kUgU7o=")</f>
        <v>#REF!</v>
      </c>
      <c r="GF117" t="e">
        <f>AND(#REF!,"LgOG6kUgU7s=")</f>
        <v>#REF!</v>
      </c>
      <c r="GG117" t="e">
        <f>AND(#REF!,"LgOG6kUgU7w=")</f>
        <v>#REF!</v>
      </c>
      <c r="GH117" t="e">
        <f>AND(#REF!,"LgOG6kUgU70=")</f>
        <v>#REF!</v>
      </c>
      <c r="GI117" t="e">
        <f>AND(#REF!,"LgOG6kUgU74=")</f>
        <v>#REF!</v>
      </c>
      <c r="GJ117" t="e">
        <f>AND(#REF!,"LgOG6kUgU78=")</f>
        <v>#REF!</v>
      </c>
      <c r="GK117" t="e">
        <f>AND(#REF!,"LgOG6kUgU8A=")</f>
        <v>#REF!</v>
      </c>
      <c r="GL117" t="e">
        <f>AND(#REF!,"LgOG6kUgU8E=")</f>
        <v>#REF!</v>
      </c>
      <c r="GM117" t="e">
        <f>AND(#REF!,"LgOG6kUgU8I=")</f>
        <v>#REF!</v>
      </c>
      <c r="GN117" t="e">
        <f>AND(#REF!,"LgOG6kUgU8M=")</f>
        <v>#REF!</v>
      </c>
      <c r="GO117" t="e">
        <f>AND(#REF!,"LgOG6kUgU8Q=")</f>
        <v>#REF!</v>
      </c>
      <c r="GP117" t="e">
        <f>AND(#REF!,"LgOG6kUgU8U=")</f>
        <v>#REF!</v>
      </c>
      <c r="GQ117" t="e">
        <f>AND(#REF!,"LgOG6kUgU8Y=")</f>
        <v>#REF!</v>
      </c>
      <c r="GR117" t="e">
        <f>AND(#REF!,"LgOG6kUgU8c=")</f>
        <v>#REF!</v>
      </c>
      <c r="GS117" t="e">
        <f>AND(#REF!,"LgOG6kUgU8g=")</f>
        <v>#REF!</v>
      </c>
      <c r="GT117" t="e">
        <f>AND(#REF!,"LgOG6kUgU8k=")</f>
        <v>#REF!</v>
      </c>
      <c r="GU117" t="e">
        <f>AND(#REF!,"LgOG6kUgU8o=")</f>
        <v>#REF!</v>
      </c>
      <c r="GV117" t="e">
        <f>AND(#REF!,"LgOG6kUgU8s=")</f>
        <v>#REF!</v>
      </c>
      <c r="GW117" t="e">
        <f>AND(#REF!,"LgOG6kUgU8w=")</f>
        <v>#REF!</v>
      </c>
      <c r="GX117" t="e">
        <f>AND(#REF!,"LgOG6kUgU80=")</f>
        <v>#REF!</v>
      </c>
      <c r="GY117" t="e">
        <f>AND(#REF!,"LgOG6kUgU84=")</f>
        <v>#REF!</v>
      </c>
      <c r="GZ117" t="e">
        <f>AND(#REF!,"LgOG6kUgU88=")</f>
        <v>#REF!</v>
      </c>
      <c r="HA117" t="e">
        <f>AND(#REF!,"LgOG6kUgU9A=")</f>
        <v>#REF!</v>
      </c>
      <c r="HB117" t="e">
        <f>AND(#REF!,"LgOG6kUgU9E=")</f>
        <v>#REF!</v>
      </c>
      <c r="HC117" t="e">
        <f>AND(#REF!,"LgOG6kUgU9I=")</f>
        <v>#REF!</v>
      </c>
      <c r="HD117" t="e">
        <f>AND(#REF!,"LgOG6kUgU9M=")</f>
        <v>#REF!</v>
      </c>
      <c r="HE117" t="e">
        <f>AND(#REF!,"LgOG6kUgU9Q=")</f>
        <v>#REF!</v>
      </c>
      <c r="HF117" t="e">
        <f>AND(#REF!,"LgOG6kUgU9U=")</f>
        <v>#REF!</v>
      </c>
      <c r="HG117" t="e">
        <f>AND(#REF!,"LgOG6kUgU9Y=")</f>
        <v>#REF!</v>
      </c>
      <c r="HH117" t="e">
        <f>AND(#REF!,"LgOG6kUgU9c=")</f>
        <v>#REF!</v>
      </c>
      <c r="HI117" t="e">
        <f>AND(#REF!,"LgOG6kUgU9g=")</f>
        <v>#REF!</v>
      </c>
      <c r="HJ117" t="e">
        <f>AND(#REF!,"LgOG6kUgU9k=")</f>
        <v>#REF!</v>
      </c>
      <c r="HK117" t="e">
        <f>AND(#REF!,"LgOG6kUgU9o=")</f>
        <v>#REF!</v>
      </c>
      <c r="HL117" t="e">
        <f>AND(#REF!,"LgOG6kUgU9s=")</f>
        <v>#REF!</v>
      </c>
      <c r="HM117" t="e">
        <f>AND(#REF!,"LgOG6kUgU9w=")</f>
        <v>#REF!</v>
      </c>
      <c r="HN117" t="e">
        <f>AND(#REF!,"LgOG6kUgU90=")</f>
        <v>#REF!</v>
      </c>
      <c r="HO117" t="e">
        <f>AND(#REF!,"LgOG6kUgU94=")</f>
        <v>#REF!</v>
      </c>
      <c r="HP117" t="e">
        <f>AND(#REF!,"LgOG6kUgU98=")</f>
        <v>#REF!</v>
      </c>
      <c r="HQ117" t="e">
        <f>AND(#REF!,"LgOG6kUgU+A=")</f>
        <v>#REF!</v>
      </c>
      <c r="HR117" t="e">
        <f>AND(#REF!,"LgOG6kUgU+E=")</f>
        <v>#REF!</v>
      </c>
      <c r="HS117" t="e">
        <f>AND(#REF!,"LgOG6kUgU+I=")</f>
        <v>#REF!</v>
      </c>
      <c r="HT117" t="e">
        <f>AND(#REF!,"LgOG6kUgU+M=")</f>
        <v>#REF!</v>
      </c>
      <c r="HU117" t="e">
        <f>AND(#REF!,"LgOG6kUgU+Q=")</f>
        <v>#REF!</v>
      </c>
      <c r="HV117" t="e">
        <f>AND(#REF!,"LgOG6kUgU+U=")</f>
        <v>#REF!</v>
      </c>
      <c r="HW117" t="e">
        <f>AND(#REF!,"LgOG6kUgU+Y=")</f>
        <v>#REF!</v>
      </c>
      <c r="HX117" t="e">
        <f>AND(#REF!,"LgOG6kUgU+c=")</f>
        <v>#REF!</v>
      </c>
      <c r="HY117" t="e">
        <f>AND(#REF!,"LgOG6kUgU+g=")</f>
        <v>#REF!</v>
      </c>
      <c r="HZ117" t="e">
        <f>AND(#REF!,"LgOG6kUgU+k=")</f>
        <v>#REF!</v>
      </c>
      <c r="IA117" t="e">
        <f>AND(#REF!,"LgOG6kUgU+o=")</f>
        <v>#REF!</v>
      </c>
      <c r="IB117" t="e">
        <f>AND(#REF!,"LgOG6kUgU+s=")</f>
        <v>#REF!</v>
      </c>
      <c r="IC117" t="e">
        <f>AND(#REF!,"LgOG6kUgU+w=")</f>
        <v>#REF!</v>
      </c>
      <c r="ID117" t="e">
        <f>AND(#REF!,"LgOG6kUgU+0=")</f>
        <v>#REF!</v>
      </c>
      <c r="IE117" t="e">
        <f>AND(#REF!,"LgOG6kUgU+4=")</f>
        <v>#REF!</v>
      </c>
      <c r="IF117" t="e">
        <f>AND(#REF!,"LgOG6kUgU+8=")</f>
        <v>#REF!</v>
      </c>
      <c r="IG117" t="e">
        <f>AND(#REF!,"LgOG6kUgU/A=")</f>
        <v>#REF!</v>
      </c>
      <c r="IH117" t="e">
        <f>AND(#REF!,"LgOG6kUgU/E=")</f>
        <v>#REF!</v>
      </c>
      <c r="II117" t="e">
        <f>AND(#REF!,"LgOG6kUgU/I=")</f>
        <v>#REF!</v>
      </c>
      <c r="IJ117" t="e">
        <f>AND(#REF!,"LgOG6kUgU/M=")</f>
        <v>#REF!</v>
      </c>
      <c r="IK117" t="e">
        <f>AND(#REF!,"LgOG6kUgU/Q=")</f>
        <v>#REF!</v>
      </c>
      <c r="IL117" t="e">
        <f>AND(#REF!,"LgOG6kUgU/U=")</f>
        <v>#REF!</v>
      </c>
      <c r="IM117" t="e">
        <f>AND(#REF!,"LgOG6kUgU/Y=")</f>
        <v>#REF!</v>
      </c>
      <c r="IN117" t="e">
        <f>AND(#REF!,"LgOG6kUgU/c=")</f>
        <v>#REF!</v>
      </c>
      <c r="IO117" t="e">
        <f>AND(#REF!,"LgOG6kUgU/g=")</f>
        <v>#REF!</v>
      </c>
      <c r="IP117" t="e">
        <f>AND(#REF!,"LgOG6kUgU/k=")</f>
        <v>#REF!</v>
      </c>
      <c r="IQ117" t="e">
        <f>AND(#REF!,"LgOG6kUgU/o=")</f>
        <v>#REF!</v>
      </c>
      <c r="IR117" t="e">
        <f>AND(#REF!,"LgOG6kUgU/s=")</f>
        <v>#REF!</v>
      </c>
      <c r="IS117" t="e">
        <f>AND(#REF!,"LgOG6kUgU/w=")</f>
        <v>#REF!</v>
      </c>
      <c r="IT117" t="e">
        <f>AND(#REF!,"LgOG6kUgU/0=")</f>
        <v>#REF!</v>
      </c>
      <c r="IU117" t="e">
        <f>AND(#REF!,"LgOG6kUgU/4=")</f>
        <v>#REF!</v>
      </c>
      <c r="IV117" t="e">
        <f>AND(#REF!,"LgOG6kUgU/8=")</f>
        <v>#REF!</v>
      </c>
    </row>
    <row r="118" spans="1:256" x14ac:dyDescent="0.2">
      <c r="A118" t="e">
        <f>AND(#REF!,"fu9x/gzdigA=")</f>
        <v>#REF!</v>
      </c>
      <c r="B118" t="e">
        <f>AND(#REF!,"fu9x/gzdigE=")</f>
        <v>#REF!</v>
      </c>
      <c r="C118" t="e">
        <f>AND(#REF!,"fu9x/gzdigI=")</f>
        <v>#REF!</v>
      </c>
      <c r="D118" t="e">
        <f>AND(#REF!,"fu9x/gzdigM=")</f>
        <v>#REF!</v>
      </c>
      <c r="E118" t="e">
        <f>AND(#REF!,"fu9x/gzdigQ=")</f>
        <v>#REF!</v>
      </c>
      <c r="F118" t="e">
        <f>AND(#REF!,"fu9x/gzdigU=")</f>
        <v>#REF!</v>
      </c>
      <c r="G118" t="e">
        <f>AND(#REF!,"fu9x/gzdigY=")</f>
        <v>#REF!</v>
      </c>
      <c r="H118" t="e">
        <f>AND(#REF!,"fu9x/gzdigc=")</f>
        <v>#REF!</v>
      </c>
      <c r="I118" t="e">
        <f>AND(#REF!,"fu9x/gzdigg=")</f>
        <v>#REF!</v>
      </c>
      <c r="J118" t="e">
        <f>AND(#REF!,"fu9x/gzdigk=")</f>
        <v>#REF!</v>
      </c>
      <c r="K118" t="e">
        <f>AND(#REF!,"fu9x/gzdigo=")</f>
        <v>#REF!</v>
      </c>
      <c r="L118" t="e">
        <f>AND(#REF!,"fu9x/gzdigs=")</f>
        <v>#REF!</v>
      </c>
      <c r="M118" t="e">
        <f>AND(#REF!,"fu9x/gzdigw=")</f>
        <v>#REF!</v>
      </c>
      <c r="N118" t="e">
        <f>AND(#REF!,"fu9x/gzdig0=")</f>
        <v>#REF!</v>
      </c>
      <c r="O118" t="e">
        <f>AND(#REF!,"fu9x/gzdig4=")</f>
        <v>#REF!</v>
      </c>
      <c r="P118" t="e">
        <f>AND(#REF!,"fu9x/gzdig8=")</f>
        <v>#REF!</v>
      </c>
      <c r="Q118" t="e">
        <f>AND(#REF!,"fu9x/gzdihA=")</f>
        <v>#REF!</v>
      </c>
      <c r="R118" t="e">
        <f>AND(#REF!,"fu9x/gzdihE=")</f>
        <v>#REF!</v>
      </c>
      <c r="S118" t="e">
        <f>AND(#REF!,"fu9x/gzdihI=")</f>
        <v>#REF!</v>
      </c>
      <c r="T118" t="e">
        <f>AND(#REF!,"fu9x/gzdihM=")</f>
        <v>#REF!</v>
      </c>
      <c r="U118" t="e">
        <f>AND(#REF!,"fu9x/gzdihQ=")</f>
        <v>#REF!</v>
      </c>
      <c r="V118" t="e">
        <f>AND(#REF!,"fu9x/gzdihU=")</f>
        <v>#REF!</v>
      </c>
      <c r="W118" t="e">
        <f>AND(#REF!,"fu9x/gzdihY=")</f>
        <v>#REF!</v>
      </c>
      <c r="X118" t="e">
        <f>AND(#REF!,"fu9x/gzdihc=")</f>
        <v>#REF!</v>
      </c>
      <c r="Y118" t="e">
        <f>AND(#REF!,"fu9x/gzdihg=")</f>
        <v>#REF!</v>
      </c>
      <c r="Z118" t="e">
        <f>AND(#REF!,"fu9x/gzdihk=")</f>
        <v>#REF!</v>
      </c>
      <c r="AA118" t="e">
        <f>AND(#REF!,"fu9x/gzdiho=")</f>
        <v>#REF!</v>
      </c>
      <c r="AB118" t="e">
        <f>AND(#REF!,"fu9x/gzdihs=")</f>
        <v>#REF!</v>
      </c>
      <c r="AC118" t="e">
        <f>AND(#REF!,"fu9x/gzdihw=")</f>
        <v>#REF!</v>
      </c>
      <c r="AD118" t="e">
        <f>AND(#REF!,"fu9x/gzdih0=")</f>
        <v>#REF!</v>
      </c>
      <c r="AE118" t="e">
        <f>AND(#REF!,"fu9x/gzdih4=")</f>
        <v>#REF!</v>
      </c>
      <c r="AF118" t="e">
        <f>AND(#REF!,"fu9x/gzdih8=")</f>
        <v>#REF!</v>
      </c>
      <c r="AG118" t="e">
        <f>AND(#REF!,"fu9x/gzdiiA=")</f>
        <v>#REF!</v>
      </c>
      <c r="AH118" t="e">
        <f>AND(#REF!,"fu9x/gzdiiE=")</f>
        <v>#REF!</v>
      </c>
      <c r="AI118" t="e">
        <f>AND(#REF!,"fu9x/gzdiiI=")</f>
        <v>#REF!</v>
      </c>
      <c r="AJ118" t="e">
        <f>AND(#REF!,"fu9x/gzdiiM=")</f>
        <v>#REF!</v>
      </c>
      <c r="AK118" t="e">
        <f>AND(#REF!,"fu9x/gzdiiQ=")</f>
        <v>#REF!</v>
      </c>
      <c r="AL118" t="e">
        <f>AND(#REF!,"fu9x/gzdiiU=")</f>
        <v>#REF!</v>
      </c>
      <c r="AM118" t="e">
        <f>AND(#REF!,"fu9x/gzdiiY=")</f>
        <v>#REF!</v>
      </c>
      <c r="AN118" t="e">
        <f>AND(#REF!,"fu9x/gzdiic=")</f>
        <v>#REF!</v>
      </c>
      <c r="AO118" t="e">
        <f>AND(#REF!,"fu9x/gzdiig=")</f>
        <v>#REF!</v>
      </c>
      <c r="AP118" t="e">
        <f>AND(#REF!,"fu9x/gzdiik=")</f>
        <v>#REF!</v>
      </c>
      <c r="AQ118" t="e">
        <f>AND(#REF!,"fu9x/gzdiio=")</f>
        <v>#REF!</v>
      </c>
      <c r="AR118" t="e">
        <f>IF(#REF!,"fu9x/gzdiis=",0)</f>
        <v>#REF!</v>
      </c>
      <c r="AS118" t="e">
        <f>AND(#REF!,"fu9x/gzdiiw=")</f>
        <v>#REF!</v>
      </c>
      <c r="AT118" t="e">
        <f>AND(#REF!,"fu9x/gzdii0=")</f>
        <v>#REF!</v>
      </c>
      <c r="AU118" t="e">
        <f>AND(#REF!,"fu9x/gzdii4=")</f>
        <v>#REF!</v>
      </c>
      <c r="AV118" t="e">
        <f>AND(#REF!,"fu9x/gzdii8=")</f>
        <v>#REF!</v>
      </c>
      <c r="AW118" t="e">
        <f>AND(#REF!,"fu9x/gzdijA=")</f>
        <v>#REF!</v>
      </c>
      <c r="AX118" t="e">
        <f>AND(#REF!,"fu9x/gzdijE=")</f>
        <v>#REF!</v>
      </c>
      <c r="AY118" t="e">
        <f>AND(#REF!,"fu9x/gzdijI=")</f>
        <v>#REF!</v>
      </c>
      <c r="AZ118" t="e">
        <f>AND(#REF!,"fu9x/gzdijM=")</f>
        <v>#REF!</v>
      </c>
      <c r="BA118" t="e">
        <f>AND(#REF!,"fu9x/gzdijQ=")</f>
        <v>#REF!</v>
      </c>
      <c r="BB118" t="e">
        <f>AND(#REF!,"fu9x/gzdijU=")</f>
        <v>#REF!</v>
      </c>
      <c r="BC118" t="e">
        <f>AND(#REF!,"fu9x/gzdijY=")</f>
        <v>#REF!</v>
      </c>
      <c r="BD118" t="e">
        <f>AND(#REF!,"fu9x/gzdijc=")</f>
        <v>#REF!</v>
      </c>
      <c r="BE118" t="e">
        <f>AND(#REF!,"fu9x/gzdijg=")</f>
        <v>#REF!</v>
      </c>
      <c r="BF118" t="e">
        <f>AND(#REF!,"fu9x/gzdijk=")</f>
        <v>#REF!</v>
      </c>
      <c r="BG118" t="e">
        <f>AND(#REF!,"fu9x/gzdijo=")</f>
        <v>#REF!</v>
      </c>
      <c r="BH118" t="e">
        <f>AND(#REF!,"fu9x/gzdijs=")</f>
        <v>#REF!</v>
      </c>
      <c r="BI118" t="e">
        <f>AND(#REF!,"fu9x/gzdijw=")</f>
        <v>#REF!</v>
      </c>
      <c r="BJ118" t="e">
        <f>AND(#REF!,"fu9x/gzdij0=")</f>
        <v>#REF!</v>
      </c>
      <c r="BK118" t="e">
        <f>AND(#REF!,"fu9x/gzdij4=")</f>
        <v>#REF!</v>
      </c>
      <c r="BL118" t="e">
        <f>AND(#REF!,"fu9x/gzdij8=")</f>
        <v>#REF!</v>
      </c>
      <c r="BM118" t="e">
        <f>AND(#REF!,"fu9x/gzdikA=")</f>
        <v>#REF!</v>
      </c>
      <c r="BN118" t="e">
        <f>AND(#REF!,"fu9x/gzdikE=")</f>
        <v>#REF!</v>
      </c>
      <c r="BO118" t="e">
        <f>AND(#REF!,"fu9x/gzdikI=")</f>
        <v>#REF!</v>
      </c>
      <c r="BP118" t="e">
        <f>AND(#REF!,"fu9x/gzdikM=")</f>
        <v>#REF!</v>
      </c>
      <c r="BQ118" t="e">
        <f>AND(#REF!,"fu9x/gzdikQ=")</f>
        <v>#REF!</v>
      </c>
      <c r="BR118" t="e">
        <f>AND(#REF!,"fu9x/gzdikU=")</f>
        <v>#REF!</v>
      </c>
      <c r="BS118" t="e">
        <f>AND(#REF!,"fu9x/gzdikY=")</f>
        <v>#REF!</v>
      </c>
      <c r="BT118" t="e">
        <f>AND(#REF!,"fu9x/gzdikc=")</f>
        <v>#REF!</v>
      </c>
      <c r="BU118" t="e">
        <f>AND(#REF!,"fu9x/gzdikg=")</f>
        <v>#REF!</v>
      </c>
      <c r="BV118" t="e">
        <f>AND(#REF!,"fu9x/gzdikk=")</f>
        <v>#REF!</v>
      </c>
      <c r="BW118" t="e">
        <f>AND(#REF!,"fu9x/gzdiko=")</f>
        <v>#REF!</v>
      </c>
      <c r="BX118" t="e">
        <f>AND(#REF!,"fu9x/gzdiks=")</f>
        <v>#REF!</v>
      </c>
      <c r="BY118" t="e">
        <f>AND(#REF!,"fu9x/gzdikw=")</f>
        <v>#REF!</v>
      </c>
      <c r="BZ118" t="e">
        <f>AND(#REF!,"fu9x/gzdik0=")</f>
        <v>#REF!</v>
      </c>
      <c r="CA118" t="e">
        <f>AND(#REF!,"fu9x/gzdik4=")</f>
        <v>#REF!</v>
      </c>
      <c r="CB118" t="e">
        <f>AND(#REF!,"fu9x/gzdik8=")</f>
        <v>#REF!</v>
      </c>
      <c r="CC118" t="e">
        <f>AND(#REF!,"fu9x/gzdilA=")</f>
        <v>#REF!</v>
      </c>
      <c r="CD118" t="e">
        <f>AND(#REF!,"fu9x/gzdilE=")</f>
        <v>#REF!</v>
      </c>
      <c r="CE118" t="e">
        <f>AND(#REF!,"fu9x/gzdilI=")</f>
        <v>#REF!</v>
      </c>
      <c r="CF118" t="e">
        <f>AND(#REF!,"fu9x/gzdilM=")</f>
        <v>#REF!</v>
      </c>
      <c r="CG118" t="e">
        <f>AND(#REF!,"fu9x/gzdilQ=")</f>
        <v>#REF!</v>
      </c>
      <c r="CH118" t="e">
        <f>AND(#REF!,"fu9x/gzdilU=")</f>
        <v>#REF!</v>
      </c>
      <c r="CI118" t="e">
        <f>AND(#REF!,"fu9x/gzdilY=")</f>
        <v>#REF!</v>
      </c>
      <c r="CJ118" t="e">
        <f>AND(#REF!,"fu9x/gzdilc=")</f>
        <v>#REF!</v>
      </c>
      <c r="CK118" t="e">
        <f>AND(#REF!,"fu9x/gzdilg=")</f>
        <v>#REF!</v>
      </c>
      <c r="CL118" t="e">
        <f>AND(#REF!,"fu9x/gzdilk=")</f>
        <v>#REF!</v>
      </c>
      <c r="CM118" t="e">
        <f>AND(#REF!,"fu9x/gzdilo=")</f>
        <v>#REF!</v>
      </c>
      <c r="CN118" t="e">
        <f>AND(#REF!,"fu9x/gzdils=")</f>
        <v>#REF!</v>
      </c>
      <c r="CO118" t="e">
        <f>AND(#REF!,"fu9x/gzdilw=")</f>
        <v>#REF!</v>
      </c>
      <c r="CP118" t="e">
        <f>AND(#REF!,"fu9x/gzdil0=")</f>
        <v>#REF!</v>
      </c>
      <c r="CQ118" t="e">
        <f>AND(#REF!,"fu9x/gzdil4=")</f>
        <v>#REF!</v>
      </c>
      <c r="CR118" t="e">
        <f>AND(#REF!,"fu9x/gzdil8=")</f>
        <v>#REF!</v>
      </c>
      <c r="CS118" t="e">
        <f>AND(#REF!,"fu9x/gzdimA=")</f>
        <v>#REF!</v>
      </c>
      <c r="CT118" t="e">
        <f>AND(#REF!,"fu9x/gzdimE=")</f>
        <v>#REF!</v>
      </c>
      <c r="CU118" t="e">
        <f>AND(#REF!,"fu9x/gzdimI=")</f>
        <v>#REF!</v>
      </c>
      <c r="CV118" t="e">
        <f>AND(#REF!,"fu9x/gzdimM=")</f>
        <v>#REF!</v>
      </c>
      <c r="CW118" t="e">
        <f>AND(#REF!,"fu9x/gzdimQ=")</f>
        <v>#REF!</v>
      </c>
      <c r="CX118" t="e">
        <f>AND(#REF!,"fu9x/gzdimU=")</f>
        <v>#REF!</v>
      </c>
      <c r="CY118" t="e">
        <f>AND(#REF!,"fu9x/gzdimY=")</f>
        <v>#REF!</v>
      </c>
      <c r="CZ118" t="e">
        <f>AND(#REF!,"fu9x/gzdimc=")</f>
        <v>#REF!</v>
      </c>
      <c r="DA118" t="e">
        <f>AND(#REF!,"fu9x/gzdimg=")</f>
        <v>#REF!</v>
      </c>
      <c r="DB118" t="e">
        <f>AND(#REF!,"fu9x/gzdimk=")</f>
        <v>#REF!</v>
      </c>
      <c r="DC118" t="e">
        <f>AND(#REF!,"fu9x/gzdimo=")</f>
        <v>#REF!</v>
      </c>
      <c r="DD118" t="e">
        <f>AND(#REF!,"fu9x/gzdims=")</f>
        <v>#REF!</v>
      </c>
      <c r="DE118" t="e">
        <f>AND(#REF!,"fu9x/gzdimw=")</f>
        <v>#REF!</v>
      </c>
      <c r="DF118" t="e">
        <f>AND(#REF!,"fu9x/gzdim0=")</f>
        <v>#REF!</v>
      </c>
      <c r="DG118" t="e">
        <f>AND(#REF!,"fu9x/gzdim4=")</f>
        <v>#REF!</v>
      </c>
      <c r="DH118" t="e">
        <f>AND(#REF!,"fu9x/gzdim8=")</f>
        <v>#REF!</v>
      </c>
      <c r="DI118" t="e">
        <f>AND(#REF!,"fu9x/gzdinA=")</f>
        <v>#REF!</v>
      </c>
      <c r="DJ118" t="e">
        <f>AND(#REF!,"fu9x/gzdinE=")</f>
        <v>#REF!</v>
      </c>
      <c r="DK118" t="e">
        <f>AND(#REF!,"fu9x/gzdinI=")</f>
        <v>#REF!</v>
      </c>
      <c r="DL118" t="e">
        <f>AND(#REF!,"fu9x/gzdinM=")</f>
        <v>#REF!</v>
      </c>
      <c r="DM118" t="e">
        <f>AND(#REF!,"fu9x/gzdinQ=")</f>
        <v>#REF!</v>
      </c>
      <c r="DN118" t="e">
        <f>AND(#REF!,"fu9x/gzdinU=")</f>
        <v>#REF!</v>
      </c>
      <c r="DO118" t="e">
        <f>AND(#REF!,"fu9x/gzdinY=")</f>
        <v>#REF!</v>
      </c>
      <c r="DP118" t="e">
        <f>AND(#REF!,"fu9x/gzdinc=")</f>
        <v>#REF!</v>
      </c>
      <c r="DQ118" t="e">
        <f>AND(#REF!,"fu9x/gzding=")</f>
        <v>#REF!</v>
      </c>
      <c r="DR118" t="e">
        <f>AND(#REF!,"fu9x/gzdink=")</f>
        <v>#REF!</v>
      </c>
      <c r="DS118" t="e">
        <f>AND(#REF!,"fu9x/gzdino=")</f>
        <v>#REF!</v>
      </c>
      <c r="DT118" t="e">
        <f>AND(#REF!,"fu9x/gzdins=")</f>
        <v>#REF!</v>
      </c>
      <c r="DU118" t="e">
        <f>AND(#REF!,"fu9x/gzdinw=")</f>
        <v>#REF!</v>
      </c>
      <c r="DV118" t="e">
        <f>AND(#REF!,"fu9x/gzdin0=")</f>
        <v>#REF!</v>
      </c>
      <c r="DW118" t="e">
        <f>AND(#REF!,"fu9x/gzdin4=")</f>
        <v>#REF!</v>
      </c>
      <c r="DX118" t="e">
        <f>AND(#REF!,"fu9x/gzdin8=")</f>
        <v>#REF!</v>
      </c>
      <c r="DY118" t="e">
        <f>AND(#REF!,"fu9x/gzdioA=")</f>
        <v>#REF!</v>
      </c>
      <c r="DZ118" t="e">
        <f>AND(#REF!,"fu9x/gzdioE=")</f>
        <v>#REF!</v>
      </c>
      <c r="EA118" t="e">
        <f>AND(#REF!,"fu9x/gzdioI=")</f>
        <v>#REF!</v>
      </c>
      <c r="EB118" t="e">
        <f>AND(#REF!,"fu9x/gzdioM=")</f>
        <v>#REF!</v>
      </c>
      <c r="EC118" t="e">
        <f>AND(#REF!,"fu9x/gzdioQ=")</f>
        <v>#REF!</v>
      </c>
      <c r="ED118" t="e">
        <f>AND(#REF!,"fu9x/gzdioU=")</f>
        <v>#REF!</v>
      </c>
      <c r="EE118" t="e">
        <f>AND(#REF!,"fu9x/gzdioY=")</f>
        <v>#REF!</v>
      </c>
      <c r="EF118" t="e">
        <f>AND(#REF!,"fu9x/gzdioc=")</f>
        <v>#REF!</v>
      </c>
      <c r="EG118" t="e">
        <f>AND(#REF!,"fu9x/gzdiog=")</f>
        <v>#REF!</v>
      </c>
      <c r="EH118" t="e">
        <f>AND(#REF!,"fu9x/gzdiok=")</f>
        <v>#REF!</v>
      </c>
      <c r="EI118" t="e">
        <f>AND(#REF!,"fu9x/gzdioo=")</f>
        <v>#REF!</v>
      </c>
      <c r="EJ118" t="e">
        <f>AND(#REF!,"fu9x/gzdios=")</f>
        <v>#REF!</v>
      </c>
      <c r="EK118" t="e">
        <f>AND(#REF!,"fu9x/gzdiow=")</f>
        <v>#REF!</v>
      </c>
      <c r="EL118" t="e">
        <f>AND(#REF!,"fu9x/gzdio0=")</f>
        <v>#REF!</v>
      </c>
      <c r="EM118" t="e">
        <f>AND(#REF!,"fu9x/gzdio4=")</f>
        <v>#REF!</v>
      </c>
      <c r="EN118" t="e">
        <f>AND(#REF!,"fu9x/gzdio8=")</f>
        <v>#REF!</v>
      </c>
      <c r="EO118" t="e">
        <f>AND(#REF!,"fu9x/gzdipA=")</f>
        <v>#REF!</v>
      </c>
      <c r="EP118" t="e">
        <f>AND(#REF!,"fu9x/gzdipE=")</f>
        <v>#REF!</v>
      </c>
      <c r="EQ118" t="e">
        <f>AND(#REF!,"fu9x/gzdipI=")</f>
        <v>#REF!</v>
      </c>
      <c r="ER118" t="e">
        <f>AND(#REF!,"fu9x/gzdipM=")</f>
        <v>#REF!</v>
      </c>
      <c r="ES118" t="e">
        <f>AND(#REF!,"fu9x/gzdipQ=")</f>
        <v>#REF!</v>
      </c>
      <c r="ET118" t="e">
        <f>AND(#REF!,"fu9x/gzdipU=")</f>
        <v>#REF!</v>
      </c>
      <c r="EU118" t="e">
        <f>AND(#REF!,"fu9x/gzdipY=")</f>
        <v>#REF!</v>
      </c>
      <c r="EV118" t="e">
        <f>AND(#REF!,"fu9x/gzdipc=")</f>
        <v>#REF!</v>
      </c>
      <c r="EW118" t="e">
        <f>AND(#REF!,"fu9x/gzdipg=")</f>
        <v>#REF!</v>
      </c>
      <c r="EX118" t="e">
        <f>AND(#REF!,"fu9x/gzdipk=")</f>
        <v>#REF!</v>
      </c>
      <c r="EY118" t="e">
        <f>AND(#REF!,"fu9x/gzdipo=")</f>
        <v>#REF!</v>
      </c>
      <c r="EZ118" t="e">
        <f>AND(#REF!,"fu9x/gzdips=")</f>
        <v>#REF!</v>
      </c>
      <c r="FA118" t="e">
        <f>AND(#REF!,"fu9x/gzdipw=")</f>
        <v>#REF!</v>
      </c>
      <c r="FB118" t="e">
        <f>AND(#REF!,"fu9x/gzdip0=")</f>
        <v>#REF!</v>
      </c>
      <c r="FC118" t="e">
        <f>AND(#REF!,"fu9x/gzdip4=")</f>
        <v>#REF!</v>
      </c>
      <c r="FD118" t="e">
        <f>AND(#REF!,"fu9x/gzdip8=")</f>
        <v>#REF!</v>
      </c>
      <c r="FE118" t="e">
        <f>AND(#REF!,"fu9x/gzdiqA=")</f>
        <v>#REF!</v>
      </c>
      <c r="FF118" t="e">
        <f>AND(#REF!,"fu9x/gzdiqE=")</f>
        <v>#REF!</v>
      </c>
      <c r="FG118" t="e">
        <f>AND(#REF!,"fu9x/gzdiqI=")</f>
        <v>#REF!</v>
      </c>
      <c r="FH118" t="e">
        <f>AND(#REF!,"fu9x/gzdiqM=")</f>
        <v>#REF!</v>
      </c>
      <c r="FI118" t="e">
        <f>AND(#REF!,"fu9x/gzdiqQ=")</f>
        <v>#REF!</v>
      </c>
      <c r="FJ118" t="e">
        <f>AND(#REF!,"fu9x/gzdiqU=")</f>
        <v>#REF!</v>
      </c>
      <c r="FK118" t="e">
        <f>AND(#REF!,"fu9x/gzdiqY=")</f>
        <v>#REF!</v>
      </c>
      <c r="FL118" t="e">
        <f>AND(#REF!,"fu9x/gzdiqc=")</f>
        <v>#REF!</v>
      </c>
      <c r="FM118" t="e">
        <f>AND(#REF!,"fu9x/gzdiqg=")</f>
        <v>#REF!</v>
      </c>
      <c r="FN118" t="e">
        <f>AND(#REF!,"fu9x/gzdiqk=")</f>
        <v>#REF!</v>
      </c>
      <c r="FO118" t="e">
        <f>AND(#REF!,"fu9x/gzdiqo=")</f>
        <v>#REF!</v>
      </c>
      <c r="FP118" t="e">
        <f>AND(#REF!,"fu9x/gzdiqs=")</f>
        <v>#REF!</v>
      </c>
      <c r="FQ118" t="e">
        <f>AND(#REF!,"fu9x/gzdiqw=")</f>
        <v>#REF!</v>
      </c>
      <c r="FR118" t="e">
        <f>AND(#REF!,"fu9x/gzdiq0=")</f>
        <v>#REF!</v>
      </c>
      <c r="FS118" t="e">
        <f>AND(#REF!,"fu9x/gzdiq4=")</f>
        <v>#REF!</v>
      </c>
      <c r="FT118" t="e">
        <f>AND(#REF!,"fu9x/gzdiq8=")</f>
        <v>#REF!</v>
      </c>
      <c r="FU118" t="e">
        <f>AND(#REF!,"fu9x/gzdirA=")</f>
        <v>#REF!</v>
      </c>
      <c r="FV118" t="e">
        <f>AND(#REF!,"fu9x/gzdirE=")</f>
        <v>#REF!</v>
      </c>
      <c r="FW118" t="e">
        <f>AND(#REF!,"fu9x/gzdirI=")</f>
        <v>#REF!</v>
      </c>
      <c r="FX118" t="e">
        <f>AND(#REF!,"fu9x/gzdirM=")</f>
        <v>#REF!</v>
      </c>
      <c r="FY118" t="e">
        <f>AND(#REF!,"fu9x/gzdirQ=")</f>
        <v>#REF!</v>
      </c>
      <c r="FZ118" t="e">
        <f>AND(#REF!,"fu9x/gzdirU=")</f>
        <v>#REF!</v>
      </c>
      <c r="GA118" t="e">
        <f>AND(#REF!,"fu9x/gzdirY=")</f>
        <v>#REF!</v>
      </c>
      <c r="GB118" t="e">
        <f>AND(#REF!,"fu9x/gzdirc=")</f>
        <v>#REF!</v>
      </c>
      <c r="GC118" t="e">
        <f>AND(#REF!,"fu9x/gzdirg=")</f>
        <v>#REF!</v>
      </c>
      <c r="GD118" t="e">
        <f>AND(#REF!,"fu9x/gzdirk=")</f>
        <v>#REF!</v>
      </c>
      <c r="GE118" t="e">
        <f>AND(#REF!,"fu9x/gzdiro=")</f>
        <v>#REF!</v>
      </c>
      <c r="GF118" t="e">
        <f>AND(#REF!,"fu9x/gzdirs=")</f>
        <v>#REF!</v>
      </c>
      <c r="GG118" t="e">
        <f>AND(#REF!,"fu9x/gzdirw=")</f>
        <v>#REF!</v>
      </c>
      <c r="GH118" t="e">
        <f>AND(#REF!,"fu9x/gzdir0=")</f>
        <v>#REF!</v>
      </c>
      <c r="GI118" t="e">
        <f>AND(#REF!,"fu9x/gzdir4=")</f>
        <v>#REF!</v>
      </c>
      <c r="GJ118" t="e">
        <f>AND(#REF!,"fu9x/gzdir8=")</f>
        <v>#REF!</v>
      </c>
      <c r="GK118" t="e">
        <f>AND(#REF!,"fu9x/gzdisA=")</f>
        <v>#REF!</v>
      </c>
      <c r="GL118" t="e">
        <f>AND(#REF!,"fu9x/gzdisE=")</f>
        <v>#REF!</v>
      </c>
      <c r="GM118" t="e">
        <f>AND(#REF!,"fu9x/gzdisI=")</f>
        <v>#REF!</v>
      </c>
      <c r="GN118" t="e">
        <f>AND(#REF!,"fu9x/gzdisM=")</f>
        <v>#REF!</v>
      </c>
      <c r="GO118" t="e">
        <f>AND(#REF!,"fu9x/gzdisQ=")</f>
        <v>#REF!</v>
      </c>
      <c r="GP118" t="e">
        <f>AND(#REF!,"fu9x/gzdisU=")</f>
        <v>#REF!</v>
      </c>
      <c r="GQ118" t="e">
        <f>AND(#REF!,"fu9x/gzdisY=")</f>
        <v>#REF!</v>
      </c>
      <c r="GR118" t="e">
        <f>AND(#REF!,"fu9x/gzdisc=")</f>
        <v>#REF!</v>
      </c>
      <c r="GS118" t="e">
        <f>AND(#REF!,"fu9x/gzdisg=")</f>
        <v>#REF!</v>
      </c>
      <c r="GT118" t="e">
        <f>AND(#REF!,"fu9x/gzdisk=")</f>
        <v>#REF!</v>
      </c>
      <c r="GU118" t="e">
        <f>AND(#REF!,"fu9x/gzdiso=")</f>
        <v>#REF!</v>
      </c>
      <c r="GV118" t="e">
        <f>AND(#REF!,"fu9x/gzdiss=")</f>
        <v>#REF!</v>
      </c>
      <c r="GW118" t="e">
        <f>AND(#REF!,"fu9x/gzdisw=")</f>
        <v>#REF!</v>
      </c>
      <c r="GX118" t="e">
        <f>AND(#REF!,"fu9x/gzdis0=")</f>
        <v>#REF!</v>
      </c>
      <c r="GY118" t="e">
        <f>AND(#REF!,"fu9x/gzdis4=")</f>
        <v>#REF!</v>
      </c>
      <c r="GZ118" t="e">
        <f>AND(#REF!,"fu9x/gzdis8=")</f>
        <v>#REF!</v>
      </c>
      <c r="HA118" t="e">
        <f>AND(#REF!,"fu9x/gzditA=")</f>
        <v>#REF!</v>
      </c>
      <c r="HB118" t="e">
        <f>AND(#REF!,"fu9x/gzditE=")</f>
        <v>#REF!</v>
      </c>
      <c r="HC118" t="e">
        <f>AND(#REF!,"fu9x/gzditI=")</f>
        <v>#REF!</v>
      </c>
      <c r="HD118" t="e">
        <f>AND(#REF!,"fu9x/gzditM=")</f>
        <v>#REF!</v>
      </c>
      <c r="HE118" t="e">
        <f>AND(#REF!,"fu9x/gzditQ=")</f>
        <v>#REF!</v>
      </c>
      <c r="HF118" t="e">
        <f>AND(#REF!,"fu9x/gzditU=")</f>
        <v>#REF!</v>
      </c>
      <c r="HG118" t="e">
        <f>AND(#REF!,"fu9x/gzditY=")</f>
        <v>#REF!</v>
      </c>
      <c r="HH118" t="e">
        <f>AND(#REF!,"fu9x/gzditc=")</f>
        <v>#REF!</v>
      </c>
      <c r="HI118" t="e">
        <f>AND(#REF!,"fu9x/gzditg=")</f>
        <v>#REF!</v>
      </c>
      <c r="HJ118" t="e">
        <f>AND(#REF!,"fu9x/gzditk=")</f>
        <v>#REF!</v>
      </c>
      <c r="HK118" t="e">
        <f>AND(#REF!,"fu9x/gzdito=")</f>
        <v>#REF!</v>
      </c>
      <c r="HL118" t="e">
        <f>AND(#REF!,"fu9x/gzdits=")</f>
        <v>#REF!</v>
      </c>
      <c r="HM118" t="e">
        <f>AND(#REF!,"fu9x/gzditw=")</f>
        <v>#REF!</v>
      </c>
      <c r="HN118" t="e">
        <f>AND(#REF!,"fu9x/gzdit0=")</f>
        <v>#REF!</v>
      </c>
      <c r="HO118" t="e">
        <f>AND(#REF!,"fu9x/gzdit4=")</f>
        <v>#REF!</v>
      </c>
      <c r="HP118" t="e">
        <f>AND(#REF!,"fu9x/gzdit8=")</f>
        <v>#REF!</v>
      </c>
      <c r="HQ118" t="e">
        <f>AND(#REF!,"fu9x/gzdiuA=")</f>
        <v>#REF!</v>
      </c>
      <c r="HR118" t="e">
        <f>AND(#REF!,"fu9x/gzdiuE=")</f>
        <v>#REF!</v>
      </c>
      <c r="HS118" t="e">
        <f>AND(#REF!,"fu9x/gzdiuI=")</f>
        <v>#REF!</v>
      </c>
      <c r="HT118" t="e">
        <f>AND(#REF!,"fu9x/gzdiuM=")</f>
        <v>#REF!</v>
      </c>
      <c r="HU118" t="e">
        <f>AND(#REF!,"fu9x/gzdiuQ=")</f>
        <v>#REF!</v>
      </c>
      <c r="HV118" t="e">
        <f>AND(#REF!,"fu9x/gzdiuU=")</f>
        <v>#REF!</v>
      </c>
      <c r="HW118" t="e">
        <f>AND(#REF!,"fu9x/gzdiuY=")</f>
        <v>#REF!</v>
      </c>
      <c r="HX118" t="e">
        <f>AND(#REF!,"fu9x/gzdiuc=")</f>
        <v>#REF!</v>
      </c>
      <c r="HY118" t="e">
        <f>AND(#REF!,"fu9x/gzdiug=")</f>
        <v>#REF!</v>
      </c>
      <c r="HZ118" t="e">
        <f>AND(#REF!,"fu9x/gzdiuk=")</f>
        <v>#REF!</v>
      </c>
      <c r="IA118" t="e">
        <f>AND(#REF!,"fu9x/gzdiuo=")</f>
        <v>#REF!</v>
      </c>
      <c r="IB118" t="e">
        <f>AND(#REF!,"fu9x/gzdius=")</f>
        <v>#REF!</v>
      </c>
      <c r="IC118" t="e">
        <f>AND(#REF!,"fu9x/gzdiuw=")</f>
        <v>#REF!</v>
      </c>
      <c r="ID118" t="e">
        <f>AND(#REF!,"fu9x/gzdiu0=")</f>
        <v>#REF!</v>
      </c>
      <c r="IE118" t="e">
        <f>AND(#REF!,"fu9x/gzdiu4=")</f>
        <v>#REF!</v>
      </c>
      <c r="IF118" t="e">
        <f>AND(#REF!,"fu9x/gzdiu8=")</f>
        <v>#REF!</v>
      </c>
      <c r="IG118" t="e">
        <f>AND(#REF!,"fu9x/gzdivA=")</f>
        <v>#REF!</v>
      </c>
      <c r="IH118" t="e">
        <f>AND(#REF!,"fu9x/gzdivE=")</f>
        <v>#REF!</v>
      </c>
      <c r="II118" t="e">
        <f>IF(#REF!,"fu9x/gzdivI=",0)</f>
        <v>#REF!</v>
      </c>
      <c r="IJ118" t="e">
        <f>AND(#REF!,"fu9x/gzdivM=")</f>
        <v>#REF!</v>
      </c>
      <c r="IK118" t="e">
        <f>AND(#REF!,"fu9x/gzdivQ=")</f>
        <v>#REF!</v>
      </c>
      <c r="IL118" t="e">
        <f>AND(#REF!,"fu9x/gzdivU=")</f>
        <v>#REF!</v>
      </c>
      <c r="IM118" t="e">
        <f>AND(#REF!,"fu9x/gzdivY=")</f>
        <v>#REF!</v>
      </c>
      <c r="IN118" t="e">
        <f>AND(#REF!,"fu9x/gzdivc=")</f>
        <v>#REF!</v>
      </c>
      <c r="IO118" t="e">
        <f>AND(#REF!,"fu9x/gzdivg=")</f>
        <v>#REF!</v>
      </c>
      <c r="IP118" t="e">
        <f>AND(#REF!,"fu9x/gzdivk=")</f>
        <v>#REF!</v>
      </c>
      <c r="IQ118" t="e">
        <f>AND(#REF!,"fu9x/gzdivo=")</f>
        <v>#REF!</v>
      </c>
      <c r="IR118" t="e">
        <f>AND(#REF!,"fu9x/gzdivs=")</f>
        <v>#REF!</v>
      </c>
      <c r="IS118" t="e">
        <f>AND(#REF!,"fu9x/gzdivw=")</f>
        <v>#REF!</v>
      </c>
      <c r="IT118" t="e">
        <f>AND(#REF!,"fu9x/gzdiv0=")</f>
        <v>#REF!</v>
      </c>
      <c r="IU118" t="e">
        <f>AND(#REF!,"fu9x/gzdiv4=")</f>
        <v>#REF!</v>
      </c>
      <c r="IV118" t="e">
        <f>AND(#REF!,"fu9x/gzdiv8=")</f>
        <v>#REF!</v>
      </c>
    </row>
    <row r="119" spans="1:256" x14ac:dyDescent="0.2">
      <c r="A119" t="e">
        <f>AND(#REF!,"b1tnjmq4nQA=")</f>
        <v>#REF!</v>
      </c>
      <c r="B119" t="e">
        <f>AND(#REF!,"b1tnjmq4nQE=")</f>
        <v>#REF!</v>
      </c>
      <c r="C119" t="e">
        <f>AND(#REF!,"b1tnjmq4nQI=")</f>
        <v>#REF!</v>
      </c>
      <c r="D119" t="e">
        <f>AND(#REF!,"b1tnjmq4nQM=")</f>
        <v>#REF!</v>
      </c>
      <c r="E119" t="e">
        <f>AND(#REF!,"b1tnjmq4nQQ=")</f>
        <v>#REF!</v>
      </c>
      <c r="F119" t="e">
        <f>AND(#REF!,"b1tnjmq4nQU=")</f>
        <v>#REF!</v>
      </c>
      <c r="G119" t="e">
        <f>AND(#REF!,"b1tnjmq4nQY=")</f>
        <v>#REF!</v>
      </c>
      <c r="H119" t="e">
        <f>AND(#REF!,"b1tnjmq4nQc=")</f>
        <v>#REF!</v>
      </c>
      <c r="I119" t="e">
        <f>AND(#REF!,"b1tnjmq4nQg=")</f>
        <v>#REF!</v>
      </c>
      <c r="J119" t="e">
        <f>AND(#REF!,"b1tnjmq4nQk=")</f>
        <v>#REF!</v>
      </c>
      <c r="K119" t="e">
        <f>AND(#REF!,"b1tnjmq4nQo=")</f>
        <v>#REF!</v>
      </c>
      <c r="L119" t="e">
        <f>AND(#REF!,"b1tnjmq4nQs=")</f>
        <v>#REF!</v>
      </c>
      <c r="M119" t="e">
        <f>AND(#REF!,"b1tnjmq4nQw=")</f>
        <v>#REF!</v>
      </c>
      <c r="N119" t="e">
        <f>AND(#REF!,"b1tnjmq4nQ0=")</f>
        <v>#REF!</v>
      </c>
      <c r="O119" t="e">
        <f>AND(#REF!,"b1tnjmq4nQ4=")</f>
        <v>#REF!</v>
      </c>
      <c r="P119" t="e">
        <f>AND(#REF!,"b1tnjmq4nQ8=")</f>
        <v>#REF!</v>
      </c>
      <c r="Q119" t="e">
        <f>AND(#REF!,"b1tnjmq4nRA=")</f>
        <v>#REF!</v>
      </c>
      <c r="R119" t="e">
        <f>AND(#REF!,"b1tnjmq4nRE=")</f>
        <v>#REF!</v>
      </c>
      <c r="S119" t="e">
        <f>AND(#REF!,"b1tnjmq4nRI=")</f>
        <v>#REF!</v>
      </c>
      <c r="T119" t="e">
        <f>AND(#REF!,"b1tnjmq4nRM=")</f>
        <v>#REF!</v>
      </c>
      <c r="U119" t="e">
        <f>AND(#REF!,"b1tnjmq4nRQ=")</f>
        <v>#REF!</v>
      </c>
      <c r="V119" t="e">
        <f>AND(#REF!,"b1tnjmq4nRU=")</f>
        <v>#REF!</v>
      </c>
      <c r="W119" t="e">
        <f>AND(#REF!,"b1tnjmq4nRY=")</f>
        <v>#REF!</v>
      </c>
      <c r="X119" t="e">
        <f>AND(#REF!,"b1tnjmq4nRc=")</f>
        <v>#REF!</v>
      </c>
      <c r="Y119" t="e">
        <f>AND(#REF!,"b1tnjmq4nRg=")</f>
        <v>#REF!</v>
      </c>
      <c r="Z119" t="e">
        <f>AND(#REF!,"b1tnjmq4nRk=")</f>
        <v>#REF!</v>
      </c>
      <c r="AA119" t="e">
        <f>AND(#REF!,"b1tnjmq4nRo=")</f>
        <v>#REF!</v>
      </c>
      <c r="AB119" t="e">
        <f>AND(#REF!,"b1tnjmq4nRs=")</f>
        <v>#REF!</v>
      </c>
      <c r="AC119" t="e">
        <f>AND(#REF!,"b1tnjmq4nRw=")</f>
        <v>#REF!</v>
      </c>
      <c r="AD119" t="e">
        <f>AND(#REF!,"b1tnjmq4nR0=")</f>
        <v>#REF!</v>
      </c>
      <c r="AE119" t="e">
        <f>AND(#REF!,"b1tnjmq4nR4=")</f>
        <v>#REF!</v>
      </c>
      <c r="AF119" t="e">
        <f>AND(#REF!,"b1tnjmq4nR8=")</f>
        <v>#REF!</v>
      </c>
      <c r="AG119" t="e">
        <f>AND(#REF!,"b1tnjmq4nSA=")</f>
        <v>#REF!</v>
      </c>
      <c r="AH119" t="e">
        <f>AND(#REF!,"b1tnjmq4nSE=")</f>
        <v>#REF!</v>
      </c>
      <c r="AI119" t="e">
        <f>AND(#REF!,"b1tnjmq4nSI=")</f>
        <v>#REF!</v>
      </c>
      <c r="AJ119" t="e">
        <f>AND(#REF!,"b1tnjmq4nSM=")</f>
        <v>#REF!</v>
      </c>
      <c r="AK119" t="e">
        <f>AND(#REF!,"b1tnjmq4nSQ=")</f>
        <v>#REF!</v>
      </c>
      <c r="AL119" t="e">
        <f>AND(#REF!,"b1tnjmq4nSU=")</f>
        <v>#REF!</v>
      </c>
      <c r="AM119" t="e">
        <f>AND(#REF!,"b1tnjmq4nSY=")</f>
        <v>#REF!</v>
      </c>
      <c r="AN119" t="e">
        <f>AND(#REF!,"b1tnjmq4nSc=")</f>
        <v>#REF!</v>
      </c>
      <c r="AO119" t="e">
        <f>AND(#REF!,"b1tnjmq4nSg=")</f>
        <v>#REF!</v>
      </c>
      <c r="AP119" t="e">
        <f>AND(#REF!,"b1tnjmq4nSk=")</f>
        <v>#REF!</v>
      </c>
      <c r="AQ119" t="e">
        <f>AND(#REF!,"b1tnjmq4nSo=")</f>
        <v>#REF!</v>
      </c>
      <c r="AR119" t="e">
        <f>AND(#REF!,"b1tnjmq4nSs=")</f>
        <v>#REF!</v>
      </c>
      <c r="AS119" t="e">
        <f>AND(#REF!,"b1tnjmq4nSw=")</f>
        <v>#REF!</v>
      </c>
      <c r="AT119" t="e">
        <f>AND(#REF!,"b1tnjmq4nS0=")</f>
        <v>#REF!</v>
      </c>
      <c r="AU119" t="e">
        <f>AND(#REF!,"b1tnjmq4nS4=")</f>
        <v>#REF!</v>
      </c>
      <c r="AV119" t="e">
        <f>AND(#REF!,"b1tnjmq4nS8=")</f>
        <v>#REF!</v>
      </c>
      <c r="AW119" t="e">
        <f>AND(#REF!,"b1tnjmq4nTA=")</f>
        <v>#REF!</v>
      </c>
      <c r="AX119" t="e">
        <f>AND(#REF!,"b1tnjmq4nTE=")</f>
        <v>#REF!</v>
      </c>
      <c r="AY119" t="e">
        <f>AND(#REF!,"b1tnjmq4nTI=")</f>
        <v>#REF!</v>
      </c>
      <c r="AZ119" t="e">
        <f>AND(#REF!,"b1tnjmq4nTM=")</f>
        <v>#REF!</v>
      </c>
      <c r="BA119" t="e">
        <f>AND(#REF!,"b1tnjmq4nTQ=")</f>
        <v>#REF!</v>
      </c>
      <c r="BB119" t="e">
        <f>AND(#REF!,"b1tnjmq4nTU=")</f>
        <v>#REF!</v>
      </c>
      <c r="BC119" t="e">
        <f>AND(#REF!,"b1tnjmq4nTY=")</f>
        <v>#REF!</v>
      </c>
      <c r="BD119" t="e">
        <f>AND(#REF!,"b1tnjmq4nTc=")</f>
        <v>#REF!</v>
      </c>
      <c r="BE119" t="e">
        <f>AND(#REF!,"b1tnjmq4nTg=")</f>
        <v>#REF!</v>
      </c>
      <c r="BF119" t="e">
        <f>AND(#REF!,"b1tnjmq4nTk=")</f>
        <v>#REF!</v>
      </c>
      <c r="BG119" t="e">
        <f>AND(#REF!,"b1tnjmq4nTo=")</f>
        <v>#REF!</v>
      </c>
      <c r="BH119" t="e">
        <f>AND(#REF!,"b1tnjmq4nTs=")</f>
        <v>#REF!</v>
      </c>
      <c r="BI119" t="e">
        <f>AND(#REF!,"b1tnjmq4nTw=")</f>
        <v>#REF!</v>
      </c>
      <c r="BJ119" t="e">
        <f>AND(#REF!,"b1tnjmq4nT0=")</f>
        <v>#REF!</v>
      </c>
      <c r="BK119" t="e">
        <f>AND(#REF!,"b1tnjmq4nT4=")</f>
        <v>#REF!</v>
      </c>
      <c r="BL119" t="e">
        <f>AND(#REF!,"b1tnjmq4nT8=")</f>
        <v>#REF!</v>
      </c>
      <c r="BM119" t="e">
        <f>AND(#REF!,"b1tnjmq4nUA=")</f>
        <v>#REF!</v>
      </c>
      <c r="BN119" t="e">
        <f>AND(#REF!,"b1tnjmq4nUE=")</f>
        <v>#REF!</v>
      </c>
      <c r="BO119" t="e">
        <f>AND(#REF!,"b1tnjmq4nUI=")</f>
        <v>#REF!</v>
      </c>
      <c r="BP119" t="e">
        <f>AND(#REF!,"b1tnjmq4nUM=")</f>
        <v>#REF!</v>
      </c>
      <c r="BQ119" t="e">
        <f>AND(#REF!,"b1tnjmq4nUQ=")</f>
        <v>#REF!</v>
      </c>
      <c r="BR119" t="e">
        <f>AND(#REF!,"b1tnjmq4nUU=")</f>
        <v>#REF!</v>
      </c>
      <c r="BS119" t="e">
        <f>AND(#REF!,"b1tnjmq4nUY=")</f>
        <v>#REF!</v>
      </c>
      <c r="BT119" t="e">
        <f>AND(#REF!,"b1tnjmq4nUc=")</f>
        <v>#REF!</v>
      </c>
      <c r="BU119" t="e">
        <f>AND(#REF!,"b1tnjmq4nUg=")</f>
        <v>#REF!</v>
      </c>
      <c r="BV119" t="e">
        <f>AND(#REF!,"b1tnjmq4nUk=")</f>
        <v>#REF!</v>
      </c>
      <c r="BW119" t="e">
        <f>AND(#REF!,"b1tnjmq4nUo=")</f>
        <v>#REF!</v>
      </c>
      <c r="BX119" t="e">
        <f>AND(#REF!,"b1tnjmq4nUs=")</f>
        <v>#REF!</v>
      </c>
      <c r="BY119" t="e">
        <f>AND(#REF!,"b1tnjmq4nUw=")</f>
        <v>#REF!</v>
      </c>
      <c r="BZ119" t="e">
        <f>AND(#REF!,"b1tnjmq4nU0=")</f>
        <v>#REF!</v>
      </c>
      <c r="CA119" t="e">
        <f>AND(#REF!,"b1tnjmq4nU4=")</f>
        <v>#REF!</v>
      </c>
      <c r="CB119" t="e">
        <f>AND(#REF!,"b1tnjmq4nU8=")</f>
        <v>#REF!</v>
      </c>
      <c r="CC119" t="e">
        <f>AND(#REF!,"b1tnjmq4nVA=")</f>
        <v>#REF!</v>
      </c>
      <c r="CD119" t="e">
        <f>AND(#REF!,"b1tnjmq4nVE=")</f>
        <v>#REF!</v>
      </c>
      <c r="CE119" t="e">
        <f>AND(#REF!,"b1tnjmq4nVI=")</f>
        <v>#REF!</v>
      </c>
      <c r="CF119" t="e">
        <f>AND(#REF!,"b1tnjmq4nVM=")</f>
        <v>#REF!</v>
      </c>
      <c r="CG119" t="e">
        <f>AND(#REF!,"b1tnjmq4nVQ=")</f>
        <v>#REF!</v>
      </c>
      <c r="CH119" t="e">
        <f>AND(#REF!,"b1tnjmq4nVU=")</f>
        <v>#REF!</v>
      </c>
      <c r="CI119" t="e">
        <f>AND(#REF!,"b1tnjmq4nVY=")</f>
        <v>#REF!</v>
      </c>
      <c r="CJ119" t="e">
        <f>AND(#REF!,"b1tnjmq4nVc=")</f>
        <v>#REF!</v>
      </c>
      <c r="CK119" t="e">
        <f>AND(#REF!,"b1tnjmq4nVg=")</f>
        <v>#REF!</v>
      </c>
      <c r="CL119" t="e">
        <f>AND(#REF!,"b1tnjmq4nVk=")</f>
        <v>#REF!</v>
      </c>
      <c r="CM119" t="e">
        <f>AND(#REF!,"b1tnjmq4nVo=")</f>
        <v>#REF!</v>
      </c>
      <c r="CN119" t="e">
        <f>AND(#REF!,"b1tnjmq4nVs=")</f>
        <v>#REF!</v>
      </c>
      <c r="CO119" t="e">
        <f>AND(#REF!,"b1tnjmq4nVw=")</f>
        <v>#REF!</v>
      </c>
      <c r="CP119" t="e">
        <f>AND(#REF!,"b1tnjmq4nV0=")</f>
        <v>#REF!</v>
      </c>
      <c r="CQ119" t="e">
        <f>AND(#REF!,"b1tnjmq4nV4=")</f>
        <v>#REF!</v>
      </c>
      <c r="CR119" t="e">
        <f>AND(#REF!,"b1tnjmq4nV8=")</f>
        <v>#REF!</v>
      </c>
      <c r="CS119" t="e">
        <f>AND(#REF!,"b1tnjmq4nWA=")</f>
        <v>#REF!</v>
      </c>
      <c r="CT119" t="e">
        <f>AND(#REF!,"b1tnjmq4nWE=")</f>
        <v>#REF!</v>
      </c>
      <c r="CU119" t="e">
        <f>AND(#REF!,"b1tnjmq4nWI=")</f>
        <v>#REF!</v>
      </c>
      <c r="CV119" t="e">
        <f>AND(#REF!,"b1tnjmq4nWM=")</f>
        <v>#REF!</v>
      </c>
      <c r="CW119" t="e">
        <f>AND(#REF!,"b1tnjmq4nWQ=")</f>
        <v>#REF!</v>
      </c>
      <c r="CX119" t="e">
        <f>AND(#REF!,"b1tnjmq4nWU=")</f>
        <v>#REF!</v>
      </c>
      <c r="CY119" t="e">
        <f>AND(#REF!,"b1tnjmq4nWY=")</f>
        <v>#REF!</v>
      </c>
      <c r="CZ119" t="e">
        <f>AND(#REF!,"b1tnjmq4nWc=")</f>
        <v>#REF!</v>
      </c>
      <c r="DA119" t="e">
        <f>AND(#REF!,"b1tnjmq4nWg=")</f>
        <v>#REF!</v>
      </c>
      <c r="DB119" t="e">
        <f>AND(#REF!,"b1tnjmq4nWk=")</f>
        <v>#REF!</v>
      </c>
      <c r="DC119" t="e">
        <f>AND(#REF!,"b1tnjmq4nWo=")</f>
        <v>#REF!</v>
      </c>
      <c r="DD119" t="e">
        <f>AND(#REF!,"b1tnjmq4nWs=")</f>
        <v>#REF!</v>
      </c>
      <c r="DE119" t="e">
        <f>AND(#REF!,"b1tnjmq4nWw=")</f>
        <v>#REF!</v>
      </c>
      <c r="DF119" t="e">
        <f>AND(#REF!,"b1tnjmq4nW0=")</f>
        <v>#REF!</v>
      </c>
      <c r="DG119" t="e">
        <f>AND(#REF!,"b1tnjmq4nW4=")</f>
        <v>#REF!</v>
      </c>
      <c r="DH119" t="e">
        <f>AND(#REF!,"b1tnjmq4nW8=")</f>
        <v>#REF!</v>
      </c>
      <c r="DI119" t="e">
        <f>AND(#REF!,"b1tnjmq4nXA=")</f>
        <v>#REF!</v>
      </c>
      <c r="DJ119" t="e">
        <f>AND(#REF!,"b1tnjmq4nXE=")</f>
        <v>#REF!</v>
      </c>
      <c r="DK119" t="e">
        <f>AND(#REF!,"b1tnjmq4nXI=")</f>
        <v>#REF!</v>
      </c>
      <c r="DL119" t="e">
        <f>AND(#REF!,"b1tnjmq4nXM=")</f>
        <v>#REF!</v>
      </c>
      <c r="DM119" t="e">
        <f>AND(#REF!,"b1tnjmq4nXQ=")</f>
        <v>#REF!</v>
      </c>
      <c r="DN119" t="e">
        <f>AND(#REF!,"b1tnjmq4nXU=")</f>
        <v>#REF!</v>
      </c>
      <c r="DO119" t="e">
        <f>AND(#REF!,"b1tnjmq4nXY=")</f>
        <v>#REF!</v>
      </c>
      <c r="DP119" t="e">
        <f>AND(#REF!,"b1tnjmq4nXc=")</f>
        <v>#REF!</v>
      </c>
      <c r="DQ119" t="e">
        <f>AND(#REF!,"b1tnjmq4nXg=")</f>
        <v>#REF!</v>
      </c>
      <c r="DR119" t="e">
        <f>AND(#REF!,"b1tnjmq4nXk=")</f>
        <v>#REF!</v>
      </c>
      <c r="DS119" t="e">
        <f>AND(#REF!,"b1tnjmq4nXo=")</f>
        <v>#REF!</v>
      </c>
      <c r="DT119" t="e">
        <f>AND(#REF!,"b1tnjmq4nXs=")</f>
        <v>#REF!</v>
      </c>
      <c r="DU119" t="e">
        <f>AND(#REF!,"b1tnjmq4nXw=")</f>
        <v>#REF!</v>
      </c>
      <c r="DV119" t="e">
        <f>AND(#REF!,"b1tnjmq4nX0=")</f>
        <v>#REF!</v>
      </c>
      <c r="DW119" t="e">
        <f>AND(#REF!,"b1tnjmq4nX4=")</f>
        <v>#REF!</v>
      </c>
      <c r="DX119" t="e">
        <f>AND(#REF!,"b1tnjmq4nX8=")</f>
        <v>#REF!</v>
      </c>
      <c r="DY119" t="e">
        <f>AND(#REF!,"b1tnjmq4nYA=")</f>
        <v>#REF!</v>
      </c>
      <c r="DZ119" t="e">
        <f>AND(#REF!,"b1tnjmq4nYE=")</f>
        <v>#REF!</v>
      </c>
      <c r="EA119" t="e">
        <f>AND(#REF!,"b1tnjmq4nYI=")</f>
        <v>#REF!</v>
      </c>
      <c r="EB119" t="e">
        <f>AND(#REF!,"b1tnjmq4nYM=")</f>
        <v>#REF!</v>
      </c>
      <c r="EC119" t="e">
        <f>AND(#REF!,"b1tnjmq4nYQ=")</f>
        <v>#REF!</v>
      </c>
      <c r="ED119" t="e">
        <f>AND(#REF!,"b1tnjmq4nYU=")</f>
        <v>#REF!</v>
      </c>
      <c r="EE119" t="e">
        <f>AND(#REF!,"b1tnjmq4nYY=")</f>
        <v>#REF!</v>
      </c>
      <c r="EF119" t="e">
        <f>AND(#REF!,"b1tnjmq4nYc=")</f>
        <v>#REF!</v>
      </c>
      <c r="EG119" t="e">
        <f>AND(#REF!,"b1tnjmq4nYg=")</f>
        <v>#REF!</v>
      </c>
      <c r="EH119" t="e">
        <f>AND(#REF!,"b1tnjmq4nYk=")</f>
        <v>#REF!</v>
      </c>
      <c r="EI119" t="e">
        <f>AND(#REF!,"b1tnjmq4nYo=")</f>
        <v>#REF!</v>
      </c>
      <c r="EJ119" t="e">
        <f>AND(#REF!,"b1tnjmq4nYs=")</f>
        <v>#REF!</v>
      </c>
      <c r="EK119" t="e">
        <f>AND(#REF!,"b1tnjmq4nYw=")</f>
        <v>#REF!</v>
      </c>
      <c r="EL119" t="e">
        <f>AND(#REF!,"b1tnjmq4nY0=")</f>
        <v>#REF!</v>
      </c>
      <c r="EM119" t="e">
        <f>AND(#REF!,"b1tnjmq4nY4=")</f>
        <v>#REF!</v>
      </c>
      <c r="EN119" t="e">
        <f>AND(#REF!,"b1tnjmq4nY8=")</f>
        <v>#REF!</v>
      </c>
      <c r="EO119" t="e">
        <f>AND(#REF!,"b1tnjmq4nZA=")</f>
        <v>#REF!</v>
      </c>
      <c r="EP119" t="e">
        <f>AND(#REF!,"b1tnjmq4nZE=")</f>
        <v>#REF!</v>
      </c>
      <c r="EQ119" t="e">
        <f>AND(#REF!,"b1tnjmq4nZI=")</f>
        <v>#REF!</v>
      </c>
      <c r="ER119" t="e">
        <f>AND(#REF!,"b1tnjmq4nZM=")</f>
        <v>#REF!</v>
      </c>
      <c r="ES119" t="e">
        <f>AND(#REF!,"b1tnjmq4nZQ=")</f>
        <v>#REF!</v>
      </c>
      <c r="ET119" t="e">
        <f>AND(#REF!,"b1tnjmq4nZU=")</f>
        <v>#REF!</v>
      </c>
      <c r="EU119" t="e">
        <f>AND(#REF!,"b1tnjmq4nZY=")</f>
        <v>#REF!</v>
      </c>
      <c r="EV119" t="e">
        <f>AND(#REF!,"b1tnjmq4nZc=")</f>
        <v>#REF!</v>
      </c>
      <c r="EW119" t="e">
        <f>AND(#REF!,"b1tnjmq4nZg=")</f>
        <v>#REF!</v>
      </c>
      <c r="EX119" t="e">
        <f>AND(#REF!,"b1tnjmq4nZk=")</f>
        <v>#REF!</v>
      </c>
      <c r="EY119" t="e">
        <f>AND(#REF!,"b1tnjmq4nZo=")</f>
        <v>#REF!</v>
      </c>
      <c r="EZ119" t="e">
        <f>AND(#REF!,"b1tnjmq4nZs=")</f>
        <v>#REF!</v>
      </c>
      <c r="FA119" t="e">
        <f>AND(#REF!,"b1tnjmq4nZw=")</f>
        <v>#REF!</v>
      </c>
      <c r="FB119" t="e">
        <f>AND(#REF!,"b1tnjmq4nZ0=")</f>
        <v>#REF!</v>
      </c>
      <c r="FC119" t="e">
        <f>AND(#REF!,"b1tnjmq4nZ4=")</f>
        <v>#REF!</v>
      </c>
      <c r="FD119" t="e">
        <f>AND(#REF!,"b1tnjmq4nZ8=")</f>
        <v>#REF!</v>
      </c>
      <c r="FE119" t="e">
        <f>AND(#REF!,"b1tnjmq4naA=")</f>
        <v>#REF!</v>
      </c>
      <c r="FF119" t="e">
        <f>AND(#REF!,"b1tnjmq4naE=")</f>
        <v>#REF!</v>
      </c>
      <c r="FG119" t="e">
        <f>AND(#REF!,"b1tnjmq4naI=")</f>
        <v>#REF!</v>
      </c>
      <c r="FH119" t="e">
        <f>AND(#REF!,"b1tnjmq4naM=")</f>
        <v>#REF!</v>
      </c>
      <c r="FI119" t="e">
        <f>AND(#REF!,"b1tnjmq4naQ=")</f>
        <v>#REF!</v>
      </c>
      <c r="FJ119" t="e">
        <f>AND(#REF!,"b1tnjmq4naU=")</f>
        <v>#REF!</v>
      </c>
      <c r="FK119" t="e">
        <f>AND(#REF!,"b1tnjmq4naY=")</f>
        <v>#REF!</v>
      </c>
      <c r="FL119" t="e">
        <f>AND(#REF!,"b1tnjmq4nac=")</f>
        <v>#REF!</v>
      </c>
      <c r="FM119" t="e">
        <f>AND(#REF!,"b1tnjmq4nag=")</f>
        <v>#REF!</v>
      </c>
      <c r="FN119" t="e">
        <f>AND(#REF!,"b1tnjmq4nak=")</f>
        <v>#REF!</v>
      </c>
      <c r="FO119" t="e">
        <f>AND(#REF!,"b1tnjmq4nao=")</f>
        <v>#REF!</v>
      </c>
      <c r="FP119" t="e">
        <f>AND(#REF!,"b1tnjmq4nas=")</f>
        <v>#REF!</v>
      </c>
      <c r="FQ119" t="e">
        <f>AND(#REF!,"b1tnjmq4naw=")</f>
        <v>#REF!</v>
      </c>
      <c r="FR119" t="e">
        <f>AND(#REF!,"b1tnjmq4na0=")</f>
        <v>#REF!</v>
      </c>
      <c r="FS119" t="e">
        <f>AND(#REF!,"b1tnjmq4na4=")</f>
        <v>#REF!</v>
      </c>
      <c r="FT119" t="e">
        <f>AND(#REF!,"b1tnjmq4na8=")</f>
        <v>#REF!</v>
      </c>
      <c r="FU119" t="e">
        <f>AND(#REF!,"b1tnjmq4nbA=")</f>
        <v>#REF!</v>
      </c>
      <c r="FV119" t="e">
        <f>AND(#REF!,"b1tnjmq4nbE=")</f>
        <v>#REF!</v>
      </c>
      <c r="FW119" t="e">
        <f>AND(#REF!,"b1tnjmq4nbI=")</f>
        <v>#REF!</v>
      </c>
      <c r="FX119" t="e">
        <f>AND(#REF!,"b1tnjmq4nbM=")</f>
        <v>#REF!</v>
      </c>
      <c r="FY119" t="e">
        <f>AND(#REF!,"b1tnjmq4nbQ=")</f>
        <v>#REF!</v>
      </c>
      <c r="FZ119" t="e">
        <f>AND(#REF!,"b1tnjmq4nbU=")</f>
        <v>#REF!</v>
      </c>
      <c r="GA119" t="e">
        <f>AND(#REF!,"b1tnjmq4nbY=")</f>
        <v>#REF!</v>
      </c>
      <c r="GB119" t="e">
        <f>AND(#REF!,"b1tnjmq4nbc=")</f>
        <v>#REF!</v>
      </c>
      <c r="GC119" t="e">
        <f>AND(#REF!,"b1tnjmq4nbg=")</f>
        <v>#REF!</v>
      </c>
      <c r="GD119" t="e">
        <f>IF(#REF!,"b1tnjmq4nbk=",0)</f>
        <v>#REF!</v>
      </c>
      <c r="GE119" t="e">
        <f>AND(#REF!,"b1tnjmq4nbo=")</f>
        <v>#REF!</v>
      </c>
      <c r="GF119" t="e">
        <f>AND(#REF!,"b1tnjmq4nbs=")</f>
        <v>#REF!</v>
      </c>
      <c r="GG119" t="e">
        <f>AND(#REF!,"b1tnjmq4nbw=")</f>
        <v>#REF!</v>
      </c>
      <c r="GH119" t="e">
        <f>AND(#REF!,"b1tnjmq4nb0=")</f>
        <v>#REF!</v>
      </c>
      <c r="GI119" t="e">
        <f>AND(#REF!,"b1tnjmq4nb4=")</f>
        <v>#REF!</v>
      </c>
      <c r="GJ119" t="e">
        <f>AND(#REF!,"b1tnjmq4nb8=")</f>
        <v>#REF!</v>
      </c>
      <c r="GK119" t="e">
        <f>AND(#REF!,"b1tnjmq4ncA=")</f>
        <v>#REF!</v>
      </c>
      <c r="GL119" t="e">
        <f>AND(#REF!,"b1tnjmq4ncE=")</f>
        <v>#REF!</v>
      </c>
      <c r="GM119" t="e">
        <f>AND(#REF!,"b1tnjmq4ncI=")</f>
        <v>#REF!</v>
      </c>
      <c r="GN119" t="e">
        <f>AND(#REF!,"b1tnjmq4ncM=")</f>
        <v>#REF!</v>
      </c>
      <c r="GO119" t="e">
        <f>AND(#REF!,"b1tnjmq4ncQ=")</f>
        <v>#REF!</v>
      </c>
      <c r="GP119" t="e">
        <f>AND(#REF!,"b1tnjmq4ncU=")</f>
        <v>#REF!</v>
      </c>
      <c r="GQ119" t="e">
        <f>AND(#REF!,"b1tnjmq4ncY=")</f>
        <v>#REF!</v>
      </c>
      <c r="GR119" t="e">
        <f>AND(#REF!,"b1tnjmq4ncc=")</f>
        <v>#REF!</v>
      </c>
      <c r="GS119" t="e">
        <f>AND(#REF!,"b1tnjmq4ncg=")</f>
        <v>#REF!</v>
      </c>
      <c r="GT119" t="e">
        <f>AND(#REF!,"b1tnjmq4nck=")</f>
        <v>#REF!</v>
      </c>
      <c r="GU119" t="e">
        <f>AND(#REF!,"b1tnjmq4nco=")</f>
        <v>#REF!</v>
      </c>
      <c r="GV119" t="e">
        <f>AND(#REF!,"b1tnjmq4ncs=")</f>
        <v>#REF!</v>
      </c>
      <c r="GW119" t="e">
        <f>AND(#REF!,"b1tnjmq4ncw=")</f>
        <v>#REF!</v>
      </c>
      <c r="GX119" t="e">
        <f>AND(#REF!,"b1tnjmq4nc0=")</f>
        <v>#REF!</v>
      </c>
      <c r="GY119" t="e">
        <f>AND(#REF!,"b1tnjmq4nc4=")</f>
        <v>#REF!</v>
      </c>
      <c r="GZ119" t="e">
        <f>AND(#REF!,"b1tnjmq4nc8=")</f>
        <v>#REF!</v>
      </c>
      <c r="HA119" t="e">
        <f>AND(#REF!,"b1tnjmq4ndA=")</f>
        <v>#REF!</v>
      </c>
      <c r="HB119" t="e">
        <f>AND(#REF!,"b1tnjmq4ndE=")</f>
        <v>#REF!</v>
      </c>
      <c r="HC119" t="e">
        <f>AND(#REF!,"b1tnjmq4ndI=")</f>
        <v>#REF!</v>
      </c>
      <c r="HD119" t="e">
        <f>AND(#REF!,"b1tnjmq4ndM=")</f>
        <v>#REF!</v>
      </c>
      <c r="HE119" t="e">
        <f>AND(#REF!,"b1tnjmq4ndQ=")</f>
        <v>#REF!</v>
      </c>
      <c r="HF119" t="e">
        <f>AND(#REF!,"b1tnjmq4ndU=")</f>
        <v>#REF!</v>
      </c>
      <c r="HG119" t="e">
        <f>AND(#REF!,"b1tnjmq4ndY=")</f>
        <v>#REF!</v>
      </c>
      <c r="HH119" t="e">
        <f>AND(#REF!,"b1tnjmq4ndc=")</f>
        <v>#REF!</v>
      </c>
      <c r="HI119" t="e">
        <f>AND(#REF!,"b1tnjmq4ndg=")</f>
        <v>#REF!</v>
      </c>
      <c r="HJ119" t="e">
        <f>AND(#REF!,"b1tnjmq4ndk=")</f>
        <v>#REF!</v>
      </c>
      <c r="HK119" t="e">
        <f>AND(#REF!,"b1tnjmq4ndo=")</f>
        <v>#REF!</v>
      </c>
      <c r="HL119" t="e">
        <f>AND(#REF!,"b1tnjmq4nds=")</f>
        <v>#REF!</v>
      </c>
      <c r="HM119" t="e">
        <f>AND(#REF!,"b1tnjmq4ndw=")</f>
        <v>#REF!</v>
      </c>
      <c r="HN119" t="e">
        <f>AND(#REF!,"b1tnjmq4nd0=")</f>
        <v>#REF!</v>
      </c>
      <c r="HO119" t="e">
        <f>AND(#REF!,"b1tnjmq4nd4=")</f>
        <v>#REF!</v>
      </c>
      <c r="HP119" t="e">
        <f>AND(#REF!,"b1tnjmq4nd8=")</f>
        <v>#REF!</v>
      </c>
      <c r="HQ119" t="e">
        <f>AND(#REF!,"b1tnjmq4neA=")</f>
        <v>#REF!</v>
      </c>
      <c r="HR119" t="e">
        <f>AND(#REF!,"b1tnjmq4neE=")</f>
        <v>#REF!</v>
      </c>
      <c r="HS119" t="e">
        <f>AND(#REF!,"b1tnjmq4neI=")</f>
        <v>#REF!</v>
      </c>
      <c r="HT119" t="e">
        <f>AND(#REF!,"b1tnjmq4neM=")</f>
        <v>#REF!</v>
      </c>
      <c r="HU119" t="e">
        <f>AND(#REF!,"b1tnjmq4neQ=")</f>
        <v>#REF!</v>
      </c>
      <c r="HV119" t="e">
        <f>AND(#REF!,"b1tnjmq4neU=")</f>
        <v>#REF!</v>
      </c>
      <c r="HW119" t="e">
        <f>AND(#REF!,"b1tnjmq4neY=")</f>
        <v>#REF!</v>
      </c>
      <c r="HX119" t="e">
        <f>AND(#REF!,"b1tnjmq4nec=")</f>
        <v>#REF!</v>
      </c>
      <c r="HY119" t="e">
        <f>AND(#REF!,"b1tnjmq4neg=")</f>
        <v>#REF!</v>
      </c>
      <c r="HZ119" t="e">
        <f>AND(#REF!,"b1tnjmq4nek=")</f>
        <v>#REF!</v>
      </c>
      <c r="IA119" t="e">
        <f>AND(#REF!,"b1tnjmq4neo=")</f>
        <v>#REF!</v>
      </c>
      <c r="IB119" t="e">
        <f>AND(#REF!,"b1tnjmq4nes=")</f>
        <v>#REF!</v>
      </c>
      <c r="IC119" t="e">
        <f>AND(#REF!,"b1tnjmq4new=")</f>
        <v>#REF!</v>
      </c>
      <c r="ID119" t="e">
        <f>AND(#REF!,"b1tnjmq4ne0=")</f>
        <v>#REF!</v>
      </c>
      <c r="IE119" t="e">
        <f>AND(#REF!,"b1tnjmq4ne4=")</f>
        <v>#REF!</v>
      </c>
      <c r="IF119" t="e">
        <f>AND(#REF!,"b1tnjmq4ne8=")</f>
        <v>#REF!</v>
      </c>
      <c r="IG119" t="e">
        <f>AND(#REF!,"b1tnjmq4nfA=")</f>
        <v>#REF!</v>
      </c>
      <c r="IH119" t="e">
        <f>AND(#REF!,"b1tnjmq4nfE=")</f>
        <v>#REF!</v>
      </c>
      <c r="II119" t="e">
        <f>AND(#REF!,"b1tnjmq4nfI=")</f>
        <v>#REF!</v>
      </c>
      <c r="IJ119" t="e">
        <f>AND(#REF!,"b1tnjmq4nfM=")</f>
        <v>#REF!</v>
      </c>
      <c r="IK119" t="e">
        <f>AND(#REF!,"b1tnjmq4nfQ=")</f>
        <v>#REF!</v>
      </c>
      <c r="IL119" t="e">
        <f>AND(#REF!,"b1tnjmq4nfU=")</f>
        <v>#REF!</v>
      </c>
      <c r="IM119" t="e">
        <f>AND(#REF!,"b1tnjmq4nfY=")</f>
        <v>#REF!</v>
      </c>
      <c r="IN119" t="e">
        <f>AND(#REF!,"b1tnjmq4nfc=")</f>
        <v>#REF!</v>
      </c>
      <c r="IO119" t="e">
        <f>AND(#REF!,"b1tnjmq4nfg=")</f>
        <v>#REF!</v>
      </c>
      <c r="IP119" t="e">
        <f>AND(#REF!,"b1tnjmq4nfk=")</f>
        <v>#REF!</v>
      </c>
      <c r="IQ119" t="e">
        <f>AND(#REF!,"b1tnjmq4nfo=")</f>
        <v>#REF!</v>
      </c>
      <c r="IR119" t="e">
        <f>AND(#REF!,"b1tnjmq4nfs=")</f>
        <v>#REF!</v>
      </c>
      <c r="IS119" t="e">
        <f>AND(#REF!,"b1tnjmq4nfw=")</f>
        <v>#REF!</v>
      </c>
      <c r="IT119" t="e">
        <f>AND(#REF!,"b1tnjmq4nf0=")</f>
        <v>#REF!</v>
      </c>
      <c r="IU119" t="e">
        <f>AND(#REF!,"b1tnjmq4nf4=")</f>
        <v>#REF!</v>
      </c>
      <c r="IV119" t="e">
        <f>AND(#REF!,"b1tnjmq4nf8=")</f>
        <v>#REF!</v>
      </c>
    </row>
    <row r="120" spans="1:256" x14ac:dyDescent="0.2">
      <c r="A120" t="e">
        <f>AND(#REF!,"fmlnh2Gv0gA=")</f>
        <v>#REF!</v>
      </c>
      <c r="B120" t="e">
        <f>AND(#REF!,"fmlnh2Gv0gE=")</f>
        <v>#REF!</v>
      </c>
      <c r="C120" t="e">
        <f>AND(#REF!,"fmlnh2Gv0gI=")</f>
        <v>#REF!</v>
      </c>
      <c r="D120" t="e">
        <f>AND(#REF!,"fmlnh2Gv0gM=")</f>
        <v>#REF!</v>
      </c>
      <c r="E120" t="e">
        <f>AND(#REF!,"fmlnh2Gv0gQ=")</f>
        <v>#REF!</v>
      </c>
      <c r="F120" t="e">
        <f>AND(#REF!,"fmlnh2Gv0gU=")</f>
        <v>#REF!</v>
      </c>
      <c r="G120" t="e">
        <f>AND(#REF!,"fmlnh2Gv0gY=")</f>
        <v>#REF!</v>
      </c>
      <c r="H120" t="e">
        <f>AND(#REF!,"fmlnh2Gv0gc=")</f>
        <v>#REF!</v>
      </c>
      <c r="I120" t="e">
        <f>AND(#REF!,"fmlnh2Gv0gg=")</f>
        <v>#REF!</v>
      </c>
      <c r="J120" t="e">
        <f>AND(#REF!,"fmlnh2Gv0gk=")</f>
        <v>#REF!</v>
      </c>
      <c r="K120" t="e">
        <f>AND(#REF!,"fmlnh2Gv0go=")</f>
        <v>#REF!</v>
      </c>
      <c r="L120" t="e">
        <f>AND(#REF!,"fmlnh2Gv0gs=")</f>
        <v>#REF!</v>
      </c>
      <c r="M120" t="e">
        <f>AND(#REF!,"fmlnh2Gv0gw=")</f>
        <v>#REF!</v>
      </c>
      <c r="N120" t="e">
        <f>AND(#REF!,"fmlnh2Gv0g0=")</f>
        <v>#REF!</v>
      </c>
      <c r="O120" t="e">
        <f>AND(#REF!,"fmlnh2Gv0g4=")</f>
        <v>#REF!</v>
      </c>
      <c r="P120" t="e">
        <f>AND(#REF!,"fmlnh2Gv0g8=")</f>
        <v>#REF!</v>
      </c>
      <c r="Q120" t="e">
        <f>AND(#REF!,"fmlnh2Gv0hA=")</f>
        <v>#REF!</v>
      </c>
      <c r="R120" t="e">
        <f>AND(#REF!,"fmlnh2Gv0hE=")</f>
        <v>#REF!</v>
      </c>
      <c r="S120" t="e">
        <f>AND(#REF!,"fmlnh2Gv0hI=")</f>
        <v>#REF!</v>
      </c>
      <c r="T120" t="e">
        <f>AND(#REF!,"fmlnh2Gv0hM=")</f>
        <v>#REF!</v>
      </c>
      <c r="U120" t="e">
        <f>AND(#REF!,"fmlnh2Gv0hQ=")</f>
        <v>#REF!</v>
      </c>
      <c r="V120" t="e">
        <f>AND(#REF!,"fmlnh2Gv0hU=")</f>
        <v>#REF!</v>
      </c>
      <c r="W120" t="e">
        <f>AND(#REF!,"fmlnh2Gv0hY=")</f>
        <v>#REF!</v>
      </c>
      <c r="X120" t="e">
        <f>AND(#REF!,"fmlnh2Gv0hc=")</f>
        <v>#REF!</v>
      </c>
      <c r="Y120" t="e">
        <f>AND(#REF!,"fmlnh2Gv0hg=")</f>
        <v>#REF!</v>
      </c>
      <c r="Z120" t="e">
        <f>AND(#REF!,"fmlnh2Gv0hk=")</f>
        <v>#REF!</v>
      </c>
      <c r="AA120" t="e">
        <f>AND(#REF!,"fmlnh2Gv0ho=")</f>
        <v>#REF!</v>
      </c>
      <c r="AB120" t="e">
        <f>AND(#REF!,"fmlnh2Gv0hs=")</f>
        <v>#REF!</v>
      </c>
      <c r="AC120" t="e">
        <f>AND(#REF!,"fmlnh2Gv0hw=")</f>
        <v>#REF!</v>
      </c>
      <c r="AD120" t="e">
        <f>AND(#REF!,"fmlnh2Gv0h0=")</f>
        <v>#REF!</v>
      </c>
      <c r="AE120" t="e">
        <f>AND(#REF!,"fmlnh2Gv0h4=")</f>
        <v>#REF!</v>
      </c>
      <c r="AF120" t="e">
        <f>AND(#REF!,"fmlnh2Gv0h8=")</f>
        <v>#REF!</v>
      </c>
      <c r="AG120" t="e">
        <f>AND(#REF!,"fmlnh2Gv0iA=")</f>
        <v>#REF!</v>
      </c>
      <c r="AH120" t="e">
        <f>AND(#REF!,"fmlnh2Gv0iE=")</f>
        <v>#REF!</v>
      </c>
      <c r="AI120" t="e">
        <f>AND(#REF!,"fmlnh2Gv0iI=")</f>
        <v>#REF!</v>
      </c>
      <c r="AJ120" t="e">
        <f>AND(#REF!,"fmlnh2Gv0iM=")</f>
        <v>#REF!</v>
      </c>
      <c r="AK120" t="e">
        <f>AND(#REF!,"fmlnh2Gv0iQ=")</f>
        <v>#REF!</v>
      </c>
      <c r="AL120" t="e">
        <f>AND(#REF!,"fmlnh2Gv0iU=")</f>
        <v>#REF!</v>
      </c>
      <c r="AM120" t="e">
        <f>AND(#REF!,"fmlnh2Gv0iY=")</f>
        <v>#REF!</v>
      </c>
      <c r="AN120" t="e">
        <f>AND(#REF!,"fmlnh2Gv0ic=")</f>
        <v>#REF!</v>
      </c>
      <c r="AO120" t="e">
        <f>AND(#REF!,"fmlnh2Gv0ig=")</f>
        <v>#REF!</v>
      </c>
      <c r="AP120" t="e">
        <f>AND(#REF!,"fmlnh2Gv0ik=")</f>
        <v>#REF!</v>
      </c>
      <c r="AQ120" t="e">
        <f>AND(#REF!,"fmlnh2Gv0io=")</f>
        <v>#REF!</v>
      </c>
      <c r="AR120" t="e">
        <f>AND(#REF!,"fmlnh2Gv0is=")</f>
        <v>#REF!</v>
      </c>
      <c r="AS120" t="e">
        <f>AND(#REF!,"fmlnh2Gv0iw=")</f>
        <v>#REF!</v>
      </c>
      <c r="AT120" t="e">
        <f>AND(#REF!,"fmlnh2Gv0i0=")</f>
        <v>#REF!</v>
      </c>
      <c r="AU120" t="e">
        <f>AND(#REF!,"fmlnh2Gv0i4=")</f>
        <v>#REF!</v>
      </c>
      <c r="AV120" t="e">
        <f>AND(#REF!,"fmlnh2Gv0i8=")</f>
        <v>#REF!</v>
      </c>
      <c r="AW120" t="e">
        <f>AND(#REF!,"fmlnh2Gv0jA=")</f>
        <v>#REF!</v>
      </c>
      <c r="AX120" t="e">
        <f>AND(#REF!,"fmlnh2Gv0jE=")</f>
        <v>#REF!</v>
      </c>
      <c r="AY120" t="e">
        <f>AND(#REF!,"fmlnh2Gv0jI=")</f>
        <v>#REF!</v>
      </c>
      <c r="AZ120" t="e">
        <f>AND(#REF!,"fmlnh2Gv0jM=")</f>
        <v>#REF!</v>
      </c>
      <c r="BA120" t="e">
        <f>AND(#REF!,"fmlnh2Gv0jQ=")</f>
        <v>#REF!</v>
      </c>
      <c r="BB120" t="e">
        <f>AND(#REF!,"fmlnh2Gv0jU=")</f>
        <v>#REF!</v>
      </c>
      <c r="BC120" t="e">
        <f>AND(#REF!,"fmlnh2Gv0jY=")</f>
        <v>#REF!</v>
      </c>
      <c r="BD120" t="e">
        <f>AND(#REF!,"fmlnh2Gv0jc=")</f>
        <v>#REF!</v>
      </c>
      <c r="BE120" t="e">
        <f>AND(#REF!,"fmlnh2Gv0jg=")</f>
        <v>#REF!</v>
      </c>
      <c r="BF120" t="e">
        <f>AND(#REF!,"fmlnh2Gv0jk=")</f>
        <v>#REF!</v>
      </c>
      <c r="BG120" t="e">
        <f>AND(#REF!,"fmlnh2Gv0jo=")</f>
        <v>#REF!</v>
      </c>
      <c r="BH120" t="e">
        <f>AND(#REF!,"fmlnh2Gv0js=")</f>
        <v>#REF!</v>
      </c>
      <c r="BI120" t="e">
        <f>AND(#REF!,"fmlnh2Gv0jw=")</f>
        <v>#REF!</v>
      </c>
      <c r="BJ120" t="e">
        <f>AND(#REF!,"fmlnh2Gv0j0=")</f>
        <v>#REF!</v>
      </c>
      <c r="BK120" t="e">
        <f>AND(#REF!,"fmlnh2Gv0j4=")</f>
        <v>#REF!</v>
      </c>
      <c r="BL120" t="e">
        <f>AND(#REF!,"fmlnh2Gv0j8=")</f>
        <v>#REF!</v>
      </c>
      <c r="BM120" t="e">
        <f>AND(#REF!,"fmlnh2Gv0kA=")</f>
        <v>#REF!</v>
      </c>
      <c r="BN120" t="e">
        <f>AND(#REF!,"fmlnh2Gv0kE=")</f>
        <v>#REF!</v>
      </c>
      <c r="BO120" t="e">
        <f>AND(#REF!,"fmlnh2Gv0kI=")</f>
        <v>#REF!</v>
      </c>
      <c r="BP120" t="e">
        <f>AND(#REF!,"fmlnh2Gv0kM=")</f>
        <v>#REF!</v>
      </c>
      <c r="BQ120" t="e">
        <f>AND(#REF!,"fmlnh2Gv0kQ=")</f>
        <v>#REF!</v>
      </c>
      <c r="BR120" t="e">
        <f>AND(#REF!,"fmlnh2Gv0kU=")</f>
        <v>#REF!</v>
      </c>
      <c r="BS120" t="e">
        <f>AND(#REF!,"fmlnh2Gv0kY=")</f>
        <v>#REF!</v>
      </c>
      <c r="BT120" t="e">
        <f>AND(#REF!,"fmlnh2Gv0kc=")</f>
        <v>#REF!</v>
      </c>
      <c r="BU120" t="e">
        <f>AND(#REF!,"fmlnh2Gv0kg=")</f>
        <v>#REF!</v>
      </c>
      <c r="BV120" t="e">
        <f>AND(#REF!,"fmlnh2Gv0kk=")</f>
        <v>#REF!</v>
      </c>
      <c r="BW120" t="e">
        <f>AND(#REF!,"fmlnh2Gv0ko=")</f>
        <v>#REF!</v>
      </c>
      <c r="BX120" t="e">
        <f>AND(#REF!,"fmlnh2Gv0ks=")</f>
        <v>#REF!</v>
      </c>
      <c r="BY120" t="e">
        <f>AND(#REF!,"fmlnh2Gv0kw=")</f>
        <v>#REF!</v>
      </c>
      <c r="BZ120" t="e">
        <f>AND(#REF!,"fmlnh2Gv0k0=")</f>
        <v>#REF!</v>
      </c>
      <c r="CA120" t="e">
        <f>AND(#REF!,"fmlnh2Gv0k4=")</f>
        <v>#REF!</v>
      </c>
      <c r="CB120" t="e">
        <f>AND(#REF!,"fmlnh2Gv0k8=")</f>
        <v>#REF!</v>
      </c>
      <c r="CC120" t="e">
        <f>AND(#REF!,"fmlnh2Gv0lA=")</f>
        <v>#REF!</v>
      </c>
      <c r="CD120" t="e">
        <f>AND(#REF!,"fmlnh2Gv0lE=")</f>
        <v>#REF!</v>
      </c>
      <c r="CE120" t="e">
        <f>AND(#REF!,"fmlnh2Gv0lI=")</f>
        <v>#REF!</v>
      </c>
      <c r="CF120" t="e">
        <f>AND(#REF!,"fmlnh2Gv0lM=")</f>
        <v>#REF!</v>
      </c>
      <c r="CG120" t="e">
        <f>AND(#REF!,"fmlnh2Gv0lQ=")</f>
        <v>#REF!</v>
      </c>
      <c r="CH120" t="e">
        <f>AND(#REF!,"fmlnh2Gv0lU=")</f>
        <v>#REF!</v>
      </c>
      <c r="CI120" t="e">
        <f>AND(#REF!,"fmlnh2Gv0lY=")</f>
        <v>#REF!</v>
      </c>
      <c r="CJ120" t="e">
        <f>AND(#REF!,"fmlnh2Gv0lc=")</f>
        <v>#REF!</v>
      </c>
      <c r="CK120" t="e">
        <f>AND(#REF!,"fmlnh2Gv0lg=")</f>
        <v>#REF!</v>
      </c>
      <c r="CL120" t="e">
        <f>AND(#REF!,"fmlnh2Gv0lk=")</f>
        <v>#REF!</v>
      </c>
      <c r="CM120" t="e">
        <f>AND(#REF!,"fmlnh2Gv0lo=")</f>
        <v>#REF!</v>
      </c>
      <c r="CN120" t="e">
        <f>AND(#REF!,"fmlnh2Gv0ls=")</f>
        <v>#REF!</v>
      </c>
      <c r="CO120" t="e">
        <f>AND(#REF!,"fmlnh2Gv0lw=")</f>
        <v>#REF!</v>
      </c>
      <c r="CP120" t="e">
        <f>AND(#REF!,"fmlnh2Gv0l0=")</f>
        <v>#REF!</v>
      </c>
      <c r="CQ120" t="e">
        <f>AND(#REF!,"fmlnh2Gv0l4=")</f>
        <v>#REF!</v>
      </c>
      <c r="CR120" t="e">
        <f>AND(#REF!,"fmlnh2Gv0l8=")</f>
        <v>#REF!</v>
      </c>
      <c r="CS120" t="e">
        <f>AND(#REF!,"fmlnh2Gv0mA=")</f>
        <v>#REF!</v>
      </c>
      <c r="CT120" t="e">
        <f>AND(#REF!,"fmlnh2Gv0mE=")</f>
        <v>#REF!</v>
      </c>
      <c r="CU120" t="e">
        <f>AND(#REF!,"fmlnh2Gv0mI=")</f>
        <v>#REF!</v>
      </c>
      <c r="CV120" t="e">
        <f>AND(#REF!,"fmlnh2Gv0mM=")</f>
        <v>#REF!</v>
      </c>
      <c r="CW120" t="e">
        <f>AND(#REF!,"fmlnh2Gv0mQ=")</f>
        <v>#REF!</v>
      </c>
      <c r="CX120" t="e">
        <f>AND(#REF!,"fmlnh2Gv0mU=")</f>
        <v>#REF!</v>
      </c>
      <c r="CY120" t="e">
        <f>AND(#REF!,"fmlnh2Gv0mY=")</f>
        <v>#REF!</v>
      </c>
      <c r="CZ120" t="e">
        <f>AND(#REF!,"fmlnh2Gv0mc=")</f>
        <v>#REF!</v>
      </c>
      <c r="DA120" t="e">
        <f>AND(#REF!,"fmlnh2Gv0mg=")</f>
        <v>#REF!</v>
      </c>
      <c r="DB120" t="e">
        <f>AND(#REF!,"fmlnh2Gv0mk=")</f>
        <v>#REF!</v>
      </c>
      <c r="DC120" t="e">
        <f>AND(#REF!,"fmlnh2Gv0mo=")</f>
        <v>#REF!</v>
      </c>
      <c r="DD120" t="e">
        <f>AND(#REF!,"fmlnh2Gv0ms=")</f>
        <v>#REF!</v>
      </c>
      <c r="DE120" t="e">
        <f>AND(#REF!,"fmlnh2Gv0mw=")</f>
        <v>#REF!</v>
      </c>
      <c r="DF120" t="e">
        <f>AND(#REF!,"fmlnh2Gv0m0=")</f>
        <v>#REF!</v>
      </c>
      <c r="DG120" t="e">
        <f>AND(#REF!,"fmlnh2Gv0m4=")</f>
        <v>#REF!</v>
      </c>
      <c r="DH120" t="e">
        <f>AND(#REF!,"fmlnh2Gv0m8=")</f>
        <v>#REF!</v>
      </c>
      <c r="DI120" t="e">
        <f>AND(#REF!,"fmlnh2Gv0nA=")</f>
        <v>#REF!</v>
      </c>
      <c r="DJ120" t="e">
        <f>AND(#REF!,"fmlnh2Gv0nE=")</f>
        <v>#REF!</v>
      </c>
      <c r="DK120" t="e">
        <f>AND(#REF!,"fmlnh2Gv0nI=")</f>
        <v>#REF!</v>
      </c>
      <c r="DL120" t="e">
        <f>AND(#REF!,"fmlnh2Gv0nM=")</f>
        <v>#REF!</v>
      </c>
      <c r="DM120" t="e">
        <f>AND(#REF!,"fmlnh2Gv0nQ=")</f>
        <v>#REF!</v>
      </c>
      <c r="DN120" t="e">
        <f>AND(#REF!,"fmlnh2Gv0nU=")</f>
        <v>#REF!</v>
      </c>
      <c r="DO120" t="e">
        <f>AND(#REF!,"fmlnh2Gv0nY=")</f>
        <v>#REF!</v>
      </c>
      <c r="DP120" t="e">
        <f>AND(#REF!,"fmlnh2Gv0nc=")</f>
        <v>#REF!</v>
      </c>
      <c r="DQ120" t="e">
        <f>AND(#REF!,"fmlnh2Gv0ng=")</f>
        <v>#REF!</v>
      </c>
      <c r="DR120" t="e">
        <f>AND(#REF!,"fmlnh2Gv0nk=")</f>
        <v>#REF!</v>
      </c>
      <c r="DS120" t="e">
        <f>AND(#REF!,"fmlnh2Gv0no=")</f>
        <v>#REF!</v>
      </c>
      <c r="DT120" t="e">
        <f>AND(#REF!,"fmlnh2Gv0ns=")</f>
        <v>#REF!</v>
      </c>
      <c r="DU120" t="e">
        <f>AND(#REF!,"fmlnh2Gv0nw=")</f>
        <v>#REF!</v>
      </c>
      <c r="DV120" t="e">
        <f>AND(#REF!,"fmlnh2Gv0n0=")</f>
        <v>#REF!</v>
      </c>
      <c r="DW120" t="e">
        <f>AND(#REF!,"fmlnh2Gv0n4=")</f>
        <v>#REF!</v>
      </c>
      <c r="DX120" t="e">
        <f>AND(#REF!,"fmlnh2Gv0n8=")</f>
        <v>#REF!</v>
      </c>
      <c r="DY120" t="e">
        <f>IF(#REF!,"fmlnh2Gv0oA=",0)</f>
        <v>#REF!</v>
      </c>
      <c r="DZ120" t="e">
        <f>AND(#REF!,"fmlnh2Gv0oE=")</f>
        <v>#REF!</v>
      </c>
      <c r="EA120" t="e">
        <f>AND(#REF!,"fmlnh2Gv0oI=")</f>
        <v>#REF!</v>
      </c>
      <c r="EB120" t="e">
        <f>AND(#REF!,"fmlnh2Gv0oM=")</f>
        <v>#REF!</v>
      </c>
      <c r="EC120" t="e">
        <f>AND(#REF!,"fmlnh2Gv0oQ=")</f>
        <v>#REF!</v>
      </c>
      <c r="ED120" t="e">
        <f>AND(#REF!,"fmlnh2Gv0oU=")</f>
        <v>#REF!</v>
      </c>
      <c r="EE120" t="e">
        <f>AND(#REF!,"fmlnh2Gv0oY=")</f>
        <v>#REF!</v>
      </c>
      <c r="EF120" t="e">
        <f>AND(#REF!,"fmlnh2Gv0oc=")</f>
        <v>#REF!</v>
      </c>
      <c r="EG120" t="e">
        <f>AND(#REF!,"fmlnh2Gv0og=")</f>
        <v>#REF!</v>
      </c>
      <c r="EH120" t="e">
        <f>AND(#REF!,"fmlnh2Gv0ok=")</f>
        <v>#REF!</v>
      </c>
      <c r="EI120" t="e">
        <f>AND(#REF!,"fmlnh2Gv0oo=")</f>
        <v>#REF!</v>
      </c>
      <c r="EJ120" t="e">
        <f>AND(#REF!,"fmlnh2Gv0os=")</f>
        <v>#REF!</v>
      </c>
      <c r="EK120" t="e">
        <f>AND(#REF!,"fmlnh2Gv0ow=")</f>
        <v>#REF!</v>
      </c>
      <c r="EL120" t="e">
        <f>AND(#REF!,"fmlnh2Gv0o0=")</f>
        <v>#REF!</v>
      </c>
      <c r="EM120" t="e">
        <f>AND(#REF!,"fmlnh2Gv0o4=")</f>
        <v>#REF!</v>
      </c>
      <c r="EN120" t="e">
        <f>AND(#REF!,"fmlnh2Gv0o8=")</f>
        <v>#REF!</v>
      </c>
      <c r="EO120" t="e">
        <f>AND(#REF!,"fmlnh2Gv0pA=")</f>
        <v>#REF!</v>
      </c>
      <c r="EP120" t="e">
        <f>AND(#REF!,"fmlnh2Gv0pE=")</f>
        <v>#REF!</v>
      </c>
      <c r="EQ120" t="e">
        <f>AND(#REF!,"fmlnh2Gv0pI=")</f>
        <v>#REF!</v>
      </c>
      <c r="ER120" t="e">
        <f>AND(#REF!,"fmlnh2Gv0pM=")</f>
        <v>#REF!</v>
      </c>
      <c r="ES120" t="e">
        <f>AND(#REF!,"fmlnh2Gv0pQ=")</f>
        <v>#REF!</v>
      </c>
      <c r="ET120" t="e">
        <f>AND(#REF!,"fmlnh2Gv0pU=")</f>
        <v>#REF!</v>
      </c>
      <c r="EU120" t="e">
        <f>AND(#REF!,"fmlnh2Gv0pY=")</f>
        <v>#REF!</v>
      </c>
      <c r="EV120" t="e">
        <f>AND(#REF!,"fmlnh2Gv0pc=")</f>
        <v>#REF!</v>
      </c>
      <c r="EW120" t="e">
        <f>AND(#REF!,"fmlnh2Gv0pg=")</f>
        <v>#REF!</v>
      </c>
      <c r="EX120" t="e">
        <f>AND(#REF!,"fmlnh2Gv0pk=")</f>
        <v>#REF!</v>
      </c>
      <c r="EY120" t="e">
        <f>AND(#REF!,"fmlnh2Gv0po=")</f>
        <v>#REF!</v>
      </c>
      <c r="EZ120" t="e">
        <f>AND(#REF!,"fmlnh2Gv0ps=")</f>
        <v>#REF!</v>
      </c>
      <c r="FA120" t="e">
        <f>AND(#REF!,"fmlnh2Gv0pw=")</f>
        <v>#REF!</v>
      </c>
      <c r="FB120" t="e">
        <f>AND(#REF!,"fmlnh2Gv0p0=")</f>
        <v>#REF!</v>
      </c>
      <c r="FC120" t="e">
        <f>AND(#REF!,"fmlnh2Gv0p4=")</f>
        <v>#REF!</v>
      </c>
      <c r="FD120" t="e">
        <f>AND(#REF!,"fmlnh2Gv0p8=")</f>
        <v>#REF!</v>
      </c>
      <c r="FE120" t="e">
        <f>AND(#REF!,"fmlnh2Gv0qA=")</f>
        <v>#REF!</v>
      </c>
      <c r="FF120" t="e">
        <f>AND(#REF!,"fmlnh2Gv0qE=")</f>
        <v>#REF!</v>
      </c>
      <c r="FG120" t="e">
        <f>AND(#REF!,"fmlnh2Gv0qI=")</f>
        <v>#REF!</v>
      </c>
      <c r="FH120" t="e">
        <f>AND(#REF!,"fmlnh2Gv0qM=")</f>
        <v>#REF!</v>
      </c>
      <c r="FI120" t="e">
        <f>AND(#REF!,"fmlnh2Gv0qQ=")</f>
        <v>#REF!</v>
      </c>
      <c r="FJ120" t="e">
        <f>AND(#REF!,"fmlnh2Gv0qU=")</f>
        <v>#REF!</v>
      </c>
      <c r="FK120" t="e">
        <f>AND(#REF!,"fmlnh2Gv0qY=")</f>
        <v>#REF!</v>
      </c>
      <c r="FL120" t="e">
        <f>AND(#REF!,"fmlnh2Gv0qc=")</f>
        <v>#REF!</v>
      </c>
      <c r="FM120" t="e">
        <f>AND(#REF!,"fmlnh2Gv0qg=")</f>
        <v>#REF!</v>
      </c>
      <c r="FN120" t="e">
        <f>AND(#REF!,"fmlnh2Gv0qk=")</f>
        <v>#REF!</v>
      </c>
      <c r="FO120" t="e">
        <f>AND(#REF!,"fmlnh2Gv0qo=")</f>
        <v>#REF!</v>
      </c>
      <c r="FP120" t="e">
        <f>AND(#REF!,"fmlnh2Gv0qs=")</f>
        <v>#REF!</v>
      </c>
      <c r="FQ120" t="e">
        <f>AND(#REF!,"fmlnh2Gv0qw=")</f>
        <v>#REF!</v>
      </c>
      <c r="FR120" t="e">
        <f>AND(#REF!,"fmlnh2Gv0q0=")</f>
        <v>#REF!</v>
      </c>
      <c r="FS120" t="e">
        <f>AND(#REF!,"fmlnh2Gv0q4=")</f>
        <v>#REF!</v>
      </c>
      <c r="FT120" t="e">
        <f>AND(#REF!,"fmlnh2Gv0q8=")</f>
        <v>#REF!</v>
      </c>
      <c r="FU120" t="e">
        <f>AND(#REF!,"fmlnh2Gv0rA=")</f>
        <v>#REF!</v>
      </c>
      <c r="FV120" t="e">
        <f>AND(#REF!,"fmlnh2Gv0rE=")</f>
        <v>#REF!</v>
      </c>
      <c r="FW120" t="e">
        <f>AND(#REF!,"fmlnh2Gv0rI=")</f>
        <v>#REF!</v>
      </c>
      <c r="FX120" t="e">
        <f>AND(#REF!,"fmlnh2Gv0rM=")</f>
        <v>#REF!</v>
      </c>
      <c r="FY120" t="e">
        <f>AND(#REF!,"fmlnh2Gv0rQ=")</f>
        <v>#REF!</v>
      </c>
      <c r="FZ120" t="e">
        <f>AND(#REF!,"fmlnh2Gv0rU=")</f>
        <v>#REF!</v>
      </c>
      <c r="GA120" t="e">
        <f>AND(#REF!,"fmlnh2Gv0rY=")</f>
        <v>#REF!</v>
      </c>
      <c r="GB120" t="e">
        <f>AND(#REF!,"fmlnh2Gv0rc=")</f>
        <v>#REF!</v>
      </c>
      <c r="GC120" t="e">
        <f>AND(#REF!,"fmlnh2Gv0rg=")</f>
        <v>#REF!</v>
      </c>
      <c r="GD120" t="e">
        <f>AND(#REF!,"fmlnh2Gv0rk=")</f>
        <v>#REF!</v>
      </c>
      <c r="GE120" t="e">
        <f>AND(#REF!,"fmlnh2Gv0ro=")</f>
        <v>#REF!</v>
      </c>
      <c r="GF120" t="e">
        <f>AND(#REF!,"fmlnh2Gv0rs=")</f>
        <v>#REF!</v>
      </c>
      <c r="GG120" t="e">
        <f>AND(#REF!,"fmlnh2Gv0rw=")</f>
        <v>#REF!</v>
      </c>
      <c r="GH120" t="e">
        <f>AND(#REF!,"fmlnh2Gv0r0=")</f>
        <v>#REF!</v>
      </c>
      <c r="GI120" t="e">
        <f>AND(#REF!,"fmlnh2Gv0r4=")</f>
        <v>#REF!</v>
      </c>
      <c r="GJ120" t="e">
        <f>AND(#REF!,"fmlnh2Gv0r8=")</f>
        <v>#REF!</v>
      </c>
      <c r="GK120" t="e">
        <f>AND(#REF!,"fmlnh2Gv0sA=")</f>
        <v>#REF!</v>
      </c>
      <c r="GL120" t="e">
        <f>AND(#REF!,"fmlnh2Gv0sE=")</f>
        <v>#REF!</v>
      </c>
      <c r="GM120" t="e">
        <f>AND(#REF!,"fmlnh2Gv0sI=")</f>
        <v>#REF!</v>
      </c>
      <c r="GN120" t="e">
        <f>AND(#REF!,"fmlnh2Gv0sM=")</f>
        <v>#REF!</v>
      </c>
      <c r="GO120" t="e">
        <f>AND(#REF!,"fmlnh2Gv0sQ=")</f>
        <v>#REF!</v>
      </c>
      <c r="GP120" t="e">
        <f>AND(#REF!,"fmlnh2Gv0sU=")</f>
        <v>#REF!</v>
      </c>
      <c r="GQ120" t="e">
        <f>AND(#REF!,"fmlnh2Gv0sY=")</f>
        <v>#REF!</v>
      </c>
      <c r="GR120" t="e">
        <f>AND(#REF!,"fmlnh2Gv0sc=")</f>
        <v>#REF!</v>
      </c>
      <c r="GS120" t="e">
        <f>AND(#REF!,"fmlnh2Gv0sg=")</f>
        <v>#REF!</v>
      </c>
      <c r="GT120" t="e">
        <f>AND(#REF!,"fmlnh2Gv0sk=")</f>
        <v>#REF!</v>
      </c>
      <c r="GU120" t="e">
        <f>AND(#REF!,"fmlnh2Gv0so=")</f>
        <v>#REF!</v>
      </c>
      <c r="GV120" t="e">
        <f>AND(#REF!,"fmlnh2Gv0ss=")</f>
        <v>#REF!</v>
      </c>
      <c r="GW120" t="e">
        <f>AND(#REF!,"fmlnh2Gv0sw=")</f>
        <v>#REF!</v>
      </c>
      <c r="GX120" t="e">
        <f>AND(#REF!,"fmlnh2Gv0s0=")</f>
        <v>#REF!</v>
      </c>
      <c r="GY120" t="e">
        <f>AND(#REF!,"fmlnh2Gv0s4=")</f>
        <v>#REF!</v>
      </c>
      <c r="GZ120" t="e">
        <f>AND(#REF!,"fmlnh2Gv0s8=")</f>
        <v>#REF!</v>
      </c>
      <c r="HA120" t="e">
        <f>AND(#REF!,"fmlnh2Gv0tA=")</f>
        <v>#REF!</v>
      </c>
      <c r="HB120" t="e">
        <f>AND(#REF!,"fmlnh2Gv0tE=")</f>
        <v>#REF!</v>
      </c>
      <c r="HC120" t="e">
        <f>AND(#REF!,"fmlnh2Gv0tI=")</f>
        <v>#REF!</v>
      </c>
      <c r="HD120" t="e">
        <f>AND(#REF!,"fmlnh2Gv0tM=")</f>
        <v>#REF!</v>
      </c>
      <c r="HE120" t="e">
        <f>AND(#REF!,"fmlnh2Gv0tQ=")</f>
        <v>#REF!</v>
      </c>
      <c r="HF120" t="e">
        <f>AND(#REF!,"fmlnh2Gv0tU=")</f>
        <v>#REF!</v>
      </c>
      <c r="HG120" t="e">
        <f>AND(#REF!,"fmlnh2Gv0tY=")</f>
        <v>#REF!</v>
      </c>
      <c r="HH120" t="e">
        <f>AND(#REF!,"fmlnh2Gv0tc=")</f>
        <v>#REF!</v>
      </c>
      <c r="HI120" t="e">
        <f>AND(#REF!,"fmlnh2Gv0tg=")</f>
        <v>#REF!</v>
      </c>
      <c r="HJ120" t="e">
        <f>AND(#REF!,"fmlnh2Gv0tk=")</f>
        <v>#REF!</v>
      </c>
      <c r="HK120" t="e">
        <f>AND(#REF!,"fmlnh2Gv0to=")</f>
        <v>#REF!</v>
      </c>
      <c r="HL120" t="e">
        <f>AND(#REF!,"fmlnh2Gv0ts=")</f>
        <v>#REF!</v>
      </c>
      <c r="HM120" t="e">
        <f>AND(#REF!,"fmlnh2Gv0tw=")</f>
        <v>#REF!</v>
      </c>
      <c r="HN120" t="e">
        <f>AND(#REF!,"fmlnh2Gv0t0=")</f>
        <v>#REF!</v>
      </c>
      <c r="HO120" t="e">
        <f>AND(#REF!,"fmlnh2Gv0t4=")</f>
        <v>#REF!</v>
      </c>
      <c r="HP120" t="e">
        <f>AND(#REF!,"fmlnh2Gv0t8=")</f>
        <v>#REF!</v>
      </c>
      <c r="HQ120" t="e">
        <f>AND(#REF!,"fmlnh2Gv0uA=")</f>
        <v>#REF!</v>
      </c>
      <c r="HR120" t="e">
        <f>AND(#REF!,"fmlnh2Gv0uE=")</f>
        <v>#REF!</v>
      </c>
      <c r="HS120" t="e">
        <f>AND(#REF!,"fmlnh2Gv0uI=")</f>
        <v>#REF!</v>
      </c>
      <c r="HT120" t="e">
        <f>AND(#REF!,"fmlnh2Gv0uM=")</f>
        <v>#REF!</v>
      </c>
      <c r="HU120" t="e">
        <f>AND(#REF!,"fmlnh2Gv0uQ=")</f>
        <v>#REF!</v>
      </c>
      <c r="HV120" t="e">
        <f>AND(#REF!,"fmlnh2Gv0uU=")</f>
        <v>#REF!</v>
      </c>
      <c r="HW120" t="e">
        <f>AND(#REF!,"fmlnh2Gv0uY=")</f>
        <v>#REF!</v>
      </c>
      <c r="HX120" t="e">
        <f>AND(#REF!,"fmlnh2Gv0uc=")</f>
        <v>#REF!</v>
      </c>
      <c r="HY120" t="e">
        <f>AND(#REF!,"fmlnh2Gv0ug=")</f>
        <v>#REF!</v>
      </c>
      <c r="HZ120" t="e">
        <f>AND(#REF!,"fmlnh2Gv0uk=")</f>
        <v>#REF!</v>
      </c>
      <c r="IA120" t="e">
        <f>AND(#REF!,"fmlnh2Gv0uo=")</f>
        <v>#REF!</v>
      </c>
      <c r="IB120" t="e">
        <f>AND(#REF!,"fmlnh2Gv0us=")</f>
        <v>#REF!</v>
      </c>
      <c r="IC120" t="e">
        <f>AND(#REF!,"fmlnh2Gv0uw=")</f>
        <v>#REF!</v>
      </c>
      <c r="ID120" t="e">
        <f>AND(#REF!,"fmlnh2Gv0u0=")</f>
        <v>#REF!</v>
      </c>
      <c r="IE120" t="e">
        <f>AND(#REF!,"fmlnh2Gv0u4=")</f>
        <v>#REF!</v>
      </c>
      <c r="IF120" t="e">
        <f>AND(#REF!,"fmlnh2Gv0u8=")</f>
        <v>#REF!</v>
      </c>
      <c r="IG120" t="e">
        <f>AND(#REF!,"fmlnh2Gv0vA=")</f>
        <v>#REF!</v>
      </c>
      <c r="IH120" t="e">
        <f>AND(#REF!,"fmlnh2Gv0vE=")</f>
        <v>#REF!</v>
      </c>
      <c r="II120" t="e">
        <f>AND(#REF!,"fmlnh2Gv0vI=")</f>
        <v>#REF!</v>
      </c>
      <c r="IJ120" t="e">
        <f>AND(#REF!,"fmlnh2Gv0vM=")</f>
        <v>#REF!</v>
      </c>
      <c r="IK120" t="e">
        <f>AND(#REF!,"fmlnh2Gv0vQ=")</f>
        <v>#REF!</v>
      </c>
      <c r="IL120" t="e">
        <f>AND(#REF!,"fmlnh2Gv0vU=")</f>
        <v>#REF!</v>
      </c>
      <c r="IM120" t="e">
        <f>AND(#REF!,"fmlnh2Gv0vY=")</f>
        <v>#REF!</v>
      </c>
      <c r="IN120" t="e">
        <f>AND(#REF!,"fmlnh2Gv0vc=")</f>
        <v>#REF!</v>
      </c>
      <c r="IO120" t="e">
        <f>AND(#REF!,"fmlnh2Gv0vg=")</f>
        <v>#REF!</v>
      </c>
      <c r="IP120" t="e">
        <f>AND(#REF!,"fmlnh2Gv0vk=")</f>
        <v>#REF!</v>
      </c>
      <c r="IQ120" t="e">
        <f>AND(#REF!,"fmlnh2Gv0vo=")</f>
        <v>#REF!</v>
      </c>
      <c r="IR120" t="e">
        <f>AND(#REF!,"fmlnh2Gv0vs=")</f>
        <v>#REF!</v>
      </c>
      <c r="IS120" t="e">
        <f>AND(#REF!,"fmlnh2Gv0vw=")</f>
        <v>#REF!</v>
      </c>
      <c r="IT120" t="e">
        <f>AND(#REF!,"fmlnh2Gv0v0=")</f>
        <v>#REF!</v>
      </c>
      <c r="IU120" t="e">
        <f>AND(#REF!,"fmlnh2Gv0v4=")</f>
        <v>#REF!</v>
      </c>
      <c r="IV120" t="e">
        <f>AND(#REF!,"fmlnh2Gv0v8=")</f>
        <v>#REF!</v>
      </c>
    </row>
    <row r="121" spans="1:256" x14ac:dyDescent="0.2">
      <c r="A121" t="e">
        <f>AND(#REF!,"XAZRjBC8lAA=")</f>
        <v>#REF!</v>
      </c>
      <c r="B121" t="e">
        <f>AND(#REF!,"XAZRjBC8lAE=")</f>
        <v>#REF!</v>
      </c>
      <c r="C121" t="e">
        <f>AND(#REF!,"XAZRjBC8lAI=")</f>
        <v>#REF!</v>
      </c>
      <c r="D121" t="e">
        <f>AND(#REF!,"XAZRjBC8lAM=")</f>
        <v>#REF!</v>
      </c>
      <c r="E121" t="e">
        <f>AND(#REF!,"XAZRjBC8lAQ=")</f>
        <v>#REF!</v>
      </c>
      <c r="F121" t="e">
        <f>AND(#REF!,"XAZRjBC8lAU=")</f>
        <v>#REF!</v>
      </c>
      <c r="G121" t="e">
        <f>AND(#REF!,"XAZRjBC8lAY=")</f>
        <v>#REF!</v>
      </c>
      <c r="H121" t="e">
        <f>AND(#REF!,"XAZRjBC8lAc=")</f>
        <v>#REF!</v>
      </c>
      <c r="I121" t="e">
        <f>AND(#REF!,"XAZRjBC8lAg=")</f>
        <v>#REF!</v>
      </c>
      <c r="J121" t="e">
        <f>AND(#REF!,"XAZRjBC8lAk=")</f>
        <v>#REF!</v>
      </c>
      <c r="K121" t="e">
        <f>AND(#REF!,"XAZRjBC8lAo=")</f>
        <v>#REF!</v>
      </c>
      <c r="L121" t="e">
        <f>AND(#REF!,"XAZRjBC8lAs=")</f>
        <v>#REF!</v>
      </c>
      <c r="M121" t="e">
        <f>AND(#REF!,"XAZRjBC8lAw=")</f>
        <v>#REF!</v>
      </c>
      <c r="N121" t="e">
        <f>AND(#REF!,"XAZRjBC8lA0=")</f>
        <v>#REF!</v>
      </c>
      <c r="O121" t="e">
        <f>AND(#REF!,"XAZRjBC8lA4=")</f>
        <v>#REF!</v>
      </c>
      <c r="P121" t="e">
        <f>AND(#REF!,"XAZRjBC8lA8=")</f>
        <v>#REF!</v>
      </c>
      <c r="Q121" t="e">
        <f>AND(#REF!,"XAZRjBC8lBA=")</f>
        <v>#REF!</v>
      </c>
      <c r="R121" t="e">
        <f>AND(#REF!,"XAZRjBC8lBE=")</f>
        <v>#REF!</v>
      </c>
      <c r="S121" t="e">
        <f>AND(#REF!,"XAZRjBC8lBI=")</f>
        <v>#REF!</v>
      </c>
      <c r="T121" t="e">
        <f>AND(#REF!,"XAZRjBC8lBM=")</f>
        <v>#REF!</v>
      </c>
      <c r="U121" t="e">
        <f>AND(#REF!,"XAZRjBC8lBQ=")</f>
        <v>#REF!</v>
      </c>
      <c r="V121" t="e">
        <f>AND(#REF!,"XAZRjBC8lBU=")</f>
        <v>#REF!</v>
      </c>
      <c r="W121" t="e">
        <f>AND(#REF!,"XAZRjBC8lBY=")</f>
        <v>#REF!</v>
      </c>
      <c r="X121" t="e">
        <f>AND(#REF!,"XAZRjBC8lBc=")</f>
        <v>#REF!</v>
      </c>
      <c r="Y121" t="e">
        <f>AND(#REF!,"XAZRjBC8lBg=")</f>
        <v>#REF!</v>
      </c>
      <c r="Z121" t="e">
        <f>AND(#REF!,"XAZRjBC8lBk=")</f>
        <v>#REF!</v>
      </c>
      <c r="AA121" t="e">
        <f>AND(#REF!,"XAZRjBC8lBo=")</f>
        <v>#REF!</v>
      </c>
      <c r="AB121" t="e">
        <f>AND(#REF!,"XAZRjBC8lBs=")</f>
        <v>#REF!</v>
      </c>
      <c r="AC121" t="e">
        <f>AND(#REF!,"XAZRjBC8lBw=")</f>
        <v>#REF!</v>
      </c>
      <c r="AD121" t="e">
        <f>AND(#REF!,"XAZRjBC8lB0=")</f>
        <v>#REF!</v>
      </c>
      <c r="AE121" t="e">
        <f>AND(#REF!,"XAZRjBC8lB4=")</f>
        <v>#REF!</v>
      </c>
      <c r="AF121" t="e">
        <f>AND(#REF!,"XAZRjBC8lB8=")</f>
        <v>#REF!</v>
      </c>
      <c r="AG121" t="e">
        <f>AND(#REF!,"XAZRjBC8lCA=")</f>
        <v>#REF!</v>
      </c>
      <c r="AH121" t="e">
        <f>AND(#REF!,"XAZRjBC8lCE=")</f>
        <v>#REF!</v>
      </c>
      <c r="AI121" t="e">
        <f>AND(#REF!,"XAZRjBC8lCI=")</f>
        <v>#REF!</v>
      </c>
      <c r="AJ121" t="e">
        <f>AND(#REF!,"XAZRjBC8lCM=")</f>
        <v>#REF!</v>
      </c>
      <c r="AK121" t="e">
        <f>AND(#REF!,"XAZRjBC8lCQ=")</f>
        <v>#REF!</v>
      </c>
      <c r="AL121" t="e">
        <f>AND(#REF!,"XAZRjBC8lCU=")</f>
        <v>#REF!</v>
      </c>
      <c r="AM121" t="e">
        <f>AND(#REF!,"XAZRjBC8lCY=")</f>
        <v>#REF!</v>
      </c>
      <c r="AN121" t="e">
        <f>AND(#REF!,"XAZRjBC8lCc=")</f>
        <v>#REF!</v>
      </c>
      <c r="AO121" t="e">
        <f>AND(#REF!,"XAZRjBC8lCg=")</f>
        <v>#REF!</v>
      </c>
      <c r="AP121" t="e">
        <f>AND(#REF!,"XAZRjBC8lCk=")</f>
        <v>#REF!</v>
      </c>
      <c r="AQ121" t="e">
        <f>AND(#REF!,"XAZRjBC8lCo=")</f>
        <v>#REF!</v>
      </c>
      <c r="AR121" t="e">
        <f>AND(#REF!,"XAZRjBC8lCs=")</f>
        <v>#REF!</v>
      </c>
      <c r="AS121" t="e">
        <f>AND(#REF!,"XAZRjBC8lCw=")</f>
        <v>#REF!</v>
      </c>
      <c r="AT121" t="e">
        <f>AND(#REF!,"XAZRjBC8lC0=")</f>
        <v>#REF!</v>
      </c>
      <c r="AU121" t="e">
        <f>AND(#REF!,"XAZRjBC8lC4=")</f>
        <v>#REF!</v>
      </c>
      <c r="AV121" t="e">
        <f>AND(#REF!,"XAZRjBC8lC8=")</f>
        <v>#REF!</v>
      </c>
      <c r="AW121" t="e">
        <f>AND(#REF!,"XAZRjBC8lDA=")</f>
        <v>#REF!</v>
      </c>
      <c r="AX121" t="e">
        <f>AND(#REF!,"XAZRjBC8lDE=")</f>
        <v>#REF!</v>
      </c>
      <c r="AY121" t="e">
        <f>AND(#REF!,"XAZRjBC8lDI=")</f>
        <v>#REF!</v>
      </c>
      <c r="AZ121" t="e">
        <f>AND(#REF!,"XAZRjBC8lDM=")</f>
        <v>#REF!</v>
      </c>
      <c r="BA121" t="e">
        <f>AND(#REF!,"XAZRjBC8lDQ=")</f>
        <v>#REF!</v>
      </c>
      <c r="BB121" t="e">
        <f>AND(#REF!,"XAZRjBC8lDU=")</f>
        <v>#REF!</v>
      </c>
      <c r="BC121" t="e">
        <f>AND(#REF!,"XAZRjBC8lDY=")</f>
        <v>#REF!</v>
      </c>
      <c r="BD121" t="e">
        <f>AND(#REF!,"XAZRjBC8lDc=")</f>
        <v>#REF!</v>
      </c>
      <c r="BE121" t="e">
        <f>AND(#REF!,"XAZRjBC8lDg=")</f>
        <v>#REF!</v>
      </c>
      <c r="BF121" t="e">
        <f>AND(#REF!,"XAZRjBC8lDk=")</f>
        <v>#REF!</v>
      </c>
      <c r="BG121" t="e">
        <f>AND(#REF!,"XAZRjBC8lDo=")</f>
        <v>#REF!</v>
      </c>
      <c r="BH121" t="e">
        <f>AND(#REF!,"XAZRjBC8lDs=")</f>
        <v>#REF!</v>
      </c>
      <c r="BI121" t="e">
        <f>AND(#REF!,"XAZRjBC8lDw=")</f>
        <v>#REF!</v>
      </c>
      <c r="BJ121" t="e">
        <f>AND(#REF!,"XAZRjBC8lD0=")</f>
        <v>#REF!</v>
      </c>
      <c r="BK121" t="e">
        <f>AND(#REF!,"XAZRjBC8lD4=")</f>
        <v>#REF!</v>
      </c>
      <c r="BL121" t="e">
        <f>AND(#REF!,"XAZRjBC8lD8=")</f>
        <v>#REF!</v>
      </c>
      <c r="BM121" t="e">
        <f>AND(#REF!,"XAZRjBC8lEA=")</f>
        <v>#REF!</v>
      </c>
      <c r="BN121" t="e">
        <f>AND(#REF!,"XAZRjBC8lEE=")</f>
        <v>#REF!</v>
      </c>
      <c r="BO121" t="e">
        <f>AND(#REF!,"XAZRjBC8lEI=")</f>
        <v>#REF!</v>
      </c>
      <c r="BP121" t="e">
        <f>AND(#REF!,"XAZRjBC8lEM=")</f>
        <v>#REF!</v>
      </c>
      <c r="BQ121" t="e">
        <f>AND(#REF!,"XAZRjBC8lEQ=")</f>
        <v>#REF!</v>
      </c>
      <c r="BR121" t="e">
        <f>AND(#REF!,"XAZRjBC8lEU=")</f>
        <v>#REF!</v>
      </c>
      <c r="BS121" t="e">
        <f>AND(#REF!,"XAZRjBC8lEY=")</f>
        <v>#REF!</v>
      </c>
      <c r="BT121" t="e">
        <f>IF(#REF!,"XAZRjBC8lEc=",0)</f>
        <v>#REF!</v>
      </c>
      <c r="BU121" t="e">
        <f>AND(#REF!,"XAZRjBC8lEg=")</f>
        <v>#REF!</v>
      </c>
      <c r="BV121" t="e">
        <f>AND(#REF!,"XAZRjBC8lEk=")</f>
        <v>#REF!</v>
      </c>
      <c r="BW121" t="e">
        <f>AND(#REF!,"XAZRjBC8lEo=")</f>
        <v>#REF!</v>
      </c>
      <c r="BX121" t="e">
        <f>AND(#REF!,"XAZRjBC8lEs=")</f>
        <v>#REF!</v>
      </c>
      <c r="BY121" t="e">
        <f>AND(#REF!,"XAZRjBC8lEw=")</f>
        <v>#REF!</v>
      </c>
      <c r="BZ121" t="e">
        <f>AND(#REF!,"XAZRjBC8lE0=")</f>
        <v>#REF!</v>
      </c>
      <c r="CA121" t="e">
        <f>AND(#REF!,"XAZRjBC8lE4=")</f>
        <v>#REF!</v>
      </c>
      <c r="CB121" t="e">
        <f>AND(#REF!,"XAZRjBC8lE8=")</f>
        <v>#REF!</v>
      </c>
      <c r="CC121" t="e">
        <f>AND(#REF!,"XAZRjBC8lFA=")</f>
        <v>#REF!</v>
      </c>
      <c r="CD121" t="e">
        <f>AND(#REF!,"XAZRjBC8lFE=")</f>
        <v>#REF!</v>
      </c>
      <c r="CE121" t="e">
        <f>AND(#REF!,"XAZRjBC8lFI=")</f>
        <v>#REF!</v>
      </c>
      <c r="CF121" t="e">
        <f>AND(#REF!,"XAZRjBC8lFM=")</f>
        <v>#REF!</v>
      </c>
      <c r="CG121" t="e">
        <f>AND(#REF!,"XAZRjBC8lFQ=")</f>
        <v>#REF!</v>
      </c>
      <c r="CH121" t="e">
        <f>AND(#REF!,"XAZRjBC8lFU=")</f>
        <v>#REF!</v>
      </c>
      <c r="CI121" t="e">
        <f>AND(#REF!,"XAZRjBC8lFY=")</f>
        <v>#REF!</v>
      </c>
      <c r="CJ121" t="e">
        <f>AND(#REF!,"XAZRjBC8lFc=")</f>
        <v>#REF!</v>
      </c>
      <c r="CK121" t="e">
        <f>AND(#REF!,"XAZRjBC8lFg=")</f>
        <v>#REF!</v>
      </c>
      <c r="CL121" t="e">
        <f>AND(#REF!,"XAZRjBC8lFk=")</f>
        <v>#REF!</v>
      </c>
      <c r="CM121" t="e">
        <f>AND(#REF!,"XAZRjBC8lFo=")</f>
        <v>#REF!</v>
      </c>
      <c r="CN121" t="e">
        <f>AND(#REF!,"XAZRjBC8lFs=")</f>
        <v>#REF!</v>
      </c>
      <c r="CO121" t="e">
        <f>AND(#REF!,"XAZRjBC8lFw=")</f>
        <v>#REF!</v>
      </c>
      <c r="CP121" t="e">
        <f>AND(#REF!,"XAZRjBC8lF0=")</f>
        <v>#REF!</v>
      </c>
      <c r="CQ121" t="e">
        <f>AND(#REF!,"XAZRjBC8lF4=")</f>
        <v>#REF!</v>
      </c>
      <c r="CR121" t="e">
        <f>AND(#REF!,"XAZRjBC8lF8=")</f>
        <v>#REF!</v>
      </c>
      <c r="CS121" t="e">
        <f>AND(#REF!,"XAZRjBC8lGA=")</f>
        <v>#REF!</v>
      </c>
      <c r="CT121" t="e">
        <f>AND(#REF!,"XAZRjBC8lGE=")</f>
        <v>#REF!</v>
      </c>
      <c r="CU121" t="e">
        <f>AND(#REF!,"XAZRjBC8lGI=")</f>
        <v>#REF!</v>
      </c>
      <c r="CV121" t="e">
        <f>AND(#REF!,"XAZRjBC8lGM=")</f>
        <v>#REF!</v>
      </c>
      <c r="CW121" t="e">
        <f>AND(#REF!,"XAZRjBC8lGQ=")</f>
        <v>#REF!</v>
      </c>
      <c r="CX121" t="e">
        <f>AND(#REF!,"XAZRjBC8lGU=")</f>
        <v>#REF!</v>
      </c>
      <c r="CY121" t="e">
        <f>AND(#REF!,"XAZRjBC8lGY=")</f>
        <v>#REF!</v>
      </c>
      <c r="CZ121" t="e">
        <f>AND(#REF!,"XAZRjBC8lGc=")</f>
        <v>#REF!</v>
      </c>
      <c r="DA121" t="e">
        <f>AND(#REF!,"XAZRjBC8lGg=")</f>
        <v>#REF!</v>
      </c>
      <c r="DB121" t="e">
        <f>AND(#REF!,"XAZRjBC8lGk=")</f>
        <v>#REF!</v>
      </c>
      <c r="DC121" t="e">
        <f>AND(#REF!,"XAZRjBC8lGo=")</f>
        <v>#REF!</v>
      </c>
      <c r="DD121" t="e">
        <f>AND(#REF!,"XAZRjBC8lGs=")</f>
        <v>#REF!</v>
      </c>
      <c r="DE121" t="e">
        <f>AND(#REF!,"XAZRjBC8lGw=")</f>
        <v>#REF!</v>
      </c>
      <c r="DF121" t="e">
        <f>AND(#REF!,"XAZRjBC8lG0=")</f>
        <v>#REF!</v>
      </c>
      <c r="DG121" t="e">
        <f>AND(#REF!,"XAZRjBC8lG4=")</f>
        <v>#REF!</v>
      </c>
      <c r="DH121" t="e">
        <f>AND(#REF!,"XAZRjBC8lG8=")</f>
        <v>#REF!</v>
      </c>
      <c r="DI121" t="e">
        <f>AND(#REF!,"XAZRjBC8lHA=")</f>
        <v>#REF!</v>
      </c>
      <c r="DJ121" t="e">
        <f>AND(#REF!,"XAZRjBC8lHE=")</f>
        <v>#REF!</v>
      </c>
      <c r="DK121" t="e">
        <f>AND(#REF!,"XAZRjBC8lHI=")</f>
        <v>#REF!</v>
      </c>
      <c r="DL121" t="e">
        <f>AND(#REF!,"XAZRjBC8lHM=")</f>
        <v>#REF!</v>
      </c>
      <c r="DM121" t="e">
        <f>AND(#REF!,"XAZRjBC8lHQ=")</f>
        <v>#REF!</v>
      </c>
      <c r="DN121" t="e">
        <f>AND(#REF!,"XAZRjBC8lHU=")</f>
        <v>#REF!</v>
      </c>
      <c r="DO121" t="e">
        <f>AND(#REF!,"XAZRjBC8lHY=")</f>
        <v>#REF!</v>
      </c>
      <c r="DP121" t="e">
        <f>AND(#REF!,"XAZRjBC8lHc=")</f>
        <v>#REF!</v>
      </c>
      <c r="DQ121" t="e">
        <f>AND(#REF!,"XAZRjBC8lHg=")</f>
        <v>#REF!</v>
      </c>
      <c r="DR121" t="e">
        <f>AND(#REF!,"XAZRjBC8lHk=")</f>
        <v>#REF!</v>
      </c>
      <c r="DS121" t="e">
        <f>AND(#REF!,"XAZRjBC8lHo=")</f>
        <v>#REF!</v>
      </c>
      <c r="DT121" t="e">
        <f>AND(#REF!,"XAZRjBC8lHs=")</f>
        <v>#REF!</v>
      </c>
      <c r="DU121" t="e">
        <f>AND(#REF!,"XAZRjBC8lHw=")</f>
        <v>#REF!</v>
      </c>
      <c r="DV121" t="e">
        <f>AND(#REF!,"XAZRjBC8lH0=")</f>
        <v>#REF!</v>
      </c>
      <c r="DW121" t="e">
        <f>AND(#REF!,"XAZRjBC8lH4=")</f>
        <v>#REF!</v>
      </c>
      <c r="DX121" t="e">
        <f>AND(#REF!,"XAZRjBC8lH8=")</f>
        <v>#REF!</v>
      </c>
      <c r="DY121" t="e">
        <f>AND(#REF!,"XAZRjBC8lIA=")</f>
        <v>#REF!</v>
      </c>
      <c r="DZ121" t="e">
        <f>AND(#REF!,"XAZRjBC8lIE=")</f>
        <v>#REF!</v>
      </c>
      <c r="EA121" t="e">
        <f>AND(#REF!,"XAZRjBC8lII=")</f>
        <v>#REF!</v>
      </c>
      <c r="EB121" t="e">
        <f>AND(#REF!,"XAZRjBC8lIM=")</f>
        <v>#REF!</v>
      </c>
      <c r="EC121" t="e">
        <f>AND(#REF!,"XAZRjBC8lIQ=")</f>
        <v>#REF!</v>
      </c>
      <c r="ED121" t="e">
        <f>AND(#REF!,"XAZRjBC8lIU=")</f>
        <v>#REF!</v>
      </c>
      <c r="EE121" t="e">
        <f>AND(#REF!,"XAZRjBC8lIY=")</f>
        <v>#REF!</v>
      </c>
      <c r="EF121" t="e">
        <f>AND(#REF!,"XAZRjBC8lIc=")</f>
        <v>#REF!</v>
      </c>
      <c r="EG121" t="e">
        <f>AND(#REF!,"XAZRjBC8lIg=")</f>
        <v>#REF!</v>
      </c>
      <c r="EH121" t="e">
        <f>AND(#REF!,"XAZRjBC8lIk=")</f>
        <v>#REF!</v>
      </c>
      <c r="EI121" t="e">
        <f>AND(#REF!,"XAZRjBC8lIo=")</f>
        <v>#REF!</v>
      </c>
      <c r="EJ121" t="e">
        <f>AND(#REF!,"XAZRjBC8lIs=")</f>
        <v>#REF!</v>
      </c>
      <c r="EK121" t="e">
        <f>AND(#REF!,"XAZRjBC8lIw=")</f>
        <v>#REF!</v>
      </c>
      <c r="EL121" t="e">
        <f>AND(#REF!,"XAZRjBC8lI0=")</f>
        <v>#REF!</v>
      </c>
      <c r="EM121" t="e">
        <f>AND(#REF!,"XAZRjBC8lI4=")</f>
        <v>#REF!</v>
      </c>
      <c r="EN121" t="e">
        <f>AND(#REF!,"XAZRjBC8lI8=")</f>
        <v>#REF!</v>
      </c>
      <c r="EO121" t="e">
        <f>AND(#REF!,"XAZRjBC8lJA=")</f>
        <v>#REF!</v>
      </c>
      <c r="EP121" t="e">
        <f>AND(#REF!,"XAZRjBC8lJE=")</f>
        <v>#REF!</v>
      </c>
      <c r="EQ121" t="e">
        <f>AND(#REF!,"XAZRjBC8lJI=")</f>
        <v>#REF!</v>
      </c>
      <c r="ER121" t="e">
        <f>AND(#REF!,"XAZRjBC8lJM=")</f>
        <v>#REF!</v>
      </c>
      <c r="ES121" t="e">
        <f>AND(#REF!,"XAZRjBC8lJQ=")</f>
        <v>#REF!</v>
      </c>
      <c r="ET121" t="e">
        <f>AND(#REF!,"XAZRjBC8lJU=")</f>
        <v>#REF!</v>
      </c>
      <c r="EU121" t="e">
        <f>AND(#REF!,"XAZRjBC8lJY=")</f>
        <v>#REF!</v>
      </c>
      <c r="EV121" t="e">
        <f>AND(#REF!,"XAZRjBC8lJc=")</f>
        <v>#REF!</v>
      </c>
      <c r="EW121" t="e">
        <f>AND(#REF!,"XAZRjBC8lJg=")</f>
        <v>#REF!</v>
      </c>
      <c r="EX121" t="e">
        <f>AND(#REF!,"XAZRjBC8lJk=")</f>
        <v>#REF!</v>
      </c>
      <c r="EY121" t="e">
        <f>AND(#REF!,"XAZRjBC8lJo=")</f>
        <v>#REF!</v>
      </c>
      <c r="EZ121" t="e">
        <f>AND(#REF!,"XAZRjBC8lJs=")</f>
        <v>#REF!</v>
      </c>
      <c r="FA121" t="e">
        <f>AND(#REF!,"XAZRjBC8lJw=")</f>
        <v>#REF!</v>
      </c>
      <c r="FB121" t="e">
        <f>AND(#REF!,"XAZRjBC8lJ0=")</f>
        <v>#REF!</v>
      </c>
      <c r="FC121" t="e">
        <f>AND(#REF!,"XAZRjBC8lJ4=")</f>
        <v>#REF!</v>
      </c>
      <c r="FD121" t="e">
        <f>AND(#REF!,"XAZRjBC8lJ8=")</f>
        <v>#REF!</v>
      </c>
      <c r="FE121" t="e">
        <f>AND(#REF!,"XAZRjBC8lKA=")</f>
        <v>#REF!</v>
      </c>
      <c r="FF121" t="e">
        <f>AND(#REF!,"XAZRjBC8lKE=")</f>
        <v>#REF!</v>
      </c>
      <c r="FG121" t="e">
        <f>AND(#REF!,"XAZRjBC8lKI=")</f>
        <v>#REF!</v>
      </c>
      <c r="FH121" t="e">
        <f>AND(#REF!,"XAZRjBC8lKM=")</f>
        <v>#REF!</v>
      </c>
      <c r="FI121" t="e">
        <f>AND(#REF!,"XAZRjBC8lKQ=")</f>
        <v>#REF!</v>
      </c>
      <c r="FJ121" t="e">
        <f>AND(#REF!,"XAZRjBC8lKU=")</f>
        <v>#REF!</v>
      </c>
      <c r="FK121" t="e">
        <f>AND(#REF!,"XAZRjBC8lKY=")</f>
        <v>#REF!</v>
      </c>
      <c r="FL121" t="e">
        <f>AND(#REF!,"XAZRjBC8lKc=")</f>
        <v>#REF!</v>
      </c>
      <c r="FM121" t="e">
        <f>AND(#REF!,"XAZRjBC8lKg=")</f>
        <v>#REF!</v>
      </c>
      <c r="FN121" t="e">
        <f>AND(#REF!,"XAZRjBC8lKk=")</f>
        <v>#REF!</v>
      </c>
      <c r="FO121" t="e">
        <f>AND(#REF!,"XAZRjBC8lKo=")</f>
        <v>#REF!</v>
      </c>
      <c r="FP121" t="e">
        <f>AND(#REF!,"XAZRjBC8lKs=")</f>
        <v>#REF!</v>
      </c>
      <c r="FQ121" t="e">
        <f>AND(#REF!,"XAZRjBC8lKw=")</f>
        <v>#REF!</v>
      </c>
      <c r="FR121" t="e">
        <f>AND(#REF!,"XAZRjBC8lK0=")</f>
        <v>#REF!</v>
      </c>
      <c r="FS121" t="e">
        <f>AND(#REF!,"XAZRjBC8lK4=")</f>
        <v>#REF!</v>
      </c>
      <c r="FT121" t="e">
        <f>AND(#REF!,"XAZRjBC8lK8=")</f>
        <v>#REF!</v>
      </c>
      <c r="FU121" t="e">
        <f>AND(#REF!,"XAZRjBC8lLA=")</f>
        <v>#REF!</v>
      </c>
      <c r="FV121" t="e">
        <f>AND(#REF!,"XAZRjBC8lLE=")</f>
        <v>#REF!</v>
      </c>
      <c r="FW121" t="e">
        <f>AND(#REF!,"XAZRjBC8lLI=")</f>
        <v>#REF!</v>
      </c>
      <c r="FX121" t="e">
        <f>AND(#REF!,"XAZRjBC8lLM=")</f>
        <v>#REF!</v>
      </c>
      <c r="FY121" t="e">
        <f>AND(#REF!,"XAZRjBC8lLQ=")</f>
        <v>#REF!</v>
      </c>
      <c r="FZ121" t="e">
        <f>AND(#REF!,"XAZRjBC8lLU=")</f>
        <v>#REF!</v>
      </c>
      <c r="GA121" t="e">
        <f>AND(#REF!,"XAZRjBC8lLY=")</f>
        <v>#REF!</v>
      </c>
      <c r="GB121" t="e">
        <f>AND(#REF!,"XAZRjBC8lLc=")</f>
        <v>#REF!</v>
      </c>
      <c r="GC121" t="e">
        <f>AND(#REF!,"XAZRjBC8lLg=")</f>
        <v>#REF!</v>
      </c>
      <c r="GD121" t="e">
        <f>AND(#REF!,"XAZRjBC8lLk=")</f>
        <v>#REF!</v>
      </c>
      <c r="GE121" t="e">
        <f>AND(#REF!,"XAZRjBC8lLo=")</f>
        <v>#REF!</v>
      </c>
      <c r="GF121" t="e">
        <f>AND(#REF!,"XAZRjBC8lLs=")</f>
        <v>#REF!</v>
      </c>
      <c r="GG121" t="e">
        <f>AND(#REF!,"XAZRjBC8lLw=")</f>
        <v>#REF!</v>
      </c>
      <c r="GH121" t="e">
        <f>AND(#REF!,"XAZRjBC8lL0=")</f>
        <v>#REF!</v>
      </c>
      <c r="GI121" t="e">
        <f>AND(#REF!,"XAZRjBC8lL4=")</f>
        <v>#REF!</v>
      </c>
      <c r="GJ121" t="e">
        <f>AND(#REF!,"XAZRjBC8lL8=")</f>
        <v>#REF!</v>
      </c>
      <c r="GK121" t="e">
        <f>AND(#REF!,"XAZRjBC8lMA=")</f>
        <v>#REF!</v>
      </c>
      <c r="GL121" t="e">
        <f>AND(#REF!,"XAZRjBC8lME=")</f>
        <v>#REF!</v>
      </c>
      <c r="GM121" t="e">
        <f>AND(#REF!,"XAZRjBC8lMI=")</f>
        <v>#REF!</v>
      </c>
      <c r="GN121" t="e">
        <f>AND(#REF!,"XAZRjBC8lMM=")</f>
        <v>#REF!</v>
      </c>
      <c r="GO121" t="e">
        <f>AND(#REF!,"XAZRjBC8lMQ=")</f>
        <v>#REF!</v>
      </c>
      <c r="GP121" t="e">
        <f>AND(#REF!,"XAZRjBC8lMU=")</f>
        <v>#REF!</v>
      </c>
      <c r="GQ121" t="e">
        <f>AND(#REF!,"XAZRjBC8lMY=")</f>
        <v>#REF!</v>
      </c>
      <c r="GR121" t="e">
        <f>AND(#REF!,"XAZRjBC8lMc=")</f>
        <v>#REF!</v>
      </c>
      <c r="GS121" t="e">
        <f>AND(#REF!,"XAZRjBC8lMg=")</f>
        <v>#REF!</v>
      </c>
      <c r="GT121" t="e">
        <f>AND(#REF!,"XAZRjBC8lMk=")</f>
        <v>#REF!</v>
      </c>
      <c r="GU121" t="e">
        <f>AND(#REF!,"XAZRjBC8lMo=")</f>
        <v>#REF!</v>
      </c>
      <c r="GV121" t="e">
        <f>AND(#REF!,"XAZRjBC8lMs=")</f>
        <v>#REF!</v>
      </c>
      <c r="GW121" t="e">
        <f>AND(#REF!,"XAZRjBC8lMw=")</f>
        <v>#REF!</v>
      </c>
      <c r="GX121" t="e">
        <f>AND(#REF!,"XAZRjBC8lM0=")</f>
        <v>#REF!</v>
      </c>
      <c r="GY121" t="e">
        <f>AND(#REF!,"XAZRjBC8lM4=")</f>
        <v>#REF!</v>
      </c>
      <c r="GZ121" t="e">
        <f>AND(#REF!,"XAZRjBC8lM8=")</f>
        <v>#REF!</v>
      </c>
      <c r="HA121" t="e">
        <f>AND(#REF!,"XAZRjBC8lNA=")</f>
        <v>#REF!</v>
      </c>
      <c r="HB121" t="e">
        <f>AND(#REF!,"XAZRjBC8lNE=")</f>
        <v>#REF!</v>
      </c>
      <c r="HC121" t="e">
        <f>AND(#REF!,"XAZRjBC8lNI=")</f>
        <v>#REF!</v>
      </c>
      <c r="HD121" t="e">
        <f>AND(#REF!,"XAZRjBC8lNM=")</f>
        <v>#REF!</v>
      </c>
      <c r="HE121" t="e">
        <f>AND(#REF!,"XAZRjBC8lNQ=")</f>
        <v>#REF!</v>
      </c>
      <c r="HF121" t="e">
        <f>AND(#REF!,"XAZRjBC8lNU=")</f>
        <v>#REF!</v>
      </c>
      <c r="HG121" t="e">
        <f>AND(#REF!,"XAZRjBC8lNY=")</f>
        <v>#REF!</v>
      </c>
      <c r="HH121" t="e">
        <f>AND(#REF!,"XAZRjBC8lNc=")</f>
        <v>#REF!</v>
      </c>
      <c r="HI121" t="e">
        <f>AND(#REF!,"XAZRjBC8lNg=")</f>
        <v>#REF!</v>
      </c>
      <c r="HJ121" t="e">
        <f>AND(#REF!,"XAZRjBC8lNk=")</f>
        <v>#REF!</v>
      </c>
      <c r="HK121" t="e">
        <f>AND(#REF!,"XAZRjBC8lNo=")</f>
        <v>#REF!</v>
      </c>
      <c r="HL121" t="e">
        <f>AND(#REF!,"XAZRjBC8lNs=")</f>
        <v>#REF!</v>
      </c>
      <c r="HM121" t="e">
        <f>AND(#REF!,"XAZRjBC8lNw=")</f>
        <v>#REF!</v>
      </c>
      <c r="HN121" t="e">
        <f>AND(#REF!,"XAZRjBC8lN0=")</f>
        <v>#REF!</v>
      </c>
      <c r="HO121" t="e">
        <f>AND(#REF!,"XAZRjBC8lN4=")</f>
        <v>#REF!</v>
      </c>
      <c r="HP121" t="e">
        <f>AND(#REF!,"XAZRjBC8lN8=")</f>
        <v>#REF!</v>
      </c>
      <c r="HQ121" t="e">
        <f>AND(#REF!,"XAZRjBC8lOA=")</f>
        <v>#REF!</v>
      </c>
      <c r="HR121" t="e">
        <f>AND(#REF!,"XAZRjBC8lOE=")</f>
        <v>#REF!</v>
      </c>
      <c r="HS121" t="e">
        <f>AND(#REF!,"XAZRjBC8lOI=")</f>
        <v>#REF!</v>
      </c>
      <c r="HT121" t="e">
        <f>AND(#REF!,"XAZRjBC8lOM=")</f>
        <v>#REF!</v>
      </c>
      <c r="HU121" t="e">
        <f>AND(#REF!,"XAZRjBC8lOQ=")</f>
        <v>#REF!</v>
      </c>
      <c r="HV121" t="e">
        <f>AND(#REF!,"XAZRjBC8lOU=")</f>
        <v>#REF!</v>
      </c>
      <c r="HW121" t="e">
        <f>AND(#REF!,"XAZRjBC8lOY=")</f>
        <v>#REF!</v>
      </c>
      <c r="HX121" t="e">
        <f>AND(#REF!,"XAZRjBC8lOc=")</f>
        <v>#REF!</v>
      </c>
      <c r="HY121" t="e">
        <f>AND(#REF!,"XAZRjBC8lOg=")</f>
        <v>#REF!</v>
      </c>
      <c r="HZ121" t="e">
        <f>AND(#REF!,"XAZRjBC8lOk=")</f>
        <v>#REF!</v>
      </c>
      <c r="IA121" t="e">
        <f>AND(#REF!,"XAZRjBC8lOo=")</f>
        <v>#REF!</v>
      </c>
      <c r="IB121" t="e">
        <f>AND(#REF!,"XAZRjBC8lOs=")</f>
        <v>#REF!</v>
      </c>
      <c r="IC121" t="e">
        <f>AND(#REF!,"XAZRjBC8lOw=")</f>
        <v>#REF!</v>
      </c>
      <c r="ID121" t="e">
        <f>AND(#REF!,"XAZRjBC8lO0=")</f>
        <v>#REF!</v>
      </c>
      <c r="IE121" t="e">
        <f>AND(#REF!,"XAZRjBC8lO4=")</f>
        <v>#REF!</v>
      </c>
      <c r="IF121" t="e">
        <f>AND(#REF!,"XAZRjBC8lO8=")</f>
        <v>#REF!</v>
      </c>
      <c r="IG121" t="e">
        <f>AND(#REF!,"XAZRjBC8lPA=")</f>
        <v>#REF!</v>
      </c>
      <c r="IH121" t="e">
        <f>AND(#REF!,"XAZRjBC8lPE=")</f>
        <v>#REF!</v>
      </c>
      <c r="II121" t="e">
        <f>AND(#REF!,"XAZRjBC8lPI=")</f>
        <v>#REF!</v>
      </c>
      <c r="IJ121" t="e">
        <f>AND(#REF!,"XAZRjBC8lPM=")</f>
        <v>#REF!</v>
      </c>
      <c r="IK121" t="e">
        <f>AND(#REF!,"XAZRjBC8lPQ=")</f>
        <v>#REF!</v>
      </c>
      <c r="IL121" t="e">
        <f>AND(#REF!,"XAZRjBC8lPU=")</f>
        <v>#REF!</v>
      </c>
      <c r="IM121" t="e">
        <f>AND(#REF!,"XAZRjBC8lPY=")</f>
        <v>#REF!</v>
      </c>
      <c r="IN121" t="e">
        <f>AND(#REF!,"XAZRjBC8lPc=")</f>
        <v>#REF!</v>
      </c>
      <c r="IO121" t="e">
        <f>AND(#REF!,"XAZRjBC8lPg=")</f>
        <v>#REF!</v>
      </c>
      <c r="IP121" t="e">
        <f>AND(#REF!,"XAZRjBC8lPk=")</f>
        <v>#REF!</v>
      </c>
      <c r="IQ121" t="e">
        <f>AND(#REF!,"XAZRjBC8lPo=")</f>
        <v>#REF!</v>
      </c>
      <c r="IR121" t="e">
        <f>AND(#REF!,"XAZRjBC8lPs=")</f>
        <v>#REF!</v>
      </c>
      <c r="IS121" t="e">
        <f>AND(#REF!,"XAZRjBC8lPw=")</f>
        <v>#REF!</v>
      </c>
      <c r="IT121" t="e">
        <f>AND(#REF!,"XAZRjBC8lP0=")</f>
        <v>#REF!</v>
      </c>
      <c r="IU121" t="e">
        <f>AND(#REF!,"XAZRjBC8lP4=")</f>
        <v>#REF!</v>
      </c>
      <c r="IV121" t="e">
        <f>AND(#REF!,"XAZRjBC8lP8=")</f>
        <v>#REF!</v>
      </c>
    </row>
    <row r="122" spans="1:256" x14ac:dyDescent="0.2">
      <c r="A122" t="e">
        <f>AND(#REF!,"Z2dMdxdgJQA=")</f>
        <v>#REF!</v>
      </c>
      <c r="B122" t="e">
        <f>AND(#REF!,"Z2dMdxdgJQE=")</f>
        <v>#REF!</v>
      </c>
      <c r="C122" t="e">
        <f>AND(#REF!,"Z2dMdxdgJQI=")</f>
        <v>#REF!</v>
      </c>
      <c r="D122" t="e">
        <f>AND(#REF!,"Z2dMdxdgJQM=")</f>
        <v>#REF!</v>
      </c>
      <c r="E122" t="e">
        <f>AND(#REF!,"Z2dMdxdgJQQ=")</f>
        <v>#REF!</v>
      </c>
      <c r="F122" t="e">
        <f>AND(#REF!,"Z2dMdxdgJQU=")</f>
        <v>#REF!</v>
      </c>
      <c r="G122" t="e">
        <f>AND(#REF!,"Z2dMdxdgJQY=")</f>
        <v>#REF!</v>
      </c>
      <c r="H122" t="e">
        <f>AND(#REF!,"Z2dMdxdgJQc=")</f>
        <v>#REF!</v>
      </c>
      <c r="I122" t="e">
        <f>AND(#REF!,"Z2dMdxdgJQg=")</f>
        <v>#REF!</v>
      </c>
      <c r="J122" t="e">
        <f>AND(#REF!,"Z2dMdxdgJQk=")</f>
        <v>#REF!</v>
      </c>
      <c r="K122" t="e">
        <f>AND(#REF!,"Z2dMdxdgJQo=")</f>
        <v>#REF!</v>
      </c>
      <c r="L122" t="e">
        <f>AND(#REF!,"Z2dMdxdgJQs=")</f>
        <v>#REF!</v>
      </c>
      <c r="M122" t="e">
        <f>AND(#REF!,"Z2dMdxdgJQw=")</f>
        <v>#REF!</v>
      </c>
      <c r="N122" t="e">
        <f>AND(#REF!,"Z2dMdxdgJQ0=")</f>
        <v>#REF!</v>
      </c>
      <c r="O122" t="e">
        <f>IF(#REF!,"Z2dMdxdgJQ4=",0)</f>
        <v>#REF!</v>
      </c>
      <c r="P122" t="e">
        <f>AND(#REF!,"Z2dMdxdgJQ8=")</f>
        <v>#REF!</v>
      </c>
      <c r="Q122" t="e">
        <f>AND(#REF!,"Z2dMdxdgJRA=")</f>
        <v>#REF!</v>
      </c>
      <c r="R122" t="e">
        <f>AND(#REF!,"Z2dMdxdgJRE=")</f>
        <v>#REF!</v>
      </c>
      <c r="S122" t="e">
        <f>AND(#REF!,"Z2dMdxdgJRI=")</f>
        <v>#REF!</v>
      </c>
      <c r="T122" t="e">
        <f>AND(#REF!,"Z2dMdxdgJRM=")</f>
        <v>#REF!</v>
      </c>
      <c r="U122" t="e">
        <f>AND(#REF!,"Z2dMdxdgJRQ=")</f>
        <v>#REF!</v>
      </c>
      <c r="V122" t="e">
        <f>AND(#REF!,"Z2dMdxdgJRU=")</f>
        <v>#REF!</v>
      </c>
      <c r="W122" t="e">
        <f>AND(#REF!,"Z2dMdxdgJRY=")</f>
        <v>#REF!</v>
      </c>
      <c r="X122" t="e">
        <f>AND(#REF!,"Z2dMdxdgJRc=")</f>
        <v>#REF!</v>
      </c>
      <c r="Y122" t="e">
        <f>AND(#REF!,"Z2dMdxdgJRg=")</f>
        <v>#REF!</v>
      </c>
      <c r="Z122" t="e">
        <f>AND(#REF!,"Z2dMdxdgJRk=")</f>
        <v>#REF!</v>
      </c>
      <c r="AA122" t="e">
        <f>AND(#REF!,"Z2dMdxdgJRo=")</f>
        <v>#REF!</v>
      </c>
      <c r="AB122" t="e">
        <f>AND(#REF!,"Z2dMdxdgJRs=")</f>
        <v>#REF!</v>
      </c>
      <c r="AC122" t="e">
        <f>AND(#REF!,"Z2dMdxdgJRw=")</f>
        <v>#REF!</v>
      </c>
      <c r="AD122" t="e">
        <f>AND(#REF!,"Z2dMdxdgJR0=")</f>
        <v>#REF!</v>
      </c>
      <c r="AE122" t="e">
        <f>AND(#REF!,"Z2dMdxdgJR4=")</f>
        <v>#REF!</v>
      </c>
      <c r="AF122" t="e">
        <f>AND(#REF!,"Z2dMdxdgJR8=")</f>
        <v>#REF!</v>
      </c>
      <c r="AG122" t="e">
        <f>AND(#REF!,"Z2dMdxdgJSA=")</f>
        <v>#REF!</v>
      </c>
      <c r="AH122" t="e">
        <f>AND(#REF!,"Z2dMdxdgJSE=")</f>
        <v>#REF!</v>
      </c>
      <c r="AI122" t="e">
        <f>AND(#REF!,"Z2dMdxdgJSI=")</f>
        <v>#REF!</v>
      </c>
      <c r="AJ122" t="e">
        <f>AND(#REF!,"Z2dMdxdgJSM=")</f>
        <v>#REF!</v>
      </c>
      <c r="AK122" t="e">
        <f>AND(#REF!,"Z2dMdxdgJSQ=")</f>
        <v>#REF!</v>
      </c>
      <c r="AL122" t="e">
        <f>AND(#REF!,"Z2dMdxdgJSU=")</f>
        <v>#REF!</v>
      </c>
      <c r="AM122" t="e">
        <f>AND(#REF!,"Z2dMdxdgJSY=")</f>
        <v>#REF!</v>
      </c>
      <c r="AN122" t="e">
        <f>AND(#REF!,"Z2dMdxdgJSc=")</f>
        <v>#REF!</v>
      </c>
      <c r="AO122" t="e">
        <f>AND(#REF!,"Z2dMdxdgJSg=")</f>
        <v>#REF!</v>
      </c>
      <c r="AP122" t="e">
        <f>AND(#REF!,"Z2dMdxdgJSk=")</f>
        <v>#REF!</v>
      </c>
      <c r="AQ122" t="e">
        <f>AND(#REF!,"Z2dMdxdgJSo=")</f>
        <v>#REF!</v>
      </c>
      <c r="AR122" t="e">
        <f>AND(#REF!,"Z2dMdxdgJSs=")</f>
        <v>#REF!</v>
      </c>
      <c r="AS122" t="e">
        <f>AND(#REF!,"Z2dMdxdgJSw=")</f>
        <v>#REF!</v>
      </c>
      <c r="AT122" t="e">
        <f>AND(#REF!,"Z2dMdxdgJS0=")</f>
        <v>#REF!</v>
      </c>
      <c r="AU122" t="e">
        <f>AND(#REF!,"Z2dMdxdgJS4=")</f>
        <v>#REF!</v>
      </c>
      <c r="AV122" t="e">
        <f>AND(#REF!,"Z2dMdxdgJS8=")</f>
        <v>#REF!</v>
      </c>
      <c r="AW122" t="e">
        <f>AND(#REF!,"Z2dMdxdgJTA=")</f>
        <v>#REF!</v>
      </c>
      <c r="AX122" t="e">
        <f>AND(#REF!,"Z2dMdxdgJTE=")</f>
        <v>#REF!</v>
      </c>
      <c r="AY122" t="e">
        <f>AND(#REF!,"Z2dMdxdgJTI=")</f>
        <v>#REF!</v>
      </c>
      <c r="AZ122" t="e">
        <f>AND(#REF!,"Z2dMdxdgJTM=")</f>
        <v>#REF!</v>
      </c>
      <c r="BA122" t="e">
        <f>AND(#REF!,"Z2dMdxdgJTQ=")</f>
        <v>#REF!</v>
      </c>
      <c r="BB122" t="e">
        <f>AND(#REF!,"Z2dMdxdgJTU=")</f>
        <v>#REF!</v>
      </c>
      <c r="BC122" t="e">
        <f>AND(#REF!,"Z2dMdxdgJTY=")</f>
        <v>#REF!</v>
      </c>
      <c r="BD122" t="e">
        <f>AND(#REF!,"Z2dMdxdgJTc=")</f>
        <v>#REF!</v>
      </c>
      <c r="BE122" t="e">
        <f>AND(#REF!,"Z2dMdxdgJTg=")</f>
        <v>#REF!</v>
      </c>
      <c r="BF122" t="e">
        <f>AND(#REF!,"Z2dMdxdgJTk=")</f>
        <v>#REF!</v>
      </c>
      <c r="BG122" t="e">
        <f>AND(#REF!,"Z2dMdxdgJTo=")</f>
        <v>#REF!</v>
      </c>
      <c r="BH122" t="e">
        <f>AND(#REF!,"Z2dMdxdgJTs=")</f>
        <v>#REF!</v>
      </c>
      <c r="BI122" t="e">
        <f>AND(#REF!,"Z2dMdxdgJTw=")</f>
        <v>#REF!</v>
      </c>
      <c r="BJ122" t="e">
        <f>AND(#REF!,"Z2dMdxdgJT0=")</f>
        <v>#REF!</v>
      </c>
      <c r="BK122" t="e">
        <f>AND(#REF!,"Z2dMdxdgJT4=")</f>
        <v>#REF!</v>
      </c>
      <c r="BL122" t="e">
        <f>AND(#REF!,"Z2dMdxdgJT8=")</f>
        <v>#REF!</v>
      </c>
      <c r="BM122" t="e">
        <f>AND(#REF!,"Z2dMdxdgJUA=")</f>
        <v>#REF!</v>
      </c>
      <c r="BN122" t="e">
        <f>AND(#REF!,"Z2dMdxdgJUE=")</f>
        <v>#REF!</v>
      </c>
      <c r="BO122" t="e">
        <f>AND(#REF!,"Z2dMdxdgJUI=")</f>
        <v>#REF!</v>
      </c>
      <c r="BP122" t="e">
        <f>AND(#REF!,"Z2dMdxdgJUM=")</f>
        <v>#REF!</v>
      </c>
      <c r="BQ122" t="e">
        <f>AND(#REF!,"Z2dMdxdgJUQ=")</f>
        <v>#REF!</v>
      </c>
      <c r="BR122" t="e">
        <f>AND(#REF!,"Z2dMdxdgJUU=")</f>
        <v>#REF!</v>
      </c>
      <c r="BS122" t="e">
        <f>AND(#REF!,"Z2dMdxdgJUY=")</f>
        <v>#REF!</v>
      </c>
      <c r="BT122" t="e">
        <f>AND(#REF!,"Z2dMdxdgJUc=")</f>
        <v>#REF!</v>
      </c>
      <c r="BU122" t="e">
        <f>AND(#REF!,"Z2dMdxdgJUg=")</f>
        <v>#REF!</v>
      </c>
      <c r="BV122" t="e">
        <f>AND(#REF!,"Z2dMdxdgJUk=")</f>
        <v>#REF!</v>
      </c>
      <c r="BW122" t="e">
        <f>AND(#REF!,"Z2dMdxdgJUo=")</f>
        <v>#REF!</v>
      </c>
      <c r="BX122" t="e">
        <f>AND(#REF!,"Z2dMdxdgJUs=")</f>
        <v>#REF!</v>
      </c>
      <c r="BY122" t="e">
        <f>AND(#REF!,"Z2dMdxdgJUw=")</f>
        <v>#REF!</v>
      </c>
      <c r="BZ122" t="e">
        <f>AND(#REF!,"Z2dMdxdgJU0=")</f>
        <v>#REF!</v>
      </c>
      <c r="CA122" t="e">
        <f>AND(#REF!,"Z2dMdxdgJU4=")</f>
        <v>#REF!</v>
      </c>
      <c r="CB122" t="e">
        <f>AND(#REF!,"Z2dMdxdgJU8=")</f>
        <v>#REF!</v>
      </c>
      <c r="CC122" t="e">
        <f>AND(#REF!,"Z2dMdxdgJVA=")</f>
        <v>#REF!</v>
      </c>
      <c r="CD122" t="e">
        <f>AND(#REF!,"Z2dMdxdgJVE=")</f>
        <v>#REF!</v>
      </c>
      <c r="CE122" t="e">
        <f>AND(#REF!,"Z2dMdxdgJVI=")</f>
        <v>#REF!</v>
      </c>
      <c r="CF122" t="e">
        <f>AND(#REF!,"Z2dMdxdgJVM=")</f>
        <v>#REF!</v>
      </c>
      <c r="CG122" t="e">
        <f>AND(#REF!,"Z2dMdxdgJVQ=")</f>
        <v>#REF!</v>
      </c>
      <c r="CH122" t="e">
        <f>AND(#REF!,"Z2dMdxdgJVU=")</f>
        <v>#REF!</v>
      </c>
      <c r="CI122" t="e">
        <f>AND(#REF!,"Z2dMdxdgJVY=")</f>
        <v>#REF!</v>
      </c>
      <c r="CJ122" t="e">
        <f>AND(#REF!,"Z2dMdxdgJVc=")</f>
        <v>#REF!</v>
      </c>
      <c r="CK122" t="e">
        <f>AND(#REF!,"Z2dMdxdgJVg=")</f>
        <v>#REF!</v>
      </c>
      <c r="CL122" t="e">
        <f>AND(#REF!,"Z2dMdxdgJVk=")</f>
        <v>#REF!</v>
      </c>
      <c r="CM122" t="e">
        <f>AND(#REF!,"Z2dMdxdgJVo=")</f>
        <v>#REF!</v>
      </c>
      <c r="CN122" t="e">
        <f>AND(#REF!,"Z2dMdxdgJVs=")</f>
        <v>#REF!</v>
      </c>
      <c r="CO122" t="e">
        <f>AND(#REF!,"Z2dMdxdgJVw=")</f>
        <v>#REF!</v>
      </c>
      <c r="CP122" t="e">
        <f>AND(#REF!,"Z2dMdxdgJV0=")</f>
        <v>#REF!</v>
      </c>
      <c r="CQ122" t="e">
        <f>AND(#REF!,"Z2dMdxdgJV4=")</f>
        <v>#REF!</v>
      </c>
      <c r="CR122" t="e">
        <f>AND(#REF!,"Z2dMdxdgJV8=")</f>
        <v>#REF!</v>
      </c>
      <c r="CS122" t="e">
        <f>AND(#REF!,"Z2dMdxdgJWA=")</f>
        <v>#REF!</v>
      </c>
      <c r="CT122" t="e">
        <f>AND(#REF!,"Z2dMdxdgJWE=")</f>
        <v>#REF!</v>
      </c>
      <c r="CU122" t="e">
        <f>AND(#REF!,"Z2dMdxdgJWI=")</f>
        <v>#REF!</v>
      </c>
      <c r="CV122" t="e">
        <f>AND(#REF!,"Z2dMdxdgJWM=")</f>
        <v>#REF!</v>
      </c>
      <c r="CW122" t="e">
        <f>AND(#REF!,"Z2dMdxdgJWQ=")</f>
        <v>#REF!</v>
      </c>
      <c r="CX122" t="e">
        <f>AND(#REF!,"Z2dMdxdgJWU=")</f>
        <v>#REF!</v>
      </c>
      <c r="CY122" t="e">
        <f>AND(#REF!,"Z2dMdxdgJWY=")</f>
        <v>#REF!</v>
      </c>
      <c r="CZ122" t="e">
        <f>AND(#REF!,"Z2dMdxdgJWc=")</f>
        <v>#REF!</v>
      </c>
      <c r="DA122" t="e">
        <f>AND(#REF!,"Z2dMdxdgJWg=")</f>
        <v>#REF!</v>
      </c>
      <c r="DB122" t="e">
        <f>AND(#REF!,"Z2dMdxdgJWk=")</f>
        <v>#REF!</v>
      </c>
      <c r="DC122" t="e">
        <f>AND(#REF!,"Z2dMdxdgJWo=")</f>
        <v>#REF!</v>
      </c>
      <c r="DD122" t="e">
        <f>AND(#REF!,"Z2dMdxdgJWs=")</f>
        <v>#REF!</v>
      </c>
      <c r="DE122" t="e">
        <f>AND(#REF!,"Z2dMdxdgJWw=")</f>
        <v>#REF!</v>
      </c>
      <c r="DF122" t="e">
        <f>AND(#REF!,"Z2dMdxdgJW0=")</f>
        <v>#REF!</v>
      </c>
      <c r="DG122" t="e">
        <f>AND(#REF!,"Z2dMdxdgJW4=")</f>
        <v>#REF!</v>
      </c>
      <c r="DH122" t="e">
        <f>AND(#REF!,"Z2dMdxdgJW8=")</f>
        <v>#REF!</v>
      </c>
      <c r="DI122" t="e">
        <f>AND(#REF!,"Z2dMdxdgJXA=")</f>
        <v>#REF!</v>
      </c>
      <c r="DJ122" t="e">
        <f>AND(#REF!,"Z2dMdxdgJXE=")</f>
        <v>#REF!</v>
      </c>
      <c r="DK122" t="e">
        <f>AND(#REF!,"Z2dMdxdgJXI=")</f>
        <v>#REF!</v>
      </c>
      <c r="DL122" t="e">
        <f>AND(#REF!,"Z2dMdxdgJXM=")</f>
        <v>#REF!</v>
      </c>
      <c r="DM122" t="e">
        <f>AND(#REF!,"Z2dMdxdgJXQ=")</f>
        <v>#REF!</v>
      </c>
      <c r="DN122" t="e">
        <f>AND(#REF!,"Z2dMdxdgJXU=")</f>
        <v>#REF!</v>
      </c>
      <c r="DO122" t="e">
        <f>AND(#REF!,"Z2dMdxdgJXY=")</f>
        <v>#REF!</v>
      </c>
      <c r="DP122" t="e">
        <f>AND(#REF!,"Z2dMdxdgJXc=")</f>
        <v>#REF!</v>
      </c>
      <c r="DQ122" t="e">
        <f>AND(#REF!,"Z2dMdxdgJXg=")</f>
        <v>#REF!</v>
      </c>
      <c r="DR122" t="e">
        <f>AND(#REF!,"Z2dMdxdgJXk=")</f>
        <v>#REF!</v>
      </c>
      <c r="DS122" t="e">
        <f>AND(#REF!,"Z2dMdxdgJXo=")</f>
        <v>#REF!</v>
      </c>
      <c r="DT122" t="e">
        <f>AND(#REF!,"Z2dMdxdgJXs=")</f>
        <v>#REF!</v>
      </c>
      <c r="DU122" t="e">
        <f>AND(#REF!,"Z2dMdxdgJXw=")</f>
        <v>#REF!</v>
      </c>
      <c r="DV122" t="e">
        <f>AND(#REF!,"Z2dMdxdgJX0=")</f>
        <v>#REF!</v>
      </c>
      <c r="DW122" t="e">
        <f>AND(#REF!,"Z2dMdxdgJX4=")</f>
        <v>#REF!</v>
      </c>
      <c r="DX122" t="e">
        <f>AND(#REF!,"Z2dMdxdgJX8=")</f>
        <v>#REF!</v>
      </c>
      <c r="DY122" t="e">
        <f>AND(#REF!,"Z2dMdxdgJYA=")</f>
        <v>#REF!</v>
      </c>
      <c r="DZ122" t="e">
        <f>AND(#REF!,"Z2dMdxdgJYE=")</f>
        <v>#REF!</v>
      </c>
      <c r="EA122" t="e">
        <f>AND(#REF!,"Z2dMdxdgJYI=")</f>
        <v>#REF!</v>
      </c>
      <c r="EB122" t="e">
        <f>AND(#REF!,"Z2dMdxdgJYM=")</f>
        <v>#REF!</v>
      </c>
      <c r="EC122" t="e">
        <f>AND(#REF!,"Z2dMdxdgJYQ=")</f>
        <v>#REF!</v>
      </c>
      <c r="ED122" t="e">
        <f>AND(#REF!,"Z2dMdxdgJYU=")</f>
        <v>#REF!</v>
      </c>
      <c r="EE122" t="e">
        <f>AND(#REF!,"Z2dMdxdgJYY=")</f>
        <v>#REF!</v>
      </c>
      <c r="EF122" t="e">
        <f>AND(#REF!,"Z2dMdxdgJYc=")</f>
        <v>#REF!</v>
      </c>
      <c r="EG122" t="e">
        <f>AND(#REF!,"Z2dMdxdgJYg=")</f>
        <v>#REF!</v>
      </c>
      <c r="EH122" t="e">
        <f>AND(#REF!,"Z2dMdxdgJYk=")</f>
        <v>#REF!</v>
      </c>
      <c r="EI122" t="e">
        <f>AND(#REF!,"Z2dMdxdgJYo=")</f>
        <v>#REF!</v>
      </c>
      <c r="EJ122" t="e">
        <f>AND(#REF!,"Z2dMdxdgJYs=")</f>
        <v>#REF!</v>
      </c>
      <c r="EK122" t="e">
        <f>AND(#REF!,"Z2dMdxdgJYw=")</f>
        <v>#REF!</v>
      </c>
      <c r="EL122" t="e">
        <f>AND(#REF!,"Z2dMdxdgJY0=")</f>
        <v>#REF!</v>
      </c>
      <c r="EM122" t="e">
        <f>AND(#REF!,"Z2dMdxdgJY4=")</f>
        <v>#REF!</v>
      </c>
      <c r="EN122" t="e">
        <f>AND(#REF!,"Z2dMdxdgJY8=")</f>
        <v>#REF!</v>
      </c>
      <c r="EO122" t="e">
        <f>AND(#REF!,"Z2dMdxdgJZA=")</f>
        <v>#REF!</v>
      </c>
      <c r="EP122" t="e">
        <f>AND(#REF!,"Z2dMdxdgJZE=")</f>
        <v>#REF!</v>
      </c>
      <c r="EQ122" t="e">
        <f>AND(#REF!,"Z2dMdxdgJZI=")</f>
        <v>#REF!</v>
      </c>
      <c r="ER122" t="e">
        <f>AND(#REF!,"Z2dMdxdgJZM=")</f>
        <v>#REF!</v>
      </c>
      <c r="ES122" t="e">
        <f>AND(#REF!,"Z2dMdxdgJZQ=")</f>
        <v>#REF!</v>
      </c>
      <c r="ET122" t="e">
        <f>AND(#REF!,"Z2dMdxdgJZU=")</f>
        <v>#REF!</v>
      </c>
      <c r="EU122" t="e">
        <f>AND(#REF!,"Z2dMdxdgJZY=")</f>
        <v>#REF!</v>
      </c>
      <c r="EV122" t="e">
        <f>AND(#REF!,"Z2dMdxdgJZc=")</f>
        <v>#REF!</v>
      </c>
      <c r="EW122" t="e">
        <f>AND(#REF!,"Z2dMdxdgJZg=")</f>
        <v>#REF!</v>
      </c>
      <c r="EX122" t="e">
        <f>AND(#REF!,"Z2dMdxdgJZk=")</f>
        <v>#REF!</v>
      </c>
      <c r="EY122" t="e">
        <f>AND(#REF!,"Z2dMdxdgJZo=")</f>
        <v>#REF!</v>
      </c>
      <c r="EZ122" t="e">
        <f>AND(#REF!,"Z2dMdxdgJZs=")</f>
        <v>#REF!</v>
      </c>
      <c r="FA122" t="e">
        <f>AND(#REF!,"Z2dMdxdgJZw=")</f>
        <v>#REF!</v>
      </c>
      <c r="FB122" t="e">
        <f>AND(#REF!,"Z2dMdxdgJZ0=")</f>
        <v>#REF!</v>
      </c>
      <c r="FC122" t="e">
        <f>AND(#REF!,"Z2dMdxdgJZ4=")</f>
        <v>#REF!</v>
      </c>
      <c r="FD122" t="e">
        <f>AND(#REF!,"Z2dMdxdgJZ8=")</f>
        <v>#REF!</v>
      </c>
      <c r="FE122" t="e">
        <f>AND(#REF!,"Z2dMdxdgJaA=")</f>
        <v>#REF!</v>
      </c>
      <c r="FF122" t="e">
        <f>AND(#REF!,"Z2dMdxdgJaE=")</f>
        <v>#REF!</v>
      </c>
      <c r="FG122" t="e">
        <f>AND(#REF!,"Z2dMdxdgJaI=")</f>
        <v>#REF!</v>
      </c>
      <c r="FH122" t="e">
        <f>AND(#REF!,"Z2dMdxdgJaM=")</f>
        <v>#REF!</v>
      </c>
      <c r="FI122" t="e">
        <f>AND(#REF!,"Z2dMdxdgJaQ=")</f>
        <v>#REF!</v>
      </c>
      <c r="FJ122" t="e">
        <f>AND(#REF!,"Z2dMdxdgJaU=")</f>
        <v>#REF!</v>
      </c>
      <c r="FK122" t="e">
        <f>AND(#REF!,"Z2dMdxdgJaY=")</f>
        <v>#REF!</v>
      </c>
      <c r="FL122" t="e">
        <f>AND(#REF!,"Z2dMdxdgJac=")</f>
        <v>#REF!</v>
      </c>
      <c r="FM122" t="e">
        <f>AND(#REF!,"Z2dMdxdgJag=")</f>
        <v>#REF!</v>
      </c>
      <c r="FN122" t="e">
        <f>AND(#REF!,"Z2dMdxdgJak=")</f>
        <v>#REF!</v>
      </c>
      <c r="FO122" t="e">
        <f>AND(#REF!,"Z2dMdxdgJao=")</f>
        <v>#REF!</v>
      </c>
      <c r="FP122" t="e">
        <f>AND(#REF!,"Z2dMdxdgJas=")</f>
        <v>#REF!</v>
      </c>
      <c r="FQ122" t="e">
        <f>AND(#REF!,"Z2dMdxdgJaw=")</f>
        <v>#REF!</v>
      </c>
      <c r="FR122" t="e">
        <f>AND(#REF!,"Z2dMdxdgJa0=")</f>
        <v>#REF!</v>
      </c>
      <c r="FS122" t="e">
        <f>AND(#REF!,"Z2dMdxdgJa4=")</f>
        <v>#REF!</v>
      </c>
      <c r="FT122" t="e">
        <f>AND(#REF!,"Z2dMdxdgJa8=")</f>
        <v>#REF!</v>
      </c>
      <c r="FU122" t="e">
        <f>AND(#REF!,"Z2dMdxdgJbA=")</f>
        <v>#REF!</v>
      </c>
      <c r="FV122" t="e">
        <f>AND(#REF!,"Z2dMdxdgJbE=")</f>
        <v>#REF!</v>
      </c>
      <c r="FW122" t="e">
        <f>AND(#REF!,"Z2dMdxdgJbI=")</f>
        <v>#REF!</v>
      </c>
      <c r="FX122" t="e">
        <f>AND(#REF!,"Z2dMdxdgJbM=")</f>
        <v>#REF!</v>
      </c>
      <c r="FY122" t="e">
        <f>AND(#REF!,"Z2dMdxdgJbQ=")</f>
        <v>#REF!</v>
      </c>
      <c r="FZ122" t="e">
        <f>AND(#REF!,"Z2dMdxdgJbU=")</f>
        <v>#REF!</v>
      </c>
      <c r="GA122" t="e">
        <f>AND(#REF!,"Z2dMdxdgJbY=")</f>
        <v>#REF!</v>
      </c>
      <c r="GB122" t="e">
        <f>AND(#REF!,"Z2dMdxdgJbc=")</f>
        <v>#REF!</v>
      </c>
      <c r="GC122" t="e">
        <f>AND(#REF!,"Z2dMdxdgJbg=")</f>
        <v>#REF!</v>
      </c>
      <c r="GD122" t="e">
        <f>AND(#REF!,"Z2dMdxdgJbk=")</f>
        <v>#REF!</v>
      </c>
      <c r="GE122" t="e">
        <f>AND(#REF!,"Z2dMdxdgJbo=")</f>
        <v>#REF!</v>
      </c>
      <c r="GF122" t="e">
        <f>AND(#REF!,"Z2dMdxdgJbs=")</f>
        <v>#REF!</v>
      </c>
      <c r="GG122" t="e">
        <f>AND(#REF!,"Z2dMdxdgJbw=")</f>
        <v>#REF!</v>
      </c>
      <c r="GH122" t="e">
        <f>AND(#REF!,"Z2dMdxdgJb0=")</f>
        <v>#REF!</v>
      </c>
      <c r="GI122" t="e">
        <f>AND(#REF!,"Z2dMdxdgJb4=")</f>
        <v>#REF!</v>
      </c>
      <c r="GJ122" t="e">
        <f>AND(#REF!,"Z2dMdxdgJb8=")</f>
        <v>#REF!</v>
      </c>
      <c r="GK122" t="e">
        <f>AND(#REF!,"Z2dMdxdgJcA=")</f>
        <v>#REF!</v>
      </c>
      <c r="GL122" t="e">
        <f>AND(#REF!,"Z2dMdxdgJcE=")</f>
        <v>#REF!</v>
      </c>
      <c r="GM122" t="e">
        <f>AND(#REF!,"Z2dMdxdgJcI=")</f>
        <v>#REF!</v>
      </c>
      <c r="GN122" t="e">
        <f>AND(#REF!,"Z2dMdxdgJcM=")</f>
        <v>#REF!</v>
      </c>
      <c r="GO122" t="e">
        <f>AND(#REF!,"Z2dMdxdgJcQ=")</f>
        <v>#REF!</v>
      </c>
      <c r="GP122" t="e">
        <f>AND(#REF!,"Z2dMdxdgJcU=")</f>
        <v>#REF!</v>
      </c>
      <c r="GQ122" t="e">
        <f>AND(#REF!,"Z2dMdxdgJcY=")</f>
        <v>#REF!</v>
      </c>
      <c r="GR122" t="e">
        <f>AND(#REF!,"Z2dMdxdgJcc=")</f>
        <v>#REF!</v>
      </c>
      <c r="GS122" t="e">
        <f>AND(#REF!,"Z2dMdxdgJcg=")</f>
        <v>#REF!</v>
      </c>
      <c r="GT122" t="e">
        <f>AND(#REF!,"Z2dMdxdgJck=")</f>
        <v>#REF!</v>
      </c>
      <c r="GU122" t="e">
        <f>AND(#REF!,"Z2dMdxdgJco=")</f>
        <v>#REF!</v>
      </c>
      <c r="GV122" t="e">
        <f>AND(#REF!,"Z2dMdxdgJcs=")</f>
        <v>#REF!</v>
      </c>
      <c r="GW122" t="e">
        <f>AND(#REF!,"Z2dMdxdgJcw=")</f>
        <v>#REF!</v>
      </c>
      <c r="GX122" t="e">
        <f>AND(#REF!,"Z2dMdxdgJc0=")</f>
        <v>#REF!</v>
      </c>
      <c r="GY122" t="e">
        <f>AND(#REF!,"Z2dMdxdgJc4=")</f>
        <v>#REF!</v>
      </c>
      <c r="GZ122" t="e">
        <f>AND(#REF!,"Z2dMdxdgJc8=")</f>
        <v>#REF!</v>
      </c>
      <c r="HA122" t="e">
        <f>AND(#REF!,"Z2dMdxdgJdA=")</f>
        <v>#REF!</v>
      </c>
      <c r="HB122" t="e">
        <f>AND(#REF!,"Z2dMdxdgJdE=")</f>
        <v>#REF!</v>
      </c>
      <c r="HC122" t="e">
        <f>AND(#REF!,"Z2dMdxdgJdI=")</f>
        <v>#REF!</v>
      </c>
      <c r="HD122" t="e">
        <f>AND(#REF!,"Z2dMdxdgJdM=")</f>
        <v>#REF!</v>
      </c>
      <c r="HE122" t="e">
        <f>AND(#REF!,"Z2dMdxdgJdQ=")</f>
        <v>#REF!</v>
      </c>
      <c r="HF122" t="e">
        <f>IF(#REF!,"Z2dMdxdgJdU=",0)</f>
        <v>#REF!</v>
      </c>
      <c r="HG122" t="e">
        <f>AND(#REF!,"Z2dMdxdgJdY=")</f>
        <v>#REF!</v>
      </c>
      <c r="HH122" t="e">
        <f>AND(#REF!,"Z2dMdxdgJdc=")</f>
        <v>#REF!</v>
      </c>
      <c r="HI122" t="e">
        <f>AND(#REF!,"Z2dMdxdgJdg=")</f>
        <v>#REF!</v>
      </c>
      <c r="HJ122" t="e">
        <f>AND(#REF!,"Z2dMdxdgJdk=")</f>
        <v>#REF!</v>
      </c>
      <c r="HK122" t="e">
        <f>AND(#REF!,"Z2dMdxdgJdo=")</f>
        <v>#REF!</v>
      </c>
      <c r="HL122" t="e">
        <f>AND(#REF!,"Z2dMdxdgJds=")</f>
        <v>#REF!</v>
      </c>
      <c r="HM122" t="e">
        <f>AND(#REF!,"Z2dMdxdgJdw=")</f>
        <v>#REF!</v>
      </c>
      <c r="HN122" t="e">
        <f>AND(#REF!,"Z2dMdxdgJd0=")</f>
        <v>#REF!</v>
      </c>
      <c r="HO122" t="e">
        <f>AND(#REF!,"Z2dMdxdgJd4=")</f>
        <v>#REF!</v>
      </c>
      <c r="HP122" t="e">
        <f>AND(#REF!,"Z2dMdxdgJd8=")</f>
        <v>#REF!</v>
      </c>
      <c r="HQ122" t="e">
        <f>AND(#REF!,"Z2dMdxdgJeA=")</f>
        <v>#REF!</v>
      </c>
      <c r="HR122" t="e">
        <f>AND(#REF!,"Z2dMdxdgJeE=")</f>
        <v>#REF!</v>
      </c>
      <c r="HS122" t="e">
        <f>AND(#REF!,"Z2dMdxdgJeI=")</f>
        <v>#REF!</v>
      </c>
      <c r="HT122" t="e">
        <f>AND(#REF!,"Z2dMdxdgJeM=")</f>
        <v>#REF!</v>
      </c>
      <c r="HU122" t="e">
        <f>AND(#REF!,"Z2dMdxdgJeQ=")</f>
        <v>#REF!</v>
      </c>
      <c r="HV122" t="e">
        <f>AND(#REF!,"Z2dMdxdgJeU=")</f>
        <v>#REF!</v>
      </c>
      <c r="HW122" t="e">
        <f>AND(#REF!,"Z2dMdxdgJeY=")</f>
        <v>#REF!</v>
      </c>
      <c r="HX122" t="e">
        <f>AND(#REF!,"Z2dMdxdgJec=")</f>
        <v>#REF!</v>
      </c>
      <c r="HY122" t="e">
        <f>AND(#REF!,"Z2dMdxdgJeg=")</f>
        <v>#REF!</v>
      </c>
      <c r="HZ122" t="e">
        <f>AND(#REF!,"Z2dMdxdgJek=")</f>
        <v>#REF!</v>
      </c>
      <c r="IA122" t="e">
        <f>AND(#REF!,"Z2dMdxdgJeo=")</f>
        <v>#REF!</v>
      </c>
      <c r="IB122" t="e">
        <f>AND(#REF!,"Z2dMdxdgJes=")</f>
        <v>#REF!</v>
      </c>
      <c r="IC122" t="e">
        <f>AND(#REF!,"Z2dMdxdgJew=")</f>
        <v>#REF!</v>
      </c>
      <c r="ID122" t="e">
        <f>AND(#REF!,"Z2dMdxdgJe0=")</f>
        <v>#REF!</v>
      </c>
      <c r="IE122" t="e">
        <f>AND(#REF!,"Z2dMdxdgJe4=")</f>
        <v>#REF!</v>
      </c>
      <c r="IF122" t="e">
        <f>AND(#REF!,"Z2dMdxdgJe8=")</f>
        <v>#REF!</v>
      </c>
      <c r="IG122" t="e">
        <f>AND(#REF!,"Z2dMdxdgJfA=")</f>
        <v>#REF!</v>
      </c>
      <c r="IH122" t="e">
        <f>AND(#REF!,"Z2dMdxdgJfE=")</f>
        <v>#REF!</v>
      </c>
      <c r="II122" t="e">
        <f>AND(#REF!,"Z2dMdxdgJfI=")</f>
        <v>#REF!</v>
      </c>
      <c r="IJ122" t="e">
        <f>AND(#REF!,"Z2dMdxdgJfM=")</f>
        <v>#REF!</v>
      </c>
      <c r="IK122" t="e">
        <f>AND(#REF!,"Z2dMdxdgJfQ=")</f>
        <v>#REF!</v>
      </c>
      <c r="IL122" t="e">
        <f>AND(#REF!,"Z2dMdxdgJfU=")</f>
        <v>#REF!</v>
      </c>
      <c r="IM122" t="e">
        <f>AND(#REF!,"Z2dMdxdgJfY=")</f>
        <v>#REF!</v>
      </c>
      <c r="IN122" t="e">
        <f>AND(#REF!,"Z2dMdxdgJfc=")</f>
        <v>#REF!</v>
      </c>
      <c r="IO122" t="e">
        <f>AND(#REF!,"Z2dMdxdgJfg=")</f>
        <v>#REF!</v>
      </c>
      <c r="IP122" t="e">
        <f>AND(#REF!,"Z2dMdxdgJfk=")</f>
        <v>#REF!</v>
      </c>
      <c r="IQ122" t="e">
        <f>AND(#REF!,"Z2dMdxdgJfo=")</f>
        <v>#REF!</v>
      </c>
      <c r="IR122" t="e">
        <f>AND(#REF!,"Z2dMdxdgJfs=")</f>
        <v>#REF!</v>
      </c>
      <c r="IS122" t="e">
        <f>AND(#REF!,"Z2dMdxdgJfw=")</f>
        <v>#REF!</v>
      </c>
      <c r="IT122" t="e">
        <f>AND(#REF!,"Z2dMdxdgJf0=")</f>
        <v>#REF!</v>
      </c>
      <c r="IU122" t="e">
        <f>AND(#REF!,"Z2dMdxdgJf4=")</f>
        <v>#REF!</v>
      </c>
      <c r="IV122" t="e">
        <f>AND(#REF!,"Z2dMdxdgJf8=")</f>
        <v>#REF!</v>
      </c>
    </row>
    <row r="123" spans="1:256" x14ac:dyDescent="0.2">
      <c r="A123" t="e">
        <f>AND(#REF!,"LA2eSH6IdgA=")</f>
        <v>#REF!</v>
      </c>
      <c r="B123" t="e">
        <f>AND(#REF!,"LA2eSH6IdgE=")</f>
        <v>#REF!</v>
      </c>
      <c r="C123" t="e">
        <f>AND(#REF!,"LA2eSH6IdgI=")</f>
        <v>#REF!</v>
      </c>
      <c r="D123" t="e">
        <f>AND(#REF!,"LA2eSH6IdgM=")</f>
        <v>#REF!</v>
      </c>
      <c r="E123" t="e">
        <f>AND(#REF!,"LA2eSH6IdgQ=")</f>
        <v>#REF!</v>
      </c>
      <c r="F123" t="e">
        <f>AND(#REF!,"LA2eSH6IdgU=")</f>
        <v>#REF!</v>
      </c>
      <c r="G123" t="e">
        <f>AND(#REF!,"LA2eSH6IdgY=")</f>
        <v>#REF!</v>
      </c>
      <c r="H123" t="e">
        <f>AND(#REF!,"LA2eSH6Idgc=")</f>
        <v>#REF!</v>
      </c>
      <c r="I123" t="e">
        <f>AND(#REF!,"LA2eSH6Idgg=")</f>
        <v>#REF!</v>
      </c>
      <c r="J123" t="e">
        <f>AND(#REF!,"LA2eSH6Idgk=")</f>
        <v>#REF!</v>
      </c>
      <c r="K123" t="e">
        <f>AND(#REF!,"LA2eSH6Idgo=")</f>
        <v>#REF!</v>
      </c>
      <c r="L123" t="e">
        <f>AND(#REF!,"LA2eSH6Idgs=")</f>
        <v>#REF!</v>
      </c>
      <c r="M123" t="e">
        <f>AND(#REF!,"LA2eSH6Idgw=")</f>
        <v>#REF!</v>
      </c>
      <c r="N123" t="e">
        <f>AND(#REF!,"LA2eSH6Idg0=")</f>
        <v>#REF!</v>
      </c>
      <c r="O123" t="e">
        <f>AND(#REF!,"LA2eSH6Idg4=")</f>
        <v>#REF!</v>
      </c>
      <c r="P123" t="e">
        <f>AND(#REF!,"LA2eSH6Idg8=")</f>
        <v>#REF!</v>
      </c>
      <c r="Q123" t="e">
        <f>AND(#REF!,"LA2eSH6IdhA=")</f>
        <v>#REF!</v>
      </c>
      <c r="R123" t="e">
        <f>AND(#REF!,"LA2eSH6IdhE=")</f>
        <v>#REF!</v>
      </c>
      <c r="S123" t="e">
        <f>AND(#REF!,"LA2eSH6IdhI=")</f>
        <v>#REF!</v>
      </c>
      <c r="T123" t="e">
        <f>AND(#REF!,"LA2eSH6IdhM=")</f>
        <v>#REF!</v>
      </c>
      <c r="U123" t="e">
        <f>AND(#REF!,"LA2eSH6IdhQ=")</f>
        <v>#REF!</v>
      </c>
      <c r="V123" t="e">
        <f>AND(#REF!,"LA2eSH6IdhU=")</f>
        <v>#REF!</v>
      </c>
      <c r="W123" t="e">
        <f>AND(#REF!,"LA2eSH6IdhY=")</f>
        <v>#REF!</v>
      </c>
      <c r="X123" t="e">
        <f>AND(#REF!,"LA2eSH6Idhc=")</f>
        <v>#REF!</v>
      </c>
      <c r="Y123" t="e">
        <f>AND(#REF!,"LA2eSH6Idhg=")</f>
        <v>#REF!</v>
      </c>
      <c r="Z123" t="e">
        <f>AND(#REF!,"LA2eSH6Idhk=")</f>
        <v>#REF!</v>
      </c>
      <c r="AA123" t="e">
        <f>AND(#REF!,"LA2eSH6Idho=")</f>
        <v>#REF!</v>
      </c>
      <c r="AB123" t="e">
        <f>AND(#REF!,"LA2eSH6Idhs=")</f>
        <v>#REF!</v>
      </c>
      <c r="AC123" t="e">
        <f>AND(#REF!,"LA2eSH6Idhw=")</f>
        <v>#REF!</v>
      </c>
      <c r="AD123" t="e">
        <f>AND(#REF!,"LA2eSH6Idh0=")</f>
        <v>#REF!</v>
      </c>
      <c r="AE123" t="e">
        <f>AND(#REF!,"LA2eSH6Idh4=")</f>
        <v>#REF!</v>
      </c>
      <c r="AF123" t="e">
        <f>AND(#REF!,"LA2eSH6Idh8=")</f>
        <v>#REF!</v>
      </c>
      <c r="AG123" t="e">
        <f>AND(#REF!,"LA2eSH6IdiA=")</f>
        <v>#REF!</v>
      </c>
      <c r="AH123" t="e">
        <f>AND(#REF!,"LA2eSH6IdiE=")</f>
        <v>#REF!</v>
      </c>
      <c r="AI123" t="e">
        <f>AND(#REF!,"LA2eSH6IdiI=")</f>
        <v>#REF!</v>
      </c>
      <c r="AJ123" t="e">
        <f>AND(#REF!,"LA2eSH6IdiM=")</f>
        <v>#REF!</v>
      </c>
      <c r="AK123" t="e">
        <f>AND(#REF!,"LA2eSH6IdiQ=")</f>
        <v>#REF!</v>
      </c>
      <c r="AL123" t="e">
        <f>AND(#REF!,"LA2eSH6IdiU=")</f>
        <v>#REF!</v>
      </c>
      <c r="AM123" t="e">
        <f>AND(#REF!,"LA2eSH6IdiY=")</f>
        <v>#REF!</v>
      </c>
      <c r="AN123" t="e">
        <f>AND(#REF!,"LA2eSH6Idic=")</f>
        <v>#REF!</v>
      </c>
      <c r="AO123" t="e">
        <f>AND(#REF!,"LA2eSH6Idig=")</f>
        <v>#REF!</v>
      </c>
      <c r="AP123" t="e">
        <f>AND(#REF!,"LA2eSH6Idik=")</f>
        <v>#REF!</v>
      </c>
      <c r="AQ123" t="e">
        <f>AND(#REF!,"LA2eSH6Idio=")</f>
        <v>#REF!</v>
      </c>
      <c r="AR123" t="e">
        <f>AND(#REF!,"LA2eSH6Idis=")</f>
        <v>#REF!</v>
      </c>
      <c r="AS123" t="e">
        <f>AND(#REF!,"LA2eSH6Idiw=")</f>
        <v>#REF!</v>
      </c>
      <c r="AT123" t="e">
        <f>AND(#REF!,"LA2eSH6Idi0=")</f>
        <v>#REF!</v>
      </c>
      <c r="AU123" t="e">
        <f>AND(#REF!,"LA2eSH6Idi4=")</f>
        <v>#REF!</v>
      </c>
      <c r="AV123" t="e">
        <f>AND(#REF!,"LA2eSH6Idi8=")</f>
        <v>#REF!</v>
      </c>
      <c r="AW123" t="e">
        <f>AND(#REF!,"LA2eSH6IdjA=")</f>
        <v>#REF!</v>
      </c>
      <c r="AX123" t="e">
        <f>AND(#REF!,"LA2eSH6IdjE=")</f>
        <v>#REF!</v>
      </c>
      <c r="AY123" t="e">
        <f>AND(#REF!,"LA2eSH6IdjI=")</f>
        <v>#REF!</v>
      </c>
      <c r="AZ123" t="e">
        <f>AND(#REF!,"LA2eSH6IdjM=")</f>
        <v>#REF!</v>
      </c>
      <c r="BA123" t="e">
        <f>AND(#REF!,"LA2eSH6IdjQ=")</f>
        <v>#REF!</v>
      </c>
      <c r="BB123" t="e">
        <f>AND(#REF!,"LA2eSH6IdjU=")</f>
        <v>#REF!</v>
      </c>
      <c r="BC123" t="e">
        <f>AND(#REF!,"LA2eSH6IdjY=")</f>
        <v>#REF!</v>
      </c>
      <c r="BD123" t="e">
        <f>AND(#REF!,"LA2eSH6Idjc=")</f>
        <v>#REF!</v>
      </c>
      <c r="BE123" t="e">
        <f>AND(#REF!,"LA2eSH6Idjg=")</f>
        <v>#REF!</v>
      </c>
      <c r="BF123" t="e">
        <f>AND(#REF!,"LA2eSH6Idjk=")</f>
        <v>#REF!</v>
      </c>
      <c r="BG123" t="e">
        <f>AND(#REF!,"LA2eSH6Idjo=")</f>
        <v>#REF!</v>
      </c>
      <c r="BH123" t="e">
        <f>AND(#REF!,"LA2eSH6Idjs=")</f>
        <v>#REF!</v>
      </c>
      <c r="BI123" t="e">
        <f>AND(#REF!,"LA2eSH6Idjw=")</f>
        <v>#REF!</v>
      </c>
      <c r="BJ123" t="e">
        <f>AND(#REF!,"LA2eSH6Idj0=")</f>
        <v>#REF!</v>
      </c>
      <c r="BK123" t="e">
        <f>AND(#REF!,"LA2eSH6Idj4=")</f>
        <v>#REF!</v>
      </c>
      <c r="BL123" t="e">
        <f>AND(#REF!,"LA2eSH6Idj8=")</f>
        <v>#REF!</v>
      </c>
      <c r="BM123" t="e">
        <f>AND(#REF!,"LA2eSH6IdkA=")</f>
        <v>#REF!</v>
      </c>
      <c r="BN123" t="e">
        <f>AND(#REF!,"LA2eSH6IdkE=")</f>
        <v>#REF!</v>
      </c>
      <c r="BO123" t="e">
        <f>AND(#REF!,"LA2eSH6IdkI=")</f>
        <v>#REF!</v>
      </c>
      <c r="BP123" t="e">
        <f>AND(#REF!,"LA2eSH6IdkM=")</f>
        <v>#REF!</v>
      </c>
      <c r="BQ123" t="e">
        <f>AND(#REF!,"LA2eSH6IdkQ=")</f>
        <v>#REF!</v>
      </c>
      <c r="BR123" t="e">
        <f>AND(#REF!,"LA2eSH6IdkU=")</f>
        <v>#REF!</v>
      </c>
      <c r="BS123" t="e">
        <f>AND(#REF!,"LA2eSH6IdkY=")</f>
        <v>#REF!</v>
      </c>
      <c r="BT123" t="e">
        <f>AND(#REF!,"LA2eSH6Idkc=")</f>
        <v>#REF!</v>
      </c>
      <c r="BU123" t="e">
        <f>AND(#REF!,"LA2eSH6Idkg=")</f>
        <v>#REF!</v>
      </c>
      <c r="BV123" t="e">
        <f>AND(#REF!,"LA2eSH6Idkk=")</f>
        <v>#REF!</v>
      </c>
      <c r="BW123" t="e">
        <f>AND(#REF!,"LA2eSH6Idko=")</f>
        <v>#REF!</v>
      </c>
      <c r="BX123" t="e">
        <f>AND(#REF!,"LA2eSH6Idks=")</f>
        <v>#REF!</v>
      </c>
      <c r="BY123" t="e">
        <f>AND(#REF!,"LA2eSH6Idkw=")</f>
        <v>#REF!</v>
      </c>
      <c r="BZ123" t="e">
        <f>AND(#REF!,"LA2eSH6Idk0=")</f>
        <v>#REF!</v>
      </c>
      <c r="CA123" t="e">
        <f>AND(#REF!,"LA2eSH6Idk4=")</f>
        <v>#REF!</v>
      </c>
      <c r="CB123" t="e">
        <f>AND(#REF!,"LA2eSH6Idk8=")</f>
        <v>#REF!</v>
      </c>
      <c r="CC123" t="e">
        <f>AND(#REF!,"LA2eSH6IdlA=")</f>
        <v>#REF!</v>
      </c>
      <c r="CD123" t="e">
        <f>AND(#REF!,"LA2eSH6IdlE=")</f>
        <v>#REF!</v>
      </c>
      <c r="CE123" t="e">
        <f>AND(#REF!,"LA2eSH6IdlI=")</f>
        <v>#REF!</v>
      </c>
      <c r="CF123" t="e">
        <f>AND(#REF!,"LA2eSH6IdlM=")</f>
        <v>#REF!</v>
      </c>
      <c r="CG123" t="e">
        <f>AND(#REF!,"LA2eSH6IdlQ=")</f>
        <v>#REF!</v>
      </c>
      <c r="CH123" t="e">
        <f>AND(#REF!,"LA2eSH6IdlU=")</f>
        <v>#REF!</v>
      </c>
      <c r="CI123" t="e">
        <f>AND(#REF!,"LA2eSH6IdlY=")</f>
        <v>#REF!</v>
      </c>
      <c r="CJ123" t="e">
        <f>AND(#REF!,"LA2eSH6Idlc=")</f>
        <v>#REF!</v>
      </c>
      <c r="CK123" t="e">
        <f>AND(#REF!,"LA2eSH6Idlg=")</f>
        <v>#REF!</v>
      </c>
      <c r="CL123" t="e">
        <f>AND(#REF!,"LA2eSH6Idlk=")</f>
        <v>#REF!</v>
      </c>
      <c r="CM123" t="e">
        <f>AND(#REF!,"LA2eSH6Idlo=")</f>
        <v>#REF!</v>
      </c>
      <c r="CN123" t="e">
        <f>AND(#REF!,"LA2eSH6Idls=")</f>
        <v>#REF!</v>
      </c>
      <c r="CO123" t="e">
        <f>AND(#REF!,"LA2eSH6Idlw=")</f>
        <v>#REF!</v>
      </c>
      <c r="CP123" t="e">
        <f>AND(#REF!,"LA2eSH6Idl0=")</f>
        <v>#REF!</v>
      </c>
      <c r="CQ123" t="e">
        <f>AND(#REF!,"LA2eSH6Idl4=")</f>
        <v>#REF!</v>
      </c>
      <c r="CR123" t="e">
        <f>AND(#REF!,"LA2eSH6Idl8=")</f>
        <v>#REF!</v>
      </c>
      <c r="CS123" t="e">
        <f>AND(#REF!,"LA2eSH6IdmA=")</f>
        <v>#REF!</v>
      </c>
      <c r="CT123" t="e">
        <f>AND(#REF!,"LA2eSH6IdmE=")</f>
        <v>#REF!</v>
      </c>
      <c r="CU123" t="e">
        <f>AND(#REF!,"LA2eSH6IdmI=")</f>
        <v>#REF!</v>
      </c>
      <c r="CV123" t="e">
        <f>AND(#REF!,"LA2eSH6IdmM=")</f>
        <v>#REF!</v>
      </c>
      <c r="CW123" t="e">
        <f>AND(#REF!,"LA2eSH6IdmQ=")</f>
        <v>#REF!</v>
      </c>
      <c r="CX123" t="e">
        <f>AND(#REF!,"LA2eSH6IdmU=")</f>
        <v>#REF!</v>
      </c>
      <c r="CY123" t="e">
        <f>AND(#REF!,"LA2eSH6IdmY=")</f>
        <v>#REF!</v>
      </c>
      <c r="CZ123" t="e">
        <f>AND(#REF!,"LA2eSH6Idmc=")</f>
        <v>#REF!</v>
      </c>
      <c r="DA123" t="e">
        <f>AND(#REF!,"LA2eSH6Idmg=")</f>
        <v>#REF!</v>
      </c>
      <c r="DB123" t="e">
        <f>AND(#REF!,"LA2eSH6Idmk=")</f>
        <v>#REF!</v>
      </c>
      <c r="DC123" t="e">
        <f>AND(#REF!,"LA2eSH6Idmo=")</f>
        <v>#REF!</v>
      </c>
      <c r="DD123" t="e">
        <f>AND(#REF!,"LA2eSH6Idms=")</f>
        <v>#REF!</v>
      </c>
      <c r="DE123" t="e">
        <f>AND(#REF!,"LA2eSH6Idmw=")</f>
        <v>#REF!</v>
      </c>
      <c r="DF123" t="e">
        <f>AND(#REF!,"LA2eSH6Idm0=")</f>
        <v>#REF!</v>
      </c>
      <c r="DG123" t="e">
        <f>AND(#REF!,"LA2eSH6Idm4=")</f>
        <v>#REF!</v>
      </c>
      <c r="DH123" t="e">
        <f>AND(#REF!,"LA2eSH6Idm8=")</f>
        <v>#REF!</v>
      </c>
      <c r="DI123" t="e">
        <f>AND(#REF!,"LA2eSH6IdnA=")</f>
        <v>#REF!</v>
      </c>
      <c r="DJ123" t="e">
        <f>AND(#REF!,"LA2eSH6IdnE=")</f>
        <v>#REF!</v>
      </c>
      <c r="DK123" t="e">
        <f>AND(#REF!,"LA2eSH6IdnI=")</f>
        <v>#REF!</v>
      </c>
      <c r="DL123" t="e">
        <f>AND(#REF!,"LA2eSH6IdnM=")</f>
        <v>#REF!</v>
      </c>
      <c r="DM123" t="e">
        <f>AND(#REF!,"LA2eSH6IdnQ=")</f>
        <v>#REF!</v>
      </c>
      <c r="DN123" t="e">
        <f>AND(#REF!,"LA2eSH6IdnU=")</f>
        <v>#REF!</v>
      </c>
      <c r="DO123" t="e">
        <f>AND(#REF!,"LA2eSH6IdnY=")</f>
        <v>#REF!</v>
      </c>
      <c r="DP123" t="e">
        <f>AND(#REF!,"LA2eSH6Idnc=")</f>
        <v>#REF!</v>
      </c>
      <c r="DQ123" t="e">
        <f>AND(#REF!,"LA2eSH6Idng=")</f>
        <v>#REF!</v>
      </c>
      <c r="DR123" t="e">
        <f>AND(#REF!,"LA2eSH6Idnk=")</f>
        <v>#REF!</v>
      </c>
      <c r="DS123" t="e">
        <f>AND(#REF!,"LA2eSH6Idno=")</f>
        <v>#REF!</v>
      </c>
      <c r="DT123" t="e">
        <f>AND(#REF!,"LA2eSH6Idns=")</f>
        <v>#REF!</v>
      </c>
      <c r="DU123" t="e">
        <f>AND(#REF!,"LA2eSH6Idnw=")</f>
        <v>#REF!</v>
      </c>
      <c r="DV123" t="e">
        <f>AND(#REF!,"LA2eSH6Idn0=")</f>
        <v>#REF!</v>
      </c>
      <c r="DW123" t="e">
        <f>AND(#REF!,"LA2eSH6Idn4=")</f>
        <v>#REF!</v>
      </c>
      <c r="DX123" t="e">
        <f>AND(#REF!,"LA2eSH6Idn8=")</f>
        <v>#REF!</v>
      </c>
      <c r="DY123" t="e">
        <f>AND(#REF!,"LA2eSH6IdoA=")</f>
        <v>#REF!</v>
      </c>
      <c r="DZ123" t="e">
        <f>AND(#REF!,"LA2eSH6IdoE=")</f>
        <v>#REF!</v>
      </c>
      <c r="EA123" t="e">
        <f>AND(#REF!,"LA2eSH6IdoI=")</f>
        <v>#REF!</v>
      </c>
      <c r="EB123" t="e">
        <f>AND(#REF!,"LA2eSH6IdoM=")</f>
        <v>#REF!</v>
      </c>
      <c r="EC123" t="e">
        <f>AND(#REF!,"LA2eSH6IdoQ=")</f>
        <v>#REF!</v>
      </c>
      <c r="ED123" t="e">
        <f>AND(#REF!,"LA2eSH6IdoU=")</f>
        <v>#REF!</v>
      </c>
      <c r="EE123" t="e">
        <f>AND(#REF!,"LA2eSH6IdoY=")</f>
        <v>#REF!</v>
      </c>
      <c r="EF123" t="e">
        <f>AND(#REF!,"LA2eSH6Idoc=")</f>
        <v>#REF!</v>
      </c>
      <c r="EG123" t="e">
        <f>AND(#REF!,"LA2eSH6Idog=")</f>
        <v>#REF!</v>
      </c>
      <c r="EH123" t="e">
        <f>AND(#REF!,"LA2eSH6Idok=")</f>
        <v>#REF!</v>
      </c>
      <c r="EI123" t="e">
        <f>AND(#REF!,"LA2eSH6Idoo=")</f>
        <v>#REF!</v>
      </c>
      <c r="EJ123" t="e">
        <f>AND(#REF!,"LA2eSH6Idos=")</f>
        <v>#REF!</v>
      </c>
      <c r="EK123" t="e">
        <f>AND(#REF!,"LA2eSH6Idow=")</f>
        <v>#REF!</v>
      </c>
      <c r="EL123" t="e">
        <f>AND(#REF!,"LA2eSH6Ido0=")</f>
        <v>#REF!</v>
      </c>
      <c r="EM123" t="e">
        <f>AND(#REF!,"LA2eSH6Ido4=")</f>
        <v>#REF!</v>
      </c>
      <c r="EN123" t="e">
        <f>AND(#REF!,"LA2eSH6Ido8=")</f>
        <v>#REF!</v>
      </c>
      <c r="EO123" t="e">
        <f>AND(#REF!,"LA2eSH6IdpA=")</f>
        <v>#REF!</v>
      </c>
      <c r="EP123" t="e">
        <f>AND(#REF!,"LA2eSH6IdpE=")</f>
        <v>#REF!</v>
      </c>
      <c r="EQ123" t="e">
        <f>AND(#REF!,"LA2eSH6IdpI=")</f>
        <v>#REF!</v>
      </c>
      <c r="ER123" t="e">
        <f>AND(#REF!,"LA2eSH6IdpM=")</f>
        <v>#REF!</v>
      </c>
      <c r="ES123" t="e">
        <f>AND(#REF!,"LA2eSH6IdpQ=")</f>
        <v>#REF!</v>
      </c>
      <c r="ET123" t="e">
        <f>AND(#REF!,"LA2eSH6IdpU=")</f>
        <v>#REF!</v>
      </c>
      <c r="EU123" t="e">
        <f>AND(#REF!,"LA2eSH6IdpY=")</f>
        <v>#REF!</v>
      </c>
      <c r="EV123" t="e">
        <f>AND(#REF!,"LA2eSH6Idpc=")</f>
        <v>#REF!</v>
      </c>
      <c r="EW123" t="e">
        <f>AND(#REF!,"LA2eSH6Idpg=")</f>
        <v>#REF!</v>
      </c>
      <c r="EX123" t="e">
        <f>AND(#REF!,"LA2eSH6Idpk=")</f>
        <v>#REF!</v>
      </c>
      <c r="EY123" t="e">
        <f>AND(#REF!,"LA2eSH6Idpo=")</f>
        <v>#REF!</v>
      </c>
      <c r="EZ123" t="e">
        <f>AND(#REF!,"LA2eSH6Idps=")</f>
        <v>#REF!</v>
      </c>
      <c r="FA123" t="e">
        <f>IF(#REF!,"LA2eSH6Idpw=",0)</f>
        <v>#REF!</v>
      </c>
      <c r="FB123" t="e">
        <f>AND(#REF!,"LA2eSH6Idp0=")</f>
        <v>#REF!</v>
      </c>
      <c r="FC123" t="e">
        <f>AND(#REF!,"LA2eSH6Idp4=")</f>
        <v>#REF!</v>
      </c>
      <c r="FD123" t="e">
        <f>AND(#REF!,"LA2eSH6Idp8=")</f>
        <v>#REF!</v>
      </c>
      <c r="FE123" t="e">
        <f>AND(#REF!,"LA2eSH6IdqA=")</f>
        <v>#REF!</v>
      </c>
      <c r="FF123" t="e">
        <f>AND(#REF!,"LA2eSH6IdqE=")</f>
        <v>#REF!</v>
      </c>
      <c r="FG123" t="e">
        <f>AND(#REF!,"LA2eSH6IdqI=")</f>
        <v>#REF!</v>
      </c>
      <c r="FH123" t="e">
        <f>AND(#REF!,"LA2eSH6IdqM=")</f>
        <v>#REF!</v>
      </c>
      <c r="FI123" t="e">
        <f>AND(#REF!,"LA2eSH6IdqQ=")</f>
        <v>#REF!</v>
      </c>
      <c r="FJ123" t="e">
        <f>AND(#REF!,"LA2eSH6IdqU=")</f>
        <v>#REF!</v>
      </c>
      <c r="FK123" t="e">
        <f>AND(#REF!,"LA2eSH6IdqY=")</f>
        <v>#REF!</v>
      </c>
      <c r="FL123" t="e">
        <f>AND(#REF!,"LA2eSH6Idqc=")</f>
        <v>#REF!</v>
      </c>
      <c r="FM123" t="e">
        <f>AND(#REF!,"LA2eSH6Idqg=")</f>
        <v>#REF!</v>
      </c>
      <c r="FN123" t="e">
        <f>AND(#REF!,"LA2eSH6Idqk=")</f>
        <v>#REF!</v>
      </c>
      <c r="FO123" t="e">
        <f>AND(#REF!,"LA2eSH6Idqo=")</f>
        <v>#REF!</v>
      </c>
      <c r="FP123" t="e">
        <f>AND(#REF!,"LA2eSH6Idqs=")</f>
        <v>#REF!</v>
      </c>
      <c r="FQ123" t="e">
        <f>AND(#REF!,"LA2eSH6Idqw=")</f>
        <v>#REF!</v>
      </c>
      <c r="FR123" t="e">
        <f>AND(#REF!,"LA2eSH6Idq0=")</f>
        <v>#REF!</v>
      </c>
      <c r="FS123" t="e">
        <f>AND(#REF!,"LA2eSH6Idq4=")</f>
        <v>#REF!</v>
      </c>
      <c r="FT123" t="e">
        <f>AND(#REF!,"LA2eSH6Idq8=")</f>
        <v>#REF!</v>
      </c>
      <c r="FU123" t="e">
        <f>AND(#REF!,"LA2eSH6IdrA=")</f>
        <v>#REF!</v>
      </c>
      <c r="FV123" t="e">
        <f>AND(#REF!,"LA2eSH6IdrE=")</f>
        <v>#REF!</v>
      </c>
      <c r="FW123" t="e">
        <f>AND(#REF!,"LA2eSH6IdrI=")</f>
        <v>#REF!</v>
      </c>
      <c r="FX123" t="e">
        <f>AND(#REF!,"LA2eSH6IdrM=")</f>
        <v>#REF!</v>
      </c>
      <c r="FY123" t="e">
        <f>AND(#REF!,"LA2eSH6IdrQ=")</f>
        <v>#REF!</v>
      </c>
      <c r="FZ123" t="e">
        <f>AND(#REF!,"LA2eSH6IdrU=")</f>
        <v>#REF!</v>
      </c>
      <c r="GA123" t="e">
        <f>AND(#REF!,"LA2eSH6IdrY=")</f>
        <v>#REF!</v>
      </c>
      <c r="GB123" t="e">
        <f>AND(#REF!,"LA2eSH6Idrc=")</f>
        <v>#REF!</v>
      </c>
      <c r="GC123" t="e">
        <f>AND(#REF!,"LA2eSH6Idrg=")</f>
        <v>#REF!</v>
      </c>
      <c r="GD123" t="e">
        <f>AND(#REF!,"LA2eSH6Idrk=")</f>
        <v>#REF!</v>
      </c>
      <c r="GE123" t="e">
        <f>AND(#REF!,"LA2eSH6Idro=")</f>
        <v>#REF!</v>
      </c>
      <c r="GF123" t="e">
        <f>AND(#REF!,"LA2eSH6Idrs=")</f>
        <v>#REF!</v>
      </c>
      <c r="GG123" t="e">
        <f>AND(#REF!,"LA2eSH6Idrw=")</f>
        <v>#REF!</v>
      </c>
      <c r="GH123" t="e">
        <f>AND(#REF!,"LA2eSH6Idr0=")</f>
        <v>#REF!</v>
      </c>
      <c r="GI123" t="e">
        <f>AND(#REF!,"LA2eSH6Idr4=")</f>
        <v>#REF!</v>
      </c>
      <c r="GJ123" t="e">
        <f>AND(#REF!,"LA2eSH6Idr8=")</f>
        <v>#REF!</v>
      </c>
      <c r="GK123" t="e">
        <f>AND(#REF!,"LA2eSH6IdsA=")</f>
        <v>#REF!</v>
      </c>
      <c r="GL123" t="e">
        <f>AND(#REF!,"LA2eSH6IdsE=")</f>
        <v>#REF!</v>
      </c>
      <c r="GM123" t="e">
        <f>AND(#REF!,"LA2eSH6IdsI=")</f>
        <v>#REF!</v>
      </c>
      <c r="GN123" t="e">
        <f>AND(#REF!,"LA2eSH6IdsM=")</f>
        <v>#REF!</v>
      </c>
      <c r="GO123" t="e">
        <f>AND(#REF!,"LA2eSH6IdsQ=")</f>
        <v>#REF!</v>
      </c>
      <c r="GP123" t="e">
        <f>AND(#REF!,"LA2eSH6IdsU=")</f>
        <v>#REF!</v>
      </c>
      <c r="GQ123" t="e">
        <f>AND(#REF!,"LA2eSH6IdsY=")</f>
        <v>#REF!</v>
      </c>
      <c r="GR123" t="e">
        <f>AND(#REF!,"LA2eSH6Idsc=")</f>
        <v>#REF!</v>
      </c>
      <c r="GS123" t="e">
        <f>AND(#REF!,"LA2eSH6Idsg=")</f>
        <v>#REF!</v>
      </c>
      <c r="GT123" t="e">
        <f>AND(#REF!,"LA2eSH6Idsk=")</f>
        <v>#REF!</v>
      </c>
      <c r="GU123" t="e">
        <f>AND(#REF!,"LA2eSH6Idso=")</f>
        <v>#REF!</v>
      </c>
      <c r="GV123" t="e">
        <f>AND(#REF!,"LA2eSH6Idss=")</f>
        <v>#REF!</v>
      </c>
      <c r="GW123" t="e">
        <f>AND(#REF!,"LA2eSH6Idsw=")</f>
        <v>#REF!</v>
      </c>
      <c r="GX123" t="e">
        <f>AND(#REF!,"LA2eSH6Ids0=")</f>
        <v>#REF!</v>
      </c>
      <c r="GY123" t="e">
        <f>AND(#REF!,"LA2eSH6Ids4=")</f>
        <v>#REF!</v>
      </c>
      <c r="GZ123" t="e">
        <f>AND(#REF!,"LA2eSH6Ids8=")</f>
        <v>#REF!</v>
      </c>
      <c r="HA123" t="e">
        <f>AND(#REF!,"LA2eSH6IdtA=")</f>
        <v>#REF!</v>
      </c>
      <c r="HB123" t="e">
        <f>AND(#REF!,"LA2eSH6IdtE=")</f>
        <v>#REF!</v>
      </c>
      <c r="HC123" t="e">
        <f>AND(#REF!,"LA2eSH6IdtI=")</f>
        <v>#REF!</v>
      </c>
      <c r="HD123" t="e">
        <f>AND(#REF!,"LA2eSH6IdtM=")</f>
        <v>#REF!</v>
      </c>
      <c r="HE123" t="e">
        <f>AND(#REF!,"LA2eSH6IdtQ=")</f>
        <v>#REF!</v>
      </c>
      <c r="HF123" t="e">
        <f>AND(#REF!,"LA2eSH6IdtU=")</f>
        <v>#REF!</v>
      </c>
      <c r="HG123" t="e">
        <f>AND(#REF!,"LA2eSH6IdtY=")</f>
        <v>#REF!</v>
      </c>
      <c r="HH123" t="e">
        <f>AND(#REF!,"LA2eSH6Idtc=")</f>
        <v>#REF!</v>
      </c>
      <c r="HI123" t="e">
        <f>AND(#REF!,"LA2eSH6Idtg=")</f>
        <v>#REF!</v>
      </c>
      <c r="HJ123" t="e">
        <f>AND(#REF!,"LA2eSH6Idtk=")</f>
        <v>#REF!</v>
      </c>
      <c r="HK123" t="e">
        <f>AND(#REF!,"LA2eSH6Idto=")</f>
        <v>#REF!</v>
      </c>
      <c r="HL123" t="e">
        <f>AND(#REF!,"LA2eSH6Idts=")</f>
        <v>#REF!</v>
      </c>
      <c r="HM123" t="e">
        <f>AND(#REF!,"LA2eSH6Idtw=")</f>
        <v>#REF!</v>
      </c>
      <c r="HN123" t="e">
        <f>AND(#REF!,"LA2eSH6Idt0=")</f>
        <v>#REF!</v>
      </c>
      <c r="HO123" t="e">
        <f>AND(#REF!,"LA2eSH6Idt4=")</f>
        <v>#REF!</v>
      </c>
      <c r="HP123" t="e">
        <f>AND(#REF!,"LA2eSH6Idt8=")</f>
        <v>#REF!</v>
      </c>
      <c r="HQ123" t="e">
        <f>AND(#REF!,"LA2eSH6IduA=")</f>
        <v>#REF!</v>
      </c>
      <c r="HR123" t="e">
        <f>AND(#REF!,"LA2eSH6IduE=")</f>
        <v>#REF!</v>
      </c>
      <c r="HS123" t="e">
        <f>AND(#REF!,"LA2eSH6IduI=")</f>
        <v>#REF!</v>
      </c>
      <c r="HT123" t="e">
        <f>AND(#REF!,"LA2eSH6IduM=")</f>
        <v>#REF!</v>
      </c>
      <c r="HU123" t="e">
        <f>AND(#REF!,"LA2eSH6IduQ=")</f>
        <v>#REF!</v>
      </c>
      <c r="HV123" t="e">
        <f>AND(#REF!,"LA2eSH6IduU=")</f>
        <v>#REF!</v>
      </c>
      <c r="HW123" t="e">
        <f>AND(#REF!,"LA2eSH6IduY=")</f>
        <v>#REF!</v>
      </c>
      <c r="HX123" t="e">
        <f>AND(#REF!,"LA2eSH6Iduc=")</f>
        <v>#REF!</v>
      </c>
      <c r="HY123" t="e">
        <f>AND(#REF!,"LA2eSH6Idug=")</f>
        <v>#REF!</v>
      </c>
      <c r="HZ123" t="e">
        <f>AND(#REF!,"LA2eSH6Iduk=")</f>
        <v>#REF!</v>
      </c>
      <c r="IA123" t="e">
        <f>AND(#REF!,"LA2eSH6Iduo=")</f>
        <v>#REF!</v>
      </c>
      <c r="IB123" t="e">
        <f>AND(#REF!,"LA2eSH6Idus=")</f>
        <v>#REF!</v>
      </c>
      <c r="IC123" t="e">
        <f>AND(#REF!,"LA2eSH6Iduw=")</f>
        <v>#REF!</v>
      </c>
      <c r="ID123" t="e">
        <f>AND(#REF!,"LA2eSH6Idu0=")</f>
        <v>#REF!</v>
      </c>
      <c r="IE123" t="e">
        <f>AND(#REF!,"LA2eSH6Idu4=")</f>
        <v>#REF!</v>
      </c>
      <c r="IF123" t="e">
        <f>AND(#REF!,"LA2eSH6Idu8=")</f>
        <v>#REF!</v>
      </c>
      <c r="IG123" t="e">
        <f>AND(#REF!,"LA2eSH6IdvA=")</f>
        <v>#REF!</v>
      </c>
      <c r="IH123" t="e">
        <f>AND(#REF!,"LA2eSH6IdvE=")</f>
        <v>#REF!</v>
      </c>
      <c r="II123" t="e">
        <f>AND(#REF!,"LA2eSH6IdvI=")</f>
        <v>#REF!</v>
      </c>
      <c r="IJ123" t="e">
        <f>AND(#REF!,"LA2eSH6IdvM=")</f>
        <v>#REF!</v>
      </c>
      <c r="IK123" t="e">
        <f>AND(#REF!,"LA2eSH6IdvQ=")</f>
        <v>#REF!</v>
      </c>
      <c r="IL123" t="e">
        <f>AND(#REF!,"LA2eSH6IdvU=")</f>
        <v>#REF!</v>
      </c>
      <c r="IM123" t="e">
        <f>AND(#REF!,"LA2eSH6IdvY=")</f>
        <v>#REF!</v>
      </c>
      <c r="IN123" t="e">
        <f>AND(#REF!,"LA2eSH6Idvc=")</f>
        <v>#REF!</v>
      </c>
      <c r="IO123" t="e">
        <f>AND(#REF!,"LA2eSH6Idvg=")</f>
        <v>#REF!</v>
      </c>
      <c r="IP123" t="e">
        <f>AND(#REF!,"LA2eSH6Idvk=")</f>
        <v>#REF!</v>
      </c>
      <c r="IQ123" t="e">
        <f>AND(#REF!,"LA2eSH6Idvo=")</f>
        <v>#REF!</v>
      </c>
      <c r="IR123" t="e">
        <f>AND(#REF!,"LA2eSH6Idvs=")</f>
        <v>#REF!</v>
      </c>
      <c r="IS123" t="e">
        <f>AND(#REF!,"LA2eSH6Idvw=")</f>
        <v>#REF!</v>
      </c>
      <c r="IT123" t="e">
        <f>AND(#REF!,"LA2eSH6Idv0=")</f>
        <v>#REF!</v>
      </c>
      <c r="IU123" t="e">
        <f>AND(#REF!,"LA2eSH6Idv4=")</f>
        <v>#REF!</v>
      </c>
      <c r="IV123" t="e">
        <f>AND(#REF!,"LA2eSH6Idv8=")</f>
        <v>#REF!</v>
      </c>
    </row>
    <row r="124" spans="1:256" x14ac:dyDescent="0.2">
      <c r="A124" t="e">
        <f>AND(#REF!,"YnsorDWv6wA=")</f>
        <v>#REF!</v>
      </c>
      <c r="B124" t="e">
        <f>AND(#REF!,"YnsorDWv6wE=")</f>
        <v>#REF!</v>
      </c>
      <c r="C124" t="e">
        <f>AND(#REF!,"YnsorDWv6wI=")</f>
        <v>#REF!</v>
      </c>
      <c r="D124" t="e">
        <f>AND(#REF!,"YnsorDWv6wM=")</f>
        <v>#REF!</v>
      </c>
      <c r="E124" t="e">
        <f>AND(#REF!,"YnsorDWv6wQ=")</f>
        <v>#REF!</v>
      </c>
      <c r="F124" t="e">
        <f>AND(#REF!,"YnsorDWv6wU=")</f>
        <v>#REF!</v>
      </c>
      <c r="G124" t="e">
        <f>AND(#REF!,"YnsorDWv6wY=")</f>
        <v>#REF!</v>
      </c>
      <c r="H124" t="e">
        <f>AND(#REF!,"YnsorDWv6wc=")</f>
        <v>#REF!</v>
      </c>
      <c r="I124" t="e">
        <f>AND(#REF!,"YnsorDWv6wg=")</f>
        <v>#REF!</v>
      </c>
      <c r="J124" t="e">
        <f>AND(#REF!,"YnsorDWv6wk=")</f>
        <v>#REF!</v>
      </c>
      <c r="K124" t="e">
        <f>AND(#REF!,"YnsorDWv6wo=")</f>
        <v>#REF!</v>
      </c>
      <c r="L124" t="e">
        <f>AND(#REF!,"YnsorDWv6ws=")</f>
        <v>#REF!</v>
      </c>
      <c r="M124" t="e">
        <f>AND(#REF!,"YnsorDWv6ww=")</f>
        <v>#REF!</v>
      </c>
      <c r="N124" t="e">
        <f>AND(#REF!,"YnsorDWv6w0=")</f>
        <v>#REF!</v>
      </c>
      <c r="O124" t="e">
        <f>AND(#REF!,"YnsorDWv6w4=")</f>
        <v>#REF!</v>
      </c>
      <c r="P124" t="e">
        <f>AND(#REF!,"YnsorDWv6w8=")</f>
        <v>#REF!</v>
      </c>
      <c r="Q124" t="e">
        <f>AND(#REF!,"YnsorDWv6xA=")</f>
        <v>#REF!</v>
      </c>
      <c r="R124" t="e">
        <f>AND(#REF!,"YnsorDWv6xE=")</f>
        <v>#REF!</v>
      </c>
      <c r="S124" t="e">
        <f>AND(#REF!,"YnsorDWv6xI=")</f>
        <v>#REF!</v>
      </c>
      <c r="T124" t="e">
        <f>AND(#REF!,"YnsorDWv6xM=")</f>
        <v>#REF!</v>
      </c>
      <c r="U124" t="e">
        <f>AND(#REF!,"YnsorDWv6xQ=")</f>
        <v>#REF!</v>
      </c>
      <c r="V124" t="e">
        <f>AND(#REF!,"YnsorDWv6xU=")</f>
        <v>#REF!</v>
      </c>
      <c r="W124" t="e">
        <f>AND(#REF!,"YnsorDWv6xY=")</f>
        <v>#REF!</v>
      </c>
      <c r="X124" t="e">
        <f>AND(#REF!,"YnsorDWv6xc=")</f>
        <v>#REF!</v>
      </c>
      <c r="Y124" t="e">
        <f>AND(#REF!,"YnsorDWv6xg=")</f>
        <v>#REF!</v>
      </c>
      <c r="Z124" t="e">
        <f>AND(#REF!,"YnsorDWv6xk=")</f>
        <v>#REF!</v>
      </c>
      <c r="AA124" t="e">
        <f>AND(#REF!,"YnsorDWv6xo=")</f>
        <v>#REF!</v>
      </c>
      <c r="AB124" t="e">
        <f>AND(#REF!,"YnsorDWv6xs=")</f>
        <v>#REF!</v>
      </c>
      <c r="AC124" t="e">
        <f>AND(#REF!,"YnsorDWv6xw=")</f>
        <v>#REF!</v>
      </c>
      <c r="AD124" t="e">
        <f>AND(#REF!,"YnsorDWv6x0=")</f>
        <v>#REF!</v>
      </c>
      <c r="AE124" t="e">
        <f>AND(#REF!,"YnsorDWv6x4=")</f>
        <v>#REF!</v>
      </c>
      <c r="AF124" t="e">
        <f>AND(#REF!,"YnsorDWv6x8=")</f>
        <v>#REF!</v>
      </c>
      <c r="AG124" t="e">
        <f>AND(#REF!,"YnsorDWv6yA=")</f>
        <v>#REF!</v>
      </c>
      <c r="AH124" t="e">
        <f>AND(#REF!,"YnsorDWv6yE=")</f>
        <v>#REF!</v>
      </c>
      <c r="AI124" t="e">
        <f>AND(#REF!,"YnsorDWv6yI=")</f>
        <v>#REF!</v>
      </c>
      <c r="AJ124" t="e">
        <f>AND(#REF!,"YnsorDWv6yM=")</f>
        <v>#REF!</v>
      </c>
      <c r="AK124" t="e">
        <f>AND(#REF!,"YnsorDWv6yQ=")</f>
        <v>#REF!</v>
      </c>
      <c r="AL124" t="e">
        <f>AND(#REF!,"YnsorDWv6yU=")</f>
        <v>#REF!</v>
      </c>
      <c r="AM124" t="e">
        <f>AND(#REF!,"YnsorDWv6yY=")</f>
        <v>#REF!</v>
      </c>
      <c r="AN124" t="e">
        <f>AND(#REF!,"YnsorDWv6yc=")</f>
        <v>#REF!</v>
      </c>
      <c r="AO124" t="e">
        <f>AND(#REF!,"YnsorDWv6yg=")</f>
        <v>#REF!</v>
      </c>
      <c r="AP124" t="e">
        <f>AND(#REF!,"YnsorDWv6yk=")</f>
        <v>#REF!</v>
      </c>
      <c r="AQ124" t="e">
        <f>AND(#REF!,"YnsorDWv6yo=")</f>
        <v>#REF!</v>
      </c>
      <c r="AR124" t="e">
        <f>AND(#REF!,"YnsorDWv6ys=")</f>
        <v>#REF!</v>
      </c>
      <c r="AS124" t="e">
        <f>AND(#REF!,"YnsorDWv6yw=")</f>
        <v>#REF!</v>
      </c>
      <c r="AT124" t="e">
        <f>AND(#REF!,"YnsorDWv6y0=")</f>
        <v>#REF!</v>
      </c>
      <c r="AU124" t="e">
        <f>AND(#REF!,"YnsorDWv6y4=")</f>
        <v>#REF!</v>
      </c>
      <c r="AV124" t="e">
        <f>AND(#REF!,"YnsorDWv6y8=")</f>
        <v>#REF!</v>
      </c>
      <c r="AW124" t="e">
        <f>AND(#REF!,"YnsorDWv6zA=")</f>
        <v>#REF!</v>
      </c>
      <c r="AX124" t="e">
        <f>AND(#REF!,"YnsorDWv6zE=")</f>
        <v>#REF!</v>
      </c>
      <c r="AY124" t="e">
        <f>AND(#REF!,"YnsorDWv6zI=")</f>
        <v>#REF!</v>
      </c>
      <c r="AZ124" t="e">
        <f>AND(#REF!,"YnsorDWv6zM=")</f>
        <v>#REF!</v>
      </c>
      <c r="BA124" t="e">
        <f>AND(#REF!,"YnsorDWv6zQ=")</f>
        <v>#REF!</v>
      </c>
      <c r="BB124" t="e">
        <f>AND(#REF!,"YnsorDWv6zU=")</f>
        <v>#REF!</v>
      </c>
      <c r="BC124" t="e">
        <f>AND(#REF!,"YnsorDWv6zY=")</f>
        <v>#REF!</v>
      </c>
      <c r="BD124" t="e">
        <f>AND(#REF!,"YnsorDWv6zc=")</f>
        <v>#REF!</v>
      </c>
      <c r="BE124" t="e">
        <f>AND(#REF!,"YnsorDWv6zg=")</f>
        <v>#REF!</v>
      </c>
      <c r="BF124" t="e">
        <f>AND(#REF!,"YnsorDWv6zk=")</f>
        <v>#REF!</v>
      </c>
      <c r="BG124" t="e">
        <f>AND(#REF!,"YnsorDWv6zo=")</f>
        <v>#REF!</v>
      </c>
      <c r="BH124" t="e">
        <f>AND(#REF!,"YnsorDWv6zs=")</f>
        <v>#REF!</v>
      </c>
      <c r="BI124" t="e">
        <f>AND(#REF!,"YnsorDWv6zw=")</f>
        <v>#REF!</v>
      </c>
      <c r="BJ124" t="e">
        <f>AND(#REF!,"YnsorDWv6z0=")</f>
        <v>#REF!</v>
      </c>
      <c r="BK124" t="e">
        <f>AND(#REF!,"YnsorDWv6z4=")</f>
        <v>#REF!</v>
      </c>
      <c r="BL124" t="e">
        <f>AND(#REF!,"YnsorDWv6z8=")</f>
        <v>#REF!</v>
      </c>
      <c r="BM124" t="e">
        <f>AND(#REF!,"YnsorDWv60A=")</f>
        <v>#REF!</v>
      </c>
      <c r="BN124" t="e">
        <f>AND(#REF!,"YnsorDWv60E=")</f>
        <v>#REF!</v>
      </c>
      <c r="BO124" t="e">
        <f>AND(#REF!,"YnsorDWv60I=")</f>
        <v>#REF!</v>
      </c>
      <c r="BP124" t="e">
        <f>AND(#REF!,"YnsorDWv60M=")</f>
        <v>#REF!</v>
      </c>
      <c r="BQ124" t="e">
        <f>AND(#REF!,"YnsorDWv60Q=")</f>
        <v>#REF!</v>
      </c>
      <c r="BR124" t="e">
        <f>AND(#REF!,"YnsorDWv60U=")</f>
        <v>#REF!</v>
      </c>
      <c r="BS124" t="e">
        <f>AND(#REF!,"YnsorDWv60Y=")</f>
        <v>#REF!</v>
      </c>
      <c r="BT124" t="e">
        <f>AND(#REF!,"YnsorDWv60c=")</f>
        <v>#REF!</v>
      </c>
      <c r="BU124" t="e">
        <f>AND(#REF!,"YnsorDWv60g=")</f>
        <v>#REF!</v>
      </c>
      <c r="BV124" t="e">
        <f>AND(#REF!,"YnsorDWv60k=")</f>
        <v>#REF!</v>
      </c>
      <c r="BW124" t="e">
        <f>AND(#REF!,"YnsorDWv60o=")</f>
        <v>#REF!</v>
      </c>
      <c r="BX124" t="e">
        <f>AND(#REF!,"YnsorDWv60s=")</f>
        <v>#REF!</v>
      </c>
      <c r="BY124" t="e">
        <f>AND(#REF!,"YnsorDWv60w=")</f>
        <v>#REF!</v>
      </c>
      <c r="BZ124" t="e">
        <f>AND(#REF!,"YnsorDWv600=")</f>
        <v>#REF!</v>
      </c>
      <c r="CA124" t="e">
        <f>AND(#REF!,"YnsorDWv604=")</f>
        <v>#REF!</v>
      </c>
      <c r="CB124" t="e">
        <f>AND(#REF!,"YnsorDWv608=")</f>
        <v>#REF!</v>
      </c>
      <c r="CC124" t="e">
        <f>AND(#REF!,"YnsorDWv61A=")</f>
        <v>#REF!</v>
      </c>
      <c r="CD124" t="e">
        <f>AND(#REF!,"YnsorDWv61E=")</f>
        <v>#REF!</v>
      </c>
      <c r="CE124" t="e">
        <f>AND(#REF!,"YnsorDWv61I=")</f>
        <v>#REF!</v>
      </c>
      <c r="CF124" t="e">
        <f>AND(#REF!,"YnsorDWv61M=")</f>
        <v>#REF!</v>
      </c>
      <c r="CG124" t="e">
        <f>AND(#REF!,"YnsorDWv61Q=")</f>
        <v>#REF!</v>
      </c>
      <c r="CH124" t="e">
        <f>AND(#REF!,"YnsorDWv61U=")</f>
        <v>#REF!</v>
      </c>
      <c r="CI124" t="e">
        <f>AND(#REF!,"YnsorDWv61Y=")</f>
        <v>#REF!</v>
      </c>
      <c r="CJ124" t="e">
        <f>AND(#REF!,"YnsorDWv61c=")</f>
        <v>#REF!</v>
      </c>
      <c r="CK124" t="e">
        <f>AND(#REF!,"YnsorDWv61g=")</f>
        <v>#REF!</v>
      </c>
      <c r="CL124" t="e">
        <f>AND(#REF!,"YnsorDWv61k=")</f>
        <v>#REF!</v>
      </c>
      <c r="CM124" t="e">
        <f>AND(#REF!,"YnsorDWv61o=")</f>
        <v>#REF!</v>
      </c>
      <c r="CN124" t="e">
        <f>AND(#REF!,"YnsorDWv61s=")</f>
        <v>#REF!</v>
      </c>
      <c r="CO124" t="e">
        <f>AND(#REF!,"YnsorDWv61w=")</f>
        <v>#REF!</v>
      </c>
      <c r="CP124" t="e">
        <f>AND(#REF!,"YnsorDWv610=")</f>
        <v>#REF!</v>
      </c>
      <c r="CQ124" t="e">
        <f>AND(#REF!,"YnsorDWv614=")</f>
        <v>#REF!</v>
      </c>
      <c r="CR124" t="e">
        <f>AND(#REF!,"YnsorDWv618=")</f>
        <v>#REF!</v>
      </c>
      <c r="CS124" t="e">
        <f>AND(#REF!,"YnsorDWv62A=")</f>
        <v>#REF!</v>
      </c>
      <c r="CT124" t="e">
        <f>AND(#REF!,"YnsorDWv62E=")</f>
        <v>#REF!</v>
      </c>
      <c r="CU124" t="e">
        <f>AND(#REF!,"YnsorDWv62I=")</f>
        <v>#REF!</v>
      </c>
      <c r="CV124" t="e">
        <f>IF(#REF!,"YnsorDWv62M=",0)</f>
        <v>#REF!</v>
      </c>
      <c r="CW124" t="e">
        <f>AND(#REF!,"YnsorDWv62Q=")</f>
        <v>#REF!</v>
      </c>
      <c r="CX124" t="e">
        <f>AND(#REF!,"YnsorDWv62U=")</f>
        <v>#REF!</v>
      </c>
      <c r="CY124" t="e">
        <f>AND(#REF!,"YnsorDWv62Y=")</f>
        <v>#REF!</v>
      </c>
      <c r="CZ124" t="e">
        <f>AND(#REF!,"YnsorDWv62c=")</f>
        <v>#REF!</v>
      </c>
      <c r="DA124" t="e">
        <f>AND(#REF!,"YnsorDWv62g=")</f>
        <v>#REF!</v>
      </c>
      <c r="DB124" t="e">
        <f>AND(#REF!,"YnsorDWv62k=")</f>
        <v>#REF!</v>
      </c>
      <c r="DC124" t="e">
        <f>AND(#REF!,"YnsorDWv62o=")</f>
        <v>#REF!</v>
      </c>
      <c r="DD124" t="e">
        <f>AND(#REF!,"YnsorDWv62s=")</f>
        <v>#REF!</v>
      </c>
      <c r="DE124" t="e">
        <f>AND(#REF!,"YnsorDWv62w=")</f>
        <v>#REF!</v>
      </c>
      <c r="DF124" t="e">
        <f>AND(#REF!,"YnsorDWv620=")</f>
        <v>#REF!</v>
      </c>
      <c r="DG124" t="e">
        <f>AND(#REF!,"YnsorDWv624=")</f>
        <v>#REF!</v>
      </c>
      <c r="DH124" t="e">
        <f>AND(#REF!,"YnsorDWv628=")</f>
        <v>#REF!</v>
      </c>
      <c r="DI124" t="e">
        <f>AND(#REF!,"YnsorDWv63A=")</f>
        <v>#REF!</v>
      </c>
      <c r="DJ124" t="e">
        <f>AND(#REF!,"YnsorDWv63E=")</f>
        <v>#REF!</v>
      </c>
      <c r="DK124" t="e">
        <f>AND(#REF!,"YnsorDWv63I=")</f>
        <v>#REF!</v>
      </c>
      <c r="DL124" t="e">
        <f>AND(#REF!,"YnsorDWv63M=")</f>
        <v>#REF!</v>
      </c>
      <c r="DM124" t="e">
        <f>AND(#REF!,"YnsorDWv63Q=")</f>
        <v>#REF!</v>
      </c>
      <c r="DN124" t="e">
        <f>AND(#REF!,"YnsorDWv63U=")</f>
        <v>#REF!</v>
      </c>
      <c r="DO124" t="e">
        <f>AND(#REF!,"YnsorDWv63Y=")</f>
        <v>#REF!</v>
      </c>
      <c r="DP124" t="e">
        <f>AND(#REF!,"YnsorDWv63c=")</f>
        <v>#REF!</v>
      </c>
      <c r="DQ124" t="e">
        <f>AND(#REF!,"YnsorDWv63g=")</f>
        <v>#REF!</v>
      </c>
      <c r="DR124" t="e">
        <f>AND(#REF!,"YnsorDWv63k=")</f>
        <v>#REF!</v>
      </c>
      <c r="DS124" t="e">
        <f>AND(#REF!,"YnsorDWv63o=")</f>
        <v>#REF!</v>
      </c>
      <c r="DT124" t="e">
        <f>AND(#REF!,"YnsorDWv63s=")</f>
        <v>#REF!</v>
      </c>
      <c r="DU124" t="e">
        <f>AND(#REF!,"YnsorDWv63w=")</f>
        <v>#REF!</v>
      </c>
      <c r="DV124" t="e">
        <f>AND(#REF!,"YnsorDWv630=")</f>
        <v>#REF!</v>
      </c>
      <c r="DW124" t="e">
        <f>AND(#REF!,"YnsorDWv634=")</f>
        <v>#REF!</v>
      </c>
      <c r="DX124" t="e">
        <f>AND(#REF!,"YnsorDWv638=")</f>
        <v>#REF!</v>
      </c>
      <c r="DY124" t="e">
        <f>AND(#REF!,"YnsorDWv64A=")</f>
        <v>#REF!</v>
      </c>
      <c r="DZ124" t="e">
        <f>AND(#REF!,"YnsorDWv64E=")</f>
        <v>#REF!</v>
      </c>
      <c r="EA124" t="e">
        <f>AND(#REF!,"YnsorDWv64I=")</f>
        <v>#REF!</v>
      </c>
      <c r="EB124" t="e">
        <f>AND(#REF!,"YnsorDWv64M=")</f>
        <v>#REF!</v>
      </c>
      <c r="EC124" t="e">
        <f>AND(#REF!,"YnsorDWv64Q=")</f>
        <v>#REF!</v>
      </c>
      <c r="ED124" t="e">
        <f>AND(#REF!,"YnsorDWv64U=")</f>
        <v>#REF!</v>
      </c>
      <c r="EE124" t="e">
        <f>AND(#REF!,"YnsorDWv64Y=")</f>
        <v>#REF!</v>
      </c>
      <c r="EF124" t="e">
        <f>AND(#REF!,"YnsorDWv64c=")</f>
        <v>#REF!</v>
      </c>
      <c r="EG124" t="e">
        <f>AND(#REF!,"YnsorDWv64g=")</f>
        <v>#REF!</v>
      </c>
      <c r="EH124" t="e">
        <f>AND(#REF!,"YnsorDWv64k=")</f>
        <v>#REF!</v>
      </c>
      <c r="EI124" t="e">
        <f>AND(#REF!,"YnsorDWv64o=")</f>
        <v>#REF!</v>
      </c>
      <c r="EJ124" t="e">
        <f>AND(#REF!,"YnsorDWv64s=")</f>
        <v>#REF!</v>
      </c>
      <c r="EK124" t="e">
        <f>AND(#REF!,"YnsorDWv64w=")</f>
        <v>#REF!</v>
      </c>
      <c r="EL124" t="e">
        <f>AND(#REF!,"YnsorDWv640=")</f>
        <v>#REF!</v>
      </c>
      <c r="EM124" t="e">
        <f>AND(#REF!,"YnsorDWv644=")</f>
        <v>#REF!</v>
      </c>
      <c r="EN124" t="e">
        <f>AND(#REF!,"YnsorDWv648=")</f>
        <v>#REF!</v>
      </c>
      <c r="EO124" t="e">
        <f>AND(#REF!,"YnsorDWv65A=")</f>
        <v>#REF!</v>
      </c>
      <c r="EP124" t="e">
        <f>AND(#REF!,"YnsorDWv65E=")</f>
        <v>#REF!</v>
      </c>
      <c r="EQ124" t="e">
        <f>AND(#REF!,"YnsorDWv65I=")</f>
        <v>#REF!</v>
      </c>
      <c r="ER124" t="e">
        <f>AND(#REF!,"YnsorDWv65M=")</f>
        <v>#REF!</v>
      </c>
      <c r="ES124" t="e">
        <f>AND(#REF!,"YnsorDWv65Q=")</f>
        <v>#REF!</v>
      </c>
      <c r="ET124" t="e">
        <f>AND(#REF!,"YnsorDWv65U=")</f>
        <v>#REF!</v>
      </c>
      <c r="EU124" t="e">
        <f>AND(#REF!,"YnsorDWv65Y=")</f>
        <v>#REF!</v>
      </c>
      <c r="EV124" t="e">
        <f>AND(#REF!,"YnsorDWv65c=")</f>
        <v>#REF!</v>
      </c>
      <c r="EW124" t="e">
        <f>AND(#REF!,"YnsorDWv65g=")</f>
        <v>#REF!</v>
      </c>
      <c r="EX124" t="e">
        <f>AND(#REF!,"YnsorDWv65k=")</f>
        <v>#REF!</v>
      </c>
      <c r="EY124" t="e">
        <f>AND(#REF!,"YnsorDWv65o=")</f>
        <v>#REF!</v>
      </c>
      <c r="EZ124" t="e">
        <f>AND(#REF!,"YnsorDWv65s=")</f>
        <v>#REF!</v>
      </c>
      <c r="FA124" t="e">
        <f>AND(#REF!,"YnsorDWv65w=")</f>
        <v>#REF!</v>
      </c>
      <c r="FB124" t="e">
        <f>AND(#REF!,"YnsorDWv650=")</f>
        <v>#REF!</v>
      </c>
      <c r="FC124" t="e">
        <f>AND(#REF!,"YnsorDWv654=")</f>
        <v>#REF!</v>
      </c>
      <c r="FD124" t="e">
        <f>AND(#REF!,"YnsorDWv658=")</f>
        <v>#REF!</v>
      </c>
      <c r="FE124" t="e">
        <f>AND(#REF!,"YnsorDWv66A=")</f>
        <v>#REF!</v>
      </c>
      <c r="FF124" t="e">
        <f>AND(#REF!,"YnsorDWv66E=")</f>
        <v>#REF!</v>
      </c>
      <c r="FG124" t="e">
        <f>AND(#REF!,"YnsorDWv66I=")</f>
        <v>#REF!</v>
      </c>
      <c r="FH124" t="e">
        <f>AND(#REF!,"YnsorDWv66M=")</f>
        <v>#REF!</v>
      </c>
      <c r="FI124" t="e">
        <f>AND(#REF!,"YnsorDWv66Q=")</f>
        <v>#REF!</v>
      </c>
      <c r="FJ124" t="e">
        <f>AND(#REF!,"YnsorDWv66U=")</f>
        <v>#REF!</v>
      </c>
      <c r="FK124" t="e">
        <f>AND(#REF!,"YnsorDWv66Y=")</f>
        <v>#REF!</v>
      </c>
      <c r="FL124" t="e">
        <f>AND(#REF!,"YnsorDWv66c=")</f>
        <v>#REF!</v>
      </c>
      <c r="FM124" t="e">
        <f>AND(#REF!,"YnsorDWv66g=")</f>
        <v>#REF!</v>
      </c>
      <c r="FN124" t="e">
        <f>AND(#REF!,"YnsorDWv66k=")</f>
        <v>#REF!</v>
      </c>
      <c r="FO124" t="e">
        <f>AND(#REF!,"YnsorDWv66o=")</f>
        <v>#REF!</v>
      </c>
      <c r="FP124" t="e">
        <f>AND(#REF!,"YnsorDWv66s=")</f>
        <v>#REF!</v>
      </c>
      <c r="FQ124" t="e">
        <f>AND(#REF!,"YnsorDWv66w=")</f>
        <v>#REF!</v>
      </c>
      <c r="FR124" t="e">
        <f>AND(#REF!,"YnsorDWv660=")</f>
        <v>#REF!</v>
      </c>
      <c r="FS124" t="e">
        <f>AND(#REF!,"YnsorDWv664=")</f>
        <v>#REF!</v>
      </c>
      <c r="FT124" t="e">
        <f>AND(#REF!,"YnsorDWv668=")</f>
        <v>#REF!</v>
      </c>
      <c r="FU124" t="e">
        <f>AND(#REF!,"YnsorDWv67A=")</f>
        <v>#REF!</v>
      </c>
      <c r="FV124" t="e">
        <f>AND(#REF!,"YnsorDWv67E=")</f>
        <v>#REF!</v>
      </c>
      <c r="FW124" t="e">
        <f>AND(#REF!,"YnsorDWv67I=")</f>
        <v>#REF!</v>
      </c>
      <c r="FX124" t="e">
        <f>AND(#REF!,"YnsorDWv67M=")</f>
        <v>#REF!</v>
      </c>
      <c r="FY124" t="e">
        <f>AND(#REF!,"YnsorDWv67Q=")</f>
        <v>#REF!</v>
      </c>
      <c r="FZ124" t="e">
        <f>AND(#REF!,"YnsorDWv67U=")</f>
        <v>#REF!</v>
      </c>
      <c r="GA124" t="e">
        <f>AND(#REF!,"YnsorDWv67Y=")</f>
        <v>#REF!</v>
      </c>
      <c r="GB124" t="e">
        <f>AND(#REF!,"YnsorDWv67c=")</f>
        <v>#REF!</v>
      </c>
      <c r="GC124" t="e">
        <f>AND(#REF!,"YnsorDWv67g=")</f>
        <v>#REF!</v>
      </c>
      <c r="GD124" t="e">
        <f>AND(#REF!,"YnsorDWv67k=")</f>
        <v>#REF!</v>
      </c>
      <c r="GE124" t="e">
        <f>AND(#REF!,"YnsorDWv67o=")</f>
        <v>#REF!</v>
      </c>
      <c r="GF124" t="e">
        <f>AND(#REF!,"YnsorDWv67s=")</f>
        <v>#REF!</v>
      </c>
      <c r="GG124" t="e">
        <f>AND(#REF!,"YnsorDWv67w=")</f>
        <v>#REF!</v>
      </c>
      <c r="GH124" t="e">
        <f>AND(#REF!,"YnsorDWv670=")</f>
        <v>#REF!</v>
      </c>
      <c r="GI124" t="e">
        <f>AND(#REF!,"YnsorDWv674=")</f>
        <v>#REF!</v>
      </c>
      <c r="GJ124" t="e">
        <f>AND(#REF!,"YnsorDWv678=")</f>
        <v>#REF!</v>
      </c>
      <c r="GK124" t="e">
        <f>AND(#REF!,"YnsorDWv68A=")</f>
        <v>#REF!</v>
      </c>
      <c r="GL124" t="e">
        <f>AND(#REF!,"YnsorDWv68E=")</f>
        <v>#REF!</v>
      </c>
      <c r="GM124" t="e">
        <f>AND(#REF!,"YnsorDWv68I=")</f>
        <v>#REF!</v>
      </c>
      <c r="GN124" t="e">
        <f>AND(#REF!,"YnsorDWv68M=")</f>
        <v>#REF!</v>
      </c>
      <c r="GO124" t="e">
        <f>AND(#REF!,"YnsorDWv68Q=")</f>
        <v>#REF!</v>
      </c>
      <c r="GP124" t="e">
        <f>AND(#REF!,"YnsorDWv68U=")</f>
        <v>#REF!</v>
      </c>
      <c r="GQ124" t="e">
        <f>AND(#REF!,"YnsorDWv68Y=")</f>
        <v>#REF!</v>
      </c>
      <c r="GR124" t="e">
        <f>AND(#REF!,"YnsorDWv68c=")</f>
        <v>#REF!</v>
      </c>
      <c r="GS124" t="e">
        <f>AND(#REF!,"YnsorDWv68g=")</f>
        <v>#REF!</v>
      </c>
      <c r="GT124" t="e">
        <f>AND(#REF!,"YnsorDWv68k=")</f>
        <v>#REF!</v>
      </c>
      <c r="GU124" t="e">
        <f>AND(#REF!,"YnsorDWv68o=")</f>
        <v>#REF!</v>
      </c>
      <c r="GV124" t="e">
        <f>AND(#REF!,"YnsorDWv68s=")</f>
        <v>#REF!</v>
      </c>
      <c r="GW124" t="e">
        <f>AND(#REF!,"YnsorDWv68w=")</f>
        <v>#REF!</v>
      </c>
      <c r="GX124" t="e">
        <f>AND(#REF!,"YnsorDWv680=")</f>
        <v>#REF!</v>
      </c>
      <c r="GY124" t="e">
        <f>AND(#REF!,"YnsorDWv684=")</f>
        <v>#REF!</v>
      </c>
      <c r="GZ124" t="e">
        <f>AND(#REF!,"YnsorDWv688=")</f>
        <v>#REF!</v>
      </c>
      <c r="HA124" t="e">
        <f>AND(#REF!,"YnsorDWv69A=")</f>
        <v>#REF!</v>
      </c>
      <c r="HB124" t="e">
        <f>AND(#REF!,"YnsorDWv69E=")</f>
        <v>#REF!</v>
      </c>
      <c r="HC124" t="e">
        <f>AND(#REF!,"YnsorDWv69I=")</f>
        <v>#REF!</v>
      </c>
      <c r="HD124" t="e">
        <f>AND(#REF!,"YnsorDWv69M=")</f>
        <v>#REF!</v>
      </c>
      <c r="HE124" t="e">
        <f>AND(#REF!,"YnsorDWv69Q=")</f>
        <v>#REF!</v>
      </c>
      <c r="HF124" t="e">
        <f>AND(#REF!,"YnsorDWv69U=")</f>
        <v>#REF!</v>
      </c>
      <c r="HG124" t="e">
        <f>AND(#REF!,"YnsorDWv69Y=")</f>
        <v>#REF!</v>
      </c>
      <c r="HH124" t="e">
        <f>AND(#REF!,"YnsorDWv69c=")</f>
        <v>#REF!</v>
      </c>
      <c r="HI124" t="e">
        <f>AND(#REF!,"YnsorDWv69g=")</f>
        <v>#REF!</v>
      </c>
      <c r="HJ124" t="e">
        <f>AND(#REF!,"YnsorDWv69k=")</f>
        <v>#REF!</v>
      </c>
      <c r="HK124" t="e">
        <f>AND(#REF!,"YnsorDWv69o=")</f>
        <v>#REF!</v>
      </c>
      <c r="HL124" t="e">
        <f>AND(#REF!,"YnsorDWv69s=")</f>
        <v>#REF!</v>
      </c>
      <c r="HM124" t="e">
        <f>AND(#REF!,"YnsorDWv69w=")</f>
        <v>#REF!</v>
      </c>
      <c r="HN124" t="e">
        <f>AND(#REF!,"YnsorDWv690=")</f>
        <v>#REF!</v>
      </c>
      <c r="HO124" t="e">
        <f>AND(#REF!,"YnsorDWv694=")</f>
        <v>#REF!</v>
      </c>
      <c r="HP124" t="e">
        <f>AND(#REF!,"YnsorDWv698=")</f>
        <v>#REF!</v>
      </c>
      <c r="HQ124" t="e">
        <f>AND(#REF!,"YnsorDWv6+A=")</f>
        <v>#REF!</v>
      </c>
      <c r="HR124" t="e">
        <f>AND(#REF!,"YnsorDWv6+E=")</f>
        <v>#REF!</v>
      </c>
      <c r="HS124" t="e">
        <f>AND(#REF!,"YnsorDWv6+I=")</f>
        <v>#REF!</v>
      </c>
      <c r="HT124" t="e">
        <f>AND(#REF!,"YnsorDWv6+M=")</f>
        <v>#REF!</v>
      </c>
      <c r="HU124" t="e">
        <f>AND(#REF!,"YnsorDWv6+Q=")</f>
        <v>#REF!</v>
      </c>
      <c r="HV124" t="e">
        <f>AND(#REF!,"YnsorDWv6+U=")</f>
        <v>#REF!</v>
      </c>
      <c r="HW124" t="e">
        <f>AND(#REF!,"YnsorDWv6+Y=")</f>
        <v>#REF!</v>
      </c>
      <c r="HX124" t="e">
        <f>AND(#REF!,"YnsorDWv6+c=")</f>
        <v>#REF!</v>
      </c>
      <c r="HY124" t="e">
        <f>AND(#REF!,"YnsorDWv6+g=")</f>
        <v>#REF!</v>
      </c>
      <c r="HZ124" t="e">
        <f>AND(#REF!,"YnsorDWv6+k=")</f>
        <v>#REF!</v>
      </c>
      <c r="IA124" t="e">
        <f>AND(#REF!,"YnsorDWv6+o=")</f>
        <v>#REF!</v>
      </c>
      <c r="IB124" t="e">
        <f>AND(#REF!,"YnsorDWv6+s=")</f>
        <v>#REF!</v>
      </c>
      <c r="IC124" t="e">
        <f>AND(#REF!,"YnsorDWv6+w=")</f>
        <v>#REF!</v>
      </c>
      <c r="ID124" t="e">
        <f>AND(#REF!,"YnsorDWv6+0=")</f>
        <v>#REF!</v>
      </c>
      <c r="IE124" t="e">
        <f>AND(#REF!,"YnsorDWv6+4=")</f>
        <v>#REF!</v>
      </c>
      <c r="IF124" t="e">
        <f>AND(#REF!,"YnsorDWv6+8=")</f>
        <v>#REF!</v>
      </c>
      <c r="IG124" t="e">
        <f>AND(#REF!,"YnsorDWv6/A=")</f>
        <v>#REF!</v>
      </c>
      <c r="IH124" t="e">
        <f>AND(#REF!,"YnsorDWv6/E=")</f>
        <v>#REF!</v>
      </c>
      <c r="II124" t="e">
        <f>AND(#REF!,"YnsorDWv6/I=")</f>
        <v>#REF!</v>
      </c>
      <c r="IJ124" t="e">
        <f>AND(#REF!,"YnsorDWv6/M=")</f>
        <v>#REF!</v>
      </c>
      <c r="IK124" t="e">
        <f>AND(#REF!,"YnsorDWv6/Q=")</f>
        <v>#REF!</v>
      </c>
      <c r="IL124" t="e">
        <f>AND(#REF!,"YnsorDWv6/U=")</f>
        <v>#REF!</v>
      </c>
      <c r="IM124" t="e">
        <f>AND(#REF!,"YnsorDWv6/Y=")</f>
        <v>#REF!</v>
      </c>
      <c r="IN124" t="e">
        <f>AND(#REF!,"YnsorDWv6/c=")</f>
        <v>#REF!</v>
      </c>
      <c r="IO124" t="e">
        <f>AND(#REF!,"YnsorDWv6/g=")</f>
        <v>#REF!</v>
      </c>
      <c r="IP124" t="e">
        <f>AND(#REF!,"YnsorDWv6/k=")</f>
        <v>#REF!</v>
      </c>
      <c r="IQ124" t="e">
        <f>AND(#REF!,"YnsorDWv6/o=")</f>
        <v>#REF!</v>
      </c>
      <c r="IR124" t="e">
        <f>AND(#REF!,"YnsorDWv6/s=")</f>
        <v>#REF!</v>
      </c>
      <c r="IS124" t="e">
        <f>AND(#REF!,"YnsorDWv6/w=")</f>
        <v>#REF!</v>
      </c>
      <c r="IT124" t="e">
        <f>AND(#REF!,"YnsorDWv6/0=")</f>
        <v>#REF!</v>
      </c>
      <c r="IU124" t="e">
        <f>AND(#REF!,"YnsorDWv6/4=")</f>
        <v>#REF!</v>
      </c>
      <c r="IV124" t="e">
        <f>AND(#REF!,"YnsorDWv6/8=")</f>
        <v>#REF!</v>
      </c>
    </row>
    <row r="125" spans="1:256" x14ac:dyDescent="0.2">
      <c r="A125" t="e">
        <f>AND(#REF!,"ZcEoYHbHkgA=")</f>
        <v>#REF!</v>
      </c>
      <c r="B125" t="e">
        <f>AND(#REF!,"ZcEoYHbHkgE=")</f>
        <v>#REF!</v>
      </c>
      <c r="C125" t="e">
        <f>AND(#REF!,"ZcEoYHbHkgI=")</f>
        <v>#REF!</v>
      </c>
      <c r="D125" t="e">
        <f>AND(#REF!,"ZcEoYHbHkgM=")</f>
        <v>#REF!</v>
      </c>
      <c r="E125" t="e">
        <f>AND(#REF!,"ZcEoYHbHkgQ=")</f>
        <v>#REF!</v>
      </c>
      <c r="F125" t="e">
        <f>AND(#REF!,"ZcEoYHbHkgU=")</f>
        <v>#REF!</v>
      </c>
      <c r="G125" t="e">
        <f>AND(#REF!,"ZcEoYHbHkgY=")</f>
        <v>#REF!</v>
      </c>
      <c r="H125" t="e">
        <f>AND(#REF!,"ZcEoYHbHkgc=")</f>
        <v>#REF!</v>
      </c>
      <c r="I125" t="e">
        <f>AND(#REF!,"ZcEoYHbHkgg=")</f>
        <v>#REF!</v>
      </c>
      <c r="J125" t="e">
        <f>AND(#REF!,"ZcEoYHbHkgk=")</f>
        <v>#REF!</v>
      </c>
      <c r="K125" t="e">
        <f>AND(#REF!,"ZcEoYHbHkgo=")</f>
        <v>#REF!</v>
      </c>
      <c r="L125" t="e">
        <f>AND(#REF!,"ZcEoYHbHkgs=")</f>
        <v>#REF!</v>
      </c>
      <c r="M125" t="e">
        <f>AND(#REF!,"ZcEoYHbHkgw=")</f>
        <v>#REF!</v>
      </c>
      <c r="N125" t="e">
        <f>AND(#REF!,"ZcEoYHbHkg0=")</f>
        <v>#REF!</v>
      </c>
      <c r="O125" t="e">
        <f>AND(#REF!,"ZcEoYHbHkg4=")</f>
        <v>#REF!</v>
      </c>
      <c r="P125" t="e">
        <f>AND(#REF!,"ZcEoYHbHkg8=")</f>
        <v>#REF!</v>
      </c>
      <c r="Q125" t="e">
        <f>AND(#REF!,"ZcEoYHbHkhA=")</f>
        <v>#REF!</v>
      </c>
      <c r="R125" t="e">
        <f>AND(#REF!,"ZcEoYHbHkhE=")</f>
        <v>#REF!</v>
      </c>
      <c r="S125" t="e">
        <f>AND(#REF!,"ZcEoYHbHkhI=")</f>
        <v>#REF!</v>
      </c>
      <c r="T125" t="e">
        <f>AND(#REF!,"ZcEoYHbHkhM=")</f>
        <v>#REF!</v>
      </c>
      <c r="U125" t="e">
        <f>AND(#REF!,"ZcEoYHbHkhQ=")</f>
        <v>#REF!</v>
      </c>
      <c r="V125" t="e">
        <f>AND(#REF!,"ZcEoYHbHkhU=")</f>
        <v>#REF!</v>
      </c>
      <c r="W125" t="e">
        <f>AND(#REF!,"ZcEoYHbHkhY=")</f>
        <v>#REF!</v>
      </c>
      <c r="X125" t="e">
        <f>AND(#REF!,"ZcEoYHbHkhc=")</f>
        <v>#REF!</v>
      </c>
      <c r="Y125" t="e">
        <f>AND(#REF!,"ZcEoYHbHkhg=")</f>
        <v>#REF!</v>
      </c>
      <c r="Z125" t="e">
        <f>AND(#REF!,"ZcEoYHbHkhk=")</f>
        <v>#REF!</v>
      </c>
      <c r="AA125" t="e">
        <f>AND(#REF!,"ZcEoYHbHkho=")</f>
        <v>#REF!</v>
      </c>
      <c r="AB125" t="e">
        <f>AND(#REF!,"ZcEoYHbHkhs=")</f>
        <v>#REF!</v>
      </c>
      <c r="AC125" t="e">
        <f>AND(#REF!,"ZcEoYHbHkhw=")</f>
        <v>#REF!</v>
      </c>
      <c r="AD125" t="e">
        <f>AND(#REF!,"ZcEoYHbHkh0=")</f>
        <v>#REF!</v>
      </c>
      <c r="AE125" t="e">
        <f>AND(#REF!,"ZcEoYHbHkh4=")</f>
        <v>#REF!</v>
      </c>
      <c r="AF125" t="e">
        <f>AND(#REF!,"ZcEoYHbHkh8=")</f>
        <v>#REF!</v>
      </c>
      <c r="AG125" t="e">
        <f>AND(#REF!,"ZcEoYHbHkiA=")</f>
        <v>#REF!</v>
      </c>
      <c r="AH125" t="e">
        <f>AND(#REF!,"ZcEoYHbHkiE=")</f>
        <v>#REF!</v>
      </c>
      <c r="AI125" t="e">
        <f>AND(#REF!,"ZcEoYHbHkiI=")</f>
        <v>#REF!</v>
      </c>
      <c r="AJ125" t="e">
        <f>AND(#REF!,"ZcEoYHbHkiM=")</f>
        <v>#REF!</v>
      </c>
      <c r="AK125" t="e">
        <f>AND(#REF!,"ZcEoYHbHkiQ=")</f>
        <v>#REF!</v>
      </c>
      <c r="AL125" t="e">
        <f>AND(#REF!,"ZcEoYHbHkiU=")</f>
        <v>#REF!</v>
      </c>
      <c r="AM125" t="e">
        <f>AND(#REF!,"ZcEoYHbHkiY=")</f>
        <v>#REF!</v>
      </c>
      <c r="AN125" t="e">
        <f>AND(#REF!,"ZcEoYHbHkic=")</f>
        <v>#REF!</v>
      </c>
      <c r="AO125" t="e">
        <f>AND(#REF!,"ZcEoYHbHkig=")</f>
        <v>#REF!</v>
      </c>
      <c r="AP125" t="e">
        <f>AND(#REF!,"ZcEoYHbHkik=")</f>
        <v>#REF!</v>
      </c>
      <c r="AQ125" t="e">
        <f>IF(#REF!,"ZcEoYHbHkio=",0)</f>
        <v>#REF!</v>
      </c>
      <c r="AR125" t="e">
        <f>IF(#REF!,"ZcEoYHbHkis=",0)</f>
        <v>#REF!</v>
      </c>
      <c r="AS125" t="e">
        <f>IF(#REF!,"ZcEoYHbHkiw=",0)</f>
        <v>#REF!</v>
      </c>
      <c r="AT125" t="e">
        <f>IF(#REF!,"ZcEoYHbHki0=",0)</f>
        <v>#REF!</v>
      </c>
      <c r="AU125" t="e">
        <f>IF(#REF!,"ZcEoYHbHki4=",0)</f>
        <v>#REF!</v>
      </c>
      <c r="AV125" t="e">
        <f>IF(#REF!,"ZcEoYHbHki8=",0)</f>
        <v>#REF!</v>
      </c>
      <c r="AW125" t="e">
        <f>IF(#REF!,"ZcEoYHbHkjA=",0)</f>
        <v>#REF!</v>
      </c>
      <c r="AX125" t="e">
        <f>IF(#REF!,"ZcEoYHbHkjE=",0)</f>
        <v>#REF!</v>
      </c>
      <c r="AY125" t="e">
        <f>IF(#REF!,"ZcEoYHbHkjI=",0)</f>
        <v>#REF!</v>
      </c>
      <c r="AZ125" t="e">
        <f>IF(#REF!,"ZcEoYHbHkjM=",0)</f>
        <v>#REF!</v>
      </c>
      <c r="BA125" t="e">
        <f>IF(#REF!,"ZcEoYHbHkjQ=",0)</f>
        <v>#REF!</v>
      </c>
      <c r="BB125" t="e">
        <f>IF(#REF!,"ZcEoYHbHkjU=",0)</f>
        <v>#REF!</v>
      </c>
      <c r="BC125" t="e">
        <f>IF(#REF!,"ZcEoYHbHkjY=",0)</f>
        <v>#REF!</v>
      </c>
      <c r="BD125" t="e">
        <f>IF(#REF!,"ZcEoYHbHkjc=",0)</f>
        <v>#REF!</v>
      </c>
      <c r="BE125" t="e">
        <f>IF(#REF!,"ZcEoYHbHkjg=",0)</f>
        <v>#REF!</v>
      </c>
      <c r="BF125" t="e">
        <f>IF(#REF!,"ZcEoYHbHkjk=",0)</f>
        <v>#REF!</v>
      </c>
      <c r="BG125" t="e">
        <f>IF(#REF!,"ZcEoYHbHkjo=",0)</f>
        <v>#REF!</v>
      </c>
      <c r="BH125" t="e">
        <f>IF(#REF!,"ZcEoYHbHkjs=",0)</f>
        <v>#REF!</v>
      </c>
      <c r="BI125" t="e">
        <f>IF(#REF!,"ZcEoYHbHkjw=",0)</f>
        <v>#REF!</v>
      </c>
      <c r="BJ125" t="e">
        <f>IF(#REF!,"ZcEoYHbHkj0=",0)</f>
        <v>#REF!</v>
      </c>
      <c r="BK125" t="e">
        <f>IF(#REF!,"ZcEoYHbHkj4=",0)</f>
        <v>#REF!</v>
      </c>
      <c r="BL125" t="e">
        <f>IF(#REF!,"ZcEoYHbHkj8=",0)</f>
        <v>#REF!</v>
      </c>
      <c r="BM125" t="e">
        <f>IF(#REF!,"ZcEoYHbHkkA=",0)</f>
        <v>#REF!</v>
      </c>
      <c r="BN125" t="e">
        <f>IF(#REF!,"ZcEoYHbHkkE=",0)</f>
        <v>#REF!</v>
      </c>
      <c r="BO125" t="e">
        <f>IF(#REF!,"ZcEoYHbHkkI=",0)</f>
        <v>#REF!</v>
      </c>
      <c r="BP125" t="e">
        <f>IF(#REF!,"ZcEoYHbHkkM=",0)</f>
        <v>#REF!</v>
      </c>
      <c r="BQ125" t="e">
        <f>IF(#REF!,"ZcEoYHbHkkQ=",0)</f>
        <v>#REF!</v>
      </c>
      <c r="BR125" t="e">
        <f>IF(#REF!,"ZcEoYHbHkkU=",0)</f>
        <v>#REF!</v>
      </c>
      <c r="BS125" t="e">
        <f>IF(#REF!,"ZcEoYHbHkkY=",0)</f>
        <v>#REF!</v>
      </c>
      <c r="BT125" t="e">
        <f>IF(#REF!,"ZcEoYHbHkkc=",0)</f>
        <v>#REF!</v>
      </c>
      <c r="BU125" t="e">
        <f>IF(#REF!,"ZcEoYHbHkkg=",0)</f>
        <v>#REF!</v>
      </c>
      <c r="BV125" t="e">
        <f>IF(#REF!,"ZcEoYHbHkkk=",0)</f>
        <v>#REF!</v>
      </c>
      <c r="BW125" t="e">
        <f>IF(#REF!,"ZcEoYHbHkko=",0)</f>
        <v>#REF!</v>
      </c>
      <c r="BX125" t="e">
        <f>IF(#REF!,"ZcEoYHbHkks=",0)</f>
        <v>#REF!</v>
      </c>
      <c r="BY125" t="e">
        <f>IF(#REF!,"ZcEoYHbHkkw=",0)</f>
        <v>#REF!</v>
      </c>
      <c r="BZ125" t="e">
        <f>IF(#REF!,"ZcEoYHbHkk0=",0)</f>
        <v>#REF!</v>
      </c>
      <c r="CA125" t="e">
        <f>IF(#REF!,"ZcEoYHbHkk4=",0)</f>
        <v>#REF!</v>
      </c>
      <c r="CB125" t="e">
        <f>IF(#REF!,"ZcEoYHbHkk8=",0)</f>
        <v>#REF!</v>
      </c>
      <c r="CC125" t="e">
        <f>IF(#REF!,"ZcEoYHbHklA=",0)</f>
        <v>#REF!</v>
      </c>
      <c r="CD125" t="e">
        <f>IF(#REF!,"ZcEoYHbHklE=",0)</f>
        <v>#REF!</v>
      </c>
      <c r="CE125" t="e">
        <f>IF(#REF!,"ZcEoYHbHklI=",0)</f>
        <v>#REF!</v>
      </c>
      <c r="CF125" t="e">
        <f>IF(#REF!,"ZcEoYHbHklM=",0)</f>
        <v>#REF!</v>
      </c>
      <c r="CG125" t="e">
        <f>IF(#REF!,"ZcEoYHbHklQ=",0)</f>
        <v>#REF!</v>
      </c>
      <c r="CH125" t="e">
        <f>IF(#REF!,"ZcEoYHbHklU=",0)</f>
        <v>#REF!</v>
      </c>
      <c r="CI125" t="e">
        <f>IF(#REF!,"ZcEoYHbHklY=",0)</f>
        <v>#REF!</v>
      </c>
      <c r="CJ125" t="e">
        <f>IF(#REF!,"ZcEoYHbHklc=",0)</f>
        <v>#REF!</v>
      </c>
      <c r="CK125" t="e">
        <f>IF(#REF!,"ZcEoYHbHklg=",0)</f>
        <v>#REF!</v>
      </c>
      <c r="CL125" t="e">
        <f>IF(#REF!,"ZcEoYHbHklk=",0)</f>
        <v>#REF!</v>
      </c>
      <c r="CM125" t="e">
        <f>IF(#REF!,"ZcEoYHbHklo=",0)</f>
        <v>#REF!</v>
      </c>
      <c r="CN125" t="e">
        <f>IF(#REF!,"ZcEoYHbHkls=",0)</f>
        <v>#REF!</v>
      </c>
      <c r="CO125" t="e">
        <f>IF(#REF!,"ZcEoYHbHklw=",0)</f>
        <v>#REF!</v>
      </c>
      <c r="CP125" t="e">
        <f>IF(#REF!,"ZcEoYHbHkl0=",0)</f>
        <v>#REF!</v>
      </c>
      <c r="CQ125" t="e">
        <f>IF(#REF!,"ZcEoYHbHkl4=",0)</f>
        <v>#REF!</v>
      </c>
      <c r="CR125" t="e">
        <f>IF(#REF!,"ZcEoYHbHkl8=",0)</f>
        <v>#REF!</v>
      </c>
      <c r="CS125" t="e">
        <f>IF(#REF!,"ZcEoYHbHkmA=",0)</f>
        <v>#REF!</v>
      </c>
      <c r="CT125" t="e">
        <f>IF(#REF!,"ZcEoYHbHkmE=",0)</f>
        <v>#REF!</v>
      </c>
      <c r="CU125" t="e">
        <f>IF(#REF!,"ZcEoYHbHkmI=",0)</f>
        <v>#REF!</v>
      </c>
      <c r="CV125" t="e">
        <f>IF(#REF!,"ZcEoYHbHkmM=",0)</f>
        <v>#REF!</v>
      </c>
      <c r="CW125" t="e">
        <f>IF(#REF!,"ZcEoYHbHkmQ=",0)</f>
        <v>#REF!</v>
      </c>
      <c r="CX125" t="e">
        <f>IF(#REF!,"ZcEoYHbHkmU=",0)</f>
        <v>#REF!</v>
      </c>
      <c r="CY125" t="e">
        <f>IF(#REF!,"ZcEoYHbHkmY=",0)</f>
        <v>#REF!</v>
      </c>
      <c r="CZ125" t="e">
        <f>IF(#REF!,"ZcEoYHbHkmc=",0)</f>
        <v>#REF!</v>
      </c>
      <c r="DA125" t="e">
        <f>IF(#REF!,"ZcEoYHbHkmg=",0)</f>
        <v>#REF!</v>
      </c>
      <c r="DB125" t="e">
        <f>IF(#REF!,"ZcEoYHbHkmk=",0)</f>
        <v>#REF!</v>
      </c>
      <c r="DC125" t="e">
        <f>IF(#REF!,"ZcEoYHbHkmo=",0)</f>
        <v>#REF!</v>
      </c>
      <c r="DD125" t="e">
        <f>IF(#REF!,"ZcEoYHbHkms=",0)</f>
        <v>#REF!</v>
      </c>
      <c r="DE125" t="e">
        <f>IF(#REF!,"ZcEoYHbHkmw=",0)</f>
        <v>#REF!</v>
      </c>
      <c r="DF125" t="e">
        <f>IF(#REF!,"ZcEoYHbHkm0=",0)</f>
        <v>#REF!</v>
      </c>
      <c r="DG125" t="e">
        <f>IF(#REF!,"ZcEoYHbHkm4=",0)</f>
        <v>#REF!</v>
      </c>
      <c r="DH125" t="e">
        <f>IF(#REF!,"ZcEoYHbHkm8=",0)</f>
        <v>#REF!</v>
      </c>
      <c r="DI125" t="e">
        <f>IF(#REF!,"ZcEoYHbHknA=",0)</f>
        <v>#REF!</v>
      </c>
      <c r="DJ125" t="e">
        <f>IF(#REF!,"ZcEoYHbHknE=",0)</f>
        <v>#REF!</v>
      </c>
      <c r="DK125" t="e">
        <f>IF(#REF!,"ZcEoYHbHknI=",0)</f>
        <v>#REF!</v>
      </c>
      <c r="DL125" t="e">
        <f>IF(#REF!,"ZcEoYHbHknM=",0)</f>
        <v>#REF!</v>
      </c>
      <c r="DM125" t="e">
        <f>IF(#REF!,"ZcEoYHbHknQ=",0)</f>
        <v>#REF!</v>
      </c>
      <c r="DN125" t="e">
        <f>IF(#REF!,"ZcEoYHbHknU=",0)</f>
        <v>#REF!</v>
      </c>
      <c r="DO125" t="e">
        <f>IF(#REF!,"ZcEoYHbHknY=",0)</f>
        <v>#REF!</v>
      </c>
      <c r="DP125" t="e">
        <f>IF(#REF!,"ZcEoYHbHknc=",0)</f>
        <v>#REF!</v>
      </c>
      <c r="DQ125" t="e">
        <f>IF(#REF!,"ZcEoYHbHkng=",0)</f>
        <v>#REF!</v>
      </c>
      <c r="DR125" t="e">
        <f>IF(#REF!,"ZcEoYHbHknk=",0)</f>
        <v>#REF!</v>
      </c>
      <c r="DS125" t="e">
        <f>IF(#REF!,"ZcEoYHbHkno=",0)</f>
        <v>#REF!</v>
      </c>
      <c r="DT125" t="e">
        <f>IF(#REF!,"ZcEoYHbHkns=",0)</f>
        <v>#REF!</v>
      </c>
      <c r="DU125" t="e">
        <f>IF(#REF!,"ZcEoYHbHknw=",0)</f>
        <v>#REF!</v>
      </c>
      <c r="DV125" t="e">
        <f>IF(#REF!,"ZcEoYHbHkn0=",0)</f>
        <v>#REF!</v>
      </c>
      <c r="DW125" t="e">
        <f>IF(#REF!,"ZcEoYHbHkn4=",0)</f>
        <v>#REF!</v>
      </c>
      <c r="DX125" t="e">
        <f>IF(#REF!,"ZcEoYHbHkn8=",0)</f>
        <v>#REF!</v>
      </c>
      <c r="DY125" t="e">
        <f>IF(#REF!,"ZcEoYHbHkoA=",0)</f>
        <v>#REF!</v>
      </c>
      <c r="DZ125" t="e">
        <f>IF(#REF!,"ZcEoYHbHkoE=",0)</f>
        <v>#REF!</v>
      </c>
      <c r="EA125" t="e">
        <f>IF(#REF!,"ZcEoYHbHkoI=",0)</f>
        <v>#REF!</v>
      </c>
      <c r="EB125" t="e">
        <f>IF(#REF!,"ZcEoYHbHkoM=",0)</f>
        <v>#REF!</v>
      </c>
      <c r="EC125" t="e">
        <f>IF(#REF!,"ZcEoYHbHkoQ=",0)</f>
        <v>#REF!</v>
      </c>
      <c r="ED125" t="e">
        <f>IF(#REF!,"ZcEoYHbHkoU=",0)</f>
        <v>#REF!</v>
      </c>
      <c r="EE125" t="e">
        <f>IF(#REF!,"ZcEoYHbHkoY=",0)</f>
        <v>#REF!</v>
      </c>
      <c r="EF125" t="e">
        <f>IF(#REF!,"ZcEoYHbHkoc=",0)</f>
        <v>#REF!</v>
      </c>
      <c r="EG125" t="e">
        <f>IF(#REF!,"ZcEoYHbHkog=",0)</f>
        <v>#REF!</v>
      </c>
      <c r="EH125" t="e">
        <f>IF(#REF!,"ZcEoYHbHkok=",0)</f>
        <v>#REF!</v>
      </c>
      <c r="EI125" t="e">
        <f>IF(#REF!,"ZcEoYHbHkoo=",0)</f>
        <v>#REF!</v>
      </c>
      <c r="EJ125" t="e">
        <f>IF(#REF!,"ZcEoYHbHkos=",0)</f>
        <v>#REF!</v>
      </c>
      <c r="EK125" t="e">
        <f>IF(#REF!,"ZcEoYHbHkow=",0)</f>
        <v>#REF!</v>
      </c>
      <c r="EL125" t="e">
        <f>IF(#REF!,"ZcEoYHbHko0=",0)</f>
        <v>#REF!</v>
      </c>
      <c r="EM125" t="e">
        <f>IF(#REF!,"ZcEoYHbHko4=",0)</f>
        <v>#REF!</v>
      </c>
      <c r="EN125" t="e">
        <f>IF(#REF!,"ZcEoYHbHko8=",0)</f>
        <v>#REF!</v>
      </c>
      <c r="EO125" t="e">
        <f>IF(#REF!,"ZcEoYHbHkpA=",0)</f>
        <v>#REF!</v>
      </c>
      <c r="EP125" t="e">
        <f>IF(#REF!,"ZcEoYHbHkpE=",0)</f>
        <v>#REF!</v>
      </c>
      <c r="EQ125" t="e">
        <f>IF(#REF!,"ZcEoYHbHkpI=",0)</f>
        <v>#REF!</v>
      </c>
      <c r="ER125" t="e">
        <f>IF(#REF!,"ZcEoYHbHkpM=",0)</f>
        <v>#REF!</v>
      </c>
      <c r="ES125" t="e">
        <f>IF(#REF!,"ZcEoYHbHkpQ=",0)</f>
        <v>#REF!</v>
      </c>
      <c r="ET125" t="e">
        <f>IF(#REF!,"ZcEoYHbHkpU=",0)</f>
        <v>#REF!</v>
      </c>
      <c r="EU125" t="e">
        <f>IF(#REF!,"ZcEoYHbHkpY=",0)</f>
        <v>#REF!</v>
      </c>
      <c r="EV125" t="e">
        <f>IF(#REF!,"ZcEoYHbHkpc=",0)</f>
        <v>#REF!</v>
      </c>
      <c r="EW125" t="e">
        <f>IF(#REF!,"ZcEoYHbHkpg=",0)</f>
        <v>#REF!</v>
      </c>
      <c r="EX125" t="e">
        <f>IF(#REF!,"ZcEoYHbHkpk=",0)</f>
        <v>#REF!</v>
      </c>
      <c r="EY125" t="e">
        <f>IF(#REF!,"ZcEoYHbHkpo=",0)</f>
        <v>#REF!</v>
      </c>
      <c r="EZ125" t="e">
        <f>IF(#REF!,"ZcEoYHbHkps=",0)</f>
        <v>#REF!</v>
      </c>
      <c r="FA125" t="e">
        <f>IF(#REF!,"ZcEoYHbHkpw=",0)</f>
        <v>#REF!</v>
      </c>
      <c r="FB125" t="e">
        <f>IF(#REF!,"ZcEoYHbHkp0=",0)</f>
        <v>#REF!</v>
      </c>
      <c r="FC125" t="e">
        <f>IF(#REF!,"ZcEoYHbHkp4=",0)</f>
        <v>#REF!</v>
      </c>
      <c r="FD125" t="e">
        <f>IF(#REF!,"ZcEoYHbHkp8=",0)</f>
        <v>#REF!</v>
      </c>
      <c r="FE125" t="e">
        <f>IF(#REF!,"ZcEoYHbHkqA=",0)</f>
        <v>#REF!</v>
      </c>
      <c r="FF125" t="e">
        <f>IF(#REF!,"ZcEoYHbHkqE=",0)</f>
        <v>#REF!</v>
      </c>
      <c r="FG125" t="e">
        <f>IF(#REF!,"ZcEoYHbHkqI=",0)</f>
        <v>#REF!</v>
      </c>
      <c r="FH125" t="e">
        <f>IF(#REF!,"ZcEoYHbHkqM=",0)</f>
        <v>#REF!</v>
      </c>
      <c r="FI125" t="e">
        <f>IF(#REF!,"ZcEoYHbHkqQ=",0)</f>
        <v>#REF!</v>
      </c>
      <c r="FJ125" t="e">
        <f>IF(#REF!,"ZcEoYHbHkqU=",0)</f>
        <v>#REF!</v>
      </c>
      <c r="FK125" t="e">
        <f>IF(#REF!,"ZcEoYHbHkqY=",0)</f>
        <v>#REF!</v>
      </c>
      <c r="FL125" t="e">
        <f>IF(#REF!,"ZcEoYHbHkqc=",0)</f>
        <v>#REF!</v>
      </c>
      <c r="FM125" t="e">
        <f>IF(#REF!,"ZcEoYHbHkqg=",0)</f>
        <v>#REF!</v>
      </c>
      <c r="FN125" t="e">
        <f>IF(#REF!,"ZcEoYHbHkqk=",0)</f>
        <v>#REF!</v>
      </c>
      <c r="FO125" t="e">
        <f>IF(#REF!,"ZcEoYHbHkqo=",0)</f>
        <v>#REF!</v>
      </c>
      <c r="FP125" t="e">
        <f>IF(#REF!,"ZcEoYHbHkqs=",0)</f>
        <v>#REF!</v>
      </c>
      <c r="FQ125" t="e">
        <f>IF(#REF!,"ZcEoYHbHkqw=",0)</f>
        <v>#REF!</v>
      </c>
      <c r="FR125" t="e">
        <f>IF(#REF!,"ZcEoYHbHkq0=",0)</f>
        <v>#REF!</v>
      </c>
      <c r="FS125" t="e">
        <f>IF(#REF!,"ZcEoYHbHkq4=",0)</f>
        <v>#REF!</v>
      </c>
      <c r="FT125" t="e">
        <f>IF(#REF!,"ZcEoYHbHkq8=",0)</f>
        <v>#REF!</v>
      </c>
      <c r="FU125" t="e">
        <f>IF(#REF!,"ZcEoYHbHkrA=",0)</f>
        <v>#REF!</v>
      </c>
      <c r="FV125" t="e">
        <f>IF(#REF!,"ZcEoYHbHkrE=",0)</f>
        <v>#REF!</v>
      </c>
      <c r="FW125" t="e">
        <f>IF(#REF!,"ZcEoYHbHkrI=",0)</f>
        <v>#REF!</v>
      </c>
      <c r="FX125" t="e">
        <f>IF(#REF!,"ZcEoYHbHkrM=",0)</f>
        <v>#REF!</v>
      </c>
      <c r="FY125" t="e">
        <f>IF(#REF!,"ZcEoYHbHkrQ=",0)</f>
        <v>#REF!</v>
      </c>
      <c r="FZ125" t="e">
        <f>IF(#REF!,"ZcEoYHbHkrU=",0)</f>
        <v>#REF!</v>
      </c>
      <c r="GA125" t="e">
        <f>IF(#REF!,"ZcEoYHbHkrY=",0)</f>
        <v>#REF!</v>
      </c>
      <c r="GB125" t="e">
        <f>IF(#REF!,"ZcEoYHbHkrc=",0)</f>
        <v>#REF!</v>
      </c>
      <c r="GC125" t="e">
        <f>IF(#REF!,"ZcEoYHbHkrg=",0)</f>
        <v>#REF!</v>
      </c>
      <c r="GD125" t="e">
        <f>IF(#REF!,"ZcEoYHbHkrk=",0)</f>
        <v>#REF!</v>
      </c>
      <c r="GE125" t="e">
        <f>IF(#REF!,"ZcEoYHbHkro=",0)</f>
        <v>#REF!</v>
      </c>
      <c r="GF125" t="e">
        <f>IF(#REF!,"ZcEoYHbHkrs=",0)</f>
        <v>#REF!</v>
      </c>
      <c r="GG125" t="e">
        <f>IF(#REF!,"ZcEoYHbHkrw=",0)</f>
        <v>#REF!</v>
      </c>
      <c r="GH125" t="e">
        <f>IF(#REF!,"ZcEoYHbHkr0=",0)</f>
        <v>#REF!</v>
      </c>
      <c r="GI125" t="e">
        <f>IF(#REF!,"ZcEoYHbHkr4=",0)</f>
        <v>#REF!</v>
      </c>
      <c r="GJ125" t="e">
        <f>IF(#REF!,"ZcEoYHbHkr8=",0)</f>
        <v>#REF!</v>
      </c>
      <c r="GK125" t="e">
        <f>IF(#REF!,"ZcEoYHbHksA=",0)</f>
        <v>#REF!</v>
      </c>
      <c r="GL125" t="e">
        <f>IF(#REF!,"ZcEoYHbHksE=",0)</f>
        <v>#REF!</v>
      </c>
      <c r="GM125" t="e">
        <f>IF(#REF!,"ZcEoYHbHksI=",0)</f>
        <v>#REF!</v>
      </c>
      <c r="GN125" t="e">
        <f>IF(#REF!,"ZcEoYHbHksM=",0)</f>
        <v>#REF!</v>
      </c>
      <c r="GO125" t="e">
        <f>IF(#REF!,"ZcEoYHbHksQ=",0)</f>
        <v>#REF!</v>
      </c>
      <c r="GP125" t="e">
        <f>IF(#REF!,"ZcEoYHbHksU=",0)</f>
        <v>#REF!</v>
      </c>
      <c r="GQ125" t="e">
        <f>IF(#REF!,"ZcEoYHbHksY=",0)</f>
        <v>#REF!</v>
      </c>
      <c r="GR125" t="e">
        <f>IF(#REF!,"ZcEoYHbHksc=",0)</f>
        <v>#REF!</v>
      </c>
      <c r="GS125" t="e">
        <f>IF(#REF!,"ZcEoYHbHksg=",0)</f>
        <v>#REF!</v>
      </c>
      <c r="GT125" t="e">
        <f>IF(#REF!,"ZcEoYHbHksk=",0)</f>
        <v>#REF!</v>
      </c>
      <c r="GU125" t="e">
        <f>IF(#REF!,"ZcEoYHbHkso=",0)</f>
        <v>#REF!</v>
      </c>
      <c r="GV125" t="e">
        <f>IF(#REF!,"ZcEoYHbHkss=",0)</f>
        <v>#REF!</v>
      </c>
      <c r="GW125" t="e">
        <f>IF(#REF!,"ZcEoYHbHksw=",0)</f>
        <v>#REF!</v>
      </c>
      <c r="GX125" t="e">
        <f>IF(#REF!,"ZcEoYHbHks0=",0)</f>
        <v>#REF!</v>
      </c>
      <c r="GY125" t="e">
        <f>IF(#REF!,"ZcEoYHbHks4=",0)</f>
        <v>#REF!</v>
      </c>
      <c r="GZ125" t="e">
        <f>IF(#REF!,"ZcEoYHbHks8=",0)</f>
        <v>#REF!</v>
      </c>
      <c r="HA125" t="e">
        <f>IF(#REF!,"ZcEoYHbHktA=",0)</f>
        <v>#REF!</v>
      </c>
      <c r="HB125" t="e">
        <f>IF(#REF!,"ZcEoYHbHktE=",0)</f>
        <v>#REF!</v>
      </c>
      <c r="HC125" t="e">
        <f>IF(#REF!,"ZcEoYHbHktI=",0)</f>
        <v>#REF!</v>
      </c>
      <c r="HD125" t="e">
        <f>IF(#REF!,"ZcEoYHbHktM=",0)</f>
        <v>#REF!</v>
      </c>
      <c r="HE125" t="e">
        <f>IF(#REF!,"ZcEoYHbHktQ=",0)</f>
        <v>#REF!</v>
      </c>
      <c r="HF125" t="e">
        <f>IF(#REF!,"ZcEoYHbHktU=",0)</f>
        <v>#REF!</v>
      </c>
      <c r="HG125" t="e">
        <f>IF(#REF!,"ZcEoYHbHktY=",0)</f>
        <v>#REF!</v>
      </c>
      <c r="HH125" t="e">
        <f>IF(#REF!,"ZcEoYHbHktc=",0)</f>
        <v>#REF!</v>
      </c>
      <c r="HI125" t="e">
        <f>IF(#REF!,"ZcEoYHbHktg=",0)</f>
        <v>#REF!</v>
      </c>
      <c r="HJ125" t="e">
        <f>IF(#REF!,"ZcEoYHbHktk=",0)</f>
        <v>#REF!</v>
      </c>
      <c r="HK125" t="e">
        <f>IF(#REF!,"ZcEoYHbHkto=",0)</f>
        <v>#REF!</v>
      </c>
      <c r="HL125" t="e">
        <f>IF(#REF!,"ZcEoYHbHkts=",0)</f>
        <v>#REF!</v>
      </c>
      <c r="HM125" t="e">
        <f>IF(#REF!,"ZcEoYHbHktw=",0)</f>
        <v>#REF!</v>
      </c>
      <c r="HN125" t="e">
        <f>IF(#REF!,"ZcEoYHbHkt0=",0)</f>
        <v>#REF!</v>
      </c>
      <c r="HO125" t="e">
        <f>IF(#REF!,"ZcEoYHbHkt4=",0)</f>
        <v>#REF!</v>
      </c>
      <c r="HP125" t="e">
        <f>IF(#REF!,"ZcEoYHbHkt8=",0)</f>
        <v>#REF!</v>
      </c>
      <c r="HQ125" t="e">
        <f>IF(#REF!,"ZcEoYHbHkuA=",0)</f>
        <v>#REF!</v>
      </c>
      <c r="HR125" t="e">
        <f>IF(#REF!,"ZcEoYHbHkuE=",0)</f>
        <v>#REF!</v>
      </c>
      <c r="HS125" t="e">
        <f>IF(#REF!,"ZcEoYHbHkuI=",0)</f>
        <v>#REF!</v>
      </c>
      <c r="HT125" t="e">
        <f>IF(#REF!,"ZcEoYHbHkuM=",0)</f>
        <v>#REF!</v>
      </c>
      <c r="HU125" t="e">
        <f>IF(#REF!,"ZcEoYHbHkuQ=",0)</f>
        <v>#REF!</v>
      </c>
      <c r="HV125" t="e">
        <f>IF(#REF!,"ZcEoYHbHkuU=",0)</f>
        <v>#REF!</v>
      </c>
      <c r="HW125" t="e">
        <f>IF(#REF!,"ZcEoYHbHkuY=",0)</f>
        <v>#REF!</v>
      </c>
      <c r="HX125" t="e">
        <f>IF(#REF!,"ZcEoYHbHkuc=",0)</f>
        <v>#REF!</v>
      </c>
      <c r="HY125" t="e">
        <f>IF(#REF!,"ZcEoYHbHkug=",0)</f>
        <v>#REF!</v>
      </c>
      <c r="HZ125" t="e">
        <f>IF(#REF!,"ZcEoYHbHkuk=",0)</f>
        <v>#REF!</v>
      </c>
      <c r="IA125" t="e">
        <f>IF(#REF!,"ZcEoYHbHkuo=",0)</f>
        <v>#REF!</v>
      </c>
      <c r="IB125" t="e">
        <f>IF(#REF!,"ZcEoYHbHkus=",0)</f>
        <v>#REF!</v>
      </c>
      <c r="IC125" t="e">
        <f>IF(#REF!,"ZcEoYHbHkuw=",0)</f>
        <v>#REF!</v>
      </c>
      <c r="ID125" t="e">
        <f>IF(#REF!,"ZcEoYHbHku0=",0)</f>
        <v>#REF!</v>
      </c>
      <c r="IE125" t="e">
        <f>IF(#REF!,"ZcEoYHbHku4=",0)</f>
        <v>#REF!</v>
      </c>
      <c r="IF125" t="e">
        <f>IF(#REF!,"ZcEoYHbHku8=",0)</f>
        <v>#REF!</v>
      </c>
      <c r="IG125" t="e">
        <f>IF(#REF!,"ZcEoYHbHkvA=",0)</f>
        <v>#REF!</v>
      </c>
      <c r="IH125" t="e">
        <f>AND(#REF!,"ZcEoYHbHkvE=")</f>
        <v>#REF!</v>
      </c>
      <c r="II125" t="e">
        <f>AND(#REF!,"ZcEoYHbHkvI=")</f>
        <v>#REF!</v>
      </c>
      <c r="IJ125" t="e">
        <f>AND(#REF!,"ZcEoYHbHkvM=")</f>
        <v>#REF!</v>
      </c>
      <c r="IK125" t="e">
        <f>AND(#REF!,"ZcEoYHbHkvQ=")</f>
        <v>#REF!</v>
      </c>
      <c r="IL125" t="e">
        <f>AND(#REF!,"ZcEoYHbHkvU=")</f>
        <v>#REF!</v>
      </c>
      <c r="IM125" t="e">
        <f>AND(#REF!,"ZcEoYHbHkvY=")</f>
        <v>#REF!</v>
      </c>
      <c r="IN125" t="e">
        <f>AND(#REF!,"ZcEoYHbHkvc=")</f>
        <v>#REF!</v>
      </c>
      <c r="IO125" t="e">
        <f>AND(#REF!,"ZcEoYHbHkvg=")</f>
        <v>#REF!</v>
      </c>
      <c r="IP125" t="e">
        <f>AND(#REF!,"ZcEoYHbHkvk=")</f>
        <v>#REF!</v>
      </c>
      <c r="IQ125" t="e">
        <f>AND(#REF!,"ZcEoYHbHkvo=")</f>
        <v>#REF!</v>
      </c>
      <c r="IR125" t="e">
        <f>IF(#REF!,"ZcEoYHbHkvs=",0)</f>
        <v>#REF!</v>
      </c>
      <c r="IS125" t="e">
        <f>AND(#REF!,"ZcEoYHbHkvw=")</f>
        <v>#REF!</v>
      </c>
      <c r="IT125" t="e">
        <f>AND(#REF!,"ZcEoYHbHkv0=")</f>
        <v>#REF!</v>
      </c>
      <c r="IU125" t="e">
        <f>AND(#REF!,"ZcEoYHbHkv4=")</f>
        <v>#REF!</v>
      </c>
      <c r="IV125" t="e">
        <f>AND(#REF!,"ZcEoYHbHkv8=")</f>
        <v>#REF!</v>
      </c>
    </row>
    <row r="126" spans="1:256" x14ac:dyDescent="0.2">
      <c r="A126" t="e">
        <f>AND(#REF!,"bm18/FBWNgA=")</f>
        <v>#REF!</v>
      </c>
      <c r="B126" t="e">
        <f>AND(#REF!,"bm18/FBWNgE=")</f>
        <v>#REF!</v>
      </c>
      <c r="C126" t="e">
        <f>AND(#REF!,"bm18/FBWNgI=")</f>
        <v>#REF!</v>
      </c>
      <c r="D126" t="e">
        <f>AND(#REF!,"bm18/FBWNgM=")</f>
        <v>#REF!</v>
      </c>
      <c r="E126" t="e">
        <f>AND(#REF!,"bm18/FBWNgQ=")</f>
        <v>#REF!</v>
      </c>
      <c r="F126" t="e">
        <f>AND(#REF!,"bm18/FBWNgU=")</f>
        <v>#REF!</v>
      </c>
      <c r="G126" t="e">
        <f>IF(#REF!,"bm18/FBWNgY=",0)</f>
        <v>#REF!</v>
      </c>
      <c r="H126" t="e">
        <f>AND(#REF!,"bm18/FBWNgc=")</f>
        <v>#REF!</v>
      </c>
      <c r="I126" t="e">
        <f>AND(#REF!,"bm18/FBWNgg=")</f>
        <v>#REF!</v>
      </c>
      <c r="J126" t="e">
        <f>AND(#REF!,"bm18/FBWNgk=")</f>
        <v>#REF!</v>
      </c>
      <c r="K126" t="e">
        <f>AND(#REF!,"bm18/FBWNgo=")</f>
        <v>#REF!</v>
      </c>
      <c r="L126" t="e">
        <f>AND(#REF!,"bm18/FBWNgs=")</f>
        <v>#REF!</v>
      </c>
      <c r="M126" t="e">
        <f>AND(#REF!,"bm18/FBWNgw=")</f>
        <v>#REF!</v>
      </c>
      <c r="N126" t="e">
        <f>AND(#REF!,"bm18/FBWNg0=")</f>
        <v>#REF!</v>
      </c>
      <c r="O126" t="e">
        <f>AND(#REF!,"bm18/FBWNg4=")</f>
        <v>#REF!</v>
      </c>
      <c r="P126" t="e">
        <f>AND(#REF!,"bm18/FBWNg8=")</f>
        <v>#REF!</v>
      </c>
      <c r="Q126" t="e">
        <f>AND(#REF!,"bm18/FBWNhA=")</f>
        <v>#REF!</v>
      </c>
      <c r="R126" t="e">
        <f>IF(#REF!,"bm18/FBWNhE=",0)</f>
        <v>#REF!</v>
      </c>
      <c r="S126" t="e">
        <f>AND(#REF!,"bm18/FBWNhI=")</f>
        <v>#REF!</v>
      </c>
      <c r="T126" t="e">
        <f>AND(#REF!,"bm18/FBWNhM=")</f>
        <v>#REF!</v>
      </c>
      <c r="U126" t="e">
        <f>AND(#REF!,"bm18/FBWNhQ=")</f>
        <v>#REF!</v>
      </c>
      <c r="V126" t="e">
        <f>AND(#REF!,"bm18/FBWNhU=")</f>
        <v>#REF!</v>
      </c>
      <c r="W126" t="e">
        <f>AND(#REF!,"bm18/FBWNhY=")</f>
        <v>#REF!</v>
      </c>
      <c r="X126" t="e">
        <f>AND(#REF!,"bm18/FBWNhc=")</f>
        <v>#REF!</v>
      </c>
      <c r="Y126" t="e">
        <f>AND(#REF!,"bm18/FBWNhg=")</f>
        <v>#REF!</v>
      </c>
      <c r="Z126" t="e">
        <f>AND(#REF!,"bm18/FBWNhk=")</f>
        <v>#REF!</v>
      </c>
      <c r="AA126" t="e">
        <f>AND(#REF!,"bm18/FBWNho=")</f>
        <v>#REF!</v>
      </c>
      <c r="AB126" t="e">
        <f>AND(#REF!,"bm18/FBWNhs=")</f>
        <v>#REF!</v>
      </c>
      <c r="AC126" t="e">
        <f>IF(#REF!,"bm18/FBWNhw=",0)</f>
        <v>#REF!</v>
      </c>
      <c r="AD126" t="e">
        <f>AND(#REF!,"bm18/FBWNh0=")</f>
        <v>#REF!</v>
      </c>
      <c r="AE126" t="e">
        <f>AND(#REF!,"bm18/FBWNh4=")</f>
        <v>#REF!</v>
      </c>
      <c r="AF126" t="e">
        <f>AND(#REF!,"bm18/FBWNh8=")</f>
        <v>#REF!</v>
      </c>
      <c r="AG126" t="e">
        <f>AND(#REF!,"bm18/FBWNiA=")</f>
        <v>#REF!</v>
      </c>
      <c r="AH126" t="e">
        <f>AND(#REF!,"bm18/FBWNiE=")</f>
        <v>#REF!</v>
      </c>
      <c r="AI126" t="e">
        <f>AND(#REF!,"bm18/FBWNiI=")</f>
        <v>#REF!</v>
      </c>
      <c r="AJ126" t="e">
        <f>AND(#REF!,"bm18/FBWNiM=")</f>
        <v>#REF!</v>
      </c>
      <c r="AK126" t="e">
        <f>AND(#REF!,"bm18/FBWNiQ=")</f>
        <v>#REF!</v>
      </c>
      <c r="AL126" t="e">
        <f>AND(#REF!,"bm18/FBWNiU=")</f>
        <v>#REF!</v>
      </c>
      <c r="AM126" t="e">
        <f>AND(#REF!,"bm18/FBWNiY=")</f>
        <v>#REF!</v>
      </c>
      <c r="AN126" t="e">
        <f>IF(#REF!,"bm18/FBWNic=",0)</f>
        <v>#REF!</v>
      </c>
      <c r="AO126" t="e">
        <f>AND(#REF!,"bm18/FBWNig=")</f>
        <v>#REF!</v>
      </c>
      <c r="AP126" t="e">
        <f>AND(#REF!,"bm18/FBWNik=")</f>
        <v>#REF!</v>
      </c>
      <c r="AQ126" t="e">
        <f>AND(#REF!,"bm18/FBWNio=")</f>
        <v>#REF!</v>
      </c>
      <c r="AR126" t="e">
        <f>AND(#REF!,"bm18/FBWNis=")</f>
        <v>#REF!</v>
      </c>
      <c r="AS126" t="e">
        <f>AND(#REF!,"bm18/FBWNiw=")</f>
        <v>#REF!</v>
      </c>
      <c r="AT126" t="e">
        <f>AND(#REF!,"bm18/FBWNi0=")</f>
        <v>#REF!</v>
      </c>
      <c r="AU126" t="e">
        <f>AND(#REF!,"bm18/FBWNi4=")</f>
        <v>#REF!</v>
      </c>
      <c r="AV126" t="e">
        <f>AND(#REF!,"bm18/FBWNi8=")</f>
        <v>#REF!</v>
      </c>
      <c r="AW126" t="e">
        <f>AND(#REF!,"bm18/FBWNjA=")</f>
        <v>#REF!</v>
      </c>
      <c r="AX126" t="e">
        <f>AND(#REF!,"bm18/FBWNjE=")</f>
        <v>#REF!</v>
      </c>
      <c r="AY126" t="e">
        <f>IF(#REF!,"bm18/FBWNjI=",0)</f>
        <v>#REF!</v>
      </c>
      <c r="AZ126" t="e">
        <f>AND(#REF!,"bm18/FBWNjM=")</f>
        <v>#REF!</v>
      </c>
      <c r="BA126" t="e">
        <f>AND(#REF!,"bm18/FBWNjQ=")</f>
        <v>#REF!</v>
      </c>
      <c r="BB126" t="e">
        <f>AND(#REF!,"bm18/FBWNjU=")</f>
        <v>#REF!</v>
      </c>
      <c r="BC126" t="e">
        <f>AND(#REF!,"bm18/FBWNjY=")</f>
        <v>#REF!</v>
      </c>
      <c r="BD126" t="e">
        <f>AND(#REF!,"bm18/FBWNjc=")</f>
        <v>#REF!</v>
      </c>
      <c r="BE126" t="e">
        <f>AND(#REF!,"bm18/FBWNjg=")</f>
        <v>#REF!</v>
      </c>
      <c r="BF126" t="e">
        <f>AND(#REF!,"bm18/FBWNjk=")</f>
        <v>#REF!</v>
      </c>
      <c r="BG126" t="e">
        <f>AND(#REF!,"bm18/FBWNjo=")</f>
        <v>#REF!</v>
      </c>
      <c r="BH126" t="e">
        <f>AND(#REF!,"bm18/FBWNjs=")</f>
        <v>#REF!</v>
      </c>
      <c r="BI126" t="e">
        <f>AND(#REF!,"bm18/FBWNjw=")</f>
        <v>#REF!</v>
      </c>
      <c r="BJ126" t="e">
        <f>IF(#REF!,"bm18/FBWNj0=",0)</f>
        <v>#REF!</v>
      </c>
      <c r="BK126" t="e">
        <f>AND(#REF!,"bm18/FBWNj4=")</f>
        <v>#REF!</v>
      </c>
      <c r="BL126" t="e">
        <f>AND(#REF!,"bm18/FBWNj8=")</f>
        <v>#REF!</v>
      </c>
      <c r="BM126" t="e">
        <f>AND(#REF!,"bm18/FBWNkA=")</f>
        <v>#REF!</v>
      </c>
      <c r="BN126" t="e">
        <f>AND(#REF!,"bm18/FBWNkE=")</f>
        <v>#REF!</v>
      </c>
      <c r="BO126" t="e">
        <f>AND(#REF!,"bm18/FBWNkI=")</f>
        <v>#REF!</v>
      </c>
      <c r="BP126" t="e">
        <f>AND(#REF!,"bm18/FBWNkM=")</f>
        <v>#REF!</v>
      </c>
      <c r="BQ126" t="e">
        <f>AND(#REF!,"bm18/FBWNkQ=")</f>
        <v>#REF!</v>
      </c>
      <c r="BR126" t="e">
        <f>AND(#REF!,"bm18/FBWNkU=")</f>
        <v>#REF!</v>
      </c>
      <c r="BS126" t="e">
        <f>AND(#REF!,"bm18/FBWNkY=")</f>
        <v>#REF!</v>
      </c>
      <c r="BT126" t="e">
        <f>AND(#REF!,"bm18/FBWNkc=")</f>
        <v>#REF!</v>
      </c>
      <c r="BU126" t="e">
        <f>IF(#REF!,"bm18/FBWNkg=",0)</f>
        <v>#REF!</v>
      </c>
      <c r="BV126" t="e">
        <f>AND(#REF!,"bm18/FBWNkk=")</f>
        <v>#REF!</v>
      </c>
      <c r="BW126" t="e">
        <f>AND(#REF!,"bm18/FBWNko=")</f>
        <v>#REF!</v>
      </c>
      <c r="BX126" t="e">
        <f>AND(#REF!,"bm18/FBWNks=")</f>
        <v>#REF!</v>
      </c>
      <c r="BY126" t="e">
        <f>AND(#REF!,"bm18/FBWNkw=")</f>
        <v>#REF!</v>
      </c>
      <c r="BZ126" t="e">
        <f>AND(#REF!,"bm18/FBWNk0=")</f>
        <v>#REF!</v>
      </c>
      <c r="CA126" t="e">
        <f>AND(#REF!,"bm18/FBWNk4=")</f>
        <v>#REF!</v>
      </c>
      <c r="CB126" t="e">
        <f>AND(#REF!,"bm18/FBWNk8=")</f>
        <v>#REF!</v>
      </c>
      <c r="CC126" t="e">
        <f>AND(#REF!,"bm18/FBWNlA=")</f>
        <v>#REF!</v>
      </c>
      <c r="CD126" t="e">
        <f>AND(#REF!,"bm18/FBWNlE=")</f>
        <v>#REF!</v>
      </c>
      <c r="CE126" t="e">
        <f>AND(#REF!,"bm18/FBWNlI=")</f>
        <v>#REF!</v>
      </c>
      <c r="CF126" t="e">
        <f>IF(#REF!,"bm18/FBWNlM=",0)</f>
        <v>#REF!</v>
      </c>
      <c r="CG126" t="e">
        <f>AND(#REF!,"bm18/FBWNlQ=")</f>
        <v>#REF!</v>
      </c>
      <c r="CH126" t="e">
        <f>AND(#REF!,"bm18/FBWNlU=")</f>
        <v>#REF!</v>
      </c>
      <c r="CI126" t="e">
        <f>AND(#REF!,"bm18/FBWNlY=")</f>
        <v>#REF!</v>
      </c>
      <c r="CJ126" t="e">
        <f>AND(#REF!,"bm18/FBWNlc=")</f>
        <v>#REF!</v>
      </c>
      <c r="CK126" t="e">
        <f>AND(#REF!,"bm18/FBWNlg=")</f>
        <v>#REF!</v>
      </c>
      <c r="CL126" t="e">
        <f>AND(#REF!,"bm18/FBWNlk=")</f>
        <v>#REF!</v>
      </c>
      <c r="CM126" t="e">
        <f>AND(#REF!,"bm18/FBWNlo=")</f>
        <v>#REF!</v>
      </c>
      <c r="CN126" t="e">
        <f>AND(#REF!,"bm18/FBWNls=")</f>
        <v>#REF!</v>
      </c>
      <c r="CO126" t="e">
        <f>AND(#REF!,"bm18/FBWNlw=")</f>
        <v>#REF!</v>
      </c>
      <c r="CP126" t="e">
        <f>AND(#REF!,"bm18/FBWNl0=")</f>
        <v>#REF!</v>
      </c>
      <c r="CQ126" t="e">
        <f>IF(#REF!,"bm18/FBWNl4=",0)</f>
        <v>#REF!</v>
      </c>
      <c r="CR126" t="e">
        <f>AND(#REF!,"bm18/FBWNl8=")</f>
        <v>#REF!</v>
      </c>
      <c r="CS126" t="e">
        <f>AND(#REF!,"bm18/FBWNmA=")</f>
        <v>#REF!</v>
      </c>
      <c r="CT126" t="e">
        <f>AND(#REF!,"bm18/FBWNmE=")</f>
        <v>#REF!</v>
      </c>
      <c r="CU126" t="e">
        <f>AND(#REF!,"bm18/FBWNmI=")</f>
        <v>#REF!</v>
      </c>
      <c r="CV126" t="e">
        <f>AND(#REF!,"bm18/FBWNmM=")</f>
        <v>#REF!</v>
      </c>
      <c r="CW126" t="e">
        <f>AND(#REF!,"bm18/FBWNmQ=")</f>
        <v>#REF!</v>
      </c>
      <c r="CX126" t="e">
        <f>AND(#REF!,"bm18/FBWNmU=")</f>
        <v>#REF!</v>
      </c>
      <c r="CY126" t="e">
        <f>AND(#REF!,"bm18/FBWNmY=")</f>
        <v>#REF!</v>
      </c>
      <c r="CZ126" t="e">
        <f>AND(#REF!,"bm18/FBWNmc=")</f>
        <v>#REF!</v>
      </c>
      <c r="DA126" t="e">
        <f>AND(#REF!,"bm18/FBWNmg=")</f>
        <v>#REF!</v>
      </c>
      <c r="DB126" t="e">
        <f>IF(#REF!,"bm18/FBWNmk=",0)</f>
        <v>#REF!</v>
      </c>
      <c r="DC126" t="e">
        <f>AND(#REF!,"bm18/FBWNmo=")</f>
        <v>#REF!</v>
      </c>
      <c r="DD126" t="e">
        <f>AND(#REF!,"bm18/FBWNms=")</f>
        <v>#REF!</v>
      </c>
      <c r="DE126" t="e">
        <f>AND(#REF!,"bm18/FBWNmw=")</f>
        <v>#REF!</v>
      </c>
      <c r="DF126" t="e">
        <f>AND(#REF!,"bm18/FBWNm0=")</f>
        <v>#REF!</v>
      </c>
      <c r="DG126" t="e">
        <f>AND(#REF!,"bm18/FBWNm4=")</f>
        <v>#REF!</v>
      </c>
      <c r="DH126" t="e">
        <f>AND(#REF!,"bm18/FBWNm8=")</f>
        <v>#REF!</v>
      </c>
      <c r="DI126" t="e">
        <f>AND(#REF!,"bm18/FBWNnA=")</f>
        <v>#REF!</v>
      </c>
      <c r="DJ126" t="e">
        <f>AND(#REF!,"bm18/FBWNnE=")</f>
        <v>#REF!</v>
      </c>
      <c r="DK126" t="e">
        <f>AND(#REF!,"bm18/FBWNnI=")</f>
        <v>#REF!</v>
      </c>
      <c r="DL126" t="e">
        <f>AND(#REF!,"bm18/FBWNnM=")</f>
        <v>#REF!</v>
      </c>
      <c r="DM126" t="e">
        <f>IF(#REF!,"bm18/FBWNnQ=",0)</f>
        <v>#REF!</v>
      </c>
      <c r="DN126" t="e">
        <f>AND(#REF!,"bm18/FBWNnU=")</f>
        <v>#REF!</v>
      </c>
      <c r="DO126" t="e">
        <f>AND(#REF!,"bm18/FBWNnY=")</f>
        <v>#REF!</v>
      </c>
      <c r="DP126" t="e">
        <f>AND(#REF!,"bm18/FBWNnc=")</f>
        <v>#REF!</v>
      </c>
      <c r="DQ126" t="e">
        <f>AND(#REF!,"bm18/FBWNng=")</f>
        <v>#REF!</v>
      </c>
      <c r="DR126" t="e">
        <f>AND(#REF!,"bm18/FBWNnk=")</f>
        <v>#REF!</v>
      </c>
      <c r="DS126" t="e">
        <f>AND(#REF!,"bm18/FBWNno=")</f>
        <v>#REF!</v>
      </c>
      <c r="DT126" t="e">
        <f>AND(#REF!,"bm18/FBWNns=")</f>
        <v>#REF!</v>
      </c>
      <c r="DU126" t="e">
        <f>AND(#REF!,"bm18/FBWNnw=")</f>
        <v>#REF!</v>
      </c>
      <c r="DV126" t="e">
        <f>AND(#REF!,"bm18/FBWNn0=")</f>
        <v>#REF!</v>
      </c>
      <c r="DW126" t="e">
        <f>AND(#REF!,"bm18/FBWNn4=")</f>
        <v>#REF!</v>
      </c>
      <c r="DX126" t="e">
        <f>IF(#REF!,"bm18/FBWNn8=",0)</f>
        <v>#REF!</v>
      </c>
      <c r="DY126" t="e">
        <f>AND(#REF!,"bm18/FBWNoA=")</f>
        <v>#REF!</v>
      </c>
      <c r="DZ126" t="e">
        <f>AND(#REF!,"bm18/FBWNoE=")</f>
        <v>#REF!</v>
      </c>
      <c r="EA126" t="e">
        <f>AND(#REF!,"bm18/FBWNoI=")</f>
        <v>#REF!</v>
      </c>
      <c r="EB126" t="e">
        <f>AND(#REF!,"bm18/FBWNoM=")</f>
        <v>#REF!</v>
      </c>
      <c r="EC126" t="e">
        <f>AND(#REF!,"bm18/FBWNoQ=")</f>
        <v>#REF!</v>
      </c>
      <c r="ED126" t="e">
        <f>AND(#REF!,"bm18/FBWNoU=")</f>
        <v>#REF!</v>
      </c>
      <c r="EE126" t="e">
        <f>AND(#REF!,"bm18/FBWNoY=")</f>
        <v>#REF!</v>
      </c>
      <c r="EF126" t="e">
        <f>AND(#REF!,"bm18/FBWNoc=")</f>
        <v>#REF!</v>
      </c>
      <c r="EG126" t="e">
        <f>AND(#REF!,"bm18/FBWNog=")</f>
        <v>#REF!</v>
      </c>
      <c r="EH126" t="e">
        <f>AND(#REF!,"bm18/FBWNok=")</f>
        <v>#REF!</v>
      </c>
      <c r="EI126" t="e">
        <f>IF(#REF!,"bm18/FBWNoo=",0)</f>
        <v>#REF!</v>
      </c>
      <c r="EJ126" t="e">
        <f>AND(#REF!,"bm18/FBWNos=")</f>
        <v>#REF!</v>
      </c>
      <c r="EK126" t="e">
        <f>AND(#REF!,"bm18/FBWNow=")</f>
        <v>#REF!</v>
      </c>
      <c r="EL126" t="e">
        <f>AND(#REF!,"bm18/FBWNo0=")</f>
        <v>#REF!</v>
      </c>
      <c r="EM126" t="e">
        <f>AND(#REF!,"bm18/FBWNo4=")</f>
        <v>#REF!</v>
      </c>
      <c r="EN126" t="e">
        <f>AND(#REF!,"bm18/FBWNo8=")</f>
        <v>#REF!</v>
      </c>
      <c r="EO126" t="e">
        <f>AND(#REF!,"bm18/FBWNpA=")</f>
        <v>#REF!</v>
      </c>
      <c r="EP126" t="e">
        <f>AND(#REF!,"bm18/FBWNpE=")</f>
        <v>#REF!</v>
      </c>
      <c r="EQ126" t="e">
        <f>AND(#REF!,"bm18/FBWNpI=")</f>
        <v>#REF!</v>
      </c>
      <c r="ER126" t="e">
        <f>AND(#REF!,"bm18/FBWNpM=")</f>
        <v>#REF!</v>
      </c>
      <c r="ES126" t="e">
        <f>AND(#REF!,"bm18/FBWNpQ=")</f>
        <v>#REF!</v>
      </c>
      <c r="ET126" t="e">
        <f>IF(#REF!,"bm18/FBWNpU=",0)</f>
        <v>#REF!</v>
      </c>
      <c r="EU126" t="e">
        <f>AND(#REF!,"bm18/FBWNpY=")</f>
        <v>#REF!</v>
      </c>
      <c r="EV126" t="e">
        <f>AND(#REF!,"bm18/FBWNpc=")</f>
        <v>#REF!</v>
      </c>
      <c r="EW126" t="e">
        <f>AND(#REF!,"bm18/FBWNpg=")</f>
        <v>#REF!</v>
      </c>
      <c r="EX126" t="e">
        <f>AND(#REF!,"bm18/FBWNpk=")</f>
        <v>#REF!</v>
      </c>
      <c r="EY126" t="e">
        <f>AND(#REF!,"bm18/FBWNpo=")</f>
        <v>#REF!</v>
      </c>
      <c r="EZ126" t="e">
        <f>AND(#REF!,"bm18/FBWNps=")</f>
        <v>#REF!</v>
      </c>
      <c r="FA126" t="e">
        <f>AND(#REF!,"bm18/FBWNpw=")</f>
        <v>#REF!</v>
      </c>
      <c r="FB126" t="e">
        <f>AND(#REF!,"bm18/FBWNp0=")</f>
        <v>#REF!</v>
      </c>
      <c r="FC126" t="e">
        <f>AND(#REF!,"bm18/FBWNp4=")</f>
        <v>#REF!</v>
      </c>
      <c r="FD126" t="e">
        <f>AND(#REF!,"bm18/FBWNp8=")</f>
        <v>#REF!</v>
      </c>
      <c r="FE126" t="e">
        <f>IF(#REF!,"bm18/FBWNqA=",0)</f>
        <v>#REF!</v>
      </c>
      <c r="FF126" t="e">
        <f>AND(#REF!,"bm18/FBWNqE=")</f>
        <v>#REF!</v>
      </c>
      <c r="FG126" t="e">
        <f>AND(#REF!,"bm18/FBWNqI=")</f>
        <v>#REF!</v>
      </c>
      <c r="FH126" t="e">
        <f>AND(#REF!,"bm18/FBWNqM=")</f>
        <v>#REF!</v>
      </c>
      <c r="FI126" t="e">
        <f>AND(#REF!,"bm18/FBWNqQ=")</f>
        <v>#REF!</v>
      </c>
      <c r="FJ126" t="e">
        <f>AND(#REF!,"bm18/FBWNqU=")</f>
        <v>#REF!</v>
      </c>
      <c r="FK126" t="e">
        <f>AND(#REF!,"bm18/FBWNqY=")</f>
        <v>#REF!</v>
      </c>
      <c r="FL126" t="e">
        <f>AND(#REF!,"bm18/FBWNqc=")</f>
        <v>#REF!</v>
      </c>
      <c r="FM126" t="e">
        <f>AND(#REF!,"bm18/FBWNqg=")</f>
        <v>#REF!</v>
      </c>
      <c r="FN126" t="e">
        <f>AND(#REF!,"bm18/FBWNqk=")</f>
        <v>#REF!</v>
      </c>
      <c r="FO126" t="e">
        <f>AND(#REF!,"bm18/FBWNqo=")</f>
        <v>#REF!</v>
      </c>
      <c r="FP126" t="e">
        <f>IF(#REF!,"bm18/FBWNqs=",0)</f>
        <v>#REF!</v>
      </c>
      <c r="FQ126" t="e">
        <f>AND(#REF!,"bm18/FBWNqw=")</f>
        <v>#REF!</v>
      </c>
      <c r="FR126" t="e">
        <f>AND(#REF!,"bm18/FBWNq0=")</f>
        <v>#REF!</v>
      </c>
      <c r="FS126" t="e">
        <f>AND(#REF!,"bm18/FBWNq4=")</f>
        <v>#REF!</v>
      </c>
      <c r="FT126" t="e">
        <f>AND(#REF!,"bm18/FBWNq8=")</f>
        <v>#REF!</v>
      </c>
      <c r="FU126" t="e">
        <f>AND(#REF!,"bm18/FBWNrA=")</f>
        <v>#REF!</v>
      </c>
      <c r="FV126" t="e">
        <f>AND(#REF!,"bm18/FBWNrE=")</f>
        <v>#REF!</v>
      </c>
      <c r="FW126" t="e">
        <f>AND(#REF!,"bm18/FBWNrI=")</f>
        <v>#REF!</v>
      </c>
      <c r="FX126" t="e">
        <f>AND(#REF!,"bm18/FBWNrM=")</f>
        <v>#REF!</v>
      </c>
      <c r="FY126" t="e">
        <f>AND(#REF!,"bm18/FBWNrQ=")</f>
        <v>#REF!</v>
      </c>
      <c r="FZ126" t="e">
        <f>AND(#REF!,"bm18/FBWNrU=")</f>
        <v>#REF!</v>
      </c>
      <c r="GA126" t="e">
        <f>IF(#REF!,"bm18/FBWNrY=",0)</f>
        <v>#REF!</v>
      </c>
      <c r="GB126" t="e">
        <f>AND(#REF!,"bm18/FBWNrc=")</f>
        <v>#REF!</v>
      </c>
      <c r="GC126" t="e">
        <f>AND(#REF!,"bm18/FBWNrg=")</f>
        <v>#REF!</v>
      </c>
      <c r="GD126" t="e">
        <f>AND(#REF!,"bm18/FBWNrk=")</f>
        <v>#REF!</v>
      </c>
      <c r="GE126" t="e">
        <f>AND(#REF!,"bm18/FBWNro=")</f>
        <v>#REF!</v>
      </c>
      <c r="GF126" t="e">
        <f>AND(#REF!,"bm18/FBWNrs=")</f>
        <v>#REF!</v>
      </c>
      <c r="GG126" t="e">
        <f>AND(#REF!,"bm18/FBWNrw=")</f>
        <v>#REF!</v>
      </c>
      <c r="GH126" t="e">
        <f>AND(#REF!,"bm18/FBWNr0=")</f>
        <v>#REF!</v>
      </c>
      <c r="GI126" t="e">
        <f>AND(#REF!,"bm18/FBWNr4=")</f>
        <v>#REF!</v>
      </c>
      <c r="GJ126" t="e">
        <f>AND(#REF!,"bm18/FBWNr8=")</f>
        <v>#REF!</v>
      </c>
      <c r="GK126" t="e">
        <f>AND(#REF!,"bm18/FBWNsA=")</f>
        <v>#REF!</v>
      </c>
      <c r="GL126" t="e">
        <f>IF(#REF!,"bm18/FBWNsE=",0)</f>
        <v>#REF!</v>
      </c>
      <c r="GM126" t="e">
        <f>AND(#REF!,"bm18/FBWNsI=")</f>
        <v>#REF!</v>
      </c>
      <c r="GN126" t="e">
        <f>AND(#REF!,"bm18/FBWNsM=")</f>
        <v>#REF!</v>
      </c>
      <c r="GO126" t="e">
        <f>AND(#REF!,"bm18/FBWNsQ=")</f>
        <v>#REF!</v>
      </c>
      <c r="GP126" t="e">
        <f>AND(#REF!,"bm18/FBWNsU=")</f>
        <v>#REF!</v>
      </c>
      <c r="GQ126" t="e">
        <f>AND(#REF!,"bm18/FBWNsY=")</f>
        <v>#REF!</v>
      </c>
      <c r="GR126" t="e">
        <f>AND(#REF!,"bm18/FBWNsc=")</f>
        <v>#REF!</v>
      </c>
      <c r="GS126" t="e">
        <f>AND(#REF!,"bm18/FBWNsg=")</f>
        <v>#REF!</v>
      </c>
      <c r="GT126" t="e">
        <f>AND(#REF!,"bm18/FBWNsk=")</f>
        <v>#REF!</v>
      </c>
      <c r="GU126" t="e">
        <f>AND(#REF!,"bm18/FBWNso=")</f>
        <v>#REF!</v>
      </c>
      <c r="GV126" t="e">
        <f>AND(#REF!,"bm18/FBWNss=")</f>
        <v>#REF!</v>
      </c>
      <c r="GW126" t="e">
        <f>IF(#REF!,"bm18/FBWNsw=",0)</f>
        <v>#REF!</v>
      </c>
      <c r="GX126" t="e">
        <f>AND(#REF!,"bm18/FBWNs0=")</f>
        <v>#REF!</v>
      </c>
      <c r="GY126" t="e">
        <f>AND(#REF!,"bm18/FBWNs4=")</f>
        <v>#REF!</v>
      </c>
      <c r="GZ126" t="e">
        <f>AND(#REF!,"bm18/FBWNs8=")</f>
        <v>#REF!</v>
      </c>
      <c r="HA126" t="e">
        <f>AND(#REF!,"bm18/FBWNtA=")</f>
        <v>#REF!</v>
      </c>
      <c r="HB126" t="e">
        <f>AND(#REF!,"bm18/FBWNtE=")</f>
        <v>#REF!</v>
      </c>
      <c r="HC126" t="e">
        <f>AND(#REF!,"bm18/FBWNtI=")</f>
        <v>#REF!</v>
      </c>
      <c r="HD126" t="e">
        <f>AND(#REF!,"bm18/FBWNtM=")</f>
        <v>#REF!</v>
      </c>
      <c r="HE126" t="e">
        <f>AND(#REF!,"bm18/FBWNtQ=")</f>
        <v>#REF!</v>
      </c>
      <c r="HF126" t="e">
        <f>AND(#REF!,"bm18/FBWNtU=")</f>
        <v>#REF!</v>
      </c>
      <c r="HG126" t="e">
        <f>AND(#REF!,"bm18/FBWNtY=")</f>
        <v>#REF!</v>
      </c>
      <c r="HH126" t="e">
        <f>IF(#REF!,"bm18/FBWNtc=",0)</f>
        <v>#REF!</v>
      </c>
      <c r="HI126" t="e">
        <f>AND(#REF!,"bm18/FBWNtg=")</f>
        <v>#REF!</v>
      </c>
      <c r="HJ126" t="e">
        <f>AND(#REF!,"bm18/FBWNtk=")</f>
        <v>#REF!</v>
      </c>
      <c r="HK126" t="e">
        <f>AND(#REF!,"bm18/FBWNto=")</f>
        <v>#REF!</v>
      </c>
      <c r="HL126" t="e">
        <f>AND(#REF!,"bm18/FBWNts=")</f>
        <v>#REF!</v>
      </c>
      <c r="HM126" t="e">
        <f>AND(#REF!,"bm18/FBWNtw=")</f>
        <v>#REF!</v>
      </c>
      <c r="HN126" t="e">
        <f>AND(#REF!,"bm18/FBWNt0=")</f>
        <v>#REF!</v>
      </c>
      <c r="HO126" t="e">
        <f>AND(#REF!,"bm18/FBWNt4=")</f>
        <v>#REF!</v>
      </c>
      <c r="HP126" t="e">
        <f>AND(#REF!,"bm18/FBWNt8=")</f>
        <v>#REF!</v>
      </c>
      <c r="HQ126" t="e">
        <f>AND(#REF!,"bm18/FBWNuA=")</f>
        <v>#REF!</v>
      </c>
      <c r="HR126" t="e">
        <f>AND(#REF!,"bm18/FBWNuE=")</f>
        <v>#REF!</v>
      </c>
      <c r="HS126" t="e">
        <f>IF(#REF!,"bm18/FBWNuI=",0)</f>
        <v>#REF!</v>
      </c>
      <c r="HT126" t="e">
        <f>AND(#REF!,"bm18/FBWNuM=")</f>
        <v>#REF!</v>
      </c>
      <c r="HU126" t="e">
        <f>AND(#REF!,"bm18/FBWNuQ=")</f>
        <v>#REF!</v>
      </c>
      <c r="HV126" t="e">
        <f>AND(#REF!,"bm18/FBWNuU=")</f>
        <v>#REF!</v>
      </c>
      <c r="HW126" t="e">
        <f>AND(#REF!,"bm18/FBWNuY=")</f>
        <v>#REF!</v>
      </c>
      <c r="HX126" t="e">
        <f>AND(#REF!,"bm18/FBWNuc=")</f>
        <v>#REF!</v>
      </c>
      <c r="HY126" t="e">
        <f>AND(#REF!,"bm18/FBWNug=")</f>
        <v>#REF!</v>
      </c>
      <c r="HZ126" t="e">
        <f>AND(#REF!,"bm18/FBWNuk=")</f>
        <v>#REF!</v>
      </c>
      <c r="IA126" t="e">
        <f>AND(#REF!,"bm18/FBWNuo=")</f>
        <v>#REF!</v>
      </c>
      <c r="IB126" t="e">
        <f>AND(#REF!,"bm18/FBWNus=")</f>
        <v>#REF!</v>
      </c>
      <c r="IC126" t="e">
        <f>AND(#REF!,"bm18/FBWNuw=")</f>
        <v>#REF!</v>
      </c>
      <c r="ID126" t="e">
        <f>IF(#REF!,"bm18/FBWNu0=",0)</f>
        <v>#REF!</v>
      </c>
      <c r="IE126" t="e">
        <f>AND(#REF!,"bm18/FBWNu4=")</f>
        <v>#REF!</v>
      </c>
      <c r="IF126" t="e">
        <f>AND(#REF!,"bm18/FBWNu8=")</f>
        <v>#REF!</v>
      </c>
      <c r="IG126" t="e">
        <f>AND(#REF!,"bm18/FBWNvA=")</f>
        <v>#REF!</v>
      </c>
      <c r="IH126" t="e">
        <f>AND(#REF!,"bm18/FBWNvE=")</f>
        <v>#REF!</v>
      </c>
      <c r="II126" t="e">
        <f>AND(#REF!,"bm18/FBWNvI=")</f>
        <v>#REF!</v>
      </c>
      <c r="IJ126" t="e">
        <f>AND(#REF!,"bm18/FBWNvM=")</f>
        <v>#REF!</v>
      </c>
      <c r="IK126" t="e">
        <f>AND(#REF!,"bm18/FBWNvQ=")</f>
        <v>#REF!</v>
      </c>
      <c r="IL126" t="e">
        <f>AND(#REF!,"bm18/FBWNvU=")</f>
        <v>#REF!</v>
      </c>
      <c r="IM126" t="e">
        <f>AND(#REF!,"bm18/FBWNvY=")</f>
        <v>#REF!</v>
      </c>
      <c r="IN126" t="e">
        <f>AND(#REF!,"bm18/FBWNvc=")</f>
        <v>#REF!</v>
      </c>
      <c r="IO126" t="e">
        <f>IF(#REF!,"bm18/FBWNvg=",0)</f>
        <v>#REF!</v>
      </c>
      <c r="IP126" t="e">
        <f>AND(#REF!,"bm18/FBWNvk=")</f>
        <v>#REF!</v>
      </c>
      <c r="IQ126" t="e">
        <f>AND(#REF!,"bm18/FBWNvo=")</f>
        <v>#REF!</v>
      </c>
      <c r="IR126" t="e">
        <f>AND(#REF!,"bm18/FBWNvs=")</f>
        <v>#REF!</v>
      </c>
      <c r="IS126" t="e">
        <f>AND(#REF!,"bm18/FBWNvw=")</f>
        <v>#REF!</v>
      </c>
      <c r="IT126" t="e">
        <f>AND(#REF!,"bm18/FBWNv0=")</f>
        <v>#REF!</v>
      </c>
      <c r="IU126" t="e">
        <f>AND(#REF!,"bm18/FBWNv4=")</f>
        <v>#REF!</v>
      </c>
      <c r="IV126" t="e">
        <f>AND(#REF!,"bm18/FBWNv8=")</f>
        <v>#REF!</v>
      </c>
    </row>
    <row r="127" spans="1:256" x14ac:dyDescent="0.2">
      <c r="A127" t="e">
        <f>AND(#REF!,"N+D1gGg4MAA=")</f>
        <v>#REF!</v>
      </c>
      <c r="B127" t="e">
        <f>AND(#REF!,"N+D1gGg4MAE=")</f>
        <v>#REF!</v>
      </c>
      <c r="C127" t="e">
        <f>AND(#REF!,"N+D1gGg4MAI=")</f>
        <v>#REF!</v>
      </c>
      <c r="D127" t="e">
        <f>IF(#REF!,"N+D1gGg4MAM=",0)</f>
        <v>#REF!</v>
      </c>
      <c r="E127" t="e">
        <f>AND(#REF!,"N+D1gGg4MAQ=")</f>
        <v>#REF!</v>
      </c>
      <c r="F127" t="e">
        <f>AND(#REF!,"N+D1gGg4MAU=")</f>
        <v>#REF!</v>
      </c>
      <c r="G127" t="e">
        <f>AND(#REF!,"N+D1gGg4MAY=")</f>
        <v>#REF!</v>
      </c>
      <c r="H127" t="e">
        <f>AND(#REF!,"N+D1gGg4MAc=")</f>
        <v>#REF!</v>
      </c>
      <c r="I127" t="e">
        <f>AND(#REF!,"N+D1gGg4MAg=")</f>
        <v>#REF!</v>
      </c>
      <c r="J127" t="e">
        <f>AND(#REF!,"N+D1gGg4MAk=")</f>
        <v>#REF!</v>
      </c>
      <c r="K127" t="e">
        <f>AND(#REF!,"N+D1gGg4MAo=")</f>
        <v>#REF!</v>
      </c>
      <c r="L127" t="e">
        <f>AND(#REF!,"N+D1gGg4MAs=")</f>
        <v>#REF!</v>
      </c>
      <c r="M127" t="e">
        <f>AND(#REF!,"N+D1gGg4MAw=")</f>
        <v>#REF!</v>
      </c>
      <c r="N127" t="e">
        <f>AND(#REF!,"N+D1gGg4MA0=")</f>
        <v>#REF!</v>
      </c>
      <c r="O127" t="e">
        <f>IF(#REF!,"N+D1gGg4MA4=",0)</f>
        <v>#REF!</v>
      </c>
      <c r="P127" t="e">
        <f>AND(#REF!,"N+D1gGg4MA8=")</f>
        <v>#REF!</v>
      </c>
      <c r="Q127" t="e">
        <f>AND(#REF!,"N+D1gGg4MBA=")</f>
        <v>#REF!</v>
      </c>
      <c r="R127" t="e">
        <f>AND(#REF!,"N+D1gGg4MBE=")</f>
        <v>#REF!</v>
      </c>
      <c r="S127" t="e">
        <f>AND(#REF!,"N+D1gGg4MBI=")</f>
        <v>#REF!</v>
      </c>
      <c r="T127" t="e">
        <f>AND(#REF!,"N+D1gGg4MBM=")</f>
        <v>#REF!</v>
      </c>
      <c r="U127" t="e">
        <f>AND(#REF!,"N+D1gGg4MBQ=")</f>
        <v>#REF!</v>
      </c>
      <c r="V127" t="e">
        <f>AND(#REF!,"N+D1gGg4MBU=")</f>
        <v>#REF!</v>
      </c>
      <c r="W127" t="e">
        <f>AND(#REF!,"N+D1gGg4MBY=")</f>
        <v>#REF!</v>
      </c>
      <c r="X127" t="e">
        <f>AND(#REF!,"N+D1gGg4MBc=")</f>
        <v>#REF!</v>
      </c>
      <c r="Y127" t="e">
        <f>AND(#REF!,"N+D1gGg4MBg=")</f>
        <v>#REF!</v>
      </c>
      <c r="Z127" t="e">
        <f>IF(#REF!,"N+D1gGg4MBk=",0)</f>
        <v>#REF!</v>
      </c>
      <c r="AA127" t="e">
        <f>AND(#REF!,"N+D1gGg4MBo=")</f>
        <v>#REF!</v>
      </c>
      <c r="AB127" t="e">
        <f>AND(#REF!,"N+D1gGg4MBs=")</f>
        <v>#REF!</v>
      </c>
      <c r="AC127" t="e">
        <f>AND(#REF!,"N+D1gGg4MBw=")</f>
        <v>#REF!</v>
      </c>
      <c r="AD127" t="e">
        <f>AND(#REF!,"N+D1gGg4MB0=")</f>
        <v>#REF!</v>
      </c>
      <c r="AE127" t="e">
        <f>AND(#REF!,"N+D1gGg4MB4=")</f>
        <v>#REF!</v>
      </c>
      <c r="AF127" t="e">
        <f>AND(#REF!,"N+D1gGg4MB8=")</f>
        <v>#REF!</v>
      </c>
      <c r="AG127" t="e">
        <f>AND(#REF!,"N+D1gGg4MCA=")</f>
        <v>#REF!</v>
      </c>
      <c r="AH127" t="e">
        <f>AND(#REF!,"N+D1gGg4MCE=")</f>
        <v>#REF!</v>
      </c>
      <c r="AI127" t="e">
        <f>AND(#REF!,"N+D1gGg4MCI=")</f>
        <v>#REF!</v>
      </c>
      <c r="AJ127" t="e">
        <f>AND(#REF!,"N+D1gGg4MCM=")</f>
        <v>#REF!</v>
      </c>
      <c r="AK127" t="e">
        <f>IF(#REF!,"N+D1gGg4MCQ=",0)</f>
        <v>#REF!</v>
      </c>
      <c r="AL127" t="e">
        <f>AND(#REF!,"N+D1gGg4MCU=")</f>
        <v>#REF!</v>
      </c>
      <c r="AM127" t="e">
        <f>AND(#REF!,"N+D1gGg4MCY=")</f>
        <v>#REF!</v>
      </c>
      <c r="AN127" t="e">
        <f>AND(#REF!,"N+D1gGg4MCc=")</f>
        <v>#REF!</v>
      </c>
      <c r="AO127" t="e">
        <f>AND(#REF!,"N+D1gGg4MCg=")</f>
        <v>#REF!</v>
      </c>
      <c r="AP127" t="e">
        <f>AND(#REF!,"N+D1gGg4MCk=")</f>
        <v>#REF!</v>
      </c>
      <c r="AQ127" t="e">
        <f>AND(#REF!,"N+D1gGg4MCo=")</f>
        <v>#REF!</v>
      </c>
      <c r="AR127" t="e">
        <f>AND(#REF!,"N+D1gGg4MCs=")</f>
        <v>#REF!</v>
      </c>
      <c r="AS127" t="e">
        <f>AND(#REF!,"N+D1gGg4MCw=")</f>
        <v>#REF!</v>
      </c>
      <c r="AT127" t="e">
        <f>AND(#REF!,"N+D1gGg4MC0=")</f>
        <v>#REF!</v>
      </c>
      <c r="AU127" t="e">
        <f>AND(#REF!,"N+D1gGg4MC4=")</f>
        <v>#REF!</v>
      </c>
      <c r="AV127" t="e">
        <f>IF(#REF!,"N+D1gGg4MC8=",0)</f>
        <v>#REF!</v>
      </c>
      <c r="AW127" t="e">
        <f>AND(#REF!,"N+D1gGg4MDA=")</f>
        <v>#REF!</v>
      </c>
      <c r="AX127" t="e">
        <f>AND(#REF!,"N+D1gGg4MDE=")</f>
        <v>#REF!</v>
      </c>
      <c r="AY127" t="e">
        <f>AND(#REF!,"N+D1gGg4MDI=")</f>
        <v>#REF!</v>
      </c>
      <c r="AZ127" t="e">
        <f>AND(#REF!,"N+D1gGg4MDM=")</f>
        <v>#REF!</v>
      </c>
      <c r="BA127" t="e">
        <f>AND(#REF!,"N+D1gGg4MDQ=")</f>
        <v>#REF!</v>
      </c>
      <c r="BB127" t="e">
        <f>AND(#REF!,"N+D1gGg4MDU=")</f>
        <v>#REF!</v>
      </c>
      <c r="BC127" t="e">
        <f>AND(#REF!,"N+D1gGg4MDY=")</f>
        <v>#REF!</v>
      </c>
      <c r="BD127" t="e">
        <f>AND(#REF!,"N+D1gGg4MDc=")</f>
        <v>#REF!</v>
      </c>
      <c r="BE127" t="e">
        <f>AND(#REF!,"N+D1gGg4MDg=")</f>
        <v>#REF!</v>
      </c>
      <c r="BF127" t="e">
        <f>AND(#REF!,"N+D1gGg4MDk=")</f>
        <v>#REF!</v>
      </c>
      <c r="BG127" t="e">
        <f>IF(#REF!,"N+D1gGg4MDo=",0)</f>
        <v>#REF!</v>
      </c>
      <c r="BH127" t="e">
        <f>AND(#REF!,"N+D1gGg4MDs=")</f>
        <v>#REF!</v>
      </c>
      <c r="BI127" t="e">
        <f>AND(#REF!,"N+D1gGg4MDw=")</f>
        <v>#REF!</v>
      </c>
      <c r="BJ127" t="e">
        <f>AND(#REF!,"N+D1gGg4MD0=")</f>
        <v>#REF!</v>
      </c>
      <c r="BK127" t="e">
        <f>AND(#REF!,"N+D1gGg4MD4=")</f>
        <v>#REF!</v>
      </c>
      <c r="BL127" t="e">
        <f>AND(#REF!,"N+D1gGg4MD8=")</f>
        <v>#REF!</v>
      </c>
      <c r="BM127" t="e">
        <f>AND(#REF!,"N+D1gGg4MEA=")</f>
        <v>#REF!</v>
      </c>
      <c r="BN127" t="e">
        <f>AND(#REF!,"N+D1gGg4MEE=")</f>
        <v>#REF!</v>
      </c>
      <c r="BO127" t="e">
        <f>AND(#REF!,"N+D1gGg4MEI=")</f>
        <v>#REF!</v>
      </c>
      <c r="BP127" t="e">
        <f>AND(#REF!,"N+D1gGg4MEM=")</f>
        <v>#REF!</v>
      </c>
      <c r="BQ127" t="e">
        <f>AND(#REF!,"N+D1gGg4MEQ=")</f>
        <v>#REF!</v>
      </c>
      <c r="BR127" t="e">
        <f>IF(#REF!,"N+D1gGg4MEU=",0)</f>
        <v>#REF!</v>
      </c>
      <c r="BS127" t="e">
        <f>AND(#REF!,"N+D1gGg4MEY=")</f>
        <v>#REF!</v>
      </c>
      <c r="BT127" t="e">
        <f>AND(#REF!,"N+D1gGg4MEc=")</f>
        <v>#REF!</v>
      </c>
      <c r="BU127" t="e">
        <f>AND(#REF!,"N+D1gGg4MEg=")</f>
        <v>#REF!</v>
      </c>
      <c r="BV127" t="e">
        <f>AND(#REF!,"N+D1gGg4MEk=")</f>
        <v>#REF!</v>
      </c>
      <c r="BW127" t="e">
        <f>AND(#REF!,"N+D1gGg4MEo=")</f>
        <v>#REF!</v>
      </c>
      <c r="BX127" t="e">
        <f>AND(#REF!,"N+D1gGg4MEs=")</f>
        <v>#REF!</v>
      </c>
      <c r="BY127" t="e">
        <f>AND(#REF!,"N+D1gGg4MEw=")</f>
        <v>#REF!</v>
      </c>
      <c r="BZ127" t="e">
        <f>AND(#REF!,"N+D1gGg4ME0=")</f>
        <v>#REF!</v>
      </c>
      <c r="CA127" t="e">
        <f>AND(#REF!,"N+D1gGg4ME4=")</f>
        <v>#REF!</v>
      </c>
      <c r="CB127" t="e">
        <f>AND(#REF!,"N+D1gGg4ME8=")</f>
        <v>#REF!</v>
      </c>
      <c r="CC127" t="e">
        <f>IF(#REF!,"N+D1gGg4MFA=",0)</f>
        <v>#REF!</v>
      </c>
      <c r="CD127" t="e">
        <f>AND(#REF!,"N+D1gGg4MFE=")</f>
        <v>#REF!</v>
      </c>
      <c r="CE127" t="e">
        <f>AND(#REF!,"N+D1gGg4MFI=")</f>
        <v>#REF!</v>
      </c>
      <c r="CF127" t="e">
        <f>AND(#REF!,"N+D1gGg4MFM=")</f>
        <v>#REF!</v>
      </c>
      <c r="CG127" t="e">
        <f>AND(#REF!,"N+D1gGg4MFQ=")</f>
        <v>#REF!</v>
      </c>
      <c r="CH127" t="e">
        <f>AND(#REF!,"N+D1gGg4MFU=")</f>
        <v>#REF!</v>
      </c>
      <c r="CI127" t="e">
        <f>AND(#REF!,"N+D1gGg4MFY=")</f>
        <v>#REF!</v>
      </c>
      <c r="CJ127" t="e">
        <f>AND(#REF!,"N+D1gGg4MFc=")</f>
        <v>#REF!</v>
      </c>
      <c r="CK127" t="e">
        <f>AND(#REF!,"N+D1gGg4MFg=")</f>
        <v>#REF!</v>
      </c>
      <c r="CL127" t="e">
        <f>AND(#REF!,"N+D1gGg4MFk=")</f>
        <v>#REF!</v>
      </c>
      <c r="CM127" t="e">
        <f>AND(#REF!,"N+D1gGg4MFo=")</f>
        <v>#REF!</v>
      </c>
      <c r="CN127" t="e">
        <f>IF(#REF!,"N+D1gGg4MFs=",0)</f>
        <v>#REF!</v>
      </c>
      <c r="CO127" t="e">
        <f>AND(#REF!,"N+D1gGg4MFw=")</f>
        <v>#REF!</v>
      </c>
      <c r="CP127" t="e">
        <f>AND(#REF!,"N+D1gGg4MF0=")</f>
        <v>#REF!</v>
      </c>
      <c r="CQ127" t="e">
        <f>AND(#REF!,"N+D1gGg4MF4=")</f>
        <v>#REF!</v>
      </c>
      <c r="CR127" t="e">
        <f>AND(#REF!,"N+D1gGg4MF8=")</f>
        <v>#REF!</v>
      </c>
      <c r="CS127" t="e">
        <f>AND(#REF!,"N+D1gGg4MGA=")</f>
        <v>#REF!</v>
      </c>
      <c r="CT127" t="e">
        <f>AND(#REF!,"N+D1gGg4MGE=")</f>
        <v>#REF!</v>
      </c>
      <c r="CU127" t="e">
        <f>AND(#REF!,"N+D1gGg4MGI=")</f>
        <v>#REF!</v>
      </c>
      <c r="CV127" t="e">
        <f>AND(#REF!,"N+D1gGg4MGM=")</f>
        <v>#REF!</v>
      </c>
      <c r="CW127" t="e">
        <f>AND(#REF!,"N+D1gGg4MGQ=")</f>
        <v>#REF!</v>
      </c>
      <c r="CX127" t="e">
        <f>AND(#REF!,"N+D1gGg4MGU=")</f>
        <v>#REF!</v>
      </c>
      <c r="CY127" t="e">
        <f>IF(#REF!,"N+D1gGg4MGY=",0)</f>
        <v>#REF!</v>
      </c>
      <c r="CZ127" t="e">
        <f>IF(#REF!,"N+D1gGg4MGc=",0)</f>
        <v>#REF!</v>
      </c>
      <c r="DA127" t="e">
        <f>IF(#REF!,"N+D1gGg4MGg=",0)</f>
        <v>#REF!</v>
      </c>
      <c r="DB127" t="e">
        <f>IF(#REF!,"N+D1gGg4MGk=",0)</f>
        <v>#REF!</v>
      </c>
      <c r="DC127" t="e">
        <f>IF(#REF!,"N+D1gGg4MGo=",0)</f>
        <v>#REF!</v>
      </c>
      <c r="DD127" t="e">
        <f>IF(#REF!,"N+D1gGg4MGs=",0)</f>
        <v>#REF!</v>
      </c>
      <c r="DE127" t="e">
        <f>IF(#REF!,"N+D1gGg4MGw=",0)</f>
        <v>#REF!</v>
      </c>
      <c r="DF127" t="e">
        <f>IF(#REF!,"N+D1gGg4MG0=",0)</f>
        <v>#REF!</v>
      </c>
      <c r="DG127" t="e">
        <f>IF(#REF!,"N+D1gGg4MG4=",0)</f>
        <v>#REF!</v>
      </c>
      <c r="DH127" t="e">
        <f>IF(#REF!,"N+D1gGg4MG8=",0)</f>
        <v>#REF!</v>
      </c>
      <c r="DI127" t="e">
        <f>IF(#REF!,"N+D1gGg4MHA=",0)</f>
        <v>#REF!</v>
      </c>
      <c r="DJ127" t="e">
        <f>IF(#REF!,"N+D1gGg4MHE=",0)</f>
        <v>#REF!</v>
      </c>
      <c r="DK127" t="e">
        <f>IF(#REF!,"N+D1gGg4MHI=",0)</f>
        <v>#REF!</v>
      </c>
      <c r="DL127" t="e">
        <f>IF(#REF!,"N+D1gGg4MHM=",0)</f>
        <v>#REF!</v>
      </c>
      <c r="DM127" t="e">
        <f>AND(#REF!,"N+D1gGg4MHQ=")</f>
        <v>#REF!</v>
      </c>
      <c r="DN127" t="e">
        <f>IF(#REF!,"N+D1gGg4MHU=",0)</f>
        <v>#REF!</v>
      </c>
      <c r="DO127" t="e">
        <f>IF(#REF!,"N+D1gGg4MHY=",0)</f>
        <v>#REF!</v>
      </c>
      <c r="DP127" t="e">
        <f>AND(#REF!,"N+D1gGg4MHc=")</f>
        <v>#REF!</v>
      </c>
      <c r="DQ127" t="e">
        <f>AND(#REF!,"N+D1gGg4MHg=")</f>
        <v>#REF!</v>
      </c>
      <c r="DR127" t="e">
        <f>AND(#REF!,"N+D1gGg4MHk=")</f>
        <v>#REF!</v>
      </c>
      <c r="DS127" t="e">
        <f>AND(#REF!,"N+D1gGg4MHo=")</f>
        <v>#REF!</v>
      </c>
      <c r="DT127" t="e">
        <f>AND(#REF!,"N+D1gGg4MHs=")</f>
        <v>#REF!</v>
      </c>
      <c r="DU127" t="e">
        <f>AND(#REF!,"N+D1gGg4MHw=")</f>
        <v>#REF!</v>
      </c>
      <c r="DV127" t="e">
        <f>AND(#REF!,"N+D1gGg4MH0=")</f>
        <v>#REF!</v>
      </c>
      <c r="DW127" t="e">
        <f>AND(#REF!,"N+D1gGg4MH4=")</f>
        <v>#REF!</v>
      </c>
      <c r="DX127" t="e">
        <f>AND(#REF!,"N+D1gGg4MH8=")</f>
        <v>#REF!</v>
      </c>
      <c r="DY127" t="e">
        <f>AND(#REF!,"N+D1gGg4MIA=")</f>
        <v>#REF!</v>
      </c>
      <c r="DZ127" t="e">
        <f>AND(#REF!,"N+D1gGg4MIE=")</f>
        <v>#REF!</v>
      </c>
      <c r="EA127" t="e">
        <f>AND(#REF!,"N+D1gGg4MII=")</f>
        <v>#REF!</v>
      </c>
      <c r="EB127" t="e">
        <f>AND(#REF!,"N+D1gGg4MIM=")</f>
        <v>#REF!</v>
      </c>
      <c r="EC127" t="e">
        <f>AND(#REF!,"N+D1gGg4MIQ=")</f>
        <v>#REF!</v>
      </c>
      <c r="ED127" t="e">
        <f>AND(#REF!,"N+D1gGg4MIU=")</f>
        <v>#REF!</v>
      </c>
      <c r="EE127" t="e">
        <f>AND(#REF!,"N+D1gGg4MIY=")</f>
        <v>#REF!</v>
      </c>
      <c r="EF127" t="e">
        <f>AND(#REF!,"N+D1gGg4MIc=")</f>
        <v>#REF!</v>
      </c>
      <c r="EG127" t="e">
        <f>AND(#REF!,"N+D1gGg4MIg=")</f>
        <v>#REF!</v>
      </c>
      <c r="EH127" t="e">
        <f>AND(#REF!,"N+D1gGg4MIk=")</f>
        <v>#REF!</v>
      </c>
      <c r="EI127" t="e">
        <f>AND(#REF!,"N+D1gGg4MIo=")</f>
        <v>#REF!</v>
      </c>
      <c r="EJ127" t="e">
        <f>AND(#REF!,"N+D1gGg4MIs=")</f>
        <v>#REF!</v>
      </c>
      <c r="EK127" t="e">
        <f>AND(#REF!,"N+D1gGg4MIw=")</f>
        <v>#REF!</v>
      </c>
      <c r="EL127" t="e">
        <f>AND(#REF!,"N+D1gGg4MI0=")</f>
        <v>#REF!</v>
      </c>
      <c r="EM127" t="e">
        <f>AND(#REF!,"N+D1gGg4MI4=")</f>
        <v>#REF!</v>
      </c>
      <c r="EN127" t="e">
        <f>AND(#REF!,"N+D1gGg4MI8=")</f>
        <v>#REF!</v>
      </c>
      <c r="EO127" t="e">
        <f>AND(#REF!,"N+D1gGg4MJA=")</f>
        <v>#REF!</v>
      </c>
      <c r="EP127" t="e">
        <f>AND(#REF!,"N+D1gGg4MJE=")</f>
        <v>#REF!</v>
      </c>
      <c r="EQ127" t="e">
        <f>AND(#REF!,"N+D1gGg4MJI=")</f>
        <v>#REF!</v>
      </c>
      <c r="ER127" t="e">
        <f>AND(#REF!,"N+D1gGg4MJM=")</f>
        <v>#REF!</v>
      </c>
      <c r="ES127" t="e">
        <f>AND(#REF!,"N+D1gGg4MJQ=")</f>
        <v>#REF!</v>
      </c>
      <c r="ET127" t="e">
        <f>AND(#REF!,"N+D1gGg4MJU=")</f>
        <v>#REF!</v>
      </c>
      <c r="EU127" t="e">
        <f>IF(#REF!,"N+D1gGg4MJY=",0)</f>
        <v>#REF!</v>
      </c>
      <c r="EV127" t="e">
        <f>AND(#REF!,"N+D1gGg4MJc=")</f>
        <v>#REF!</v>
      </c>
      <c r="EW127" t="e">
        <f>AND(#REF!,"N+D1gGg4MJg=")</f>
        <v>#REF!</v>
      </c>
      <c r="EX127" t="e">
        <f>AND(#REF!,"N+D1gGg4MJk=")</f>
        <v>#REF!</v>
      </c>
      <c r="EY127" t="e">
        <f>AND(#REF!,"N+D1gGg4MJo=")</f>
        <v>#REF!</v>
      </c>
      <c r="EZ127" t="e">
        <f>AND(#REF!,"N+D1gGg4MJs=")</f>
        <v>#REF!</v>
      </c>
      <c r="FA127" t="e">
        <f>AND(#REF!,"N+D1gGg4MJw=")</f>
        <v>#REF!</v>
      </c>
      <c r="FB127" t="e">
        <f>AND(#REF!,"N+D1gGg4MJ0=")</f>
        <v>#REF!</v>
      </c>
      <c r="FC127" t="e">
        <f>AND(#REF!,"N+D1gGg4MJ4=")</f>
        <v>#REF!</v>
      </c>
      <c r="FD127" t="e">
        <f>AND(#REF!,"N+D1gGg4MJ8=")</f>
        <v>#REF!</v>
      </c>
      <c r="FE127" t="e">
        <f>AND(#REF!,"N+D1gGg4MKA=")</f>
        <v>#REF!</v>
      </c>
      <c r="FF127" t="e">
        <f>AND(#REF!,"N+D1gGg4MKE=")</f>
        <v>#REF!</v>
      </c>
      <c r="FG127" t="e">
        <f>AND(#REF!,"N+D1gGg4MKI=")</f>
        <v>#REF!</v>
      </c>
      <c r="FH127" t="e">
        <f>AND(#REF!,"N+D1gGg4MKM=")</f>
        <v>#REF!</v>
      </c>
      <c r="FI127" t="e">
        <f>AND(#REF!,"N+D1gGg4MKQ=")</f>
        <v>#REF!</v>
      </c>
      <c r="FJ127" t="e">
        <f>AND(#REF!,"N+D1gGg4MKU=")</f>
        <v>#REF!</v>
      </c>
      <c r="FK127" t="e">
        <f>AND(#REF!,"N+D1gGg4MKY=")</f>
        <v>#REF!</v>
      </c>
      <c r="FL127" t="e">
        <f>AND(#REF!,"N+D1gGg4MKc=")</f>
        <v>#REF!</v>
      </c>
      <c r="FM127" t="e">
        <f>AND(#REF!,"N+D1gGg4MKg=")</f>
        <v>#REF!</v>
      </c>
      <c r="FN127" t="e">
        <f>AND(#REF!,"N+D1gGg4MKk=")</f>
        <v>#REF!</v>
      </c>
      <c r="FO127" t="e">
        <f>AND(#REF!,"N+D1gGg4MKo=")</f>
        <v>#REF!</v>
      </c>
      <c r="FP127" t="e">
        <f>AND(#REF!,"N+D1gGg4MKs=")</f>
        <v>#REF!</v>
      </c>
      <c r="FQ127" t="e">
        <f>AND(#REF!,"N+D1gGg4MKw=")</f>
        <v>#REF!</v>
      </c>
      <c r="FR127" t="e">
        <f>AND(#REF!,"N+D1gGg4MK0=")</f>
        <v>#REF!</v>
      </c>
      <c r="FS127" t="e">
        <f>AND(#REF!,"N+D1gGg4MK4=")</f>
        <v>#REF!</v>
      </c>
      <c r="FT127" t="e">
        <f>AND(#REF!,"N+D1gGg4MK8=")</f>
        <v>#REF!</v>
      </c>
      <c r="FU127" t="e">
        <f>AND(#REF!,"N+D1gGg4MLA=")</f>
        <v>#REF!</v>
      </c>
      <c r="FV127" t="e">
        <f>AND(#REF!,"N+D1gGg4MLE=")</f>
        <v>#REF!</v>
      </c>
      <c r="FW127" t="e">
        <f>AND(#REF!,"N+D1gGg4MLI=")</f>
        <v>#REF!</v>
      </c>
      <c r="FX127" t="e">
        <f>AND(#REF!,"N+D1gGg4MLM=")</f>
        <v>#REF!</v>
      </c>
      <c r="FY127" t="e">
        <f>AND(#REF!,"N+D1gGg4MLQ=")</f>
        <v>#REF!</v>
      </c>
      <c r="FZ127" t="e">
        <f>AND(#REF!,"N+D1gGg4MLU=")</f>
        <v>#REF!</v>
      </c>
      <c r="GA127" t="e">
        <f>IF(#REF!,"N+D1gGg4MLY=",0)</f>
        <v>#REF!</v>
      </c>
      <c r="GB127" t="e">
        <f>AND(#REF!,"N+D1gGg4MLc=")</f>
        <v>#REF!</v>
      </c>
      <c r="GC127" t="e">
        <f>AND(#REF!,"N+D1gGg4MLg=")</f>
        <v>#REF!</v>
      </c>
      <c r="GD127" t="e">
        <f>AND(#REF!,"N+D1gGg4MLk=")</f>
        <v>#REF!</v>
      </c>
      <c r="GE127" t="e">
        <f>AND(#REF!,"N+D1gGg4MLo=")</f>
        <v>#REF!</v>
      </c>
      <c r="GF127" t="e">
        <f>AND(#REF!,"N+D1gGg4MLs=")</f>
        <v>#REF!</v>
      </c>
      <c r="GG127" t="e">
        <f>AND(#REF!,"N+D1gGg4MLw=")</f>
        <v>#REF!</v>
      </c>
      <c r="GH127" t="e">
        <f>AND(#REF!,"N+D1gGg4ML0=")</f>
        <v>#REF!</v>
      </c>
      <c r="GI127" t="e">
        <f>AND(#REF!,"N+D1gGg4ML4=")</f>
        <v>#REF!</v>
      </c>
      <c r="GJ127" t="e">
        <f>AND(#REF!,"N+D1gGg4ML8=")</f>
        <v>#REF!</v>
      </c>
      <c r="GK127" t="e">
        <f>AND(#REF!,"N+D1gGg4MMA=")</f>
        <v>#REF!</v>
      </c>
      <c r="GL127" t="e">
        <f>AND(#REF!,"N+D1gGg4MME=")</f>
        <v>#REF!</v>
      </c>
      <c r="GM127" t="e">
        <f>AND(#REF!,"N+D1gGg4MMI=")</f>
        <v>#REF!</v>
      </c>
      <c r="GN127" t="e">
        <f>AND(#REF!,"N+D1gGg4MMM=")</f>
        <v>#REF!</v>
      </c>
      <c r="GO127" t="e">
        <f>AND(#REF!,"N+D1gGg4MMQ=")</f>
        <v>#REF!</v>
      </c>
      <c r="GP127" t="e">
        <f>AND(#REF!,"N+D1gGg4MMU=")</f>
        <v>#REF!</v>
      </c>
      <c r="GQ127" t="e">
        <f>AND(#REF!,"N+D1gGg4MMY=")</f>
        <v>#REF!</v>
      </c>
      <c r="GR127" t="e">
        <f>AND(#REF!,"N+D1gGg4MMc=")</f>
        <v>#REF!</v>
      </c>
      <c r="GS127" t="e">
        <f>AND(#REF!,"N+D1gGg4MMg=")</f>
        <v>#REF!</v>
      </c>
      <c r="GT127" t="e">
        <f>AND(#REF!,"N+D1gGg4MMk=")</f>
        <v>#REF!</v>
      </c>
      <c r="GU127" t="e">
        <f>AND(#REF!,"N+D1gGg4MMo=")</f>
        <v>#REF!</v>
      </c>
      <c r="GV127" t="e">
        <f>AND(#REF!,"N+D1gGg4MMs=")</f>
        <v>#REF!</v>
      </c>
      <c r="GW127" t="e">
        <f>AND(#REF!,"N+D1gGg4MMw=")</f>
        <v>#REF!</v>
      </c>
      <c r="GX127" t="e">
        <f>AND(#REF!,"N+D1gGg4MM0=")</f>
        <v>#REF!</v>
      </c>
      <c r="GY127" t="e">
        <f>AND(#REF!,"N+D1gGg4MM4=")</f>
        <v>#REF!</v>
      </c>
      <c r="GZ127" t="e">
        <f>AND(#REF!,"N+D1gGg4MM8=")</f>
        <v>#REF!</v>
      </c>
      <c r="HA127" t="e">
        <f>AND(#REF!,"N+D1gGg4MNA=")</f>
        <v>#REF!</v>
      </c>
      <c r="HB127" t="e">
        <f>AND(#REF!,"N+D1gGg4MNE=")</f>
        <v>#REF!</v>
      </c>
      <c r="HC127" t="e">
        <f>AND(#REF!,"N+D1gGg4MNI=")</f>
        <v>#REF!</v>
      </c>
      <c r="HD127" t="e">
        <f>AND(#REF!,"N+D1gGg4MNM=")</f>
        <v>#REF!</v>
      </c>
      <c r="HE127" t="e">
        <f>AND(#REF!,"N+D1gGg4MNQ=")</f>
        <v>#REF!</v>
      </c>
      <c r="HF127" t="e">
        <f>AND(#REF!,"N+D1gGg4MNU=")</f>
        <v>#REF!</v>
      </c>
      <c r="HG127" t="e">
        <f>IF(#REF!,"N+D1gGg4MNY=",0)</f>
        <v>#REF!</v>
      </c>
      <c r="HH127" t="e">
        <f>AND(#REF!,"N+D1gGg4MNc=")</f>
        <v>#REF!</v>
      </c>
      <c r="HI127" t="e">
        <f>AND(#REF!,"N+D1gGg4MNg=")</f>
        <v>#REF!</v>
      </c>
      <c r="HJ127" t="e">
        <f>AND(#REF!,"N+D1gGg4MNk=")</f>
        <v>#REF!</v>
      </c>
      <c r="HK127" t="e">
        <f>AND(#REF!,"N+D1gGg4MNo=")</f>
        <v>#REF!</v>
      </c>
      <c r="HL127" t="e">
        <f>AND(#REF!,"N+D1gGg4MNs=")</f>
        <v>#REF!</v>
      </c>
      <c r="HM127" t="e">
        <f>AND(#REF!,"N+D1gGg4MNw=")</f>
        <v>#REF!</v>
      </c>
      <c r="HN127" t="e">
        <f>AND(#REF!,"N+D1gGg4MN0=")</f>
        <v>#REF!</v>
      </c>
      <c r="HO127" t="e">
        <f>AND(#REF!,"N+D1gGg4MN4=")</f>
        <v>#REF!</v>
      </c>
      <c r="HP127" t="e">
        <f>AND(#REF!,"N+D1gGg4MN8=")</f>
        <v>#REF!</v>
      </c>
      <c r="HQ127" t="e">
        <f>AND(#REF!,"N+D1gGg4MOA=")</f>
        <v>#REF!</v>
      </c>
      <c r="HR127" t="e">
        <f>AND(#REF!,"N+D1gGg4MOE=")</f>
        <v>#REF!</v>
      </c>
      <c r="HS127" t="e">
        <f>AND(#REF!,"N+D1gGg4MOI=")</f>
        <v>#REF!</v>
      </c>
      <c r="HT127" t="e">
        <f>AND(#REF!,"N+D1gGg4MOM=")</f>
        <v>#REF!</v>
      </c>
      <c r="HU127" t="e">
        <f>AND(#REF!,"N+D1gGg4MOQ=")</f>
        <v>#REF!</v>
      </c>
      <c r="HV127" t="e">
        <f>AND(#REF!,"N+D1gGg4MOU=")</f>
        <v>#REF!</v>
      </c>
      <c r="HW127" t="e">
        <f>AND(#REF!,"N+D1gGg4MOY=")</f>
        <v>#REF!</v>
      </c>
      <c r="HX127" t="e">
        <f>AND(#REF!,"N+D1gGg4MOc=")</f>
        <v>#REF!</v>
      </c>
      <c r="HY127" t="e">
        <f>AND(#REF!,"N+D1gGg4MOg=")</f>
        <v>#REF!</v>
      </c>
      <c r="HZ127" t="e">
        <f>AND(#REF!,"N+D1gGg4MOk=")</f>
        <v>#REF!</v>
      </c>
      <c r="IA127" t="e">
        <f>AND(#REF!,"N+D1gGg4MOo=")</f>
        <v>#REF!</v>
      </c>
      <c r="IB127" t="e">
        <f>AND(#REF!,"N+D1gGg4MOs=")</f>
        <v>#REF!</v>
      </c>
      <c r="IC127" t="e">
        <f>AND(#REF!,"N+D1gGg4MOw=")</f>
        <v>#REF!</v>
      </c>
      <c r="ID127" t="e">
        <f>AND(#REF!,"N+D1gGg4MO0=")</f>
        <v>#REF!</v>
      </c>
      <c r="IE127" t="e">
        <f>AND(#REF!,"N+D1gGg4MO4=")</f>
        <v>#REF!</v>
      </c>
      <c r="IF127" t="e">
        <f>AND(#REF!,"N+D1gGg4MO8=")</f>
        <v>#REF!</v>
      </c>
      <c r="IG127" t="e">
        <f>AND(#REF!,"N+D1gGg4MPA=")</f>
        <v>#REF!</v>
      </c>
      <c r="IH127" t="e">
        <f>AND(#REF!,"N+D1gGg4MPE=")</f>
        <v>#REF!</v>
      </c>
      <c r="II127" t="e">
        <f>AND(#REF!,"N+D1gGg4MPI=")</f>
        <v>#REF!</v>
      </c>
      <c r="IJ127" t="e">
        <f>AND(#REF!,"N+D1gGg4MPM=")</f>
        <v>#REF!</v>
      </c>
      <c r="IK127" t="e">
        <f>AND(#REF!,"N+D1gGg4MPQ=")</f>
        <v>#REF!</v>
      </c>
      <c r="IL127" t="e">
        <f>AND(#REF!,"N+D1gGg4MPU=")</f>
        <v>#REF!</v>
      </c>
      <c r="IM127" t="e">
        <f>IF(#REF!,"N+D1gGg4MPY=",0)</f>
        <v>#REF!</v>
      </c>
      <c r="IN127" t="e">
        <f>AND(#REF!,"N+D1gGg4MPc=")</f>
        <v>#REF!</v>
      </c>
      <c r="IO127" t="e">
        <f>AND(#REF!,"N+D1gGg4MPg=")</f>
        <v>#REF!</v>
      </c>
      <c r="IP127" t="e">
        <f>AND(#REF!,"N+D1gGg4MPk=")</f>
        <v>#REF!</v>
      </c>
      <c r="IQ127" t="e">
        <f>AND(#REF!,"N+D1gGg4MPo=")</f>
        <v>#REF!</v>
      </c>
      <c r="IR127" t="e">
        <f>AND(#REF!,"N+D1gGg4MPs=")</f>
        <v>#REF!</v>
      </c>
      <c r="IS127" t="e">
        <f>AND(#REF!,"N+D1gGg4MPw=")</f>
        <v>#REF!</v>
      </c>
      <c r="IT127" t="e">
        <f>AND(#REF!,"N+D1gGg4MP0=")</f>
        <v>#REF!</v>
      </c>
      <c r="IU127" t="e">
        <f>AND(#REF!,"N+D1gGg4MP4=")</f>
        <v>#REF!</v>
      </c>
      <c r="IV127" t="e">
        <f>AND(#REF!,"N+D1gGg4MP8=")</f>
        <v>#REF!</v>
      </c>
    </row>
    <row r="128" spans="1:256" x14ac:dyDescent="0.2">
      <c r="A128" t="e">
        <f>AND(#REF!,"XR6vaWr3QAA=")</f>
        <v>#REF!</v>
      </c>
      <c r="B128" t="e">
        <f>AND(#REF!,"XR6vaWr3QAE=")</f>
        <v>#REF!</v>
      </c>
      <c r="C128" t="e">
        <f>AND(#REF!,"XR6vaWr3QAI=")</f>
        <v>#REF!</v>
      </c>
      <c r="D128" t="e">
        <f>AND(#REF!,"XR6vaWr3QAM=")</f>
        <v>#REF!</v>
      </c>
      <c r="E128" t="e">
        <f>AND(#REF!,"XR6vaWr3QAQ=")</f>
        <v>#REF!</v>
      </c>
      <c r="F128" t="e">
        <f>AND(#REF!,"XR6vaWr3QAU=")</f>
        <v>#REF!</v>
      </c>
      <c r="G128" t="e">
        <f>AND(#REF!,"XR6vaWr3QAY=")</f>
        <v>#REF!</v>
      </c>
      <c r="H128" t="e">
        <f>AND(#REF!,"XR6vaWr3QAc=")</f>
        <v>#REF!</v>
      </c>
      <c r="I128" t="e">
        <f>AND(#REF!,"XR6vaWr3QAg=")</f>
        <v>#REF!</v>
      </c>
      <c r="J128" t="e">
        <f>AND(#REF!,"XR6vaWr3QAk=")</f>
        <v>#REF!</v>
      </c>
      <c r="K128" t="e">
        <f>AND(#REF!,"XR6vaWr3QAo=")</f>
        <v>#REF!</v>
      </c>
      <c r="L128" t="e">
        <f>AND(#REF!,"XR6vaWr3QAs=")</f>
        <v>#REF!</v>
      </c>
      <c r="M128" t="e">
        <f>AND(#REF!,"XR6vaWr3QAw=")</f>
        <v>#REF!</v>
      </c>
      <c r="N128" t="e">
        <f>AND(#REF!,"XR6vaWr3QA0=")</f>
        <v>#REF!</v>
      </c>
      <c r="O128" t="e">
        <f>AND(#REF!,"XR6vaWr3QA4=")</f>
        <v>#REF!</v>
      </c>
      <c r="P128" t="e">
        <f>AND(#REF!,"XR6vaWr3QA8=")</f>
        <v>#REF!</v>
      </c>
      <c r="Q128" t="e">
        <f>AND(#REF!,"XR6vaWr3QBA=")</f>
        <v>#REF!</v>
      </c>
      <c r="R128" t="e">
        <f>AND(#REF!,"XR6vaWr3QBE=")</f>
        <v>#REF!</v>
      </c>
      <c r="S128" t="e">
        <f>AND(#REF!,"XR6vaWr3QBI=")</f>
        <v>#REF!</v>
      </c>
      <c r="T128" t="e">
        <f>AND(#REF!,"XR6vaWr3QBM=")</f>
        <v>#REF!</v>
      </c>
      <c r="U128" t="e">
        <f>AND(#REF!,"XR6vaWr3QBQ=")</f>
        <v>#REF!</v>
      </c>
      <c r="V128" t="e">
        <f>AND(#REF!,"XR6vaWr3QBU=")</f>
        <v>#REF!</v>
      </c>
      <c r="W128" t="e">
        <f>IF(#REF!,"XR6vaWr3QBY=",0)</f>
        <v>#REF!</v>
      </c>
      <c r="X128" t="e">
        <f>AND(#REF!,"XR6vaWr3QBc=")</f>
        <v>#REF!</v>
      </c>
      <c r="Y128" t="e">
        <f>AND(#REF!,"XR6vaWr3QBg=")</f>
        <v>#REF!</v>
      </c>
      <c r="Z128" t="e">
        <f>AND(#REF!,"XR6vaWr3QBk=")</f>
        <v>#REF!</v>
      </c>
      <c r="AA128" t="e">
        <f>AND(#REF!,"XR6vaWr3QBo=")</f>
        <v>#REF!</v>
      </c>
      <c r="AB128" t="e">
        <f>AND(#REF!,"XR6vaWr3QBs=")</f>
        <v>#REF!</v>
      </c>
      <c r="AC128" t="e">
        <f>AND(#REF!,"XR6vaWr3QBw=")</f>
        <v>#REF!</v>
      </c>
      <c r="AD128" t="e">
        <f>AND(#REF!,"XR6vaWr3QB0=")</f>
        <v>#REF!</v>
      </c>
      <c r="AE128" t="e">
        <f>AND(#REF!,"XR6vaWr3QB4=")</f>
        <v>#REF!</v>
      </c>
      <c r="AF128" t="e">
        <f>AND(#REF!,"XR6vaWr3QB8=")</f>
        <v>#REF!</v>
      </c>
      <c r="AG128" t="e">
        <f>AND(#REF!,"XR6vaWr3QCA=")</f>
        <v>#REF!</v>
      </c>
      <c r="AH128" t="e">
        <f>AND(#REF!,"XR6vaWr3QCE=")</f>
        <v>#REF!</v>
      </c>
      <c r="AI128" t="e">
        <f>AND(#REF!,"XR6vaWr3QCI=")</f>
        <v>#REF!</v>
      </c>
      <c r="AJ128" t="e">
        <f>AND(#REF!,"XR6vaWr3QCM=")</f>
        <v>#REF!</v>
      </c>
      <c r="AK128" t="e">
        <f>AND(#REF!,"XR6vaWr3QCQ=")</f>
        <v>#REF!</v>
      </c>
      <c r="AL128" t="e">
        <f>AND(#REF!,"XR6vaWr3QCU=")</f>
        <v>#REF!</v>
      </c>
      <c r="AM128" t="e">
        <f>AND(#REF!,"XR6vaWr3QCY=")</f>
        <v>#REF!</v>
      </c>
      <c r="AN128" t="e">
        <f>AND(#REF!,"XR6vaWr3QCc=")</f>
        <v>#REF!</v>
      </c>
      <c r="AO128" t="e">
        <f>AND(#REF!,"XR6vaWr3QCg=")</f>
        <v>#REF!</v>
      </c>
      <c r="AP128" t="e">
        <f>AND(#REF!,"XR6vaWr3QCk=")</f>
        <v>#REF!</v>
      </c>
      <c r="AQ128" t="e">
        <f>AND(#REF!,"XR6vaWr3QCo=")</f>
        <v>#REF!</v>
      </c>
      <c r="AR128" t="e">
        <f>AND(#REF!,"XR6vaWr3QCs=")</f>
        <v>#REF!</v>
      </c>
      <c r="AS128" t="e">
        <f>AND(#REF!,"XR6vaWr3QCw=")</f>
        <v>#REF!</v>
      </c>
      <c r="AT128" t="e">
        <f>AND(#REF!,"XR6vaWr3QC0=")</f>
        <v>#REF!</v>
      </c>
      <c r="AU128" t="e">
        <f>AND(#REF!,"XR6vaWr3QC4=")</f>
        <v>#REF!</v>
      </c>
      <c r="AV128" t="e">
        <f>AND(#REF!,"XR6vaWr3QC8=")</f>
        <v>#REF!</v>
      </c>
      <c r="AW128" t="e">
        <f>AND(#REF!,"XR6vaWr3QDA=")</f>
        <v>#REF!</v>
      </c>
      <c r="AX128" t="e">
        <f>AND(#REF!,"XR6vaWr3QDE=")</f>
        <v>#REF!</v>
      </c>
      <c r="AY128" t="e">
        <f>AND(#REF!,"XR6vaWr3QDI=")</f>
        <v>#REF!</v>
      </c>
      <c r="AZ128" t="e">
        <f>AND(#REF!,"XR6vaWr3QDM=")</f>
        <v>#REF!</v>
      </c>
      <c r="BA128" t="e">
        <f>AND(#REF!,"XR6vaWr3QDQ=")</f>
        <v>#REF!</v>
      </c>
      <c r="BB128" t="e">
        <f>AND(#REF!,"XR6vaWr3QDU=")</f>
        <v>#REF!</v>
      </c>
      <c r="BC128" t="e">
        <f>IF(#REF!,"XR6vaWr3QDY=",0)</f>
        <v>#REF!</v>
      </c>
      <c r="BD128" t="e">
        <f>AND(#REF!,"XR6vaWr3QDc=")</f>
        <v>#REF!</v>
      </c>
      <c r="BE128" t="e">
        <f>AND(#REF!,"XR6vaWr3QDg=")</f>
        <v>#REF!</v>
      </c>
      <c r="BF128" t="e">
        <f>AND(#REF!,"XR6vaWr3QDk=")</f>
        <v>#REF!</v>
      </c>
      <c r="BG128" t="e">
        <f>AND(#REF!,"XR6vaWr3QDo=")</f>
        <v>#REF!</v>
      </c>
      <c r="BH128" t="e">
        <f>AND(#REF!,"XR6vaWr3QDs=")</f>
        <v>#REF!</v>
      </c>
      <c r="BI128" t="e">
        <f>AND(#REF!,"XR6vaWr3QDw=")</f>
        <v>#REF!</v>
      </c>
      <c r="BJ128" t="e">
        <f>AND(#REF!,"XR6vaWr3QD0=")</f>
        <v>#REF!</v>
      </c>
      <c r="BK128" t="e">
        <f>AND(#REF!,"XR6vaWr3QD4=")</f>
        <v>#REF!</v>
      </c>
      <c r="BL128" t="e">
        <f>AND(#REF!,"XR6vaWr3QD8=")</f>
        <v>#REF!</v>
      </c>
      <c r="BM128" t="e">
        <f>AND(#REF!,"XR6vaWr3QEA=")</f>
        <v>#REF!</v>
      </c>
      <c r="BN128" t="e">
        <f>AND(#REF!,"XR6vaWr3QEE=")</f>
        <v>#REF!</v>
      </c>
      <c r="BO128" t="e">
        <f>AND(#REF!,"XR6vaWr3QEI=")</f>
        <v>#REF!</v>
      </c>
      <c r="BP128" t="e">
        <f>AND(#REF!,"XR6vaWr3QEM=")</f>
        <v>#REF!</v>
      </c>
      <c r="BQ128" t="e">
        <f>AND(#REF!,"XR6vaWr3QEQ=")</f>
        <v>#REF!</v>
      </c>
      <c r="BR128" t="e">
        <f>AND(#REF!,"XR6vaWr3QEU=")</f>
        <v>#REF!</v>
      </c>
      <c r="BS128" t="e">
        <f>AND(#REF!,"XR6vaWr3QEY=")</f>
        <v>#REF!</v>
      </c>
      <c r="BT128" t="e">
        <f>AND(#REF!,"XR6vaWr3QEc=")</f>
        <v>#REF!</v>
      </c>
      <c r="BU128" t="e">
        <f>AND(#REF!,"XR6vaWr3QEg=")</f>
        <v>#REF!</v>
      </c>
      <c r="BV128" t="e">
        <f>AND(#REF!,"XR6vaWr3QEk=")</f>
        <v>#REF!</v>
      </c>
      <c r="BW128" t="e">
        <f>AND(#REF!,"XR6vaWr3QEo=")</f>
        <v>#REF!</v>
      </c>
      <c r="BX128" t="e">
        <f>AND(#REF!,"XR6vaWr3QEs=")</f>
        <v>#REF!</v>
      </c>
      <c r="BY128" t="e">
        <f>AND(#REF!,"XR6vaWr3QEw=")</f>
        <v>#REF!</v>
      </c>
      <c r="BZ128" t="e">
        <f>AND(#REF!,"XR6vaWr3QE0=")</f>
        <v>#REF!</v>
      </c>
      <c r="CA128" t="e">
        <f>AND(#REF!,"XR6vaWr3QE4=")</f>
        <v>#REF!</v>
      </c>
      <c r="CB128" t="e">
        <f>AND(#REF!,"XR6vaWr3QE8=")</f>
        <v>#REF!</v>
      </c>
      <c r="CC128" t="e">
        <f>AND(#REF!,"XR6vaWr3QFA=")</f>
        <v>#REF!</v>
      </c>
      <c r="CD128" t="e">
        <f>AND(#REF!,"XR6vaWr3QFE=")</f>
        <v>#REF!</v>
      </c>
      <c r="CE128" t="e">
        <f>AND(#REF!,"XR6vaWr3QFI=")</f>
        <v>#REF!</v>
      </c>
      <c r="CF128" t="e">
        <f>AND(#REF!,"XR6vaWr3QFM=")</f>
        <v>#REF!</v>
      </c>
      <c r="CG128" t="e">
        <f>AND(#REF!,"XR6vaWr3QFQ=")</f>
        <v>#REF!</v>
      </c>
      <c r="CH128" t="e">
        <f>AND(#REF!,"XR6vaWr3QFU=")</f>
        <v>#REF!</v>
      </c>
      <c r="CI128" t="e">
        <f>IF(#REF!,"XR6vaWr3QFY=",0)</f>
        <v>#REF!</v>
      </c>
      <c r="CJ128" t="e">
        <f>AND(#REF!,"XR6vaWr3QFc=")</f>
        <v>#REF!</v>
      </c>
      <c r="CK128" t="e">
        <f>AND(#REF!,"XR6vaWr3QFg=")</f>
        <v>#REF!</v>
      </c>
      <c r="CL128" t="e">
        <f>AND(#REF!,"XR6vaWr3QFk=")</f>
        <v>#REF!</v>
      </c>
      <c r="CM128" t="e">
        <f>AND(#REF!,"XR6vaWr3QFo=")</f>
        <v>#REF!</v>
      </c>
      <c r="CN128" t="e">
        <f>AND(#REF!,"XR6vaWr3QFs=")</f>
        <v>#REF!</v>
      </c>
      <c r="CO128" t="e">
        <f>AND(#REF!,"XR6vaWr3QFw=")</f>
        <v>#REF!</v>
      </c>
      <c r="CP128" t="e">
        <f>AND(#REF!,"XR6vaWr3QF0=")</f>
        <v>#REF!</v>
      </c>
      <c r="CQ128" t="e">
        <f>AND(#REF!,"XR6vaWr3QF4=")</f>
        <v>#REF!</v>
      </c>
      <c r="CR128" t="e">
        <f>AND(#REF!,"XR6vaWr3QF8=")</f>
        <v>#REF!</v>
      </c>
      <c r="CS128" t="e">
        <f>AND(#REF!,"XR6vaWr3QGA=")</f>
        <v>#REF!</v>
      </c>
      <c r="CT128" t="e">
        <f>AND(#REF!,"XR6vaWr3QGE=")</f>
        <v>#REF!</v>
      </c>
      <c r="CU128" t="e">
        <f>AND(#REF!,"XR6vaWr3QGI=")</f>
        <v>#REF!</v>
      </c>
      <c r="CV128" t="e">
        <f>AND(#REF!,"XR6vaWr3QGM=")</f>
        <v>#REF!</v>
      </c>
      <c r="CW128" t="e">
        <f>AND(#REF!,"XR6vaWr3QGQ=")</f>
        <v>#REF!</v>
      </c>
      <c r="CX128" t="e">
        <f>AND(#REF!,"XR6vaWr3QGU=")</f>
        <v>#REF!</v>
      </c>
      <c r="CY128" t="e">
        <f>AND(#REF!,"XR6vaWr3QGY=")</f>
        <v>#REF!</v>
      </c>
      <c r="CZ128" t="e">
        <f>AND(#REF!,"XR6vaWr3QGc=")</f>
        <v>#REF!</v>
      </c>
      <c r="DA128" t="e">
        <f>AND(#REF!,"XR6vaWr3QGg=")</f>
        <v>#REF!</v>
      </c>
      <c r="DB128" t="e">
        <f>AND(#REF!,"XR6vaWr3QGk=")</f>
        <v>#REF!</v>
      </c>
      <c r="DC128" t="e">
        <f>AND(#REF!,"XR6vaWr3QGo=")</f>
        <v>#REF!</v>
      </c>
      <c r="DD128" t="e">
        <f>AND(#REF!,"XR6vaWr3QGs=")</f>
        <v>#REF!</v>
      </c>
      <c r="DE128" t="e">
        <f>AND(#REF!,"XR6vaWr3QGw=")</f>
        <v>#REF!</v>
      </c>
      <c r="DF128" t="e">
        <f>AND(#REF!,"XR6vaWr3QG0=")</f>
        <v>#REF!</v>
      </c>
      <c r="DG128" t="e">
        <f>AND(#REF!,"XR6vaWr3QG4=")</f>
        <v>#REF!</v>
      </c>
      <c r="DH128" t="e">
        <f>AND(#REF!,"XR6vaWr3QG8=")</f>
        <v>#REF!</v>
      </c>
      <c r="DI128" t="e">
        <f>AND(#REF!,"XR6vaWr3QHA=")</f>
        <v>#REF!</v>
      </c>
      <c r="DJ128" t="e">
        <f>AND(#REF!,"XR6vaWr3QHE=")</f>
        <v>#REF!</v>
      </c>
      <c r="DK128" t="e">
        <f>AND(#REF!,"XR6vaWr3QHI=")</f>
        <v>#REF!</v>
      </c>
      <c r="DL128" t="e">
        <f>AND(#REF!,"XR6vaWr3QHM=")</f>
        <v>#REF!</v>
      </c>
      <c r="DM128" t="e">
        <f>AND(#REF!,"XR6vaWr3QHQ=")</f>
        <v>#REF!</v>
      </c>
      <c r="DN128" t="e">
        <f>AND(#REF!,"XR6vaWr3QHU=")</f>
        <v>#REF!</v>
      </c>
      <c r="DO128" t="e">
        <f>IF(#REF!,"XR6vaWr3QHY=",0)</f>
        <v>#REF!</v>
      </c>
      <c r="DP128" t="e">
        <f>IF(#REF!,"XR6vaWr3QHc=",0)</f>
        <v>#REF!</v>
      </c>
      <c r="DQ128" t="e">
        <f>IF(#REF!,"XR6vaWr3QHg=",0)</f>
        <v>#REF!</v>
      </c>
      <c r="DR128" t="e">
        <f>IF(#REF!,"XR6vaWr3QHk=",0)</f>
        <v>#REF!</v>
      </c>
      <c r="DS128" t="e">
        <f>IF(#REF!,"XR6vaWr3QHo=",0)</f>
        <v>#REF!</v>
      </c>
      <c r="DT128" t="e">
        <f>IF(#REF!,"XR6vaWr3QHs=",0)</f>
        <v>#REF!</v>
      </c>
      <c r="DU128" t="e">
        <f>IF(#REF!,"XR6vaWr3QHw=",0)</f>
        <v>#REF!</v>
      </c>
      <c r="DV128" t="e">
        <f>IF(#REF!,"XR6vaWr3QH0=",0)</f>
        <v>#REF!</v>
      </c>
      <c r="DW128" t="e">
        <f>IF(#REF!,"XR6vaWr3QH4=",0)</f>
        <v>#REF!</v>
      </c>
      <c r="DX128" t="e">
        <f>IF(#REF!,"XR6vaWr3QH8=",0)</f>
        <v>#REF!</v>
      </c>
      <c r="DY128" t="e">
        <f>IF(#REF!,"XR6vaWr3QIA=",0)</f>
        <v>#REF!</v>
      </c>
      <c r="DZ128" t="e">
        <f>IF(#REF!,"XR6vaWr3QIE=",0)</f>
        <v>#REF!</v>
      </c>
      <c r="EA128" t="e">
        <f>IF(#REF!,"XR6vaWr3QII=",0)</f>
        <v>#REF!</v>
      </c>
      <c r="EB128" t="e">
        <f>IF(#REF!,"XR6vaWr3QIM=",0)</f>
        <v>#REF!</v>
      </c>
      <c r="EC128" t="e">
        <f>IF(#REF!,"XR6vaWr3QIQ=",0)</f>
        <v>#REF!</v>
      </c>
      <c r="ED128" t="e">
        <f>IF(#REF!,"XR6vaWr3QIU=",0)</f>
        <v>#REF!</v>
      </c>
      <c r="EE128" t="e">
        <f>IF(#REF!,"XR6vaWr3QIY=",0)</f>
        <v>#REF!</v>
      </c>
      <c r="EF128" t="e">
        <f>IF(#REF!,"XR6vaWr3QIc=",0)</f>
        <v>#REF!</v>
      </c>
      <c r="EG128" t="e">
        <f>IF(#REF!,"XR6vaWr3QIg=",0)</f>
        <v>#REF!</v>
      </c>
      <c r="EH128" t="e">
        <f>IF(#REF!,"XR6vaWr3QIk=",0)</f>
        <v>#REF!</v>
      </c>
      <c r="EI128" t="e">
        <f>IF(#REF!,"XR6vaWr3QIo=",0)</f>
        <v>#REF!</v>
      </c>
      <c r="EJ128" t="e">
        <f>IF(#REF!,"XR6vaWr3QIs=",0)</f>
        <v>#REF!</v>
      </c>
      <c r="EK128" t="e">
        <f>IF(#REF!,"XR6vaWr3QIw=",0)</f>
        <v>#REF!</v>
      </c>
      <c r="EL128" t="e">
        <f>IF(#REF!,"XR6vaWr3QI0=",0)</f>
        <v>#REF!</v>
      </c>
      <c r="EM128" t="e">
        <f>IF(#REF!,"XR6vaWr3QI4=",0)</f>
        <v>#REF!</v>
      </c>
      <c r="EN128" t="e">
        <f>IF(#REF!,"XR6vaWr3QI8=",0)</f>
        <v>#REF!</v>
      </c>
      <c r="EO128" t="e">
        <f>IF(#REF!,"XR6vaWr3QJA=",0)</f>
        <v>#REF!</v>
      </c>
      <c r="EP128" t="e">
        <f>IF(#REF!,"XR6vaWr3QJE=",0)</f>
        <v>#REF!</v>
      </c>
      <c r="EQ128" t="e">
        <f>IF(#REF!,"XR6vaWr3QJI=",0)</f>
        <v>#REF!</v>
      </c>
      <c r="ER128" t="e">
        <f>IF(#REF!,"XR6vaWr3QJM=",0)</f>
        <v>#REF!</v>
      </c>
      <c r="ES128" t="e">
        <f>IF(#REF!,"XR6vaWr3QJQ=",0)</f>
        <v>#REF!</v>
      </c>
      <c r="ET128" t="e">
        <f>IF(#REF!,"XR6vaWr3QJU=",0)</f>
        <v>#REF!</v>
      </c>
      <c r="EU128" t="e">
        <f>IF(#REF!,"XR6vaWr3QJY=",0)</f>
        <v>#REF!</v>
      </c>
      <c r="EV128" t="e">
        <f>IF(#REF!,"XR6vaWr3QJc=",0)</f>
        <v>#REF!</v>
      </c>
      <c r="EW128" t="e">
        <f>IF(#REF!,"XR6vaWr3QJg=",0)</f>
        <v>#REF!</v>
      </c>
      <c r="EX128" t="e">
        <f>AND(#REF!,"XR6vaWr3QJk=")</f>
        <v>#REF!</v>
      </c>
      <c r="EY128" t="e">
        <f>AND(#REF!,"XR6vaWr3QJo=")</f>
        <v>#REF!</v>
      </c>
      <c r="EZ128" t="e">
        <f>AND(#REF!,"XR6vaWr3QJs=")</f>
        <v>#REF!</v>
      </c>
      <c r="FA128" t="e">
        <f>AND(#REF!,"XR6vaWr3QJw=")</f>
        <v>#REF!</v>
      </c>
      <c r="FB128" t="e">
        <f>AND(#REF!,"XR6vaWr3QJ0=")</f>
        <v>#REF!</v>
      </c>
      <c r="FC128" t="e">
        <f>AND(#REF!,"XR6vaWr3QJ4=")</f>
        <v>#REF!</v>
      </c>
      <c r="FD128" t="e">
        <f>AND(#REF!,"XR6vaWr3QJ8=")</f>
        <v>#REF!</v>
      </c>
      <c r="FE128" t="e">
        <f>AND(#REF!,"XR6vaWr3QKA=")</f>
        <v>#REF!</v>
      </c>
      <c r="FF128" t="e">
        <f>AND(#REF!,"XR6vaWr3QKE=")</f>
        <v>#REF!</v>
      </c>
      <c r="FG128" t="e">
        <f>AND(#REF!,"XR6vaWr3QKI=")</f>
        <v>#REF!</v>
      </c>
      <c r="FH128" t="e">
        <f>AND(#REF!,"XR6vaWr3QKM=")</f>
        <v>#REF!</v>
      </c>
      <c r="FI128" t="e">
        <f>AND(#REF!,"XR6vaWr3QKQ=")</f>
        <v>#REF!</v>
      </c>
      <c r="FJ128" t="e">
        <f>AND(#REF!,"XR6vaWr3QKU=")</f>
        <v>#REF!</v>
      </c>
      <c r="FK128" t="e">
        <f>AND(#REF!,"XR6vaWr3QKY=")</f>
        <v>#REF!</v>
      </c>
      <c r="FL128" t="e">
        <f>AND(#REF!,"XR6vaWr3QKc=")</f>
        <v>#REF!</v>
      </c>
      <c r="FM128" t="e">
        <f>AND(#REF!,"XR6vaWr3QKg=")</f>
        <v>#REF!</v>
      </c>
      <c r="FN128" t="e">
        <f>IF(#REF!,"XR6vaWr3QKk=",0)</f>
        <v>#REF!</v>
      </c>
      <c r="FO128" t="e">
        <f>AND(#REF!,"XR6vaWr3QKo=")</f>
        <v>#REF!</v>
      </c>
      <c r="FP128" t="e">
        <f>AND(#REF!,"XR6vaWr3QKs=")</f>
        <v>#REF!</v>
      </c>
      <c r="FQ128" t="e">
        <f>AND(#REF!,"XR6vaWr3QKw=")</f>
        <v>#REF!</v>
      </c>
      <c r="FR128" t="e">
        <f>AND(#REF!,"XR6vaWr3QK0=")</f>
        <v>#REF!</v>
      </c>
      <c r="FS128" t="e">
        <f>AND(#REF!,"XR6vaWr3QK4=")</f>
        <v>#REF!</v>
      </c>
      <c r="FT128" t="e">
        <f>AND(#REF!,"XR6vaWr3QK8=")</f>
        <v>#REF!</v>
      </c>
      <c r="FU128" t="e">
        <f>AND(#REF!,"XR6vaWr3QLA=")</f>
        <v>#REF!</v>
      </c>
      <c r="FV128" t="e">
        <f>AND(#REF!,"XR6vaWr3QLE=")</f>
        <v>#REF!</v>
      </c>
      <c r="FW128" t="e">
        <f>AND(#REF!,"XR6vaWr3QLI=")</f>
        <v>#REF!</v>
      </c>
      <c r="FX128" t="e">
        <f>AND(#REF!,"XR6vaWr3QLM=")</f>
        <v>#REF!</v>
      </c>
      <c r="FY128" t="e">
        <f>AND(#REF!,"XR6vaWr3QLQ=")</f>
        <v>#REF!</v>
      </c>
      <c r="FZ128" t="e">
        <f>AND(#REF!,"XR6vaWr3QLU=")</f>
        <v>#REF!</v>
      </c>
      <c r="GA128" t="e">
        <f>AND(#REF!,"XR6vaWr3QLY=")</f>
        <v>#REF!</v>
      </c>
      <c r="GB128" t="e">
        <f>AND(#REF!,"XR6vaWr3QLc=")</f>
        <v>#REF!</v>
      </c>
      <c r="GC128" t="e">
        <f>AND(#REF!,"XR6vaWr3QLg=")</f>
        <v>#REF!</v>
      </c>
      <c r="GD128" t="e">
        <f>AND(#REF!,"XR6vaWr3QLk=")</f>
        <v>#REF!</v>
      </c>
      <c r="GE128" t="e">
        <f>IF(#REF!,"XR6vaWr3QLo=",0)</f>
        <v>#REF!</v>
      </c>
      <c r="GF128" t="e">
        <f>AND(#REF!,"XR6vaWr3QLs=")</f>
        <v>#REF!</v>
      </c>
      <c r="GG128" t="e">
        <f>AND(#REF!,"XR6vaWr3QLw=")</f>
        <v>#REF!</v>
      </c>
      <c r="GH128" t="e">
        <f>AND(#REF!,"XR6vaWr3QL0=")</f>
        <v>#REF!</v>
      </c>
      <c r="GI128" t="e">
        <f>AND(#REF!,"XR6vaWr3QL4=")</f>
        <v>#REF!</v>
      </c>
      <c r="GJ128" t="e">
        <f>AND(#REF!,"XR6vaWr3QL8=")</f>
        <v>#REF!</v>
      </c>
      <c r="GK128" t="e">
        <f>AND(#REF!,"XR6vaWr3QMA=")</f>
        <v>#REF!</v>
      </c>
      <c r="GL128" t="e">
        <f>AND(#REF!,"XR6vaWr3QME=")</f>
        <v>#REF!</v>
      </c>
      <c r="GM128" t="e">
        <f>AND(#REF!,"XR6vaWr3QMI=")</f>
        <v>#REF!</v>
      </c>
      <c r="GN128" t="e">
        <f>AND(#REF!,"XR6vaWr3QMM=")</f>
        <v>#REF!</v>
      </c>
      <c r="GO128" t="e">
        <f>AND(#REF!,"XR6vaWr3QMQ=")</f>
        <v>#REF!</v>
      </c>
      <c r="GP128" t="e">
        <f>AND(#REF!,"XR6vaWr3QMU=")</f>
        <v>#REF!</v>
      </c>
      <c r="GQ128" t="e">
        <f>AND(#REF!,"XR6vaWr3QMY=")</f>
        <v>#REF!</v>
      </c>
      <c r="GR128" t="e">
        <f>AND(#REF!,"XR6vaWr3QMc=")</f>
        <v>#REF!</v>
      </c>
      <c r="GS128" t="e">
        <f>AND(#REF!,"XR6vaWr3QMg=")</f>
        <v>#REF!</v>
      </c>
      <c r="GT128" t="e">
        <f>AND(#REF!,"XR6vaWr3QMk=")</f>
        <v>#REF!</v>
      </c>
      <c r="GU128" t="e">
        <f>AND(#REF!,"XR6vaWr3QMo=")</f>
        <v>#REF!</v>
      </c>
      <c r="GV128" t="e">
        <f>IF(#REF!,"XR6vaWr3QMs=",0)</f>
        <v>#REF!</v>
      </c>
      <c r="GW128" t="e">
        <f>AND(#REF!,"XR6vaWr3QMw=")</f>
        <v>#REF!</v>
      </c>
      <c r="GX128" t="e">
        <f>AND(#REF!,"XR6vaWr3QM0=")</f>
        <v>#REF!</v>
      </c>
      <c r="GY128" t="e">
        <f>AND(#REF!,"XR6vaWr3QM4=")</f>
        <v>#REF!</v>
      </c>
      <c r="GZ128" t="e">
        <f>AND(#REF!,"XR6vaWr3QM8=")</f>
        <v>#REF!</v>
      </c>
      <c r="HA128" t="e">
        <f>AND(#REF!,"XR6vaWr3QNA=")</f>
        <v>#REF!</v>
      </c>
      <c r="HB128" t="e">
        <f>AND(#REF!,"XR6vaWr3QNE=")</f>
        <v>#REF!</v>
      </c>
      <c r="HC128" t="e">
        <f>AND(#REF!,"XR6vaWr3QNI=")</f>
        <v>#REF!</v>
      </c>
      <c r="HD128" t="e">
        <f>AND(#REF!,"XR6vaWr3QNM=")</f>
        <v>#REF!</v>
      </c>
      <c r="HE128" t="e">
        <f>AND(#REF!,"XR6vaWr3QNQ=")</f>
        <v>#REF!</v>
      </c>
      <c r="HF128" t="e">
        <f>AND(#REF!,"XR6vaWr3QNU=")</f>
        <v>#REF!</v>
      </c>
      <c r="HG128" t="e">
        <f>AND(#REF!,"XR6vaWr3QNY=")</f>
        <v>#REF!</v>
      </c>
      <c r="HH128" t="e">
        <f>AND(#REF!,"XR6vaWr3QNc=")</f>
        <v>#REF!</v>
      </c>
      <c r="HI128" t="e">
        <f>AND(#REF!,"XR6vaWr3QNg=")</f>
        <v>#REF!</v>
      </c>
      <c r="HJ128" t="e">
        <f>AND(#REF!,"XR6vaWr3QNk=")</f>
        <v>#REF!</v>
      </c>
      <c r="HK128" t="e">
        <f>AND(#REF!,"XR6vaWr3QNo=")</f>
        <v>#REF!</v>
      </c>
      <c r="HL128" t="e">
        <f>AND(#REF!,"XR6vaWr3QNs=")</f>
        <v>#REF!</v>
      </c>
      <c r="HM128" t="e">
        <f>IF(#REF!,"XR6vaWr3QNw=",0)</f>
        <v>#REF!</v>
      </c>
      <c r="HN128" t="e">
        <f>AND(#REF!,"XR6vaWr3QN0=")</f>
        <v>#REF!</v>
      </c>
      <c r="HO128" t="e">
        <f>AND(#REF!,"XR6vaWr3QN4=")</f>
        <v>#REF!</v>
      </c>
      <c r="HP128" t="e">
        <f>AND(#REF!,"XR6vaWr3QN8=")</f>
        <v>#REF!</v>
      </c>
      <c r="HQ128" t="e">
        <f>AND(#REF!,"XR6vaWr3QOA=")</f>
        <v>#REF!</v>
      </c>
      <c r="HR128" t="e">
        <f>AND(#REF!,"XR6vaWr3QOE=")</f>
        <v>#REF!</v>
      </c>
      <c r="HS128" t="e">
        <f>AND(#REF!,"XR6vaWr3QOI=")</f>
        <v>#REF!</v>
      </c>
      <c r="HT128" t="e">
        <f>AND(#REF!,"XR6vaWr3QOM=")</f>
        <v>#REF!</v>
      </c>
      <c r="HU128" t="e">
        <f>AND(#REF!,"XR6vaWr3QOQ=")</f>
        <v>#REF!</v>
      </c>
      <c r="HV128" t="e">
        <f>AND(#REF!,"XR6vaWr3QOU=")</f>
        <v>#REF!</v>
      </c>
      <c r="HW128" t="e">
        <f>AND(#REF!,"XR6vaWr3QOY=")</f>
        <v>#REF!</v>
      </c>
      <c r="HX128" t="e">
        <f>AND(#REF!,"XR6vaWr3QOc=")</f>
        <v>#REF!</v>
      </c>
      <c r="HY128" t="e">
        <f>AND(#REF!,"XR6vaWr3QOg=")</f>
        <v>#REF!</v>
      </c>
      <c r="HZ128" t="e">
        <f>AND(#REF!,"XR6vaWr3QOk=")</f>
        <v>#REF!</v>
      </c>
      <c r="IA128" t="e">
        <f>AND(#REF!,"XR6vaWr3QOo=")</f>
        <v>#REF!</v>
      </c>
      <c r="IB128" t="e">
        <f>AND(#REF!,"XR6vaWr3QOs=")</f>
        <v>#REF!</v>
      </c>
      <c r="IC128" t="e">
        <f>AND(#REF!,"XR6vaWr3QOw=")</f>
        <v>#REF!</v>
      </c>
      <c r="ID128" t="e">
        <f>IF(#REF!,"XR6vaWr3QO0=",0)</f>
        <v>#REF!</v>
      </c>
      <c r="IE128" t="e">
        <f>AND(#REF!,"XR6vaWr3QO4=")</f>
        <v>#REF!</v>
      </c>
      <c r="IF128" t="e">
        <f>AND(#REF!,"XR6vaWr3QO8=")</f>
        <v>#REF!</v>
      </c>
      <c r="IG128" t="e">
        <f>AND(#REF!,"XR6vaWr3QPA=")</f>
        <v>#REF!</v>
      </c>
      <c r="IH128" t="e">
        <f>AND(#REF!,"XR6vaWr3QPE=")</f>
        <v>#REF!</v>
      </c>
      <c r="II128" t="e">
        <f>AND(#REF!,"XR6vaWr3QPI=")</f>
        <v>#REF!</v>
      </c>
      <c r="IJ128" t="e">
        <f>AND(#REF!,"XR6vaWr3QPM=")</f>
        <v>#REF!</v>
      </c>
      <c r="IK128" t="e">
        <f>AND(#REF!,"XR6vaWr3QPQ=")</f>
        <v>#REF!</v>
      </c>
      <c r="IL128" t="e">
        <f>AND(#REF!,"XR6vaWr3QPU=")</f>
        <v>#REF!</v>
      </c>
      <c r="IM128" t="e">
        <f>AND(#REF!,"XR6vaWr3QPY=")</f>
        <v>#REF!</v>
      </c>
      <c r="IN128" t="e">
        <f>AND(#REF!,"XR6vaWr3QPc=")</f>
        <v>#REF!</v>
      </c>
      <c r="IO128" t="e">
        <f>AND(#REF!,"XR6vaWr3QPg=")</f>
        <v>#REF!</v>
      </c>
      <c r="IP128" t="e">
        <f>AND(#REF!,"XR6vaWr3QPk=")</f>
        <v>#REF!</v>
      </c>
      <c r="IQ128" t="e">
        <f>AND(#REF!,"XR6vaWr3QPo=")</f>
        <v>#REF!</v>
      </c>
      <c r="IR128" t="e">
        <f>AND(#REF!,"XR6vaWr3QPs=")</f>
        <v>#REF!</v>
      </c>
      <c r="IS128" t="e">
        <f>AND(#REF!,"XR6vaWr3QPw=")</f>
        <v>#REF!</v>
      </c>
      <c r="IT128" t="e">
        <f>AND(#REF!,"XR6vaWr3QP0=")</f>
        <v>#REF!</v>
      </c>
      <c r="IU128" t="e">
        <f>IF(#REF!,"XR6vaWr3QP4=",0)</f>
        <v>#REF!</v>
      </c>
      <c r="IV128" t="e">
        <f>AND(#REF!,"XR6vaWr3QP8=")</f>
        <v>#REF!</v>
      </c>
    </row>
    <row r="129" spans="1:256" x14ac:dyDescent="0.2">
      <c r="A129" t="e">
        <f>AND(#REF!,"UELHMwyAJAA=")</f>
        <v>#REF!</v>
      </c>
      <c r="B129" t="e">
        <f>AND(#REF!,"UELHMwyAJAE=")</f>
        <v>#REF!</v>
      </c>
      <c r="C129" t="e">
        <f>AND(#REF!,"UELHMwyAJAI=")</f>
        <v>#REF!</v>
      </c>
      <c r="D129" t="e">
        <f>AND(#REF!,"UELHMwyAJAM=")</f>
        <v>#REF!</v>
      </c>
      <c r="E129" t="e">
        <f>AND(#REF!,"UELHMwyAJAQ=")</f>
        <v>#REF!</v>
      </c>
      <c r="F129" t="e">
        <f>AND(#REF!,"UELHMwyAJAU=")</f>
        <v>#REF!</v>
      </c>
      <c r="G129" t="e">
        <f>AND(#REF!,"UELHMwyAJAY=")</f>
        <v>#REF!</v>
      </c>
      <c r="H129" t="e">
        <f>AND(#REF!,"UELHMwyAJAc=")</f>
        <v>#REF!</v>
      </c>
      <c r="I129" t="e">
        <f>AND(#REF!,"UELHMwyAJAg=")</f>
        <v>#REF!</v>
      </c>
      <c r="J129" t="e">
        <f>AND(#REF!,"UELHMwyAJAk=")</f>
        <v>#REF!</v>
      </c>
      <c r="K129" t="e">
        <f>AND(#REF!,"UELHMwyAJAo=")</f>
        <v>#REF!</v>
      </c>
      <c r="L129" t="e">
        <f>AND(#REF!,"UELHMwyAJAs=")</f>
        <v>#REF!</v>
      </c>
      <c r="M129" t="e">
        <f>AND(#REF!,"UELHMwyAJAw=")</f>
        <v>#REF!</v>
      </c>
      <c r="N129" t="e">
        <f>AND(#REF!,"UELHMwyAJA0=")</f>
        <v>#REF!</v>
      </c>
      <c r="O129" t="e">
        <f>AND(#REF!,"UELHMwyAJA4=")</f>
        <v>#REF!</v>
      </c>
      <c r="P129" t="e">
        <f>IF(#REF!,"UELHMwyAJA8=",0)</f>
        <v>#REF!</v>
      </c>
      <c r="Q129" t="e">
        <f>AND(#REF!,"UELHMwyAJBA=")</f>
        <v>#REF!</v>
      </c>
      <c r="R129" t="e">
        <f>AND(#REF!,"UELHMwyAJBE=")</f>
        <v>#REF!</v>
      </c>
      <c r="S129" t="e">
        <f>AND(#REF!,"UELHMwyAJBI=")</f>
        <v>#REF!</v>
      </c>
      <c r="T129" t="e">
        <f>AND(#REF!,"UELHMwyAJBM=")</f>
        <v>#REF!</v>
      </c>
      <c r="U129" t="e">
        <f>AND(#REF!,"UELHMwyAJBQ=")</f>
        <v>#REF!</v>
      </c>
      <c r="V129" t="e">
        <f>AND(#REF!,"UELHMwyAJBU=")</f>
        <v>#REF!</v>
      </c>
      <c r="W129" t="e">
        <f>AND(#REF!,"UELHMwyAJBY=")</f>
        <v>#REF!</v>
      </c>
      <c r="X129" t="e">
        <f>AND(#REF!,"UELHMwyAJBc=")</f>
        <v>#REF!</v>
      </c>
      <c r="Y129" t="e">
        <f>AND(#REF!,"UELHMwyAJBg=")</f>
        <v>#REF!</v>
      </c>
      <c r="Z129" t="e">
        <f>AND(#REF!,"UELHMwyAJBk=")</f>
        <v>#REF!</v>
      </c>
      <c r="AA129" t="e">
        <f>AND(#REF!,"UELHMwyAJBo=")</f>
        <v>#REF!</v>
      </c>
      <c r="AB129" t="e">
        <f>AND(#REF!,"UELHMwyAJBs=")</f>
        <v>#REF!</v>
      </c>
      <c r="AC129" t="e">
        <f>AND(#REF!,"UELHMwyAJBw=")</f>
        <v>#REF!</v>
      </c>
      <c r="AD129" t="e">
        <f>AND(#REF!,"UELHMwyAJB0=")</f>
        <v>#REF!</v>
      </c>
      <c r="AE129" t="e">
        <f>AND(#REF!,"UELHMwyAJB4=")</f>
        <v>#REF!</v>
      </c>
      <c r="AF129" t="e">
        <f>AND(#REF!,"UELHMwyAJB8=")</f>
        <v>#REF!</v>
      </c>
      <c r="AG129" t="e">
        <f>IF(#REF!,"UELHMwyAJCA=",0)</f>
        <v>#REF!</v>
      </c>
      <c r="AH129" t="e">
        <f>AND(#REF!,"UELHMwyAJCE=")</f>
        <v>#REF!</v>
      </c>
      <c r="AI129" t="e">
        <f>AND(#REF!,"UELHMwyAJCI=")</f>
        <v>#REF!</v>
      </c>
      <c r="AJ129" t="e">
        <f>AND(#REF!,"UELHMwyAJCM=")</f>
        <v>#REF!</v>
      </c>
      <c r="AK129" t="e">
        <f>AND(#REF!,"UELHMwyAJCQ=")</f>
        <v>#REF!</v>
      </c>
      <c r="AL129" t="e">
        <f>AND(#REF!,"UELHMwyAJCU=")</f>
        <v>#REF!</v>
      </c>
      <c r="AM129" t="e">
        <f>AND(#REF!,"UELHMwyAJCY=")</f>
        <v>#REF!</v>
      </c>
      <c r="AN129" t="e">
        <f>AND(#REF!,"UELHMwyAJCc=")</f>
        <v>#REF!</v>
      </c>
      <c r="AO129" t="e">
        <f>AND(#REF!,"UELHMwyAJCg=")</f>
        <v>#REF!</v>
      </c>
      <c r="AP129" t="e">
        <f>AND(#REF!,"UELHMwyAJCk=")</f>
        <v>#REF!</v>
      </c>
      <c r="AQ129" t="e">
        <f>AND(#REF!,"UELHMwyAJCo=")</f>
        <v>#REF!</v>
      </c>
      <c r="AR129" t="e">
        <f>AND(#REF!,"UELHMwyAJCs=")</f>
        <v>#REF!</v>
      </c>
      <c r="AS129" t="e">
        <f>AND(#REF!,"UELHMwyAJCw=")</f>
        <v>#REF!</v>
      </c>
      <c r="AT129" t="e">
        <f>AND(#REF!,"UELHMwyAJC0=")</f>
        <v>#REF!</v>
      </c>
      <c r="AU129" t="e">
        <f>AND(#REF!,"UELHMwyAJC4=")</f>
        <v>#REF!</v>
      </c>
      <c r="AV129" t="e">
        <f>AND(#REF!,"UELHMwyAJC8=")</f>
        <v>#REF!</v>
      </c>
      <c r="AW129" t="e">
        <f>AND(#REF!,"UELHMwyAJDA=")</f>
        <v>#REF!</v>
      </c>
      <c r="AX129" t="e">
        <f>IF(#REF!,"UELHMwyAJDE=",0)</f>
        <v>#REF!</v>
      </c>
      <c r="AY129" t="e">
        <f>AND(#REF!,"UELHMwyAJDI=")</f>
        <v>#REF!</v>
      </c>
      <c r="AZ129" t="e">
        <f>AND(#REF!,"UELHMwyAJDM=")</f>
        <v>#REF!</v>
      </c>
      <c r="BA129" t="e">
        <f>AND(#REF!,"UELHMwyAJDQ=")</f>
        <v>#REF!</v>
      </c>
      <c r="BB129" t="e">
        <f>AND(#REF!,"UELHMwyAJDU=")</f>
        <v>#REF!</v>
      </c>
      <c r="BC129" t="e">
        <f>AND(#REF!,"UELHMwyAJDY=")</f>
        <v>#REF!</v>
      </c>
      <c r="BD129" t="e">
        <f>AND(#REF!,"UELHMwyAJDc=")</f>
        <v>#REF!</v>
      </c>
      <c r="BE129" t="e">
        <f>AND(#REF!,"UELHMwyAJDg=")</f>
        <v>#REF!</v>
      </c>
      <c r="BF129" t="e">
        <f>AND(#REF!,"UELHMwyAJDk=")</f>
        <v>#REF!</v>
      </c>
      <c r="BG129" t="e">
        <f>AND(#REF!,"UELHMwyAJDo=")</f>
        <v>#REF!</v>
      </c>
      <c r="BH129" t="e">
        <f>AND(#REF!,"UELHMwyAJDs=")</f>
        <v>#REF!</v>
      </c>
      <c r="BI129" t="e">
        <f>AND(#REF!,"UELHMwyAJDw=")</f>
        <v>#REF!</v>
      </c>
      <c r="BJ129" t="e">
        <f>AND(#REF!,"UELHMwyAJD0=")</f>
        <v>#REF!</v>
      </c>
      <c r="BK129" t="e">
        <f>AND(#REF!,"UELHMwyAJD4=")</f>
        <v>#REF!</v>
      </c>
      <c r="BL129" t="e">
        <f>AND(#REF!,"UELHMwyAJD8=")</f>
        <v>#REF!</v>
      </c>
      <c r="BM129" t="e">
        <f>AND(#REF!,"UELHMwyAJEA=")</f>
        <v>#REF!</v>
      </c>
      <c r="BN129" t="e">
        <f>AND(#REF!,"UELHMwyAJEE=")</f>
        <v>#REF!</v>
      </c>
      <c r="BO129" t="e">
        <f>IF(#REF!,"UELHMwyAJEI=",0)</f>
        <v>#REF!</v>
      </c>
      <c r="BP129" t="e">
        <f>AND(#REF!,"UELHMwyAJEM=")</f>
        <v>#REF!</v>
      </c>
      <c r="BQ129" t="e">
        <f>AND(#REF!,"UELHMwyAJEQ=")</f>
        <v>#REF!</v>
      </c>
      <c r="BR129" t="e">
        <f>AND(#REF!,"UELHMwyAJEU=")</f>
        <v>#REF!</v>
      </c>
      <c r="BS129" t="e">
        <f>AND(#REF!,"UELHMwyAJEY=")</f>
        <v>#REF!</v>
      </c>
      <c r="BT129" t="e">
        <f>AND(#REF!,"UELHMwyAJEc=")</f>
        <v>#REF!</v>
      </c>
      <c r="BU129" t="e">
        <f>AND(#REF!,"UELHMwyAJEg=")</f>
        <v>#REF!</v>
      </c>
      <c r="BV129" t="e">
        <f>AND(#REF!,"UELHMwyAJEk=")</f>
        <v>#REF!</v>
      </c>
      <c r="BW129" t="e">
        <f>AND(#REF!,"UELHMwyAJEo=")</f>
        <v>#REF!</v>
      </c>
      <c r="BX129" t="e">
        <f>AND(#REF!,"UELHMwyAJEs=")</f>
        <v>#REF!</v>
      </c>
      <c r="BY129" t="e">
        <f>AND(#REF!,"UELHMwyAJEw=")</f>
        <v>#REF!</v>
      </c>
      <c r="BZ129" t="e">
        <f>AND(#REF!,"UELHMwyAJE0=")</f>
        <v>#REF!</v>
      </c>
      <c r="CA129" t="e">
        <f>AND(#REF!,"UELHMwyAJE4=")</f>
        <v>#REF!</v>
      </c>
      <c r="CB129" t="e">
        <f>AND(#REF!,"UELHMwyAJE8=")</f>
        <v>#REF!</v>
      </c>
      <c r="CC129" t="e">
        <f>AND(#REF!,"UELHMwyAJFA=")</f>
        <v>#REF!</v>
      </c>
      <c r="CD129" t="e">
        <f>AND(#REF!,"UELHMwyAJFE=")</f>
        <v>#REF!</v>
      </c>
      <c r="CE129" t="e">
        <f>AND(#REF!,"UELHMwyAJFI=")</f>
        <v>#REF!</v>
      </c>
      <c r="CF129" t="e">
        <f>IF(#REF!,"UELHMwyAJFM=",0)</f>
        <v>#REF!</v>
      </c>
      <c r="CG129" t="e">
        <f>AND(#REF!,"UELHMwyAJFQ=")</f>
        <v>#REF!</v>
      </c>
      <c r="CH129" t="e">
        <f>AND(#REF!,"UELHMwyAJFU=")</f>
        <v>#REF!</v>
      </c>
      <c r="CI129" t="e">
        <f>AND(#REF!,"UELHMwyAJFY=")</f>
        <v>#REF!</v>
      </c>
      <c r="CJ129" t="e">
        <f>AND(#REF!,"UELHMwyAJFc=")</f>
        <v>#REF!</v>
      </c>
      <c r="CK129" t="e">
        <f>AND(#REF!,"UELHMwyAJFg=")</f>
        <v>#REF!</v>
      </c>
      <c r="CL129" t="e">
        <f>AND(#REF!,"UELHMwyAJFk=")</f>
        <v>#REF!</v>
      </c>
      <c r="CM129" t="e">
        <f>AND(#REF!,"UELHMwyAJFo=")</f>
        <v>#REF!</v>
      </c>
      <c r="CN129" t="e">
        <f>AND(#REF!,"UELHMwyAJFs=")</f>
        <v>#REF!</v>
      </c>
      <c r="CO129" t="e">
        <f>AND(#REF!,"UELHMwyAJFw=")</f>
        <v>#REF!</v>
      </c>
      <c r="CP129" t="e">
        <f>AND(#REF!,"UELHMwyAJF0=")</f>
        <v>#REF!</v>
      </c>
      <c r="CQ129" t="e">
        <f>AND(#REF!,"UELHMwyAJF4=")</f>
        <v>#REF!</v>
      </c>
      <c r="CR129" t="e">
        <f>AND(#REF!,"UELHMwyAJF8=")</f>
        <v>#REF!</v>
      </c>
      <c r="CS129" t="e">
        <f>AND(#REF!,"UELHMwyAJGA=")</f>
        <v>#REF!</v>
      </c>
      <c r="CT129" t="e">
        <f>AND(#REF!,"UELHMwyAJGE=")</f>
        <v>#REF!</v>
      </c>
      <c r="CU129" t="e">
        <f>AND(#REF!,"UELHMwyAJGI=")</f>
        <v>#REF!</v>
      </c>
      <c r="CV129" t="e">
        <f>AND(#REF!,"UELHMwyAJGM=")</f>
        <v>#REF!</v>
      </c>
      <c r="CW129" t="e">
        <f>IF(#REF!,"UELHMwyAJGQ=",0)</f>
        <v>#REF!</v>
      </c>
      <c r="CX129" t="e">
        <f>AND(#REF!,"UELHMwyAJGU=")</f>
        <v>#REF!</v>
      </c>
      <c r="CY129" t="e">
        <f>AND(#REF!,"UELHMwyAJGY=")</f>
        <v>#REF!</v>
      </c>
      <c r="CZ129" t="e">
        <f>AND(#REF!,"UELHMwyAJGc=")</f>
        <v>#REF!</v>
      </c>
      <c r="DA129" t="e">
        <f>AND(#REF!,"UELHMwyAJGg=")</f>
        <v>#REF!</v>
      </c>
      <c r="DB129" t="e">
        <f>AND(#REF!,"UELHMwyAJGk=")</f>
        <v>#REF!</v>
      </c>
      <c r="DC129" t="e">
        <f>AND(#REF!,"UELHMwyAJGo=")</f>
        <v>#REF!</v>
      </c>
      <c r="DD129" t="e">
        <f>AND(#REF!,"UELHMwyAJGs=")</f>
        <v>#REF!</v>
      </c>
      <c r="DE129" t="e">
        <f>AND(#REF!,"UELHMwyAJGw=")</f>
        <v>#REF!</v>
      </c>
      <c r="DF129" t="e">
        <f>AND(#REF!,"UELHMwyAJG0=")</f>
        <v>#REF!</v>
      </c>
      <c r="DG129" t="e">
        <f>AND(#REF!,"UELHMwyAJG4=")</f>
        <v>#REF!</v>
      </c>
      <c r="DH129" t="e">
        <f>AND(#REF!,"UELHMwyAJG8=")</f>
        <v>#REF!</v>
      </c>
      <c r="DI129" t="e">
        <f>AND(#REF!,"UELHMwyAJHA=")</f>
        <v>#REF!</v>
      </c>
      <c r="DJ129" t="e">
        <f>AND(#REF!,"UELHMwyAJHE=")</f>
        <v>#REF!</v>
      </c>
      <c r="DK129" t="e">
        <f>AND(#REF!,"UELHMwyAJHI=")</f>
        <v>#REF!</v>
      </c>
      <c r="DL129" t="e">
        <f>AND(#REF!,"UELHMwyAJHM=")</f>
        <v>#REF!</v>
      </c>
      <c r="DM129" t="e">
        <f>AND(#REF!,"UELHMwyAJHQ=")</f>
        <v>#REF!</v>
      </c>
      <c r="DN129" t="e">
        <f>IF(#REF!,"UELHMwyAJHU=",0)</f>
        <v>#REF!</v>
      </c>
      <c r="DO129" t="e">
        <f>AND(#REF!,"UELHMwyAJHY=")</f>
        <v>#REF!</v>
      </c>
      <c r="DP129" t="e">
        <f>AND(#REF!,"UELHMwyAJHc=")</f>
        <v>#REF!</v>
      </c>
      <c r="DQ129" t="e">
        <f>AND(#REF!,"UELHMwyAJHg=")</f>
        <v>#REF!</v>
      </c>
      <c r="DR129" t="e">
        <f>AND(#REF!,"UELHMwyAJHk=")</f>
        <v>#REF!</v>
      </c>
      <c r="DS129" t="e">
        <f>AND(#REF!,"UELHMwyAJHo=")</f>
        <v>#REF!</v>
      </c>
      <c r="DT129" t="e">
        <f>AND(#REF!,"UELHMwyAJHs=")</f>
        <v>#REF!</v>
      </c>
      <c r="DU129" t="e">
        <f>AND(#REF!,"UELHMwyAJHw=")</f>
        <v>#REF!</v>
      </c>
      <c r="DV129" t="e">
        <f>AND(#REF!,"UELHMwyAJH0=")</f>
        <v>#REF!</v>
      </c>
      <c r="DW129" t="e">
        <f>AND(#REF!,"UELHMwyAJH4=")</f>
        <v>#REF!</v>
      </c>
      <c r="DX129" t="e">
        <f>AND(#REF!,"UELHMwyAJH8=")</f>
        <v>#REF!</v>
      </c>
      <c r="DY129" t="e">
        <f>AND(#REF!,"UELHMwyAJIA=")</f>
        <v>#REF!</v>
      </c>
      <c r="DZ129" t="e">
        <f>AND(#REF!,"UELHMwyAJIE=")</f>
        <v>#REF!</v>
      </c>
      <c r="EA129" t="e">
        <f>AND(#REF!,"UELHMwyAJII=")</f>
        <v>#REF!</v>
      </c>
      <c r="EB129" t="e">
        <f>AND(#REF!,"UELHMwyAJIM=")</f>
        <v>#REF!</v>
      </c>
      <c r="EC129" t="e">
        <f>AND(#REF!,"UELHMwyAJIQ=")</f>
        <v>#REF!</v>
      </c>
      <c r="ED129" t="e">
        <f>AND(#REF!,"UELHMwyAJIU=")</f>
        <v>#REF!</v>
      </c>
      <c r="EE129" t="e">
        <f>IF(#REF!,"UELHMwyAJIY=",0)</f>
        <v>#REF!</v>
      </c>
      <c r="EF129" t="e">
        <f>AND(#REF!,"UELHMwyAJIc=")</f>
        <v>#REF!</v>
      </c>
      <c r="EG129" t="e">
        <f>AND(#REF!,"UELHMwyAJIg=")</f>
        <v>#REF!</v>
      </c>
      <c r="EH129" t="e">
        <f>AND(#REF!,"UELHMwyAJIk=")</f>
        <v>#REF!</v>
      </c>
      <c r="EI129" t="e">
        <f>AND(#REF!,"UELHMwyAJIo=")</f>
        <v>#REF!</v>
      </c>
      <c r="EJ129" t="e">
        <f>AND(#REF!,"UELHMwyAJIs=")</f>
        <v>#REF!</v>
      </c>
      <c r="EK129" t="e">
        <f>AND(#REF!,"UELHMwyAJIw=")</f>
        <v>#REF!</v>
      </c>
      <c r="EL129" t="e">
        <f>AND(#REF!,"UELHMwyAJI0=")</f>
        <v>#REF!</v>
      </c>
      <c r="EM129" t="e">
        <f>AND(#REF!,"UELHMwyAJI4=")</f>
        <v>#REF!</v>
      </c>
      <c r="EN129" t="e">
        <f>AND(#REF!,"UELHMwyAJI8=")</f>
        <v>#REF!</v>
      </c>
      <c r="EO129" t="e">
        <f>AND(#REF!,"UELHMwyAJJA=")</f>
        <v>#REF!</v>
      </c>
      <c r="EP129" t="e">
        <f>AND(#REF!,"UELHMwyAJJE=")</f>
        <v>#REF!</v>
      </c>
      <c r="EQ129" t="e">
        <f>AND(#REF!,"UELHMwyAJJI=")</f>
        <v>#REF!</v>
      </c>
      <c r="ER129" t="e">
        <f>AND(#REF!,"UELHMwyAJJM=")</f>
        <v>#REF!</v>
      </c>
      <c r="ES129" t="e">
        <f>AND(#REF!,"UELHMwyAJJQ=")</f>
        <v>#REF!</v>
      </c>
      <c r="ET129" t="e">
        <f>AND(#REF!,"UELHMwyAJJU=")</f>
        <v>#REF!</v>
      </c>
      <c r="EU129" t="e">
        <f>AND(#REF!,"UELHMwyAJJY=")</f>
        <v>#REF!</v>
      </c>
      <c r="EV129" t="e">
        <f>IF(#REF!,"UELHMwyAJJc=",0)</f>
        <v>#REF!</v>
      </c>
      <c r="EW129" t="e">
        <f>AND(#REF!,"UELHMwyAJJg=")</f>
        <v>#REF!</v>
      </c>
      <c r="EX129" t="e">
        <f>AND(#REF!,"UELHMwyAJJk=")</f>
        <v>#REF!</v>
      </c>
      <c r="EY129" t="e">
        <f>AND(#REF!,"UELHMwyAJJo=")</f>
        <v>#REF!</v>
      </c>
      <c r="EZ129" t="e">
        <f>AND(#REF!,"UELHMwyAJJs=")</f>
        <v>#REF!</v>
      </c>
      <c r="FA129" t="e">
        <f>AND(#REF!,"UELHMwyAJJw=")</f>
        <v>#REF!</v>
      </c>
      <c r="FB129" t="e">
        <f>AND(#REF!,"UELHMwyAJJ0=")</f>
        <v>#REF!</v>
      </c>
      <c r="FC129" t="e">
        <f>AND(#REF!,"UELHMwyAJJ4=")</f>
        <v>#REF!</v>
      </c>
      <c r="FD129" t="e">
        <f>AND(#REF!,"UELHMwyAJJ8=")</f>
        <v>#REF!</v>
      </c>
      <c r="FE129" t="e">
        <f>AND(#REF!,"UELHMwyAJKA=")</f>
        <v>#REF!</v>
      </c>
      <c r="FF129" t="e">
        <f>AND(#REF!,"UELHMwyAJKE=")</f>
        <v>#REF!</v>
      </c>
      <c r="FG129" t="e">
        <f>AND(#REF!,"UELHMwyAJKI=")</f>
        <v>#REF!</v>
      </c>
      <c r="FH129" t="e">
        <f>AND(#REF!,"UELHMwyAJKM=")</f>
        <v>#REF!</v>
      </c>
      <c r="FI129" t="e">
        <f>AND(#REF!,"UELHMwyAJKQ=")</f>
        <v>#REF!</v>
      </c>
      <c r="FJ129" t="e">
        <f>AND(#REF!,"UELHMwyAJKU=")</f>
        <v>#REF!</v>
      </c>
      <c r="FK129" t="e">
        <f>AND(#REF!,"UELHMwyAJKY=")</f>
        <v>#REF!</v>
      </c>
      <c r="FL129" t="e">
        <f>AND(#REF!,"UELHMwyAJKc=")</f>
        <v>#REF!</v>
      </c>
      <c r="FM129" t="e">
        <f>IF(#REF!,"UELHMwyAJKg=",0)</f>
        <v>#REF!</v>
      </c>
      <c r="FN129" t="e">
        <f>AND(#REF!,"UELHMwyAJKk=")</f>
        <v>#REF!</v>
      </c>
      <c r="FO129" t="e">
        <f>AND(#REF!,"UELHMwyAJKo=")</f>
        <v>#REF!</v>
      </c>
      <c r="FP129" t="e">
        <f>AND(#REF!,"UELHMwyAJKs=")</f>
        <v>#REF!</v>
      </c>
      <c r="FQ129" t="e">
        <f>AND(#REF!,"UELHMwyAJKw=")</f>
        <v>#REF!</v>
      </c>
      <c r="FR129" t="e">
        <f>AND(#REF!,"UELHMwyAJK0=")</f>
        <v>#REF!</v>
      </c>
      <c r="FS129" t="e">
        <f>AND(#REF!,"UELHMwyAJK4=")</f>
        <v>#REF!</v>
      </c>
      <c r="FT129" t="e">
        <f>AND(#REF!,"UELHMwyAJK8=")</f>
        <v>#REF!</v>
      </c>
      <c r="FU129" t="e">
        <f>AND(#REF!,"UELHMwyAJLA=")</f>
        <v>#REF!</v>
      </c>
      <c r="FV129" t="e">
        <f>AND(#REF!,"UELHMwyAJLE=")</f>
        <v>#REF!</v>
      </c>
      <c r="FW129" t="e">
        <f>AND(#REF!,"UELHMwyAJLI=")</f>
        <v>#REF!</v>
      </c>
      <c r="FX129" t="e">
        <f>AND(#REF!,"UELHMwyAJLM=")</f>
        <v>#REF!</v>
      </c>
      <c r="FY129" t="e">
        <f>AND(#REF!,"UELHMwyAJLQ=")</f>
        <v>#REF!</v>
      </c>
      <c r="FZ129" t="e">
        <f>AND(#REF!,"UELHMwyAJLU=")</f>
        <v>#REF!</v>
      </c>
      <c r="GA129" t="e">
        <f>AND(#REF!,"UELHMwyAJLY=")</f>
        <v>#REF!</v>
      </c>
      <c r="GB129" t="e">
        <f>AND(#REF!,"UELHMwyAJLc=")</f>
        <v>#REF!</v>
      </c>
      <c r="GC129" t="e">
        <f>AND(#REF!,"UELHMwyAJLg=")</f>
        <v>#REF!</v>
      </c>
      <c r="GD129" t="e">
        <f>IF(#REF!,"UELHMwyAJLk=",0)</f>
        <v>#REF!</v>
      </c>
      <c r="GE129" t="e">
        <f>AND(#REF!,"UELHMwyAJLo=")</f>
        <v>#REF!</v>
      </c>
      <c r="GF129" t="e">
        <f>AND(#REF!,"UELHMwyAJLs=")</f>
        <v>#REF!</v>
      </c>
      <c r="GG129" t="e">
        <f>AND(#REF!,"UELHMwyAJLw=")</f>
        <v>#REF!</v>
      </c>
      <c r="GH129" t="e">
        <f>AND(#REF!,"UELHMwyAJL0=")</f>
        <v>#REF!</v>
      </c>
      <c r="GI129" t="e">
        <f>AND(#REF!,"UELHMwyAJL4=")</f>
        <v>#REF!</v>
      </c>
      <c r="GJ129" t="e">
        <f>AND(#REF!,"UELHMwyAJL8=")</f>
        <v>#REF!</v>
      </c>
      <c r="GK129" t="e">
        <f>AND(#REF!,"UELHMwyAJMA=")</f>
        <v>#REF!</v>
      </c>
      <c r="GL129" t="e">
        <f>AND(#REF!,"UELHMwyAJME=")</f>
        <v>#REF!</v>
      </c>
      <c r="GM129" t="e">
        <f>AND(#REF!,"UELHMwyAJMI=")</f>
        <v>#REF!</v>
      </c>
      <c r="GN129" t="e">
        <f>AND(#REF!,"UELHMwyAJMM=")</f>
        <v>#REF!</v>
      </c>
      <c r="GO129" t="e">
        <f>AND(#REF!,"UELHMwyAJMQ=")</f>
        <v>#REF!</v>
      </c>
      <c r="GP129" t="e">
        <f>AND(#REF!,"UELHMwyAJMU=")</f>
        <v>#REF!</v>
      </c>
      <c r="GQ129" t="e">
        <f>AND(#REF!,"UELHMwyAJMY=")</f>
        <v>#REF!</v>
      </c>
      <c r="GR129" t="e">
        <f>AND(#REF!,"UELHMwyAJMc=")</f>
        <v>#REF!</v>
      </c>
      <c r="GS129" t="e">
        <f>AND(#REF!,"UELHMwyAJMg=")</f>
        <v>#REF!</v>
      </c>
      <c r="GT129" t="e">
        <f>AND(#REF!,"UELHMwyAJMk=")</f>
        <v>#REF!</v>
      </c>
      <c r="GU129" t="e">
        <f>IF(#REF!,"UELHMwyAJMo=",0)</f>
        <v>#REF!</v>
      </c>
      <c r="GV129" t="e">
        <f>AND(#REF!,"UELHMwyAJMs=")</f>
        <v>#REF!</v>
      </c>
      <c r="GW129" t="e">
        <f>AND(#REF!,"UELHMwyAJMw=")</f>
        <v>#REF!</v>
      </c>
      <c r="GX129" t="e">
        <f>AND(#REF!,"UELHMwyAJM0=")</f>
        <v>#REF!</v>
      </c>
      <c r="GY129" t="e">
        <f>AND(#REF!,"UELHMwyAJM4=")</f>
        <v>#REF!</v>
      </c>
      <c r="GZ129" t="e">
        <f>AND(#REF!,"UELHMwyAJM8=")</f>
        <v>#REF!</v>
      </c>
      <c r="HA129" t="e">
        <f>AND(#REF!,"UELHMwyAJNA=")</f>
        <v>#REF!</v>
      </c>
      <c r="HB129" t="e">
        <f>AND(#REF!,"UELHMwyAJNE=")</f>
        <v>#REF!</v>
      </c>
      <c r="HC129" t="e">
        <f>AND(#REF!,"UELHMwyAJNI=")</f>
        <v>#REF!</v>
      </c>
      <c r="HD129" t="e">
        <f>AND(#REF!,"UELHMwyAJNM=")</f>
        <v>#REF!</v>
      </c>
      <c r="HE129" t="e">
        <f>AND(#REF!,"UELHMwyAJNQ=")</f>
        <v>#REF!</v>
      </c>
      <c r="HF129" t="e">
        <f>AND(#REF!,"UELHMwyAJNU=")</f>
        <v>#REF!</v>
      </c>
      <c r="HG129" t="e">
        <f>AND(#REF!,"UELHMwyAJNY=")</f>
        <v>#REF!</v>
      </c>
      <c r="HH129" t="e">
        <f>AND(#REF!,"UELHMwyAJNc=")</f>
        <v>#REF!</v>
      </c>
      <c r="HI129" t="e">
        <f>AND(#REF!,"UELHMwyAJNg=")</f>
        <v>#REF!</v>
      </c>
      <c r="HJ129" t="e">
        <f>AND(#REF!,"UELHMwyAJNk=")</f>
        <v>#REF!</v>
      </c>
      <c r="HK129" t="e">
        <f>AND(#REF!,"UELHMwyAJNo=")</f>
        <v>#REF!</v>
      </c>
      <c r="HL129" t="e">
        <f>IF(#REF!,"UELHMwyAJNs=",0)</f>
        <v>#REF!</v>
      </c>
      <c r="HM129" t="e">
        <f>AND(#REF!,"UELHMwyAJNw=")</f>
        <v>#REF!</v>
      </c>
      <c r="HN129" t="e">
        <f>AND(#REF!,"UELHMwyAJN0=")</f>
        <v>#REF!</v>
      </c>
      <c r="HO129" t="e">
        <f>AND(#REF!,"UELHMwyAJN4=")</f>
        <v>#REF!</v>
      </c>
      <c r="HP129" t="e">
        <f>AND(#REF!,"UELHMwyAJN8=")</f>
        <v>#REF!</v>
      </c>
      <c r="HQ129" t="e">
        <f>AND(#REF!,"UELHMwyAJOA=")</f>
        <v>#REF!</v>
      </c>
      <c r="HR129" t="e">
        <f>AND(#REF!,"UELHMwyAJOE=")</f>
        <v>#REF!</v>
      </c>
      <c r="HS129" t="e">
        <f>AND(#REF!,"UELHMwyAJOI=")</f>
        <v>#REF!</v>
      </c>
      <c r="HT129" t="e">
        <f>AND(#REF!,"UELHMwyAJOM=")</f>
        <v>#REF!</v>
      </c>
      <c r="HU129" t="e">
        <f>AND(#REF!,"UELHMwyAJOQ=")</f>
        <v>#REF!</v>
      </c>
      <c r="HV129" t="e">
        <f>AND(#REF!,"UELHMwyAJOU=")</f>
        <v>#REF!</v>
      </c>
      <c r="HW129" t="e">
        <f>AND(#REF!,"UELHMwyAJOY=")</f>
        <v>#REF!</v>
      </c>
      <c r="HX129" t="e">
        <f>AND(#REF!,"UELHMwyAJOc=")</f>
        <v>#REF!</v>
      </c>
      <c r="HY129" t="e">
        <f>AND(#REF!,"UELHMwyAJOg=")</f>
        <v>#REF!</v>
      </c>
      <c r="HZ129" t="e">
        <f>AND(#REF!,"UELHMwyAJOk=")</f>
        <v>#REF!</v>
      </c>
      <c r="IA129" t="e">
        <f>AND(#REF!,"UELHMwyAJOo=")</f>
        <v>#REF!</v>
      </c>
      <c r="IB129" t="e">
        <f>AND(#REF!,"UELHMwyAJOs=")</f>
        <v>#REF!</v>
      </c>
      <c r="IC129" t="e">
        <f>IF(#REF!,"UELHMwyAJOw=",0)</f>
        <v>#REF!</v>
      </c>
      <c r="ID129" t="e">
        <f>AND(#REF!,"UELHMwyAJO0=")</f>
        <v>#REF!</v>
      </c>
      <c r="IE129" t="e">
        <f>AND(#REF!,"UELHMwyAJO4=")</f>
        <v>#REF!</v>
      </c>
      <c r="IF129" t="e">
        <f>AND(#REF!,"UELHMwyAJO8=")</f>
        <v>#REF!</v>
      </c>
      <c r="IG129" t="e">
        <f>AND(#REF!,"UELHMwyAJPA=")</f>
        <v>#REF!</v>
      </c>
      <c r="IH129" t="e">
        <f>AND(#REF!,"UELHMwyAJPE=")</f>
        <v>#REF!</v>
      </c>
      <c r="II129" t="e">
        <f>AND(#REF!,"UELHMwyAJPI=")</f>
        <v>#REF!</v>
      </c>
      <c r="IJ129" t="e">
        <f>AND(#REF!,"UELHMwyAJPM=")</f>
        <v>#REF!</v>
      </c>
      <c r="IK129" t="e">
        <f>AND(#REF!,"UELHMwyAJPQ=")</f>
        <v>#REF!</v>
      </c>
      <c r="IL129" t="e">
        <f>AND(#REF!,"UELHMwyAJPU=")</f>
        <v>#REF!</v>
      </c>
      <c r="IM129" t="e">
        <f>AND(#REF!,"UELHMwyAJPY=")</f>
        <v>#REF!</v>
      </c>
      <c r="IN129" t="e">
        <f>AND(#REF!,"UELHMwyAJPc=")</f>
        <v>#REF!</v>
      </c>
      <c r="IO129" t="e">
        <f>AND(#REF!,"UELHMwyAJPg=")</f>
        <v>#REF!</v>
      </c>
      <c r="IP129" t="e">
        <f>AND(#REF!,"UELHMwyAJPk=")</f>
        <v>#REF!</v>
      </c>
      <c r="IQ129" t="e">
        <f>AND(#REF!,"UELHMwyAJPo=")</f>
        <v>#REF!</v>
      </c>
      <c r="IR129" t="e">
        <f>AND(#REF!,"UELHMwyAJPs=")</f>
        <v>#REF!</v>
      </c>
      <c r="IS129" t="e">
        <f>AND(#REF!,"UELHMwyAJPw=")</f>
        <v>#REF!</v>
      </c>
      <c r="IT129" t="e">
        <f>IF(#REF!,"UELHMwyAJP0=",0)</f>
        <v>#REF!</v>
      </c>
      <c r="IU129" t="e">
        <f>AND(#REF!,"UELHMwyAJP4=")</f>
        <v>#REF!</v>
      </c>
      <c r="IV129" t="e">
        <f>AND(#REF!,"UELHMwyAJP8=")</f>
        <v>#REF!</v>
      </c>
    </row>
    <row r="130" spans="1:256" x14ac:dyDescent="0.2">
      <c r="A130" t="e">
        <f>AND(#REF!,"N/VkCjuaKgA=")</f>
        <v>#REF!</v>
      </c>
      <c r="B130" t="e">
        <f>AND(#REF!,"N/VkCjuaKgE=")</f>
        <v>#REF!</v>
      </c>
      <c r="C130" t="e">
        <f>AND(#REF!,"N/VkCjuaKgI=")</f>
        <v>#REF!</v>
      </c>
      <c r="D130" t="e">
        <f>AND(#REF!,"N/VkCjuaKgM=")</f>
        <v>#REF!</v>
      </c>
      <c r="E130" t="e">
        <f>AND(#REF!,"N/VkCjuaKgQ=")</f>
        <v>#REF!</v>
      </c>
      <c r="F130" t="e">
        <f>AND(#REF!,"N/VkCjuaKgU=")</f>
        <v>#REF!</v>
      </c>
      <c r="G130" t="e">
        <f>AND(#REF!,"N/VkCjuaKgY=")</f>
        <v>#REF!</v>
      </c>
      <c r="H130" t="e">
        <f>AND(#REF!,"N/VkCjuaKgc=")</f>
        <v>#REF!</v>
      </c>
      <c r="I130" t="e">
        <f>AND(#REF!,"N/VkCjuaKgg=")</f>
        <v>#REF!</v>
      </c>
      <c r="J130" t="e">
        <f>AND(#REF!,"N/VkCjuaKgk=")</f>
        <v>#REF!</v>
      </c>
      <c r="K130" t="e">
        <f>AND(#REF!,"N/VkCjuaKgo=")</f>
        <v>#REF!</v>
      </c>
      <c r="L130" t="e">
        <f>AND(#REF!,"N/VkCjuaKgs=")</f>
        <v>#REF!</v>
      </c>
      <c r="M130" t="e">
        <f>AND(#REF!,"N/VkCjuaKgw=")</f>
        <v>#REF!</v>
      </c>
      <c r="N130" t="e">
        <f>AND(#REF!,"N/VkCjuaKg0=")</f>
        <v>#REF!</v>
      </c>
      <c r="O130" t="e">
        <f>IF(#REF!,"N/VkCjuaKg4=",0)</f>
        <v>#REF!</v>
      </c>
      <c r="P130" t="e">
        <f>AND(#REF!,"N/VkCjuaKg8=")</f>
        <v>#REF!</v>
      </c>
      <c r="Q130" t="e">
        <f>AND(#REF!,"N/VkCjuaKhA=")</f>
        <v>#REF!</v>
      </c>
      <c r="R130" t="e">
        <f>AND(#REF!,"N/VkCjuaKhE=")</f>
        <v>#REF!</v>
      </c>
      <c r="S130" t="e">
        <f>AND(#REF!,"N/VkCjuaKhI=")</f>
        <v>#REF!</v>
      </c>
      <c r="T130" t="e">
        <f>AND(#REF!,"N/VkCjuaKhM=")</f>
        <v>#REF!</v>
      </c>
      <c r="U130" t="e">
        <f>AND(#REF!,"N/VkCjuaKhQ=")</f>
        <v>#REF!</v>
      </c>
      <c r="V130" t="e">
        <f>AND(#REF!,"N/VkCjuaKhU=")</f>
        <v>#REF!</v>
      </c>
      <c r="W130" t="e">
        <f>AND(#REF!,"N/VkCjuaKhY=")</f>
        <v>#REF!</v>
      </c>
      <c r="X130" t="e">
        <f>AND(#REF!,"N/VkCjuaKhc=")</f>
        <v>#REF!</v>
      </c>
      <c r="Y130" t="e">
        <f>AND(#REF!,"N/VkCjuaKhg=")</f>
        <v>#REF!</v>
      </c>
      <c r="Z130" t="e">
        <f>AND(#REF!,"N/VkCjuaKhk=")</f>
        <v>#REF!</v>
      </c>
      <c r="AA130" t="e">
        <f>AND(#REF!,"N/VkCjuaKho=")</f>
        <v>#REF!</v>
      </c>
      <c r="AB130" t="e">
        <f>AND(#REF!,"N/VkCjuaKhs=")</f>
        <v>#REF!</v>
      </c>
      <c r="AC130" t="e">
        <f>AND(#REF!,"N/VkCjuaKhw=")</f>
        <v>#REF!</v>
      </c>
      <c r="AD130" t="e">
        <f>AND(#REF!,"N/VkCjuaKh0=")</f>
        <v>#REF!</v>
      </c>
      <c r="AE130" t="e">
        <f>AND(#REF!,"N/VkCjuaKh4=")</f>
        <v>#REF!</v>
      </c>
      <c r="AF130" t="e">
        <f>IF(#REF!,"N/VkCjuaKh8=",0)</f>
        <v>#REF!</v>
      </c>
      <c r="AG130" t="e">
        <f>AND(#REF!,"N/VkCjuaKiA=")</f>
        <v>#REF!</v>
      </c>
      <c r="AH130" t="e">
        <f>AND(#REF!,"N/VkCjuaKiE=")</f>
        <v>#REF!</v>
      </c>
      <c r="AI130" t="e">
        <f>AND(#REF!,"N/VkCjuaKiI=")</f>
        <v>#REF!</v>
      </c>
      <c r="AJ130" t="e">
        <f>AND(#REF!,"N/VkCjuaKiM=")</f>
        <v>#REF!</v>
      </c>
      <c r="AK130" t="e">
        <f>AND(#REF!,"N/VkCjuaKiQ=")</f>
        <v>#REF!</v>
      </c>
      <c r="AL130" t="e">
        <f>AND(#REF!,"N/VkCjuaKiU=")</f>
        <v>#REF!</v>
      </c>
      <c r="AM130" t="e">
        <f>AND(#REF!,"N/VkCjuaKiY=")</f>
        <v>#REF!</v>
      </c>
      <c r="AN130" t="e">
        <f>AND(#REF!,"N/VkCjuaKic=")</f>
        <v>#REF!</v>
      </c>
      <c r="AO130" t="e">
        <f>AND(#REF!,"N/VkCjuaKig=")</f>
        <v>#REF!</v>
      </c>
      <c r="AP130" t="e">
        <f>AND(#REF!,"N/VkCjuaKik=")</f>
        <v>#REF!</v>
      </c>
      <c r="AQ130" t="e">
        <f>AND(#REF!,"N/VkCjuaKio=")</f>
        <v>#REF!</v>
      </c>
      <c r="AR130" t="e">
        <f>AND(#REF!,"N/VkCjuaKis=")</f>
        <v>#REF!</v>
      </c>
      <c r="AS130" t="e">
        <f>AND(#REF!,"N/VkCjuaKiw=")</f>
        <v>#REF!</v>
      </c>
      <c r="AT130" t="e">
        <f>AND(#REF!,"N/VkCjuaKi0=")</f>
        <v>#REF!</v>
      </c>
      <c r="AU130" t="e">
        <f>AND(#REF!,"N/VkCjuaKi4=")</f>
        <v>#REF!</v>
      </c>
      <c r="AV130" t="e">
        <f>AND(#REF!,"N/VkCjuaKi8=")</f>
        <v>#REF!</v>
      </c>
      <c r="AW130" t="e">
        <f>IF(#REF!,"N/VkCjuaKjA=",0)</f>
        <v>#REF!</v>
      </c>
      <c r="AX130" t="e">
        <f>AND(#REF!,"N/VkCjuaKjE=")</f>
        <v>#REF!</v>
      </c>
      <c r="AY130" t="e">
        <f>AND(#REF!,"N/VkCjuaKjI=")</f>
        <v>#REF!</v>
      </c>
      <c r="AZ130" t="e">
        <f>AND(#REF!,"N/VkCjuaKjM=")</f>
        <v>#REF!</v>
      </c>
      <c r="BA130" t="e">
        <f>AND(#REF!,"N/VkCjuaKjQ=")</f>
        <v>#REF!</v>
      </c>
      <c r="BB130" t="e">
        <f>AND(#REF!,"N/VkCjuaKjU=")</f>
        <v>#REF!</v>
      </c>
      <c r="BC130" t="e">
        <f>AND(#REF!,"N/VkCjuaKjY=")</f>
        <v>#REF!</v>
      </c>
      <c r="BD130" t="e">
        <f>AND(#REF!,"N/VkCjuaKjc=")</f>
        <v>#REF!</v>
      </c>
      <c r="BE130" t="e">
        <f>AND(#REF!,"N/VkCjuaKjg=")</f>
        <v>#REF!</v>
      </c>
      <c r="BF130" t="e">
        <f>AND(#REF!,"N/VkCjuaKjk=")</f>
        <v>#REF!</v>
      </c>
      <c r="BG130" t="e">
        <f>AND(#REF!,"N/VkCjuaKjo=")</f>
        <v>#REF!</v>
      </c>
      <c r="BH130" t="e">
        <f>AND(#REF!,"N/VkCjuaKjs=")</f>
        <v>#REF!</v>
      </c>
      <c r="BI130" t="e">
        <f>AND(#REF!,"N/VkCjuaKjw=")</f>
        <v>#REF!</v>
      </c>
      <c r="BJ130" t="e">
        <f>AND(#REF!,"N/VkCjuaKj0=")</f>
        <v>#REF!</v>
      </c>
      <c r="BK130" t="e">
        <f>AND(#REF!,"N/VkCjuaKj4=")</f>
        <v>#REF!</v>
      </c>
      <c r="BL130" t="e">
        <f>AND(#REF!,"N/VkCjuaKj8=")</f>
        <v>#REF!</v>
      </c>
      <c r="BM130" t="e">
        <f>AND(#REF!,"N/VkCjuaKkA=")</f>
        <v>#REF!</v>
      </c>
      <c r="BN130" t="e">
        <f>IF(#REF!,"N/VkCjuaKkE=",0)</f>
        <v>#REF!</v>
      </c>
      <c r="BO130" t="e">
        <f>AND(#REF!,"N/VkCjuaKkI=")</f>
        <v>#REF!</v>
      </c>
      <c r="BP130" t="e">
        <f>AND(#REF!,"N/VkCjuaKkM=")</f>
        <v>#REF!</v>
      </c>
      <c r="BQ130" t="e">
        <f>AND(#REF!,"N/VkCjuaKkQ=")</f>
        <v>#REF!</v>
      </c>
      <c r="BR130" t="e">
        <f>AND(#REF!,"N/VkCjuaKkU=")</f>
        <v>#REF!</v>
      </c>
      <c r="BS130" t="e">
        <f>AND(#REF!,"N/VkCjuaKkY=")</f>
        <v>#REF!</v>
      </c>
      <c r="BT130" t="e">
        <f>AND(#REF!,"N/VkCjuaKkc=")</f>
        <v>#REF!</v>
      </c>
      <c r="BU130" t="e">
        <f>AND(#REF!,"N/VkCjuaKkg=")</f>
        <v>#REF!</v>
      </c>
      <c r="BV130" t="e">
        <f>AND(#REF!,"N/VkCjuaKkk=")</f>
        <v>#REF!</v>
      </c>
      <c r="BW130" t="e">
        <f>AND(#REF!,"N/VkCjuaKko=")</f>
        <v>#REF!</v>
      </c>
      <c r="BX130" t="e">
        <f>AND(#REF!,"N/VkCjuaKks=")</f>
        <v>#REF!</v>
      </c>
      <c r="BY130" t="e">
        <f>AND(#REF!,"N/VkCjuaKkw=")</f>
        <v>#REF!</v>
      </c>
      <c r="BZ130" t="e">
        <f>AND(#REF!,"N/VkCjuaKk0=")</f>
        <v>#REF!</v>
      </c>
      <c r="CA130" t="e">
        <f>AND(#REF!,"N/VkCjuaKk4=")</f>
        <v>#REF!</v>
      </c>
      <c r="CB130" t="e">
        <f>AND(#REF!,"N/VkCjuaKk8=")</f>
        <v>#REF!</v>
      </c>
      <c r="CC130" t="e">
        <f>AND(#REF!,"N/VkCjuaKlA=")</f>
        <v>#REF!</v>
      </c>
      <c r="CD130" t="e">
        <f>AND(#REF!,"N/VkCjuaKlE=")</f>
        <v>#REF!</v>
      </c>
      <c r="CE130" t="e">
        <f>IF(#REF!,"N/VkCjuaKlI=",0)</f>
        <v>#REF!</v>
      </c>
      <c r="CF130" t="e">
        <f>AND(#REF!,"N/VkCjuaKlM=")</f>
        <v>#REF!</v>
      </c>
      <c r="CG130" t="e">
        <f>AND(#REF!,"N/VkCjuaKlQ=")</f>
        <v>#REF!</v>
      </c>
      <c r="CH130" t="e">
        <f>AND(#REF!,"N/VkCjuaKlU=")</f>
        <v>#REF!</v>
      </c>
      <c r="CI130" t="e">
        <f>AND(#REF!,"N/VkCjuaKlY=")</f>
        <v>#REF!</v>
      </c>
      <c r="CJ130" t="e">
        <f>AND(#REF!,"N/VkCjuaKlc=")</f>
        <v>#REF!</v>
      </c>
      <c r="CK130" t="e">
        <f>AND(#REF!,"N/VkCjuaKlg=")</f>
        <v>#REF!</v>
      </c>
      <c r="CL130" t="e">
        <f>AND(#REF!,"N/VkCjuaKlk=")</f>
        <v>#REF!</v>
      </c>
      <c r="CM130" t="e">
        <f>AND(#REF!,"N/VkCjuaKlo=")</f>
        <v>#REF!</v>
      </c>
      <c r="CN130" t="e">
        <f>AND(#REF!,"N/VkCjuaKls=")</f>
        <v>#REF!</v>
      </c>
      <c r="CO130" t="e">
        <f>AND(#REF!,"N/VkCjuaKlw=")</f>
        <v>#REF!</v>
      </c>
      <c r="CP130" t="e">
        <f>AND(#REF!,"N/VkCjuaKl0=")</f>
        <v>#REF!</v>
      </c>
      <c r="CQ130" t="e">
        <f>AND(#REF!,"N/VkCjuaKl4=")</f>
        <v>#REF!</v>
      </c>
      <c r="CR130" t="e">
        <f>AND(#REF!,"N/VkCjuaKl8=")</f>
        <v>#REF!</v>
      </c>
      <c r="CS130" t="e">
        <f>AND(#REF!,"N/VkCjuaKmA=")</f>
        <v>#REF!</v>
      </c>
      <c r="CT130" t="e">
        <f>AND(#REF!,"N/VkCjuaKmE=")</f>
        <v>#REF!</v>
      </c>
      <c r="CU130" t="e">
        <f>AND(#REF!,"N/VkCjuaKmI=")</f>
        <v>#REF!</v>
      </c>
      <c r="CV130" t="e">
        <f>IF(#REF!,"N/VkCjuaKmM=",0)</f>
        <v>#REF!</v>
      </c>
      <c r="CW130" t="e">
        <f>AND(#REF!,"N/VkCjuaKmQ=")</f>
        <v>#REF!</v>
      </c>
      <c r="CX130" t="e">
        <f>AND(#REF!,"N/VkCjuaKmU=")</f>
        <v>#REF!</v>
      </c>
      <c r="CY130" t="e">
        <f>AND(#REF!,"N/VkCjuaKmY=")</f>
        <v>#REF!</v>
      </c>
      <c r="CZ130" t="e">
        <f>AND(#REF!,"N/VkCjuaKmc=")</f>
        <v>#REF!</v>
      </c>
      <c r="DA130" t="e">
        <f>AND(#REF!,"N/VkCjuaKmg=")</f>
        <v>#REF!</v>
      </c>
      <c r="DB130" t="e">
        <f>AND(#REF!,"N/VkCjuaKmk=")</f>
        <v>#REF!</v>
      </c>
      <c r="DC130" t="e">
        <f>AND(#REF!,"N/VkCjuaKmo=")</f>
        <v>#REF!</v>
      </c>
      <c r="DD130" t="e">
        <f>AND(#REF!,"N/VkCjuaKms=")</f>
        <v>#REF!</v>
      </c>
      <c r="DE130" t="e">
        <f>AND(#REF!,"N/VkCjuaKmw=")</f>
        <v>#REF!</v>
      </c>
      <c r="DF130" t="e">
        <f>AND(#REF!,"N/VkCjuaKm0=")</f>
        <v>#REF!</v>
      </c>
      <c r="DG130" t="e">
        <f>AND(#REF!,"N/VkCjuaKm4=")</f>
        <v>#REF!</v>
      </c>
      <c r="DH130" t="e">
        <f>AND(#REF!,"N/VkCjuaKm8=")</f>
        <v>#REF!</v>
      </c>
      <c r="DI130" t="e">
        <f>AND(#REF!,"N/VkCjuaKnA=")</f>
        <v>#REF!</v>
      </c>
      <c r="DJ130" t="e">
        <f>AND(#REF!,"N/VkCjuaKnE=")</f>
        <v>#REF!</v>
      </c>
      <c r="DK130" t="e">
        <f>AND(#REF!,"N/VkCjuaKnI=")</f>
        <v>#REF!</v>
      </c>
      <c r="DL130" t="e">
        <f>AND(#REF!,"N/VkCjuaKnM=")</f>
        <v>#REF!</v>
      </c>
      <c r="DM130" t="e">
        <f>IF(#REF!,"N/VkCjuaKnQ=",0)</f>
        <v>#REF!</v>
      </c>
      <c r="DN130" t="e">
        <f>AND(#REF!,"N/VkCjuaKnU=")</f>
        <v>#REF!</v>
      </c>
      <c r="DO130" t="e">
        <f>AND(#REF!,"N/VkCjuaKnY=")</f>
        <v>#REF!</v>
      </c>
      <c r="DP130" t="e">
        <f>AND(#REF!,"N/VkCjuaKnc=")</f>
        <v>#REF!</v>
      </c>
      <c r="DQ130" t="e">
        <f>AND(#REF!,"N/VkCjuaKng=")</f>
        <v>#REF!</v>
      </c>
      <c r="DR130" t="e">
        <f>AND(#REF!,"N/VkCjuaKnk=")</f>
        <v>#REF!</v>
      </c>
      <c r="DS130" t="e">
        <f>AND(#REF!,"N/VkCjuaKno=")</f>
        <v>#REF!</v>
      </c>
      <c r="DT130" t="e">
        <f>AND(#REF!,"N/VkCjuaKns=")</f>
        <v>#REF!</v>
      </c>
      <c r="DU130" t="e">
        <f>AND(#REF!,"N/VkCjuaKnw=")</f>
        <v>#REF!</v>
      </c>
      <c r="DV130" t="e">
        <f>AND(#REF!,"N/VkCjuaKn0=")</f>
        <v>#REF!</v>
      </c>
      <c r="DW130" t="e">
        <f>AND(#REF!,"N/VkCjuaKn4=")</f>
        <v>#REF!</v>
      </c>
      <c r="DX130" t="e">
        <f>AND(#REF!,"N/VkCjuaKn8=")</f>
        <v>#REF!</v>
      </c>
      <c r="DY130" t="e">
        <f>AND(#REF!,"N/VkCjuaKoA=")</f>
        <v>#REF!</v>
      </c>
      <c r="DZ130" t="e">
        <f>AND(#REF!,"N/VkCjuaKoE=")</f>
        <v>#REF!</v>
      </c>
      <c r="EA130" t="e">
        <f>AND(#REF!,"N/VkCjuaKoI=")</f>
        <v>#REF!</v>
      </c>
      <c r="EB130" t="e">
        <f>AND(#REF!,"N/VkCjuaKoM=")</f>
        <v>#REF!</v>
      </c>
      <c r="EC130" t="e">
        <f>AND(#REF!,"N/VkCjuaKoQ=")</f>
        <v>#REF!</v>
      </c>
      <c r="ED130" t="e">
        <f>IF(#REF!,"N/VkCjuaKoU=",0)</f>
        <v>#REF!</v>
      </c>
      <c r="EE130" t="e">
        <f>AND(#REF!,"N/VkCjuaKoY=")</f>
        <v>#REF!</v>
      </c>
      <c r="EF130" t="e">
        <f>AND(#REF!,"N/VkCjuaKoc=")</f>
        <v>#REF!</v>
      </c>
      <c r="EG130" t="e">
        <f>AND(#REF!,"N/VkCjuaKog=")</f>
        <v>#REF!</v>
      </c>
      <c r="EH130" t="e">
        <f>AND(#REF!,"N/VkCjuaKok=")</f>
        <v>#REF!</v>
      </c>
      <c r="EI130" t="e">
        <f>AND(#REF!,"N/VkCjuaKoo=")</f>
        <v>#REF!</v>
      </c>
      <c r="EJ130" t="e">
        <f>AND(#REF!,"N/VkCjuaKos=")</f>
        <v>#REF!</v>
      </c>
      <c r="EK130" t="e">
        <f>AND(#REF!,"N/VkCjuaKow=")</f>
        <v>#REF!</v>
      </c>
      <c r="EL130" t="e">
        <f>AND(#REF!,"N/VkCjuaKo0=")</f>
        <v>#REF!</v>
      </c>
      <c r="EM130" t="e">
        <f>AND(#REF!,"N/VkCjuaKo4=")</f>
        <v>#REF!</v>
      </c>
      <c r="EN130" t="e">
        <f>AND(#REF!,"N/VkCjuaKo8=")</f>
        <v>#REF!</v>
      </c>
      <c r="EO130" t="e">
        <f>AND(#REF!,"N/VkCjuaKpA=")</f>
        <v>#REF!</v>
      </c>
      <c r="EP130" t="e">
        <f>AND(#REF!,"N/VkCjuaKpE=")</f>
        <v>#REF!</v>
      </c>
      <c r="EQ130" t="e">
        <f>AND(#REF!,"N/VkCjuaKpI=")</f>
        <v>#REF!</v>
      </c>
      <c r="ER130" t="e">
        <f>AND(#REF!,"N/VkCjuaKpM=")</f>
        <v>#REF!</v>
      </c>
      <c r="ES130" t="e">
        <f>AND(#REF!,"N/VkCjuaKpQ=")</f>
        <v>#REF!</v>
      </c>
      <c r="ET130" t="e">
        <f>AND(#REF!,"N/VkCjuaKpU=")</f>
        <v>#REF!</v>
      </c>
      <c r="EU130" t="e">
        <f>IF(#REF!,"N/VkCjuaKpY=",0)</f>
        <v>#REF!</v>
      </c>
      <c r="EV130" t="e">
        <f>AND(#REF!,"N/VkCjuaKpc=")</f>
        <v>#REF!</v>
      </c>
      <c r="EW130" t="e">
        <f>AND(#REF!,"N/VkCjuaKpg=")</f>
        <v>#REF!</v>
      </c>
      <c r="EX130" t="e">
        <f>AND(#REF!,"N/VkCjuaKpk=")</f>
        <v>#REF!</v>
      </c>
      <c r="EY130" t="e">
        <f>AND(#REF!,"N/VkCjuaKpo=")</f>
        <v>#REF!</v>
      </c>
      <c r="EZ130" t="e">
        <f>AND(#REF!,"N/VkCjuaKps=")</f>
        <v>#REF!</v>
      </c>
      <c r="FA130" t="e">
        <f>AND(#REF!,"N/VkCjuaKpw=")</f>
        <v>#REF!</v>
      </c>
      <c r="FB130" t="e">
        <f>AND(#REF!,"N/VkCjuaKp0=")</f>
        <v>#REF!</v>
      </c>
      <c r="FC130" t="e">
        <f>AND(#REF!,"N/VkCjuaKp4=")</f>
        <v>#REF!</v>
      </c>
      <c r="FD130" t="e">
        <f>AND(#REF!,"N/VkCjuaKp8=")</f>
        <v>#REF!</v>
      </c>
      <c r="FE130" t="e">
        <f>AND(#REF!,"N/VkCjuaKqA=")</f>
        <v>#REF!</v>
      </c>
      <c r="FF130" t="e">
        <f>AND(#REF!,"N/VkCjuaKqE=")</f>
        <v>#REF!</v>
      </c>
      <c r="FG130" t="e">
        <f>AND(#REF!,"N/VkCjuaKqI=")</f>
        <v>#REF!</v>
      </c>
      <c r="FH130" t="e">
        <f>AND(#REF!,"N/VkCjuaKqM=")</f>
        <v>#REF!</v>
      </c>
      <c r="FI130" t="e">
        <f>AND(#REF!,"N/VkCjuaKqQ=")</f>
        <v>#REF!</v>
      </c>
      <c r="FJ130" t="e">
        <f>AND(#REF!,"N/VkCjuaKqU=")</f>
        <v>#REF!</v>
      </c>
      <c r="FK130" t="e">
        <f>AND(#REF!,"N/VkCjuaKqY=")</f>
        <v>#REF!</v>
      </c>
      <c r="FL130" t="e">
        <f>IF(#REF!,"N/VkCjuaKqc=",0)</f>
        <v>#REF!</v>
      </c>
      <c r="FM130" t="e">
        <f>AND(#REF!,"N/VkCjuaKqg=")</f>
        <v>#REF!</v>
      </c>
      <c r="FN130" t="e">
        <f>AND(#REF!,"N/VkCjuaKqk=")</f>
        <v>#REF!</v>
      </c>
      <c r="FO130" t="e">
        <f>AND(#REF!,"N/VkCjuaKqo=")</f>
        <v>#REF!</v>
      </c>
      <c r="FP130" t="e">
        <f>AND(#REF!,"N/VkCjuaKqs=")</f>
        <v>#REF!</v>
      </c>
      <c r="FQ130" t="e">
        <f>AND(#REF!,"N/VkCjuaKqw=")</f>
        <v>#REF!</v>
      </c>
      <c r="FR130" t="e">
        <f>AND(#REF!,"N/VkCjuaKq0=")</f>
        <v>#REF!</v>
      </c>
      <c r="FS130" t="e">
        <f>AND(#REF!,"N/VkCjuaKq4=")</f>
        <v>#REF!</v>
      </c>
      <c r="FT130" t="e">
        <f>AND(#REF!,"N/VkCjuaKq8=")</f>
        <v>#REF!</v>
      </c>
      <c r="FU130" t="e">
        <f>AND(#REF!,"N/VkCjuaKrA=")</f>
        <v>#REF!</v>
      </c>
      <c r="FV130" t="e">
        <f>AND(#REF!,"N/VkCjuaKrE=")</f>
        <v>#REF!</v>
      </c>
      <c r="FW130" t="e">
        <f>AND(#REF!,"N/VkCjuaKrI=")</f>
        <v>#REF!</v>
      </c>
      <c r="FX130" t="e">
        <f>AND(#REF!,"N/VkCjuaKrM=")</f>
        <v>#REF!</v>
      </c>
      <c r="FY130" t="e">
        <f>AND(#REF!,"N/VkCjuaKrQ=")</f>
        <v>#REF!</v>
      </c>
      <c r="FZ130" t="e">
        <f>AND(#REF!,"N/VkCjuaKrU=")</f>
        <v>#REF!</v>
      </c>
      <c r="GA130" t="e">
        <f>AND(#REF!,"N/VkCjuaKrY=")</f>
        <v>#REF!</v>
      </c>
      <c r="GB130" t="e">
        <f>AND(#REF!,"N/VkCjuaKrc=")</f>
        <v>#REF!</v>
      </c>
      <c r="GC130" t="e">
        <f>IF(#REF!,"N/VkCjuaKrg=",0)</f>
        <v>#REF!</v>
      </c>
      <c r="GD130" t="e">
        <f>AND(#REF!,"N/VkCjuaKrk=")</f>
        <v>#REF!</v>
      </c>
      <c r="GE130" t="e">
        <f>AND(#REF!,"N/VkCjuaKro=")</f>
        <v>#REF!</v>
      </c>
      <c r="GF130" t="e">
        <f>AND(#REF!,"N/VkCjuaKrs=")</f>
        <v>#REF!</v>
      </c>
      <c r="GG130" t="e">
        <f>AND(#REF!,"N/VkCjuaKrw=")</f>
        <v>#REF!</v>
      </c>
      <c r="GH130" t="e">
        <f>AND(#REF!,"N/VkCjuaKr0=")</f>
        <v>#REF!</v>
      </c>
      <c r="GI130" t="e">
        <f>AND(#REF!,"N/VkCjuaKr4=")</f>
        <v>#REF!</v>
      </c>
      <c r="GJ130" t="e">
        <f>AND(#REF!,"N/VkCjuaKr8=")</f>
        <v>#REF!</v>
      </c>
      <c r="GK130" t="e">
        <f>AND(#REF!,"N/VkCjuaKsA=")</f>
        <v>#REF!</v>
      </c>
      <c r="GL130" t="e">
        <f>AND(#REF!,"N/VkCjuaKsE=")</f>
        <v>#REF!</v>
      </c>
      <c r="GM130" t="e">
        <f>AND(#REF!,"N/VkCjuaKsI=")</f>
        <v>#REF!</v>
      </c>
      <c r="GN130" t="e">
        <f>AND(#REF!,"N/VkCjuaKsM=")</f>
        <v>#REF!</v>
      </c>
      <c r="GO130" t="e">
        <f>AND(#REF!,"N/VkCjuaKsQ=")</f>
        <v>#REF!</v>
      </c>
      <c r="GP130" t="e">
        <f>AND(#REF!,"N/VkCjuaKsU=")</f>
        <v>#REF!</v>
      </c>
      <c r="GQ130" t="e">
        <f>AND(#REF!,"N/VkCjuaKsY=")</f>
        <v>#REF!</v>
      </c>
      <c r="GR130" t="e">
        <f>AND(#REF!,"N/VkCjuaKsc=")</f>
        <v>#REF!</v>
      </c>
      <c r="GS130" t="e">
        <f>AND(#REF!,"N/VkCjuaKsg=")</f>
        <v>#REF!</v>
      </c>
      <c r="GT130" t="e">
        <f>IF(#REF!,"N/VkCjuaKsk=",0)</f>
        <v>#REF!</v>
      </c>
      <c r="GU130" t="e">
        <f>AND(#REF!,"N/VkCjuaKso=")</f>
        <v>#REF!</v>
      </c>
      <c r="GV130" t="e">
        <f>AND(#REF!,"N/VkCjuaKss=")</f>
        <v>#REF!</v>
      </c>
      <c r="GW130" t="e">
        <f>AND(#REF!,"N/VkCjuaKsw=")</f>
        <v>#REF!</v>
      </c>
      <c r="GX130" t="e">
        <f>AND(#REF!,"N/VkCjuaKs0=")</f>
        <v>#REF!</v>
      </c>
      <c r="GY130" t="e">
        <f>AND(#REF!,"N/VkCjuaKs4=")</f>
        <v>#REF!</v>
      </c>
      <c r="GZ130" t="e">
        <f>AND(#REF!,"N/VkCjuaKs8=")</f>
        <v>#REF!</v>
      </c>
      <c r="HA130" t="e">
        <f>AND(#REF!,"N/VkCjuaKtA=")</f>
        <v>#REF!</v>
      </c>
      <c r="HB130" t="e">
        <f>AND(#REF!,"N/VkCjuaKtE=")</f>
        <v>#REF!</v>
      </c>
      <c r="HC130" t="e">
        <f>AND(#REF!,"N/VkCjuaKtI=")</f>
        <v>#REF!</v>
      </c>
      <c r="HD130" t="e">
        <f>AND(#REF!,"N/VkCjuaKtM=")</f>
        <v>#REF!</v>
      </c>
      <c r="HE130" t="e">
        <f>AND(#REF!,"N/VkCjuaKtQ=")</f>
        <v>#REF!</v>
      </c>
      <c r="HF130" t="e">
        <f>AND(#REF!,"N/VkCjuaKtU=")</f>
        <v>#REF!</v>
      </c>
      <c r="HG130" t="e">
        <f>AND(#REF!,"N/VkCjuaKtY=")</f>
        <v>#REF!</v>
      </c>
      <c r="HH130" t="e">
        <f>AND(#REF!,"N/VkCjuaKtc=")</f>
        <v>#REF!</v>
      </c>
      <c r="HI130" t="e">
        <f>AND(#REF!,"N/VkCjuaKtg=")</f>
        <v>#REF!</v>
      </c>
      <c r="HJ130" t="e">
        <f>AND(#REF!,"N/VkCjuaKtk=")</f>
        <v>#REF!</v>
      </c>
      <c r="HK130" t="e">
        <f>IF(#REF!,"N/VkCjuaKto=",0)</f>
        <v>#REF!</v>
      </c>
      <c r="HL130" t="e">
        <f>AND(#REF!,"N/VkCjuaKts=")</f>
        <v>#REF!</v>
      </c>
      <c r="HM130" t="e">
        <f>AND(#REF!,"N/VkCjuaKtw=")</f>
        <v>#REF!</v>
      </c>
      <c r="HN130" t="e">
        <f>AND(#REF!,"N/VkCjuaKt0=")</f>
        <v>#REF!</v>
      </c>
      <c r="HO130" t="e">
        <f>AND(#REF!,"N/VkCjuaKt4=")</f>
        <v>#REF!</v>
      </c>
      <c r="HP130" t="e">
        <f>AND(#REF!,"N/VkCjuaKt8=")</f>
        <v>#REF!</v>
      </c>
      <c r="HQ130" t="e">
        <f>AND(#REF!,"N/VkCjuaKuA=")</f>
        <v>#REF!</v>
      </c>
      <c r="HR130" t="e">
        <f>AND(#REF!,"N/VkCjuaKuE=")</f>
        <v>#REF!</v>
      </c>
      <c r="HS130" t="e">
        <f>AND(#REF!,"N/VkCjuaKuI=")</f>
        <v>#REF!</v>
      </c>
      <c r="HT130" t="e">
        <f>AND(#REF!,"N/VkCjuaKuM=")</f>
        <v>#REF!</v>
      </c>
      <c r="HU130" t="e">
        <f>AND(#REF!,"N/VkCjuaKuQ=")</f>
        <v>#REF!</v>
      </c>
      <c r="HV130" t="e">
        <f>AND(#REF!,"N/VkCjuaKuU=")</f>
        <v>#REF!</v>
      </c>
      <c r="HW130" t="e">
        <f>AND(#REF!,"N/VkCjuaKuY=")</f>
        <v>#REF!</v>
      </c>
      <c r="HX130" t="e">
        <f>AND(#REF!,"N/VkCjuaKuc=")</f>
        <v>#REF!</v>
      </c>
      <c r="HY130" t="e">
        <f>AND(#REF!,"N/VkCjuaKug=")</f>
        <v>#REF!</v>
      </c>
      <c r="HZ130" t="e">
        <f>AND(#REF!,"N/VkCjuaKuk=")</f>
        <v>#REF!</v>
      </c>
      <c r="IA130" t="e">
        <f>AND(#REF!,"N/VkCjuaKuo=")</f>
        <v>#REF!</v>
      </c>
      <c r="IB130" t="e">
        <f>IF(#REF!,"N/VkCjuaKus=",0)</f>
        <v>#REF!</v>
      </c>
      <c r="IC130" t="e">
        <f>AND(#REF!,"N/VkCjuaKuw=")</f>
        <v>#REF!</v>
      </c>
      <c r="ID130" t="e">
        <f>AND(#REF!,"N/VkCjuaKu0=")</f>
        <v>#REF!</v>
      </c>
      <c r="IE130" t="e">
        <f>AND(#REF!,"N/VkCjuaKu4=")</f>
        <v>#REF!</v>
      </c>
      <c r="IF130" t="e">
        <f>AND(#REF!,"N/VkCjuaKu8=")</f>
        <v>#REF!</v>
      </c>
      <c r="IG130" t="e">
        <f>AND(#REF!,"N/VkCjuaKvA=")</f>
        <v>#REF!</v>
      </c>
      <c r="IH130" t="e">
        <f>AND(#REF!,"N/VkCjuaKvE=")</f>
        <v>#REF!</v>
      </c>
      <c r="II130" t="e">
        <f>AND(#REF!,"N/VkCjuaKvI=")</f>
        <v>#REF!</v>
      </c>
      <c r="IJ130" t="e">
        <f>AND(#REF!,"N/VkCjuaKvM=")</f>
        <v>#REF!</v>
      </c>
      <c r="IK130" t="e">
        <f>AND(#REF!,"N/VkCjuaKvQ=")</f>
        <v>#REF!</v>
      </c>
      <c r="IL130" t="e">
        <f>AND(#REF!,"N/VkCjuaKvU=")</f>
        <v>#REF!</v>
      </c>
      <c r="IM130" t="e">
        <f>AND(#REF!,"N/VkCjuaKvY=")</f>
        <v>#REF!</v>
      </c>
      <c r="IN130" t="e">
        <f>AND(#REF!,"N/VkCjuaKvc=")</f>
        <v>#REF!</v>
      </c>
      <c r="IO130" t="e">
        <f>AND(#REF!,"N/VkCjuaKvg=")</f>
        <v>#REF!</v>
      </c>
      <c r="IP130" t="e">
        <f>AND(#REF!,"N/VkCjuaKvk=")</f>
        <v>#REF!</v>
      </c>
      <c r="IQ130" t="e">
        <f>AND(#REF!,"N/VkCjuaKvo=")</f>
        <v>#REF!</v>
      </c>
      <c r="IR130" t="e">
        <f>AND(#REF!,"N/VkCjuaKvs=")</f>
        <v>#REF!</v>
      </c>
      <c r="IS130" t="e">
        <f>IF(#REF!,"N/VkCjuaKvw=",0)</f>
        <v>#REF!</v>
      </c>
      <c r="IT130" t="e">
        <f>AND(#REF!,"N/VkCjuaKv0=")</f>
        <v>#REF!</v>
      </c>
      <c r="IU130" t="e">
        <f>AND(#REF!,"N/VkCjuaKv4=")</f>
        <v>#REF!</v>
      </c>
      <c r="IV130" t="e">
        <f>AND(#REF!,"N/VkCjuaKv8=")</f>
        <v>#REF!</v>
      </c>
    </row>
    <row r="131" spans="1:256" x14ac:dyDescent="0.2">
      <c r="A131" t="e">
        <f>AND(#REF!,"H974glLNgQA=")</f>
        <v>#REF!</v>
      </c>
      <c r="B131" t="e">
        <f>AND(#REF!,"H974glLNgQE=")</f>
        <v>#REF!</v>
      </c>
      <c r="C131" t="e">
        <f>AND(#REF!,"H974glLNgQI=")</f>
        <v>#REF!</v>
      </c>
      <c r="D131" t="e">
        <f>AND(#REF!,"H974glLNgQM=")</f>
        <v>#REF!</v>
      </c>
      <c r="E131" t="e">
        <f>AND(#REF!,"H974glLNgQQ=")</f>
        <v>#REF!</v>
      </c>
      <c r="F131" t="e">
        <f>AND(#REF!,"H974glLNgQU=")</f>
        <v>#REF!</v>
      </c>
      <c r="G131" t="e">
        <f>AND(#REF!,"H974glLNgQY=")</f>
        <v>#REF!</v>
      </c>
      <c r="H131" t="e">
        <f>AND(#REF!,"H974glLNgQc=")</f>
        <v>#REF!</v>
      </c>
      <c r="I131" t="e">
        <f>AND(#REF!,"H974glLNgQg=")</f>
        <v>#REF!</v>
      </c>
      <c r="J131" t="e">
        <f>AND(#REF!,"H974glLNgQk=")</f>
        <v>#REF!</v>
      </c>
      <c r="K131" t="e">
        <f>AND(#REF!,"H974glLNgQo=")</f>
        <v>#REF!</v>
      </c>
      <c r="L131" t="e">
        <f>AND(#REF!,"H974glLNgQs=")</f>
        <v>#REF!</v>
      </c>
      <c r="M131" t="e">
        <f>AND(#REF!,"H974glLNgQw=")</f>
        <v>#REF!</v>
      </c>
      <c r="N131" t="e">
        <f>IF(#REF!,"H974glLNgQ0=",0)</f>
        <v>#REF!</v>
      </c>
      <c r="O131" t="e">
        <f>AND(#REF!,"H974glLNgQ4=")</f>
        <v>#REF!</v>
      </c>
      <c r="P131" t="e">
        <f>AND(#REF!,"H974glLNgQ8=")</f>
        <v>#REF!</v>
      </c>
      <c r="Q131" t="e">
        <f>AND(#REF!,"H974glLNgRA=")</f>
        <v>#REF!</v>
      </c>
      <c r="R131" t="e">
        <f>AND(#REF!,"H974glLNgRE=")</f>
        <v>#REF!</v>
      </c>
      <c r="S131" t="e">
        <f>AND(#REF!,"H974glLNgRI=")</f>
        <v>#REF!</v>
      </c>
      <c r="T131" t="e">
        <f>AND(#REF!,"H974glLNgRM=")</f>
        <v>#REF!</v>
      </c>
      <c r="U131" t="e">
        <f>AND(#REF!,"H974glLNgRQ=")</f>
        <v>#REF!</v>
      </c>
      <c r="V131" t="e">
        <f>AND(#REF!,"H974glLNgRU=")</f>
        <v>#REF!</v>
      </c>
      <c r="W131" t="e">
        <f>AND(#REF!,"H974glLNgRY=")</f>
        <v>#REF!</v>
      </c>
      <c r="X131" t="e">
        <f>AND(#REF!,"H974glLNgRc=")</f>
        <v>#REF!</v>
      </c>
      <c r="Y131" t="e">
        <f>AND(#REF!,"H974glLNgRg=")</f>
        <v>#REF!</v>
      </c>
      <c r="Z131" t="e">
        <f>AND(#REF!,"H974glLNgRk=")</f>
        <v>#REF!</v>
      </c>
      <c r="AA131" t="e">
        <f>AND(#REF!,"H974glLNgRo=")</f>
        <v>#REF!</v>
      </c>
      <c r="AB131" t="e">
        <f>AND(#REF!,"H974glLNgRs=")</f>
        <v>#REF!</v>
      </c>
      <c r="AC131" t="e">
        <f>AND(#REF!,"H974glLNgRw=")</f>
        <v>#REF!</v>
      </c>
      <c r="AD131" t="e">
        <f>AND(#REF!,"H974glLNgR0=")</f>
        <v>#REF!</v>
      </c>
      <c r="AE131" t="e">
        <f>IF(#REF!,"H974glLNgR4=",0)</f>
        <v>#REF!</v>
      </c>
      <c r="AF131" t="e">
        <f>AND(#REF!,"H974glLNgR8=")</f>
        <v>#REF!</v>
      </c>
      <c r="AG131" t="e">
        <f>AND(#REF!,"H974glLNgSA=")</f>
        <v>#REF!</v>
      </c>
      <c r="AH131" t="e">
        <f>AND(#REF!,"H974glLNgSE=")</f>
        <v>#REF!</v>
      </c>
      <c r="AI131" t="e">
        <f>AND(#REF!,"H974glLNgSI=")</f>
        <v>#REF!</v>
      </c>
      <c r="AJ131" t="e">
        <f>AND(#REF!,"H974glLNgSM=")</f>
        <v>#REF!</v>
      </c>
      <c r="AK131" t="e">
        <f>AND(#REF!,"H974glLNgSQ=")</f>
        <v>#REF!</v>
      </c>
      <c r="AL131" t="e">
        <f>AND(#REF!,"H974glLNgSU=")</f>
        <v>#REF!</v>
      </c>
      <c r="AM131" t="e">
        <f>AND(#REF!,"H974glLNgSY=")</f>
        <v>#REF!</v>
      </c>
      <c r="AN131" t="e">
        <f>AND(#REF!,"H974glLNgSc=")</f>
        <v>#REF!</v>
      </c>
      <c r="AO131" t="e">
        <f>AND(#REF!,"H974glLNgSg=")</f>
        <v>#REF!</v>
      </c>
      <c r="AP131" t="e">
        <f>AND(#REF!,"H974glLNgSk=")</f>
        <v>#REF!</v>
      </c>
      <c r="AQ131" t="e">
        <f>AND(#REF!,"H974glLNgSo=")</f>
        <v>#REF!</v>
      </c>
      <c r="AR131" t="e">
        <f>AND(#REF!,"H974glLNgSs=")</f>
        <v>#REF!</v>
      </c>
      <c r="AS131" t="e">
        <f>AND(#REF!,"H974glLNgSw=")</f>
        <v>#REF!</v>
      </c>
      <c r="AT131" t="e">
        <f>AND(#REF!,"H974glLNgS0=")</f>
        <v>#REF!</v>
      </c>
      <c r="AU131" t="e">
        <f>AND(#REF!,"H974glLNgS4=")</f>
        <v>#REF!</v>
      </c>
      <c r="AV131" t="e">
        <f>IF(#REF!,"H974glLNgS8=",0)</f>
        <v>#REF!</v>
      </c>
      <c r="AW131" t="e">
        <f>AND(#REF!,"H974glLNgTA=")</f>
        <v>#REF!</v>
      </c>
      <c r="AX131" t="e">
        <f>AND(#REF!,"H974glLNgTE=")</f>
        <v>#REF!</v>
      </c>
      <c r="AY131" t="e">
        <f>AND(#REF!,"H974glLNgTI=")</f>
        <v>#REF!</v>
      </c>
      <c r="AZ131" t="e">
        <f>AND(#REF!,"H974glLNgTM=")</f>
        <v>#REF!</v>
      </c>
      <c r="BA131" t="e">
        <f>AND(#REF!,"H974glLNgTQ=")</f>
        <v>#REF!</v>
      </c>
      <c r="BB131" t="e">
        <f>AND(#REF!,"H974glLNgTU=")</f>
        <v>#REF!</v>
      </c>
      <c r="BC131" t="e">
        <f>AND(#REF!,"H974glLNgTY=")</f>
        <v>#REF!</v>
      </c>
      <c r="BD131" t="e">
        <f>AND(#REF!,"H974glLNgTc=")</f>
        <v>#REF!</v>
      </c>
      <c r="BE131" t="e">
        <f>AND(#REF!,"H974glLNgTg=")</f>
        <v>#REF!</v>
      </c>
      <c r="BF131" t="e">
        <f>AND(#REF!,"H974glLNgTk=")</f>
        <v>#REF!</v>
      </c>
      <c r="BG131" t="e">
        <f>AND(#REF!,"H974glLNgTo=")</f>
        <v>#REF!</v>
      </c>
      <c r="BH131" t="e">
        <f>AND(#REF!,"H974glLNgTs=")</f>
        <v>#REF!</v>
      </c>
      <c r="BI131" t="e">
        <f>AND(#REF!,"H974glLNgTw=")</f>
        <v>#REF!</v>
      </c>
      <c r="BJ131" t="e">
        <f>AND(#REF!,"H974glLNgT0=")</f>
        <v>#REF!</v>
      </c>
      <c r="BK131" t="e">
        <f>AND(#REF!,"H974glLNgT4=")</f>
        <v>#REF!</v>
      </c>
      <c r="BL131" t="e">
        <f>AND(#REF!,"H974glLNgT8=")</f>
        <v>#REF!</v>
      </c>
      <c r="BM131" t="e">
        <f>IF(#REF!,"H974glLNgUA=",0)</f>
        <v>#REF!</v>
      </c>
      <c r="BN131" t="e">
        <f>AND(#REF!,"H974glLNgUE=")</f>
        <v>#REF!</v>
      </c>
      <c r="BO131" t="e">
        <f>AND(#REF!,"H974glLNgUI=")</f>
        <v>#REF!</v>
      </c>
      <c r="BP131" t="e">
        <f>AND(#REF!,"H974glLNgUM=")</f>
        <v>#REF!</v>
      </c>
      <c r="BQ131" t="e">
        <f>AND(#REF!,"H974glLNgUQ=")</f>
        <v>#REF!</v>
      </c>
      <c r="BR131" t="e">
        <f>AND(#REF!,"H974glLNgUU=")</f>
        <v>#REF!</v>
      </c>
      <c r="BS131" t="e">
        <f>AND(#REF!,"H974glLNgUY=")</f>
        <v>#REF!</v>
      </c>
      <c r="BT131" t="e">
        <f>AND(#REF!,"H974glLNgUc=")</f>
        <v>#REF!</v>
      </c>
      <c r="BU131" t="e">
        <f>AND(#REF!,"H974glLNgUg=")</f>
        <v>#REF!</v>
      </c>
      <c r="BV131" t="e">
        <f>AND(#REF!,"H974glLNgUk=")</f>
        <v>#REF!</v>
      </c>
      <c r="BW131" t="e">
        <f>AND(#REF!,"H974glLNgUo=")</f>
        <v>#REF!</v>
      </c>
      <c r="BX131" t="e">
        <f>AND(#REF!,"H974glLNgUs=")</f>
        <v>#REF!</v>
      </c>
      <c r="BY131" t="e">
        <f>AND(#REF!,"H974glLNgUw=")</f>
        <v>#REF!</v>
      </c>
      <c r="BZ131" t="e">
        <f>AND(#REF!,"H974glLNgU0=")</f>
        <v>#REF!</v>
      </c>
      <c r="CA131" t="e">
        <f>AND(#REF!,"H974glLNgU4=")</f>
        <v>#REF!</v>
      </c>
      <c r="CB131" t="e">
        <f>AND(#REF!,"H974glLNgU8=")</f>
        <v>#REF!</v>
      </c>
      <c r="CC131" t="e">
        <f>AND(#REF!,"H974glLNgVA=")</f>
        <v>#REF!</v>
      </c>
      <c r="CD131" t="e">
        <f>IF(#REF!,"H974glLNgVE=",0)</f>
        <v>#REF!</v>
      </c>
      <c r="CE131" t="e">
        <f>AND(#REF!,"H974glLNgVI=")</f>
        <v>#REF!</v>
      </c>
      <c r="CF131" t="e">
        <f>AND(#REF!,"H974glLNgVM=")</f>
        <v>#REF!</v>
      </c>
      <c r="CG131" t="e">
        <f>AND(#REF!,"H974glLNgVQ=")</f>
        <v>#REF!</v>
      </c>
      <c r="CH131" t="e">
        <f>AND(#REF!,"H974glLNgVU=")</f>
        <v>#REF!</v>
      </c>
      <c r="CI131" t="e">
        <f>AND(#REF!,"H974glLNgVY=")</f>
        <v>#REF!</v>
      </c>
      <c r="CJ131" t="e">
        <f>AND(#REF!,"H974glLNgVc=")</f>
        <v>#REF!</v>
      </c>
      <c r="CK131" t="e">
        <f>AND(#REF!,"H974glLNgVg=")</f>
        <v>#REF!</v>
      </c>
      <c r="CL131" t="e">
        <f>AND(#REF!,"H974glLNgVk=")</f>
        <v>#REF!</v>
      </c>
      <c r="CM131" t="e">
        <f>AND(#REF!,"H974glLNgVo=")</f>
        <v>#REF!</v>
      </c>
      <c r="CN131" t="e">
        <f>AND(#REF!,"H974glLNgVs=")</f>
        <v>#REF!</v>
      </c>
      <c r="CO131" t="e">
        <f>AND(#REF!,"H974glLNgVw=")</f>
        <v>#REF!</v>
      </c>
      <c r="CP131" t="e">
        <f>AND(#REF!,"H974glLNgV0=")</f>
        <v>#REF!</v>
      </c>
      <c r="CQ131" t="e">
        <f>AND(#REF!,"H974glLNgV4=")</f>
        <v>#REF!</v>
      </c>
      <c r="CR131" t="e">
        <f>AND(#REF!,"H974glLNgV8=")</f>
        <v>#REF!</v>
      </c>
      <c r="CS131" t="e">
        <f>AND(#REF!,"H974glLNgWA=")</f>
        <v>#REF!</v>
      </c>
      <c r="CT131" t="e">
        <f>AND(#REF!,"H974glLNgWE=")</f>
        <v>#REF!</v>
      </c>
      <c r="CU131" t="e">
        <f>IF(#REF!,"H974glLNgWI=",0)</f>
        <v>#REF!</v>
      </c>
      <c r="CV131" t="e">
        <f>AND(#REF!,"H974glLNgWM=")</f>
        <v>#REF!</v>
      </c>
      <c r="CW131" t="e">
        <f>AND(#REF!,"H974glLNgWQ=")</f>
        <v>#REF!</v>
      </c>
      <c r="CX131" t="e">
        <f>AND(#REF!,"H974glLNgWU=")</f>
        <v>#REF!</v>
      </c>
      <c r="CY131" t="e">
        <f>AND(#REF!,"H974glLNgWY=")</f>
        <v>#REF!</v>
      </c>
      <c r="CZ131" t="e">
        <f>AND(#REF!,"H974glLNgWc=")</f>
        <v>#REF!</v>
      </c>
      <c r="DA131" t="e">
        <f>AND(#REF!,"H974glLNgWg=")</f>
        <v>#REF!</v>
      </c>
      <c r="DB131" t="e">
        <f>AND(#REF!,"H974glLNgWk=")</f>
        <v>#REF!</v>
      </c>
      <c r="DC131" t="e">
        <f>AND(#REF!,"H974glLNgWo=")</f>
        <v>#REF!</v>
      </c>
      <c r="DD131" t="e">
        <f>AND(#REF!,"H974glLNgWs=")</f>
        <v>#REF!</v>
      </c>
      <c r="DE131" t="e">
        <f>AND(#REF!,"H974glLNgWw=")</f>
        <v>#REF!</v>
      </c>
      <c r="DF131" t="e">
        <f>AND(#REF!,"H974glLNgW0=")</f>
        <v>#REF!</v>
      </c>
      <c r="DG131" t="e">
        <f>AND(#REF!,"H974glLNgW4=")</f>
        <v>#REF!</v>
      </c>
      <c r="DH131" t="e">
        <f>AND(#REF!,"H974glLNgW8=")</f>
        <v>#REF!</v>
      </c>
      <c r="DI131" t="e">
        <f>AND(#REF!,"H974glLNgXA=")</f>
        <v>#REF!</v>
      </c>
      <c r="DJ131" t="e">
        <f>AND(#REF!,"H974glLNgXE=")</f>
        <v>#REF!</v>
      </c>
      <c r="DK131" t="e">
        <f>AND(#REF!,"H974glLNgXI=")</f>
        <v>#REF!</v>
      </c>
      <c r="DL131" t="e">
        <f>IF(#REF!,"H974glLNgXM=",0)</f>
        <v>#REF!</v>
      </c>
      <c r="DM131" t="e">
        <f>AND(#REF!,"H974glLNgXQ=")</f>
        <v>#REF!</v>
      </c>
      <c r="DN131" t="e">
        <f>AND(#REF!,"H974glLNgXU=")</f>
        <v>#REF!</v>
      </c>
      <c r="DO131" t="e">
        <f>AND(#REF!,"H974glLNgXY=")</f>
        <v>#REF!</v>
      </c>
      <c r="DP131" t="e">
        <f>AND(#REF!,"H974glLNgXc=")</f>
        <v>#REF!</v>
      </c>
      <c r="DQ131" t="e">
        <f>AND(#REF!,"H974glLNgXg=")</f>
        <v>#REF!</v>
      </c>
      <c r="DR131" t="e">
        <f>AND(#REF!,"H974glLNgXk=")</f>
        <v>#REF!</v>
      </c>
      <c r="DS131" t="e">
        <f>AND(#REF!,"H974glLNgXo=")</f>
        <v>#REF!</v>
      </c>
      <c r="DT131" t="e">
        <f>AND(#REF!,"H974glLNgXs=")</f>
        <v>#REF!</v>
      </c>
      <c r="DU131" t="e">
        <f>AND(#REF!,"H974glLNgXw=")</f>
        <v>#REF!</v>
      </c>
      <c r="DV131" t="e">
        <f>AND(#REF!,"H974glLNgX0=")</f>
        <v>#REF!</v>
      </c>
      <c r="DW131" t="e">
        <f>AND(#REF!,"H974glLNgX4=")</f>
        <v>#REF!</v>
      </c>
      <c r="DX131" t="e">
        <f>AND(#REF!,"H974glLNgX8=")</f>
        <v>#REF!</v>
      </c>
      <c r="DY131" t="e">
        <f>AND(#REF!,"H974glLNgYA=")</f>
        <v>#REF!</v>
      </c>
      <c r="DZ131" t="e">
        <f>AND(#REF!,"H974glLNgYE=")</f>
        <v>#REF!</v>
      </c>
      <c r="EA131" t="e">
        <f>AND(#REF!,"H974glLNgYI=")</f>
        <v>#REF!</v>
      </c>
      <c r="EB131" t="e">
        <f>AND(#REF!,"H974glLNgYM=")</f>
        <v>#REF!</v>
      </c>
      <c r="EC131" t="e">
        <f>IF(#REF!,"H974glLNgYQ=",0)</f>
        <v>#REF!</v>
      </c>
      <c r="ED131" t="e">
        <f>AND(#REF!,"H974glLNgYU=")</f>
        <v>#REF!</v>
      </c>
      <c r="EE131" t="e">
        <f>AND(#REF!,"H974glLNgYY=")</f>
        <v>#REF!</v>
      </c>
      <c r="EF131" t="e">
        <f>AND(#REF!,"H974glLNgYc=")</f>
        <v>#REF!</v>
      </c>
      <c r="EG131" t="e">
        <f>AND(#REF!,"H974glLNgYg=")</f>
        <v>#REF!</v>
      </c>
      <c r="EH131" t="e">
        <f>AND(#REF!,"H974glLNgYk=")</f>
        <v>#REF!</v>
      </c>
      <c r="EI131" t="e">
        <f>AND(#REF!,"H974glLNgYo=")</f>
        <v>#REF!</v>
      </c>
      <c r="EJ131" t="e">
        <f>AND(#REF!,"H974glLNgYs=")</f>
        <v>#REF!</v>
      </c>
      <c r="EK131" t="e">
        <f>AND(#REF!,"H974glLNgYw=")</f>
        <v>#REF!</v>
      </c>
      <c r="EL131" t="e">
        <f>AND(#REF!,"H974glLNgY0=")</f>
        <v>#REF!</v>
      </c>
      <c r="EM131" t="e">
        <f>AND(#REF!,"H974glLNgY4=")</f>
        <v>#REF!</v>
      </c>
      <c r="EN131" t="e">
        <f>AND(#REF!,"H974glLNgY8=")</f>
        <v>#REF!</v>
      </c>
      <c r="EO131" t="e">
        <f>AND(#REF!,"H974glLNgZA=")</f>
        <v>#REF!</v>
      </c>
      <c r="EP131" t="e">
        <f>AND(#REF!,"H974glLNgZE=")</f>
        <v>#REF!</v>
      </c>
      <c r="EQ131" t="e">
        <f>AND(#REF!,"H974glLNgZI=")</f>
        <v>#REF!</v>
      </c>
      <c r="ER131" t="e">
        <f>AND(#REF!,"H974glLNgZM=")</f>
        <v>#REF!</v>
      </c>
      <c r="ES131" t="e">
        <f>AND(#REF!,"H974glLNgZQ=")</f>
        <v>#REF!</v>
      </c>
      <c r="ET131" t="e">
        <f>IF(#REF!,"H974glLNgZU=",0)</f>
        <v>#REF!</v>
      </c>
      <c r="EU131" t="e">
        <f>AND(#REF!,"H974glLNgZY=")</f>
        <v>#REF!</v>
      </c>
      <c r="EV131" t="e">
        <f>AND(#REF!,"H974glLNgZc=")</f>
        <v>#REF!</v>
      </c>
      <c r="EW131" t="e">
        <f>AND(#REF!,"H974glLNgZg=")</f>
        <v>#REF!</v>
      </c>
      <c r="EX131" t="e">
        <f>AND(#REF!,"H974glLNgZk=")</f>
        <v>#REF!</v>
      </c>
      <c r="EY131" t="e">
        <f>AND(#REF!,"H974glLNgZo=")</f>
        <v>#REF!</v>
      </c>
      <c r="EZ131" t="e">
        <f>AND(#REF!,"H974glLNgZs=")</f>
        <v>#REF!</v>
      </c>
      <c r="FA131" t="e">
        <f>AND(#REF!,"H974glLNgZw=")</f>
        <v>#REF!</v>
      </c>
      <c r="FB131" t="e">
        <f>AND(#REF!,"H974glLNgZ0=")</f>
        <v>#REF!</v>
      </c>
      <c r="FC131" t="e">
        <f>AND(#REF!,"H974glLNgZ4=")</f>
        <v>#REF!</v>
      </c>
      <c r="FD131" t="e">
        <f>AND(#REF!,"H974glLNgZ8=")</f>
        <v>#REF!</v>
      </c>
      <c r="FE131" t="e">
        <f>AND(#REF!,"H974glLNgaA=")</f>
        <v>#REF!</v>
      </c>
      <c r="FF131" t="e">
        <f>AND(#REF!,"H974glLNgaE=")</f>
        <v>#REF!</v>
      </c>
      <c r="FG131" t="e">
        <f>AND(#REF!,"H974glLNgaI=")</f>
        <v>#REF!</v>
      </c>
      <c r="FH131" t="e">
        <f>AND(#REF!,"H974glLNgaM=")</f>
        <v>#REF!</v>
      </c>
      <c r="FI131" t="e">
        <f>AND(#REF!,"H974glLNgaQ=")</f>
        <v>#REF!</v>
      </c>
      <c r="FJ131" t="e">
        <f>AND(#REF!,"H974glLNgaU=")</f>
        <v>#REF!</v>
      </c>
      <c r="FK131" t="e">
        <f>IF(#REF!,"H974glLNgaY=",0)</f>
        <v>#REF!</v>
      </c>
      <c r="FL131" t="e">
        <f>AND(#REF!,"H974glLNgac=")</f>
        <v>#REF!</v>
      </c>
      <c r="FM131" t="e">
        <f>AND(#REF!,"H974glLNgag=")</f>
        <v>#REF!</v>
      </c>
      <c r="FN131" t="e">
        <f>AND(#REF!,"H974glLNgak=")</f>
        <v>#REF!</v>
      </c>
      <c r="FO131" t="e">
        <f>AND(#REF!,"H974glLNgao=")</f>
        <v>#REF!</v>
      </c>
      <c r="FP131" t="e">
        <f>AND(#REF!,"H974glLNgas=")</f>
        <v>#REF!</v>
      </c>
      <c r="FQ131" t="e">
        <f>AND(#REF!,"H974glLNgaw=")</f>
        <v>#REF!</v>
      </c>
      <c r="FR131" t="e">
        <f>AND(#REF!,"H974glLNga0=")</f>
        <v>#REF!</v>
      </c>
      <c r="FS131" t="e">
        <f>AND(#REF!,"H974glLNga4=")</f>
        <v>#REF!</v>
      </c>
      <c r="FT131" t="e">
        <f>AND(#REF!,"H974glLNga8=")</f>
        <v>#REF!</v>
      </c>
      <c r="FU131" t="e">
        <f>AND(#REF!,"H974glLNgbA=")</f>
        <v>#REF!</v>
      </c>
      <c r="FV131" t="e">
        <f>AND(#REF!,"H974glLNgbE=")</f>
        <v>#REF!</v>
      </c>
      <c r="FW131" t="e">
        <f>AND(#REF!,"H974glLNgbI=")</f>
        <v>#REF!</v>
      </c>
      <c r="FX131" t="e">
        <f>AND(#REF!,"H974glLNgbM=")</f>
        <v>#REF!</v>
      </c>
      <c r="FY131" t="e">
        <f>AND(#REF!,"H974glLNgbQ=")</f>
        <v>#REF!</v>
      </c>
      <c r="FZ131" t="e">
        <f>AND(#REF!,"H974glLNgbU=")</f>
        <v>#REF!</v>
      </c>
      <c r="GA131" t="e">
        <f>AND(#REF!,"H974glLNgbY=")</f>
        <v>#REF!</v>
      </c>
      <c r="GB131" t="e">
        <f>IF(#REF!,"H974glLNgbc=",0)</f>
        <v>#REF!</v>
      </c>
      <c r="GC131" t="e">
        <f>AND(#REF!,"H974glLNgbg=")</f>
        <v>#REF!</v>
      </c>
      <c r="GD131" t="e">
        <f>AND(#REF!,"H974glLNgbk=")</f>
        <v>#REF!</v>
      </c>
      <c r="GE131" t="e">
        <f>AND(#REF!,"H974glLNgbo=")</f>
        <v>#REF!</v>
      </c>
      <c r="GF131" t="e">
        <f>AND(#REF!,"H974glLNgbs=")</f>
        <v>#REF!</v>
      </c>
      <c r="GG131" t="e">
        <f>AND(#REF!,"H974glLNgbw=")</f>
        <v>#REF!</v>
      </c>
      <c r="GH131" t="e">
        <f>AND(#REF!,"H974glLNgb0=")</f>
        <v>#REF!</v>
      </c>
      <c r="GI131" t="e">
        <f>AND(#REF!,"H974glLNgb4=")</f>
        <v>#REF!</v>
      </c>
      <c r="GJ131" t="e">
        <f>AND(#REF!,"H974glLNgb8=")</f>
        <v>#REF!</v>
      </c>
      <c r="GK131" t="e">
        <f>AND(#REF!,"H974glLNgcA=")</f>
        <v>#REF!</v>
      </c>
      <c r="GL131" t="e">
        <f>AND(#REF!,"H974glLNgcE=")</f>
        <v>#REF!</v>
      </c>
      <c r="GM131" t="e">
        <f>AND(#REF!,"H974glLNgcI=")</f>
        <v>#REF!</v>
      </c>
      <c r="GN131" t="e">
        <f>AND(#REF!,"H974glLNgcM=")</f>
        <v>#REF!</v>
      </c>
      <c r="GO131" t="e">
        <f>AND(#REF!,"H974glLNgcQ=")</f>
        <v>#REF!</v>
      </c>
      <c r="GP131" t="e">
        <f>AND(#REF!,"H974glLNgcU=")</f>
        <v>#REF!</v>
      </c>
      <c r="GQ131" t="e">
        <f>AND(#REF!,"H974glLNgcY=")</f>
        <v>#REF!</v>
      </c>
      <c r="GR131" t="e">
        <f>AND(#REF!,"H974glLNgcc=")</f>
        <v>#REF!</v>
      </c>
      <c r="GS131" t="e">
        <f>IF(#REF!,"H974glLNgcg=",0)</f>
        <v>#REF!</v>
      </c>
      <c r="GT131" t="e">
        <f>AND(#REF!,"H974glLNgck=")</f>
        <v>#REF!</v>
      </c>
      <c r="GU131" t="e">
        <f>AND(#REF!,"H974glLNgco=")</f>
        <v>#REF!</v>
      </c>
      <c r="GV131" t="e">
        <f>AND(#REF!,"H974glLNgcs=")</f>
        <v>#REF!</v>
      </c>
      <c r="GW131" t="e">
        <f>AND(#REF!,"H974glLNgcw=")</f>
        <v>#REF!</v>
      </c>
      <c r="GX131" t="e">
        <f>AND(#REF!,"H974glLNgc0=")</f>
        <v>#REF!</v>
      </c>
      <c r="GY131" t="e">
        <f>AND(#REF!,"H974glLNgc4=")</f>
        <v>#REF!</v>
      </c>
      <c r="GZ131" t="e">
        <f>AND(#REF!,"H974glLNgc8=")</f>
        <v>#REF!</v>
      </c>
      <c r="HA131" t="e">
        <f>AND(#REF!,"H974glLNgdA=")</f>
        <v>#REF!</v>
      </c>
      <c r="HB131" t="e">
        <f>AND(#REF!,"H974glLNgdE=")</f>
        <v>#REF!</v>
      </c>
      <c r="HC131" t="e">
        <f>AND(#REF!,"H974glLNgdI=")</f>
        <v>#REF!</v>
      </c>
      <c r="HD131" t="e">
        <f>AND(#REF!,"H974glLNgdM=")</f>
        <v>#REF!</v>
      </c>
      <c r="HE131" t="e">
        <f>AND(#REF!,"H974glLNgdQ=")</f>
        <v>#REF!</v>
      </c>
      <c r="HF131" t="e">
        <f>AND(#REF!,"H974glLNgdU=")</f>
        <v>#REF!</v>
      </c>
      <c r="HG131" t="e">
        <f>AND(#REF!,"H974glLNgdY=")</f>
        <v>#REF!</v>
      </c>
      <c r="HH131" t="e">
        <f>AND(#REF!,"H974glLNgdc=")</f>
        <v>#REF!</v>
      </c>
      <c r="HI131" t="e">
        <f>AND(#REF!,"H974glLNgdg=")</f>
        <v>#REF!</v>
      </c>
      <c r="HJ131" t="e">
        <f>IF(#REF!,"H974glLNgdk=",0)</f>
        <v>#REF!</v>
      </c>
      <c r="HK131" t="e">
        <f>AND(#REF!,"H974glLNgdo=")</f>
        <v>#REF!</v>
      </c>
      <c r="HL131" t="e">
        <f>AND(#REF!,"H974glLNgds=")</f>
        <v>#REF!</v>
      </c>
      <c r="HM131" t="e">
        <f>AND(#REF!,"H974glLNgdw=")</f>
        <v>#REF!</v>
      </c>
      <c r="HN131" t="e">
        <f>AND(#REF!,"H974glLNgd0=")</f>
        <v>#REF!</v>
      </c>
      <c r="HO131" t="e">
        <f>AND(#REF!,"H974glLNgd4=")</f>
        <v>#REF!</v>
      </c>
      <c r="HP131" t="e">
        <f>AND(#REF!,"H974glLNgd8=")</f>
        <v>#REF!</v>
      </c>
      <c r="HQ131" t="e">
        <f>AND(#REF!,"H974glLNgeA=")</f>
        <v>#REF!</v>
      </c>
      <c r="HR131" t="e">
        <f>AND(#REF!,"H974glLNgeE=")</f>
        <v>#REF!</v>
      </c>
      <c r="HS131" t="e">
        <f>AND(#REF!,"H974glLNgeI=")</f>
        <v>#REF!</v>
      </c>
      <c r="HT131" t="e">
        <f>AND(#REF!,"H974glLNgeM=")</f>
        <v>#REF!</v>
      </c>
      <c r="HU131" t="e">
        <f>AND(#REF!,"H974glLNgeQ=")</f>
        <v>#REF!</v>
      </c>
      <c r="HV131" t="e">
        <f>AND(#REF!,"H974glLNgeU=")</f>
        <v>#REF!</v>
      </c>
      <c r="HW131" t="e">
        <f>AND(#REF!,"H974glLNgeY=")</f>
        <v>#REF!</v>
      </c>
      <c r="HX131" t="e">
        <f>AND(#REF!,"H974glLNgec=")</f>
        <v>#REF!</v>
      </c>
      <c r="HY131" t="e">
        <f>AND(#REF!,"H974glLNgeg=")</f>
        <v>#REF!</v>
      </c>
      <c r="HZ131" t="e">
        <f>AND(#REF!,"H974glLNgek=")</f>
        <v>#REF!</v>
      </c>
      <c r="IA131" t="e">
        <f>IF(#REF!,"H974glLNgeo=",0)</f>
        <v>#REF!</v>
      </c>
      <c r="IB131" t="e">
        <f>AND(#REF!,"H974glLNges=")</f>
        <v>#REF!</v>
      </c>
      <c r="IC131" t="e">
        <f>AND(#REF!,"H974glLNgew=")</f>
        <v>#REF!</v>
      </c>
      <c r="ID131" t="e">
        <f>AND(#REF!,"H974glLNge0=")</f>
        <v>#REF!</v>
      </c>
      <c r="IE131" t="e">
        <f>AND(#REF!,"H974glLNge4=")</f>
        <v>#REF!</v>
      </c>
      <c r="IF131" t="e">
        <f>AND(#REF!,"H974glLNge8=")</f>
        <v>#REF!</v>
      </c>
      <c r="IG131" t="e">
        <f>AND(#REF!,"H974glLNgfA=")</f>
        <v>#REF!</v>
      </c>
      <c r="IH131" t="e">
        <f>AND(#REF!,"H974glLNgfE=")</f>
        <v>#REF!</v>
      </c>
      <c r="II131" t="e">
        <f>AND(#REF!,"H974glLNgfI=")</f>
        <v>#REF!</v>
      </c>
      <c r="IJ131" t="e">
        <f>AND(#REF!,"H974glLNgfM=")</f>
        <v>#REF!</v>
      </c>
      <c r="IK131" t="e">
        <f>AND(#REF!,"H974glLNgfQ=")</f>
        <v>#REF!</v>
      </c>
      <c r="IL131" t="e">
        <f>AND(#REF!,"H974glLNgfU=")</f>
        <v>#REF!</v>
      </c>
      <c r="IM131" t="e">
        <f>AND(#REF!,"H974glLNgfY=")</f>
        <v>#REF!</v>
      </c>
      <c r="IN131" t="e">
        <f>AND(#REF!,"H974glLNgfc=")</f>
        <v>#REF!</v>
      </c>
      <c r="IO131" t="e">
        <f>AND(#REF!,"H974glLNgfg=")</f>
        <v>#REF!</v>
      </c>
      <c r="IP131" t="e">
        <f>AND(#REF!,"H974glLNgfk=")</f>
        <v>#REF!</v>
      </c>
      <c r="IQ131" t="e">
        <f>AND(#REF!,"H974glLNgfo=")</f>
        <v>#REF!</v>
      </c>
      <c r="IR131" t="e">
        <f>IF(#REF!,"H974glLNgfs=",0)</f>
        <v>#REF!</v>
      </c>
      <c r="IS131" t="e">
        <f>AND(#REF!,"H974glLNgfw=")</f>
        <v>#REF!</v>
      </c>
      <c r="IT131" t="e">
        <f>AND(#REF!,"H974glLNgf0=")</f>
        <v>#REF!</v>
      </c>
      <c r="IU131" t="e">
        <f>AND(#REF!,"H974glLNgf4=")</f>
        <v>#REF!</v>
      </c>
      <c r="IV131" t="e">
        <f>AND(#REF!,"H974glLNgf8=")</f>
        <v>#REF!</v>
      </c>
    </row>
    <row r="132" spans="1:256" x14ac:dyDescent="0.2">
      <c r="A132" t="e">
        <f>AND(#REF!,"G96WuX1xmQA=")</f>
        <v>#REF!</v>
      </c>
      <c r="B132" t="e">
        <f>AND(#REF!,"G96WuX1xmQE=")</f>
        <v>#REF!</v>
      </c>
      <c r="C132" t="e">
        <f>AND(#REF!,"G96WuX1xmQI=")</f>
        <v>#REF!</v>
      </c>
      <c r="D132" t="e">
        <f>AND(#REF!,"G96WuX1xmQM=")</f>
        <v>#REF!</v>
      </c>
      <c r="E132" t="e">
        <f>AND(#REF!,"G96WuX1xmQQ=")</f>
        <v>#REF!</v>
      </c>
      <c r="F132" t="e">
        <f>AND(#REF!,"G96WuX1xmQU=")</f>
        <v>#REF!</v>
      </c>
      <c r="G132" t="e">
        <f>AND(#REF!,"G96WuX1xmQY=")</f>
        <v>#REF!</v>
      </c>
      <c r="H132" t="e">
        <f>AND(#REF!,"G96WuX1xmQc=")</f>
        <v>#REF!</v>
      </c>
      <c r="I132" t="e">
        <f>AND(#REF!,"G96WuX1xmQg=")</f>
        <v>#REF!</v>
      </c>
      <c r="J132" t="e">
        <f>AND(#REF!,"G96WuX1xmQk=")</f>
        <v>#REF!</v>
      </c>
      <c r="K132" t="e">
        <f>AND(#REF!,"G96WuX1xmQo=")</f>
        <v>#REF!</v>
      </c>
      <c r="L132" t="e">
        <f>AND(#REF!,"G96WuX1xmQs=")</f>
        <v>#REF!</v>
      </c>
      <c r="M132" t="e">
        <f>IF(#REF!,"G96WuX1xmQw=",0)</f>
        <v>#REF!</v>
      </c>
      <c r="N132" t="e">
        <f>AND(#REF!,"G96WuX1xmQ0=")</f>
        <v>#REF!</v>
      </c>
      <c r="O132" t="e">
        <f>AND(#REF!,"G96WuX1xmQ4=")</f>
        <v>#REF!</v>
      </c>
      <c r="P132" t="e">
        <f>AND(#REF!,"G96WuX1xmQ8=")</f>
        <v>#REF!</v>
      </c>
      <c r="Q132" t="e">
        <f>AND(#REF!,"G96WuX1xmRA=")</f>
        <v>#REF!</v>
      </c>
      <c r="R132" t="e">
        <f>AND(#REF!,"G96WuX1xmRE=")</f>
        <v>#REF!</v>
      </c>
      <c r="S132" t="e">
        <f>AND(#REF!,"G96WuX1xmRI=")</f>
        <v>#REF!</v>
      </c>
      <c r="T132" t="e">
        <f>AND(#REF!,"G96WuX1xmRM=")</f>
        <v>#REF!</v>
      </c>
      <c r="U132" t="e">
        <f>AND(#REF!,"G96WuX1xmRQ=")</f>
        <v>#REF!</v>
      </c>
      <c r="V132" t="e">
        <f>AND(#REF!,"G96WuX1xmRU=")</f>
        <v>#REF!</v>
      </c>
      <c r="W132" t="e">
        <f>AND(#REF!,"G96WuX1xmRY=")</f>
        <v>#REF!</v>
      </c>
      <c r="X132" t="e">
        <f>AND(#REF!,"G96WuX1xmRc=")</f>
        <v>#REF!</v>
      </c>
      <c r="Y132" t="e">
        <f>AND(#REF!,"G96WuX1xmRg=")</f>
        <v>#REF!</v>
      </c>
      <c r="Z132" t="e">
        <f>AND(#REF!,"G96WuX1xmRk=")</f>
        <v>#REF!</v>
      </c>
      <c r="AA132" t="e">
        <f>AND(#REF!,"G96WuX1xmRo=")</f>
        <v>#REF!</v>
      </c>
      <c r="AB132" t="e">
        <f>AND(#REF!,"G96WuX1xmRs=")</f>
        <v>#REF!</v>
      </c>
      <c r="AC132" t="e">
        <f>AND(#REF!,"G96WuX1xmRw=")</f>
        <v>#REF!</v>
      </c>
      <c r="AD132" t="e">
        <f>IF(#REF!,"G96WuX1xmR0=",0)</f>
        <v>#REF!</v>
      </c>
      <c r="AE132" t="e">
        <f>AND(#REF!,"G96WuX1xmR4=")</f>
        <v>#REF!</v>
      </c>
      <c r="AF132" t="e">
        <f>AND(#REF!,"G96WuX1xmR8=")</f>
        <v>#REF!</v>
      </c>
      <c r="AG132" t="e">
        <f>AND(#REF!,"G96WuX1xmSA=")</f>
        <v>#REF!</v>
      </c>
      <c r="AH132" t="e">
        <f>AND(#REF!,"G96WuX1xmSE=")</f>
        <v>#REF!</v>
      </c>
      <c r="AI132" t="e">
        <f>AND(#REF!,"G96WuX1xmSI=")</f>
        <v>#REF!</v>
      </c>
      <c r="AJ132" t="e">
        <f>AND(#REF!,"G96WuX1xmSM=")</f>
        <v>#REF!</v>
      </c>
      <c r="AK132" t="e">
        <f>AND(#REF!,"G96WuX1xmSQ=")</f>
        <v>#REF!</v>
      </c>
      <c r="AL132" t="e">
        <f>AND(#REF!,"G96WuX1xmSU=")</f>
        <v>#REF!</v>
      </c>
      <c r="AM132" t="e">
        <f>AND(#REF!,"G96WuX1xmSY=")</f>
        <v>#REF!</v>
      </c>
      <c r="AN132" t="e">
        <f>AND(#REF!,"G96WuX1xmSc=")</f>
        <v>#REF!</v>
      </c>
      <c r="AO132" t="e">
        <f>AND(#REF!,"G96WuX1xmSg=")</f>
        <v>#REF!</v>
      </c>
      <c r="AP132" t="e">
        <f>AND(#REF!,"G96WuX1xmSk=")</f>
        <v>#REF!</v>
      </c>
      <c r="AQ132" t="e">
        <f>AND(#REF!,"G96WuX1xmSo=")</f>
        <v>#REF!</v>
      </c>
      <c r="AR132" t="e">
        <f>AND(#REF!,"G96WuX1xmSs=")</f>
        <v>#REF!</v>
      </c>
      <c r="AS132" t="e">
        <f>AND(#REF!,"G96WuX1xmSw=")</f>
        <v>#REF!</v>
      </c>
      <c r="AT132" t="e">
        <f>AND(#REF!,"G96WuX1xmS0=")</f>
        <v>#REF!</v>
      </c>
      <c r="AU132" t="e">
        <f>IF(#REF!,"G96WuX1xmS4=",0)</f>
        <v>#REF!</v>
      </c>
      <c r="AV132" t="e">
        <f>AND(#REF!,"G96WuX1xmS8=")</f>
        <v>#REF!</v>
      </c>
      <c r="AW132" t="e">
        <f>AND(#REF!,"G96WuX1xmTA=")</f>
        <v>#REF!</v>
      </c>
      <c r="AX132" t="e">
        <f>AND(#REF!,"G96WuX1xmTE=")</f>
        <v>#REF!</v>
      </c>
      <c r="AY132" t="e">
        <f>AND(#REF!,"G96WuX1xmTI=")</f>
        <v>#REF!</v>
      </c>
      <c r="AZ132" t="e">
        <f>AND(#REF!,"G96WuX1xmTM=")</f>
        <v>#REF!</v>
      </c>
      <c r="BA132" t="e">
        <f>AND(#REF!,"G96WuX1xmTQ=")</f>
        <v>#REF!</v>
      </c>
      <c r="BB132" t="e">
        <f>AND(#REF!,"G96WuX1xmTU=")</f>
        <v>#REF!</v>
      </c>
      <c r="BC132" t="e">
        <f>AND(#REF!,"G96WuX1xmTY=")</f>
        <v>#REF!</v>
      </c>
      <c r="BD132" t="e">
        <f>AND(#REF!,"G96WuX1xmTc=")</f>
        <v>#REF!</v>
      </c>
      <c r="BE132" t="e">
        <f>AND(#REF!,"G96WuX1xmTg=")</f>
        <v>#REF!</v>
      </c>
      <c r="BF132" t="e">
        <f>AND(#REF!,"G96WuX1xmTk=")</f>
        <v>#REF!</v>
      </c>
      <c r="BG132" t="e">
        <f>AND(#REF!,"G96WuX1xmTo=")</f>
        <v>#REF!</v>
      </c>
      <c r="BH132" t="e">
        <f>AND(#REF!,"G96WuX1xmTs=")</f>
        <v>#REF!</v>
      </c>
      <c r="BI132" t="e">
        <f>AND(#REF!,"G96WuX1xmTw=")</f>
        <v>#REF!</v>
      </c>
      <c r="BJ132" t="e">
        <f>AND(#REF!,"G96WuX1xmT0=")</f>
        <v>#REF!</v>
      </c>
      <c r="BK132" t="e">
        <f>AND(#REF!,"G96WuX1xmT4=")</f>
        <v>#REF!</v>
      </c>
      <c r="BL132" t="e">
        <f>IF(#REF!,"G96WuX1xmT8=",0)</f>
        <v>#REF!</v>
      </c>
      <c r="BM132" t="e">
        <f>AND(#REF!,"G96WuX1xmUA=")</f>
        <v>#REF!</v>
      </c>
      <c r="BN132" t="e">
        <f>AND(#REF!,"G96WuX1xmUE=")</f>
        <v>#REF!</v>
      </c>
      <c r="BO132" t="e">
        <f>AND(#REF!,"G96WuX1xmUI=")</f>
        <v>#REF!</v>
      </c>
      <c r="BP132" t="e">
        <f>AND(#REF!,"G96WuX1xmUM=")</f>
        <v>#REF!</v>
      </c>
      <c r="BQ132" t="e">
        <f>AND(#REF!,"G96WuX1xmUQ=")</f>
        <v>#REF!</v>
      </c>
      <c r="BR132" t="e">
        <f>AND(#REF!,"G96WuX1xmUU=")</f>
        <v>#REF!</v>
      </c>
      <c r="BS132" t="e">
        <f>AND(#REF!,"G96WuX1xmUY=")</f>
        <v>#REF!</v>
      </c>
      <c r="BT132" t="e">
        <f>AND(#REF!,"G96WuX1xmUc=")</f>
        <v>#REF!</v>
      </c>
      <c r="BU132" t="e">
        <f>AND(#REF!,"G96WuX1xmUg=")</f>
        <v>#REF!</v>
      </c>
      <c r="BV132" t="e">
        <f>AND(#REF!,"G96WuX1xmUk=")</f>
        <v>#REF!</v>
      </c>
      <c r="BW132" t="e">
        <f>AND(#REF!,"G96WuX1xmUo=")</f>
        <v>#REF!</v>
      </c>
      <c r="BX132" t="e">
        <f>AND(#REF!,"G96WuX1xmUs=")</f>
        <v>#REF!</v>
      </c>
      <c r="BY132" t="e">
        <f>AND(#REF!,"G96WuX1xmUw=")</f>
        <v>#REF!</v>
      </c>
      <c r="BZ132" t="e">
        <f>AND(#REF!,"G96WuX1xmU0=")</f>
        <v>#REF!</v>
      </c>
      <c r="CA132" t="e">
        <f>AND(#REF!,"G96WuX1xmU4=")</f>
        <v>#REF!</v>
      </c>
      <c r="CB132" t="e">
        <f>AND(#REF!,"G96WuX1xmU8=")</f>
        <v>#REF!</v>
      </c>
      <c r="CC132" t="e">
        <f>IF(#REF!,"G96WuX1xmVA=",0)</f>
        <v>#REF!</v>
      </c>
      <c r="CD132" t="e">
        <f>AND(#REF!,"G96WuX1xmVE=")</f>
        <v>#REF!</v>
      </c>
      <c r="CE132" t="e">
        <f>AND(#REF!,"G96WuX1xmVI=")</f>
        <v>#REF!</v>
      </c>
      <c r="CF132" t="e">
        <f>AND(#REF!,"G96WuX1xmVM=")</f>
        <v>#REF!</v>
      </c>
      <c r="CG132" t="e">
        <f>AND(#REF!,"G96WuX1xmVQ=")</f>
        <v>#REF!</v>
      </c>
      <c r="CH132" t="e">
        <f>AND(#REF!,"G96WuX1xmVU=")</f>
        <v>#REF!</v>
      </c>
      <c r="CI132" t="e">
        <f>AND(#REF!,"G96WuX1xmVY=")</f>
        <v>#REF!</v>
      </c>
      <c r="CJ132" t="e">
        <f>AND(#REF!,"G96WuX1xmVc=")</f>
        <v>#REF!</v>
      </c>
      <c r="CK132" t="e">
        <f>AND(#REF!,"G96WuX1xmVg=")</f>
        <v>#REF!</v>
      </c>
      <c r="CL132" t="e">
        <f>AND(#REF!,"G96WuX1xmVk=")</f>
        <v>#REF!</v>
      </c>
      <c r="CM132" t="e">
        <f>AND(#REF!,"G96WuX1xmVo=")</f>
        <v>#REF!</v>
      </c>
      <c r="CN132" t="e">
        <f>AND(#REF!,"G96WuX1xmVs=")</f>
        <v>#REF!</v>
      </c>
      <c r="CO132" t="e">
        <f>AND(#REF!,"G96WuX1xmVw=")</f>
        <v>#REF!</v>
      </c>
      <c r="CP132" t="e">
        <f>AND(#REF!,"G96WuX1xmV0=")</f>
        <v>#REF!</v>
      </c>
      <c r="CQ132" t="e">
        <f>AND(#REF!,"G96WuX1xmV4=")</f>
        <v>#REF!</v>
      </c>
      <c r="CR132" t="e">
        <f>AND(#REF!,"G96WuX1xmV8=")</f>
        <v>#REF!</v>
      </c>
      <c r="CS132" t="e">
        <f>AND(#REF!,"G96WuX1xmWA=")</f>
        <v>#REF!</v>
      </c>
      <c r="CT132" t="e">
        <f>IF(#REF!,"G96WuX1xmWE=",0)</f>
        <v>#REF!</v>
      </c>
      <c r="CU132" t="e">
        <f>AND(#REF!,"G96WuX1xmWI=")</f>
        <v>#REF!</v>
      </c>
      <c r="CV132" t="e">
        <f>AND(#REF!,"G96WuX1xmWM=")</f>
        <v>#REF!</v>
      </c>
      <c r="CW132" t="e">
        <f>AND(#REF!,"G96WuX1xmWQ=")</f>
        <v>#REF!</v>
      </c>
      <c r="CX132" t="e">
        <f>AND(#REF!,"G96WuX1xmWU=")</f>
        <v>#REF!</v>
      </c>
      <c r="CY132" t="e">
        <f>AND(#REF!,"G96WuX1xmWY=")</f>
        <v>#REF!</v>
      </c>
      <c r="CZ132" t="e">
        <f>AND(#REF!,"G96WuX1xmWc=")</f>
        <v>#REF!</v>
      </c>
      <c r="DA132" t="e">
        <f>AND(#REF!,"G96WuX1xmWg=")</f>
        <v>#REF!</v>
      </c>
      <c r="DB132" t="e">
        <f>AND(#REF!,"G96WuX1xmWk=")</f>
        <v>#REF!</v>
      </c>
      <c r="DC132" t="e">
        <f>AND(#REF!,"G96WuX1xmWo=")</f>
        <v>#REF!</v>
      </c>
      <c r="DD132" t="e">
        <f>AND(#REF!,"G96WuX1xmWs=")</f>
        <v>#REF!</v>
      </c>
      <c r="DE132" t="e">
        <f>AND(#REF!,"G96WuX1xmWw=")</f>
        <v>#REF!</v>
      </c>
      <c r="DF132" t="e">
        <f>AND(#REF!,"G96WuX1xmW0=")</f>
        <v>#REF!</v>
      </c>
      <c r="DG132" t="e">
        <f>AND(#REF!,"G96WuX1xmW4=")</f>
        <v>#REF!</v>
      </c>
      <c r="DH132" t="e">
        <f>AND(#REF!,"G96WuX1xmW8=")</f>
        <v>#REF!</v>
      </c>
      <c r="DI132" t="e">
        <f>AND(#REF!,"G96WuX1xmXA=")</f>
        <v>#REF!</v>
      </c>
      <c r="DJ132" t="e">
        <f>AND(#REF!,"G96WuX1xmXE=")</f>
        <v>#REF!</v>
      </c>
      <c r="DK132" t="e">
        <f>IF(#REF!,"G96WuX1xmXI=",0)</f>
        <v>#REF!</v>
      </c>
      <c r="DL132" t="e">
        <f>AND(#REF!,"G96WuX1xmXM=")</f>
        <v>#REF!</v>
      </c>
      <c r="DM132" t="e">
        <f>AND(#REF!,"G96WuX1xmXQ=")</f>
        <v>#REF!</v>
      </c>
      <c r="DN132" t="e">
        <f>AND(#REF!,"G96WuX1xmXU=")</f>
        <v>#REF!</v>
      </c>
      <c r="DO132" t="e">
        <f>AND(#REF!,"G96WuX1xmXY=")</f>
        <v>#REF!</v>
      </c>
      <c r="DP132" t="e">
        <f>AND(#REF!,"G96WuX1xmXc=")</f>
        <v>#REF!</v>
      </c>
      <c r="DQ132" t="e">
        <f>AND(#REF!,"G96WuX1xmXg=")</f>
        <v>#REF!</v>
      </c>
      <c r="DR132" t="e">
        <f>AND(#REF!,"G96WuX1xmXk=")</f>
        <v>#REF!</v>
      </c>
      <c r="DS132" t="e">
        <f>AND(#REF!,"G96WuX1xmXo=")</f>
        <v>#REF!</v>
      </c>
      <c r="DT132" t="e">
        <f>AND(#REF!,"G96WuX1xmXs=")</f>
        <v>#REF!</v>
      </c>
      <c r="DU132" t="e">
        <f>AND(#REF!,"G96WuX1xmXw=")</f>
        <v>#REF!</v>
      </c>
      <c r="DV132" t="e">
        <f>AND(#REF!,"G96WuX1xmX0=")</f>
        <v>#REF!</v>
      </c>
      <c r="DW132" t="e">
        <f>AND(#REF!,"G96WuX1xmX4=")</f>
        <v>#REF!</v>
      </c>
      <c r="DX132" t="e">
        <f>AND(#REF!,"G96WuX1xmX8=")</f>
        <v>#REF!</v>
      </c>
      <c r="DY132" t="e">
        <f>AND(#REF!,"G96WuX1xmYA=")</f>
        <v>#REF!</v>
      </c>
      <c r="DZ132" t="e">
        <f>AND(#REF!,"G96WuX1xmYE=")</f>
        <v>#REF!</v>
      </c>
      <c r="EA132" t="e">
        <f>AND(#REF!,"G96WuX1xmYI=")</f>
        <v>#REF!</v>
      </c>
      <c r="EB132" t="e">
        <f>IF(#REF!,"G96WuX1xmYM=",0)</f>
        <v>#REF!</v>
      </c>
      <c r="EC132" t="e">
        <f>AND(#REF!,"G96WuX1xmYQ=")</f>
        <v>#REF!</v>
      </c>
      <c r="ED132" t="e">
        <f>AND(#REF!,"G96WuX1xmYU=")</f>
        <v>#REF!</v>
      </c>
      <c r="EE132" t="e">
        <f>AND(#REF!,"G96WuX1xmYY=")</f>
        <v>#REF!</v>
      </c>
      <c r="EF132" t="e">
        <f>AND(#REF!,"G96WuX1xmYc=")</f>
        <v>#REF!</v>
      </c>
      <c r="EG132" t="e">
        <f>AND(#REF!,"G96WuX1xmYg=")</f>
        <v>#REF!</v>
      </c>
      <c r="EH132" t="e">
        <f>AND(#REF!,"G96WuX1xmYk=")</f>
        <v>#REF!</v>
      </c>
      <c r="EI132" t="e">
        <f>AND(#REF!,"G96WuX1xmYo=")</f>
        <v>#REF!</v>
      </c>
      <c r="EJ132" t="e">
        <f>AND(#REF!,"G96WuX1xmYs=")</f>
        <v>#REF!</v>
      </c>
      <c r="EK132" t="e">
        <f>AND(#REF!,"G96WuX1xmYw=")</f>
        <v>#REF!</v>
      </c>
      <c r="EL132" t="e">
        <f>AND(#REF!,"G96WuX1xmY0=")</f>
        <v>#REF!</v>
      </c>
      <c r="EM132" t="e">
        <f>AND(#REF!,"G96WuX1xmY4=")</f>
        <v>#REF!</v>
      </c>
      <c r="EN132" t="e">
        <f>AND(#REF!,"G96WuX1xmY8=")</f>
        <v>#REF!</v>
      </c>
      <c r="EO132" t="e">
        <f>AND(#REF!,"G96WuX1xmZA=")</f>
        <v>#REF!</v>
      </c>
      <c r="EP132" t="e">
        <f>AND(#REF!,"G96WuX1xmZE=")</f>
        <v>#REF!</v>
      </c>
      <c r="EQ132" t="e">
        <f>AND(#REF!,"G96WuX1xmZI=")</f>
        <v>#REF!</v>
      </c>
      <c r="ER132" t="e">
        <f>AND(#REF!,"G96WuX1xmZM=")</f>
        <v>#REF!</v>
      </c>
      <c r="ES132" t="e">
        <f>IF(#REF!,"G96WuX1xmZQ=",0)</f>
        <v>#REF!</v>
      </c>
      <c r="ET132" t="e">
        <f>AND(#REF!,"G96WuX1xmZU=")</f>
        <v>#REF!</v>
      </c>
      <c r="EU132" t="e">
        <f>AND(#REF!,"G96WuX1xmZY=")</f>
        <v>#REF!</v>
      </c>
      <c r="EV132" t="e">
        <f>AND(#REF!,"G96WuX1xmZc=")</f>
        <v>#REF!</v>
      </c>
      <c r="EW132" t="e">
        <f>AND(#REF!,"G96WuX1xmZg=")</f>
        <v>#REF!</v>
      </c>
      <c r="EX132" t="e">
        <f>AND(#REF!,"G96WuX1xmZk=")</f>
        <v>#REF!</v>
      </c>
      <c r="EY132" t="e">
        <f>AND(#REF!,"G96WuX1xmZo=")</f>
        <v>#REF!</v>
      </c>
      <c r="EZ132" t="e">
        <f>AND(#REF!,"G96WuX1xmZs=")</f>
        <v>#REF!</v>
      </c>
      <c r="FA132" t="e">
        <f>AND(#REF!,"G96WuX1xmZw=")</f>
        <v>#REF!</v>
      </c>
      <c r="FB132" t="e">
        <f>AND(#REF!,"G96WuX1xmZ0=")</f>
        <v>#REF!</v>
      </c>
      <c r="FC132" t="e">
        <f>AND(#REF!,"G96WuX1xmZ4=")</f>
        <v>#REF!</v>
      </c>
      <c r="FD132" t="e">
        <f>AND(#REF!,"G96WuX1xmZ8=")</f>
        <v>#REF!</v>
      </c>
      <c r="FE132" t="e">
        <f>AND(#REF!,"G96WuX1xmaA=")</f>
        <v>#REF!</v>
      </c>
      <c r="FF132" t="e">
        <f>AND(#REF!,"G96WuX1xmaE=")</f>
        <v>#REF!</v>
      </c>
      <c r="FG132" t="e">
        <f>AND(#REF!,"G96WuX1xmaI=")</f>
        <v>#REF!</v>
      </c>
      <c r="FH132" t="e">
        <f>AND(#REF!,"G96WuX1xmaM=")</f>
        <v>#REF!</v>
      </c>
      <c r="FI132" t="e">
        <f>AND(#REF!,"G96WuX1xmaQ=")</f>
        <v>#REF!</v>
      </c>
      <c r="FJ132" t="e">
        <f>IF(#REF!,"G96WuX1xmaU=",0)</f>
        <v>#REF!</v>
      </c>
      <c r="FK132" t="e">
        <f>AND(#REF!,"G96WuX1xmaY=")</f>
        <v>#REF!</v>
      </c>
      <c r="FL132" t="e">
        <f>AND(#REF!,"G96WuX1xmac=")</f>
        <v>#REF!</v>
      </c>
      <c r="FM132" t="e">
        <f>AND(#REF!,"G96WuX1xmag=")</f>
        <v>#REF!</v>
      </c>
      <c r="FN132" t="e">
        <f>AND(#REF!,"G96WuX1xmak=")</f>
        <v>#REF!</v>
      </c>
      <c r="FO132" t="e">
        <f>AND(#REF!,"G96WuX1xmao=")</f>
        <v>#REF!</v>
      </c>
      <c r="FP132" t="e">
        <f>AND(#REF!,"G96WuX1xmas=")</f>
        <v>#REF!</v>
      </c>
      <c r="FQ132" t="e">
        <f>AND(#REF!,"G96WuX1xmaw=")</f>
        <v>#REF!</v>
      </c>
      <c r="FR132" t="e">
        <f>AND(#REF!,"G96WuX1xma0=")</f>
        <v>#REF!</v>
      </c>
      <c r="FS132" t="e">
        <f>AND(#REF!,"G96WuX1xma4=")</f>
        <v>#REF!</v>
      </c>
      <c r="FT132" t="e">
        <f>AND(#REF!,"G96WuX1xma8=")</f>
        <v>#REF!</v>
      </c>
      <c r="FU132" t="e">
        <f>AND(#REF!,"G96WuX1xmbA=")</f>
        <v>#REF!</v>
      </c>
      <c r="FV132" t="e">
        <f>AND(#REF!,"G96WuX1xmbE=")</f>
        <v>#REF!</v>
      </c>
      <c r="FW132" t="e">
        <f>AND(#REF!,"G96WuX1xmbI=")</f>
        <v>#REF!</v>
      </c>
      <c r="FX132" t="e">
        <f>AND(#REF!,"G96WuX1xmbM=")</f>
        <v>#REF!</v>
      </c>
      <c r="FY132" t="e">
        <f>AND(#REF!,"G96WuX1xmbQ=")</f>
        <v>#REF!</v>
      </c>
      <c r="FZ132" t="e">
        <f>AND(#REF!,"G96WuX1xmbU=")</f>
        <v>#REF!</v>
      </c>
      <c r="GA132" t="e">
        <f>IF(#REF!,"G96WuX1xmbY=",0)</f>
        <v>#REF!</v>
      </c>
      <c r="GB132" t="e">
        <f>AND(#REF!,"G96WuX1xmbc=")</f>
        <v>#REF!</v>
      </c>
      <c r="GC132" t="e">
        <f>AND(#REF!,"G96WuX1xmbg=")</f>
        <v>#REF!</v>
      </c>
      <c r="GD132" t="e">
        <f>AND(#REF!,"G96WuX1xmbk=")</f>
        <v>#REF!</v>
      </c>
      <c r="GE132" t="e">
        <f>AND(#REF!,"G96WuX1xmbo=")</f>
        <v>#REF!</v>
      </c>
      <c r="GF132" t="e">
        <f>AND(#REF!,"G96WuX1xmbs=")</f>
        <v>#REF!</v>
      </c>
      <c r="GG132" t="e">
        <f>AND(#REF!,"G96WuX1xmbw=")</f>
        <v>#REF!</v>
      </c>
      <c r="GH132" t="e">
        <f>AND(#REF!,"G96WuX1xmb0=")</f>
        <v>#REF!</v>
      </c>
      <c r="GI132" t="e">
        <f>AND(#REF!,"G96WuX1xmb4=")</f>
        <v>#REF!</v>
      </c>
      <c r="GJ132" t="e">
        <f>AND(#REF!,"G96WuX1xmb8=")</f>
        <v>#REF!</v>
      </c>
      <c r="GK132" t="e">
        <f>AND(#REF!,"G96WuX1xmcA=")</f>
        <v>#REF!</v>
      </c>
      <c r="GL132" t="e">
        <f>AND(#REF!,"G96WuX1xmcE=")</f>
        <v>#REF!</v>
      </c>
      <c r="GM132" t="e">
        <f>AND(#REF!,"G96WuX1xmcI=")</f>
        <v>#REF!</v>
      </c>
      <c r="GN132" t="e">
        <f>AND(#REF!,"G96WuX1xmcM=")</f>
        <v>#REF!</v>
      </c>
      <c r="GO132" t="e">
        <f>AND(#REF!,"G96WuX1xmcQ=")</f>
        <v>#REF!</v>
      </c>
      <c r="GP132" t="e">
        <f>AND(#REF!,"G96WuX1xmcU=")</f>
        <v>#REF!</v>
      </c>
      <c r="GQ132" t="e">
        <f>AND(#REF!,"G96WuX1xmcY=")</f>
        <v>#REF!</v>
      </c>
      <c r="GR132" t="e">
        <f>IF(#REF!,"G96WuX1xmcc=",0)</f>
        <v>#REF!</v>
      </c>
      <c r="GS132" t="e">
        <f>AND(#REF!,"G96WuX1xmcg=")</f>
        <v>#REF!</v>
      </c>
      <c r="GT132" t="e">
        <f>AND(#REF!,"G96WuX1xmck=")</f>
        <v>#REF!</v>
      </c>
      <c r="GU132" t="e">
        <f>AND(#REF!,"G96WuX1xmco=")</f>
        <v>#REF!</v>
      </c>
      <c r="GV132" t="e">
        <f>AND(#REF!,"G96WuX1xmcs=")</f>
        <v>#REF!</v>
      </c>
      <c r="GW132" t="e">
        <f>AND(#REF!,"G96WuX1xmcw=")</f>
        <v>#REF!</v>
      </c>
      <c r="GX132" t="e">
        <f>AND(#REF!,"G96WuX1xmc0=")</f>
        <v>#REF!</v>
      </c>
      <c r="GY132" t="e">
        <f>AND(#REF!,"G96WuX1xmc4=")</f>
        <v>#REF!</v>
      </c>
      <c r="GZ132" t="e">
        <f>AND(#REF!,"G96WuX1xmc8=")</f>
        <v>#REF!</v>
      </c>
      <c r="HA132" t="e">
        <f>AND(#REF!,"G96WuX1xmdA=")</f>
        <v>#REF!</v>
      </c>
      <c r="HB132" t="e">
        <f>AND(#REF!,"G96WuX1xmdE=")</f>
        <v>#REF!</v>
      </c>
      <c r="HC132" t="e">
        <f>AND(#REF!,"G96WuX1xmdI=")</f>
        <v>#REF!</v>
      </c>
      <c r="HD132" t="e">
        <f>AND(#REF!,"G96WuX1xmdM=")</f>
        <v>#REF!</v>
      </c>
      <c r="HE132" t="e">
        <f>AND(#REF!,"G96WuX1xmdQ=")</f>
        <v>#REF!</v>
      </c>
      <c r="HF132" t="e">
        <f>AND(#REF!,"G96WuX1xmdU=")</f>
        <v>#REF!</v>
      </c>
      <c r="HG132" t="e">
        <f>AND(#REF!,"G96WuX1xmdY=")</f>
        <v>#REF!</v>
      </c>
      <c r="HH132" t="e">
        <f>AND(#REF!,"G96WuX1xmdc=")</f>
        <v>#REF!</v>
      </c>
      <c r="HI132" t="e">
        <f>IF(#REF!,"G96WuX1xmdg=",0)</f>
        <v>#REF!</v>
      </c>
      <c r="HJ132" t="e">
        <f>AND(#REF!,"G96WuX1xmdk=")</f>
        <v>#REF!</v>
      </c>
      <c r="HK132" t="e">
        <f>AND(#REF!,"G96WuX1xmdo=")</f>
        <v>#REF!</v>
      </c>
      <c r="HL132" t="e">
        <f>AND(#REF!,"G96WuX1xmds=")</f>
        <v>#REF!</v>
      </c>
      <c r="HM132" t="e">
        <f>AND(#REF!,"G96WuX1xmdw=")</f>
        <v>#REF!</v>
      </c>
      <c r="HN132" t="e">
        <f>AND(#REF!,"G96WuX1xmd0=")</f>
        <v>#REF!</v>
      </c>
      <c r="HO132" t="e">
        <f>AND(#REF!,"G96WuX1xmd4=")</f>
        <v>#REF!</v>
      </c>
      <c r="HP132" t="e">
        <f>AND(#REF!,"G96WuX1xmd8=")</f>
        <v>#REF!</v>
      </c>
      <c r="HQ132" t="e">
        <f>AND(#REF!,"G96WuX1xmeA=")</f>
        <v>#REF!</v>
      </c>
      <c r="HR132" t="e">
        <f>AND(#REF!,"G96WuX1xmeE=")</f>
        <v>#REF!</v>
      </c>
      <c r="HS132" t="e">
        <f>AND(#REF!,"G96WuX1xmeI=")</f>
        <v>#REF!</v>
      </c>
      <c r="HT132" t="e">
        <f>AND(#REF!,"G96WuX1xmeM=")</f>
        <v>#REF!</v>
      </c>
      <c r="HU132" t="e">
        <f>AND(#REF!,"G96WuX1xmeQ=")</f>
        <v>#REF!</v>
      </c>
      <c r="HV132" t="e">
        <f>AND(#REF!,"G96WuX1xmeU=")</f>
        <v>#REF!</v>
      </c>
      <c r="HW132" t="e">
        <f>AND(#REF!,"G96WuX1xmeY=")</f>
        <v>#REF!</v>
      </c>
      <c r="HX132" t="e">
        <f>AND(#REF!,"G96WuX1xmec=")</f>
        <v>#REF!</v>
      </c>
      <c r="HY132" t="e">
        <f>AND(#REF!,"G96WuX1xmeg=")</f>
        <v>#REF!</v>
      </c>
      <c r="HZ132" t="e">
        <f>IF(#REF!,"G96WuX1xmek=",0)</f>
        <v>#REF!</v>
      </c>
      <c r="IA132" t="e">
        <f>AND(#REF!,"G96WuX1xmeo=")</f>
        <v>#REF!</v>
      </c>
      <c r="IB132" t="e">
        <f>AND(#REF!,"G96WuX1xmes=")</f>
        <v>#REF!</v>
      </c>
      <c r="IC132" t="e">
        <f>AND(#REF!,"G96WuX1xmew=")</f>
        <v>#REF!</v>
      </c>
      <c r="ID132" t="e">
        <f>AND(#REF!,"G96WuX1xme0=")</f>
        <v>#REF!</v>
      </c>
      <c r="IE132" t="e">
        <f>AND(#REF!,"G96WuX1xme4=")</f>
        <v>#REF!</v>
      </c>
      <c r="IF132" t="e">
        <f>AND(#REF!,"G96WuX1xme8=")</f>
        <v>#REF!</v>
      </c>
      <c r="IG132" t="e">
        <f>AND(#REF!,"G96WuX1xmfA=")</f>
        <v>#REF!</v>
      </c>
      <c r="IH132" t="e">
        <f>AND(#REF!,"G96WuX1xmfE=")</f>
        <v>#REF!</v>
      </c>
      <c r="II132" t="e">
        <f>AND(#REF!,"G96WuX1xmfI=")</f>
        <v>#REF!</v>
      </c>
      <c r="IJ132" t="e">
        <f>AND(#REF!,"G96WuX1xmfM=")</f>
        <v>#REF!</v>
      </c>
      <c r="IK132" t="e">
        <f>AND(#REF!,"G96WuX1xmfQ=")</f>
        <v>#REF!</v>
      </c>
      <c r="IL132" t="e">
        <f>AND(#REF!,"G96WuX1xmfU=")</f>
        <v>#REF!</v>
      </c>
      <c r="IM132" t="e">
        <f>AND(#REF!,"G96WuX1xmfY=")</f>
        <v>#REF!</v>
      </c>
      <c r="IN132" t="e">
        <f>AND(#REF!,"G96WuX1xmfc=")</f>
        <v>#REF!</v>
      </c>
      <c r="IO132" t="e">
        <f>AND(#REF!,"G96WuX1xmfg=")</f>
        <v>#REF!</v>
      </c>
      <c r="IP132" t="e">
        <f>AND(#REF!,"G96WuX1xmfk=")</f>
        <v>#REF!</v>
      </c>
      <c r="IQ132" t="e">
        <f>IF(#REF!,"G96WuX1xmfo=",0)</f>
        <v>#REF!</v>
      </c>
      <c r="IR132" t="e">
        <f>AND(#REF!,"G96WuX1xmfs=")</f>
        <v>#REF!</v>
      </c>
      <c r="IS132" t="e">
        <f>AND(#REF!,"G96WuX1xmfw=")</f>
        <v>#REF!</v>
      </c>
      <c r="IT132" t="e">
        <f>AND(#REF!,"G96WuX1xmf0=")</f>
        <v>#REF!</v>
      </c>
      <c r="IU132" t="e">
        <f>AND(#REF!,"G96WuX1xmf4=")</f>
        <v>#REF!</v>
      </c>
      <c r="IV132" t="e">
        <f>AND(#REF!,"G96WuX1xmf8=")</f>
        <v>#REF!</v>
      </c>
    </row>
    <row r="133" spans="1:256" x14ac:dyDescent="0.2">
      <c r="A133" t="e">
        <f>AND(#REF!,"DJizbB0O2QA=")</f>
        <v>#REF!</v>
      </c>
      <c r="B133" t="e">
        <f>AND(#REF!,"DJizbB0O2QE=")</f>
        <v>#REF!</v>
      </c>
      <c r="C133" t="e">
        <f>AND(#REF!,"DJizbB0O2QI=")</f>
        <v>#REF!</v>
      </c>
      <c r="D133" t="e">
        <f>AND(#REF!,"DJizbB0O2QM=")</f>
        <v>#REF!</v>
      </c>
      <c r="E133" t="e">
        <f>AND(#REF!,"DJizbB0O2QQ=")</f>
        <v>#REF!</v>
      </c>
      <c r="F133" t="e">
        <f>AND(#REF!,"DJizbB0O2QU=")</f>
        <v>#REF!</v>
      </c>
      <c r="G133" t="e">
        <f>AND(#REF!,"DJizbB0O2QY=")</f>
        <v>#REF!</v>
      </c>
      <c r="H133" t="e">
        <f>AND(#REF!,"DJizbB0O2Qc=")</f>
        <v>#REF!</v>
      </c>
      <c r="I133" t="e">
        <f>AND(#REF!,"DJizbB0O2Qg=")</f>
        <v>#REF!</v>
      </c>
      <c r="J133" t="e">
        <f>AND(#REF!,"DJizbB0O2Qk=")</f>
        <v>#REF!</v>
      </c>
      <c r="K133" t="e">
        <f>AND(#REF!,"DJizbB0O2Qo=")</f>
        <v>#REF!</v>
      </c>
      <c r="L133" t="e">
        <f>IF(#REF!,"DJizbB0O2Qs=",0)</f>
        <v>#REF!</v>
      </c>
      <c r="M133" t="e">
        <f>AND(#REF!,"DJizbB0O2Qw=")</f>
        <v>#REF!</v>
      </c>
      <c r="N133" t="e">
        <f>AND(#REF!,"DJizbB0O2Q0=")</f>
        <v>#REF!</v>
      </c>
      <c r="O133" t="e">
        <f>AND(#REF!,"DJizbB0O2Q4=")</f>
        <v>#REF!</v>
      </c>
      <c r="P133" t="e">
        <f>AND(#REF!,"DJizbB0O2Q8=")</f>
        <v>#REF!</v>
      </c>
      <c r="Q133" t="e">
        <f>AND(#REF!,"DJizbB0O2RA=")</f>
        <v>#REF!</v>
      </c>
      <c r="R133" t="e">
        <f>AND(#REF!,"DJizbB0O2RE=")</f>
        <v>#REF!</v>
      </c>
      <c r="S133" t="e">
        <f>AND(#REF!,"DJizbB0O2RI=")</f>
        <v>#REF!</v>
      </c>
      <c r="T133" t="e">
        <f>AND(#REF!,"DJizbB0O2RM=")</f>
        <v>#REF!</v>
      </c>
      <c r="U133" t="e">
        <f>AND(#REF!,"DJizbB0O2RQ=")</f>
        <v>#REF!</v>
      </c>
      <c r="V133" t="e">
        <f>AND(#REF!,"DJizbB0O2RU=")</f>
        <v>#REF!</v>
      </c>
      <c r="W133" t="e">
        <f>AND(#REF!,"DJizbB0O2RY=")</f>
        <v>#REF!</v>
      </c>
      <c r="X133" t="e">
        <f>AND(#REF!,"DJizbB0O2Rc=")</f>
        <v>#REF!</v>
      </c>
      <c r="Y133" t="e">
        <f>AND(#REF!,"DJizbB0O2Rg=")</f>
        <v>#REF!</v>
      </c>
      <c r="Z133" t="e">
        <f>AND(#REF!,"DJizbB0O2Rk=")</f>
        <v>#REF!</v>
      </c>
      <c r="AA133" t="e">
        <f>AND(#REF!,"DJizbB0O2Ro=")</f>
        <v>#REF!</v>
      </c>
      <c r="AB133" t="e">
        <f>AND(#REF!,"DJizbB0O2Rs=")</f>
        <v>#REF!</v>
      </c>
      <c r="AC133" t="e">
        <f>IF(#REF!,"DJizbB0O2Rw=",0)</f>
        <v>#REF!</v>
      </c>
      <c r="AD133" t="e">
        <f>AND(#REF!,"DJizbB0O2R0=")</f>
        <v>#REF!</v>
      </c>
      <c r="AE133" t="e">
        <f>AND(#REF!,"DJizbB0O2R4=")</f>
        <v>#REF!</v>
      </c>
      <c r="AF133" t="e">
        <f>AND(#REF!,"DJizbB0O2R8=")</f>
        <v>#REF!</v>
      </c>
      <c r="AG133" t="e">
        <f>AND(#REF!,"DJizbB0O2SA=")</f>
        <v>#REF!</v>
      </c>
      <c r="AH133" t="e">
        <f>AND(#REF!,"DJizbB0O2SE=")</f>
        <v>#REF!</v>
      </c>
      <c r="AI133" t="e">
        <f>AND(#REF!,"DJizbB0O2SI=")</f>
        <v>#REF!</v>
      </c>
      <c r="AJ133" t="e">
        <f>AND(#REF!,"DJizbB0O2SM=")</f>
        <v>#REF!</v>
      </c>
      <c r="AK133" t="e">
        <f>AND(#REF!,"DJizbB0O2SQ=")</f>
        <v>#REF!</v>
      </c>
      <c r="AL133" t="e">
        <f>AND(#REF!,"DJizbB0O2SU=")</f>
        <v>#REF!</v>
      </c>
      <c r="AM133" t="e">
        <f>AND(#REF!,"DJizbB0O2SY=")</f>
        <v>#REF!</v>
      </c>
      <c r="AN133" t="e">
        <f>AND(#REF!,"DJizbB0O2Sc=")</f>
        <v>#REF!</v>
      </c>
      <c r="AO133" t="e">
        <f>AND(#REF!,"DJizbB0O2Sg=")</f>
        <v>#REF!</v>
      </c>
      <c r="AP133" t="e">
        <f>AND(#REF!,"DJizbB0O2Sk=")</f>
        <v>#REF!</v>
      </c>
      <c r="AQ133" t="e">
        <f>AND(#REF!,"DJizbB0O2So=")</f>
        <v>#REF!</v>
      </c>
      <c r="AR133" t="e">
        <f>AND(#REF!,"DJizbB0O2Ss=")</f>
        <v>#REF!</v>
      </c>
      <c r="AS133" t="e">
        <f>AND(#REF!,"DJizbB0O2Sw=")</f>
        <v>#REF!</v>
      </c>
      <c r="AT133" t="e">
        <f>IF(#REF!,"DJizbB0O2S0=",0)</f>
        <v>#REF!</v>
      </c>
      <c r="AU133" t="e">
        <f>AND(#REF!,"DJizbB0O2S4=")</f>
        <v>#REF!</v>
      </c>
      <c r="AV133" t="e">
        <f>AND(#REF!,"DJizbB0O2S8=")</f>
        <v>#REF!</v>
      </c>
      <c r="AW133" t="e">
        <f>AND(#REF!,"DJizbB0O2TA=")</f>
        <v>#REF!</v>
      </c>
      <c r="AX133" t="e">
        <f>AND(#REF!,"DJizbB0O2TE=")</f>
        <v>#REF!</v>
      </c>
      <c r="AY133" t="e">
        <f>AND(#REF!,"DJizbB0O2TI=")</f>
        <v>#REF!</v>
      </c>
      <c r="AZ133" t="e">
        <f>AND(#REF!,"DJizbB0O2TM=")</f>
        <v>#REF!</v>
      </c>
      <c r="BA133" t="e">
        <f>AND(#REF!,"DJizbB0O2TQ=")</f>
        <v>#REF!</v>
      </c>
      <c r="BB133" t="e">
        <f>AND(#REF!,"DJizbB0O2TU=")</f>
        <v>#REF!</v>
      </c>
      <c r="BC133" t="e">
        <f>AND(#REF!,"DJizbB0O2TY=")</f>
        <v>#REF!</v>
      </c>
      <c r="BD133" t="e">
        <f>AND(#REF!,"DJizbB0O2Tc=")</f>
        <v>#REF!</v>
      </c>
      <c r="BE133" t="e">
        <f>AND(#REF!,"DJizbB0O2Tg=")</f>
        <v>#REF!</v>
      </c>
      <c r="BF133" t="e">
        <f>AND(#REF!,"DJizbB0O2Tk=")</f>
        <v>#REF!</v>
      </c>
      <c r="BG133" t="e">
        <f>AND(#REF!,"DJizbB0O2To=")</f>
        <v>#REF!</v>
      </c>
      <c r="BH133" t="e">
        <f>AND(#REF!,"DJizbB0O2Ts=")</f>
        <v>#REF!</v>
      </c>
      <c r="BI133" t="e">
        <f>AND(#REF!,"DJizbB0O2Tw=")</f>
        <v>#REF!</v>
      </c>
      <c r="BJ133" t="e">
        <f>AND(#REF!,"DJizbB0O2T0=")</f>
        <v>#REF!</v>
      </c>
      <c r="BK133" t="e">
        <f>IF(#REF!,"DJizbB0O2T4=",0)</f>
        <v>#REF!</v>
      </c>
      <c r="BL133" t="e">
        <f>AND(#REF!,"DJizbB0O2T8=")</f>
        <v>#REF!</v>
      </c>
      <c r="BM133" t="e">
        <f>AND(#REF!,"DJizbB0O2UA=")</f>
        <v>#REF!</v>
      </c>
      <c r="BN133" t="e">
        <f>AND(#REF!,"DJizbB0O2UE=")</f>
        <v>#REF!</v>
      </c>
      <c r="BO133" t="e">
        <f>AND(#REF!,"DJizbB0O2UI=")</f>
        <v>#REF!</v>
      </c>
      <c r="BP133" t="e">
        <f>AND(#REF!,"DJizbB0O2UM=")</f>
        <v>#REF!</v>
      </c>
      <c r="BQ133" t="e">
        <f>AND(#REF!,"DJizbB0O2UQ=")</f>
        <v>#REF!</v>
      </c>
      <c r="BR133" t="e">
        <f>AND(#REF!,"DJizbB0O2UU=")</f>
        <v>#REF!</v>
      </c>
      <c r="BS133" t="e">
        <f>AND(#REF!,"DJizbB0O2UY=")</f>
        <v>#REF!</v>
      </c>
      <c r="BT133" t="e">
        <f>AND(#REF!,"DJizbB0O2Uc=")</f>
        <v>#REF!</v>
      </c>
      <c r="BU133" t="e">
        <f>AND(#REF!,"DJizbB0O2Ug=")</f>
        <v>#REF!</v>
      </c>
      <c r="BV133" t="e">
        <f>AND(#REF!,"DJizbB0O2Uk=")</f>
        <v>#REF!</v>
      </c>
      <c r="BW133" t="e">
        <f>AND(#REF!,"DJizbB0O2Uo=")</f>
        <v>#REF!</v>
      </c>
      <c r="BX133" t="e">
        <f>AND(#REF!,"DJizbB0O2Us=")</f>
        <v>#REF!</v>
      </c>
      <c r="BY133" t="e">
        <f>AND(#REF!,"DJizbB0O2Uw=")</f>
        <v>#REF!</v>
      </c>
      <c r="BZ133" t="e">
        <f>AND(#REF!,"DJizbB0O2U0=")</f>
        <v>#REF!</v>
      </c>
      <c r="CA133" t="e">
        <f>AND(#REF!,"DJizbB0O2U4=")</f>
        <v>#REF!</v>
      </c>
      <c r="CB133" t="e">
        <f>IF(#REF!,"DJizbB0O2U8=",0)</f>
        <v>#REF!</v>
      </c>
      <c r="CC133" t="e">
        <f>AND(#REF!,"DJizbB0O2VA=")</f>
        <v>#REF!</v>
      </c>
      <c r="CD133" t="e">
        <f>AND(#REF!,"DJizbB0O2VE=")</f>
        <v>#REF!</v>
      </c>
      <c r="CE133" t="e">
        <f>AND(#REF!,"DJizbB0O2VI=")</f>
        <v>#REF!</v>
      </c>
      <c r="CF133" t="e">
        <f>AND(#REF!,"DJizbB0O2VM=")</f>
        <v>#REF!</v>
      </c>
      <c r="CG133" t="e">
        <f>AND(#REF!,"DJizbB0O2VQ=")</f>
        <v>#REF!</v>
      </c>
      <c r="CH133" t="e">
        <f>AND(#REF!,"DJizbB0O2VU=")</f>
        <v>#REF!</v>
      </c>
      <c r="CI133" t="e">
        <f>AND(#REF!,"DJizbB0O2VY=")</f>
        <v>#REF!</v>
      </c>
      <c r="CJ133" t="e">
        <f>AND(#REF!,"DJizbB0O2Vc=")</f>
        <v>#REF!</v>
      </c>
      <c r="CK133" t="e">
        <f>AND(#REF!,"DJizbB0O2Vg=")</f>
        <v>#REF!</v>
      </c>
      <c r="CL133" t="e">
        <f>AND(#REF!,"DJizbB0O2Vk=")</f>
        <v>#REF!</v>
      </c>
      <c r="CM133" t="e">
        <f>AND(#REF!,"DJizbB0O2Vo=")</f>
        <v>#REF!</v>
      </c>
      <c r="CN133" t="e">
        <f>AND(#REF!,"DJizbB0O2Vs=")</f>
        <v>#REF!</v>
      </c>
      <c r="CO133" t="e">
        <f>AND(#REF!,"DJizbB0O2Vw=")</f>
        <v>#REF!</v>
      </c>
      <c r="CP133" t="e">
        <f>AND(#REF!,"DJizbB0O2V0=")</f>
        <v>#REF!</v>
      </c>
      <c r="CQ133" t="e">
        <f>AND(#REF!,"DJizbB0O2V4=")</f>
        <v>#REF!</v>
      </c>
      <c r="CR133" t="e">
        <f>AND(#REF!,"DJizbB0O2V8=")</f>
        <v>#REF!</v>
      </c>
      <c r="CS133" t="e">
        <f>IF(#REF!,"DJizbB0O2WA=",0)</f>
        <v>#REF!</v>
      </c>
      <c r="CT133" t="e">
        <f>AND(#REF!,"DJizbB0O2WE=")</f>
        <v>#REF!</v>
      </c>
      <c r="CU133" t="e">
        <f>AND(#REF!,"DJizbB0O2WI=")</f>
        <v>#REF!</v>
      </c>
      <c r="CV133" t="e">
        <f>AND(#REF!,"DJizbB0O2WM=")</f>
        <v>#REF!</v>
      </c>
      <c r="CW133" t="e">
        <f>AND(#REF!,"DJizbB0O2WQ=")</f>
        <v>#REF!</v>
      </c>
      <c r="CX133" t="e">
        <f>AND(#REF!,"DJizbB0O2WU=")</f>
        <v>#REF!</v>
      </c>
      <c r="CY133" t="e">
        <f>AND(#REF!,"DJizbB0O2WY=")</f>
        <v>#REF!</v>
      </c>
      <c r="CZ133" t="e">
        <f>AND(#REF!,"DJizbB0O2Wc=")</f>
        <v>#REF!</v>
      </c>
      <c r="DA133" t="e">
        <f>AND(#REF!,"DJizbB0O2Wg=")</f>
        <v>#REF!</v>
      </c>
      <c r="DB133" t="e">
        <f>AND(#REF!,"DJizbB0O2Wk=")</f>
        <v>#REF!</v>
      </c>
      <c r="DC133" t="e">
        <f>AND(#REF!,"DJizbB0O2Wo=")</f>
        <v>#REF!</v>
      </c>
      <c r="DD133" t="e">
        <f>AND(#REF!,"DJizbB0O2Ws=")</f>
        <v>#REF!</v>
      </c>
      <c r="DE133" t="e">
        <f>AND(#REF!,"DJizbB0O2Ww=")</f>
        <v>#REF!</v>
      </c>
      <c r="DF133" t="e">
        <f>AND(#REF!,"DJizbB0O2W0=")</f>
        <v>#REF!</v>
      </c>
      <c r="DG133" t="e">
        <f>AND(#REF!,"DJizbB0O2W4=")</f>
        <v>#REF!</v>
      </c>
      <c r="DH133" t="e">
        <f>AND(#REF!,"DJizbB0O2W8=")</f>
        <v>#REF!</v>
      </c>
      <c r="DI133" t="e">
        <f>AND(#REF!,"DJizbB0O2XA=")</f>
        <v>#REF!</v>
      </c>
      <c r="DJ133" t="e">
        <f>IF(#REF!,"DJizbB0O2XE=",0)</f>
        <v>#REF!</v>
      </c>
      <c r="DK133" t="e">
        <f>AND(#REF!,"DJizbB0O2XI=")</f>
        <v>#REF!</v>
      </c>
      <c r="DL133" t="e">
        <f>AND(#REF!,"DJizbB0O2XM=")</f>
        <v>#REF!</v>
      </c>
      <c r="DM133" t="e">
        <f>AND(#REF!,"DJizbB0O2XQ=")</f>
        <v>#REF!</v>
      </c>
      <c r="DN133" t="e">
        <f>AND(#REF!,"DJizbB0O2XU=")</f>
        <v>#REF!</v>
      </c>
      <c r="DO133" t="e">
        <f>AND(#REF!,"DJizbB0O2XY=")</f>
        <v>#REF!</v>
      </c>
      <c r="DP133" t="e">
        <f>AND(#REF!,"DJizbB0O2Xc=")</f>
        <v>#REF!</v>
      </c>
      <c r="DQ133" t="e">
        <f>AND(#REF!,"DJizbB0O2Xg=")</f>
        <v>#REF!</v>
      </c>
      <c r="DR133" t="e">
        <f>AND(#REF!,"DJizbB0O2Xk=")</f>
        <v>#REF!</v>
      </c>
      <c r="DS133" t="e">
        <f>AND(#REF!,"DJizbB0O2Xo=")</f>
        <v>#REF!</v>
      </c>
      <c r="DT133" t="e">
        <f>AND(#REF!,"DJizbB0O2Xs=")</f>
        <v>#REF!</v>
      </c>
      <c r="DU133" t="e">
        <f>AND(#REF!,"DJizbB0O2Xw=")</f>
        <v>#REF!</v>
      </c>
      <c r="DV133" t="e">
        <f>AND(#REF!,"DJizbB0O2X0=")</f>
        <v>#REF!</v>
      </c>
      <c r="DW133" t="e">
        <f>AND(#REF!,"DJizbB0O2X4=")</f>
        <v>#REF!</v>
      </c>
      <c r="DX133" t="e">
        <f>AND(#REF!,"DJizbB0O2X8=")</f>
        <v>#REF!</v>
      </c>
      <c r="DY133" t="e">
        <f>AND(#REF!,"DJizbB0O2YA=")</f>
        <v>#REF!</v>
      </c>
      <c r="DZ133" t="e">
        <f>AND(#REF!,"DJizbB0O2YE=")</f>
        <v>#REF!</v>
      </c>
      <c r="EA133" t="e">
        <f>IF(#REF!,"DJizbB0O2YI=",0)</f>
        <v>#REF!</v>
      </c>
      <c r="EB133" t="e">
        <f>AND(#REF!,"DJizbB0O2YM=")</f>
        <v>#REF!</v>
      </c>
      <c r="EC133" t="e">
        <f>AND(#REF!,"DJizbB0O2YQ=")</f>
        <v>#REF!</v>
      </c>
      <c r="ED133" t="e">
        <f>AND(#REF!,"DJizbB0O2YU=")</f>
        <v>#REF!</v>
      </c>
      <c r="EE133" t="e">
        <f>AND(#REF!,"DJizbB0O2YY=")</f>
        <v>#REF!</v>
      </c>
      <c r="EF133" t="e">
        <f>AND(#REF!,"DJizbB0O2Yc=")</f>
        <v>#REF!</v>
      </c>
      <c r="EG133" t="e">
        <f>AND(#REF!,"DJizbB0O2Yg=")</f>
        <v>#REF!</v>
      </c>
      <c r="EH133" t="e">
        <f>AND(#REF!,"DJizbB0O2Yk=")</f>
        <v>#REF!</v>
      </c>
      <c r="EI133" t="e">
        <f>AND(#REF!,"DJizbB0O2Yo=")</f>
        <v>#REF!</v>
      </c>
      <c r="EJ133" t="e">
        <f>AND(#REF!,"DJizbB0O2Ys=")</f>
        <v>#REF!</v>
      </c>
      <c r="EK133" t="e">
        <f>AND(#REF!,"DJizbB0O2Yw=")</f>
        <v>#REF!</v>
      </c>
      <c r="EL133" t="e">
        <f>AND(#REF!,"DJizbB0O2Y0=")</f>
        <v>#REF!</v>
      </c>
      <c r="EM133" t="e">
        <f>AND(#REF!,"DJizbB0O2Y4=")</f>
        <v>#REF!</v>
      </c>
      <c r="EN133" t="e">
        <f>AND(#REF!,"DJizbB0O2Y8=")</f>
        <v>#REF!</v>
      </c>
      <c r="EO133" t="e">
        <f>AND(#REF!,"DJizbB0O2ZA=")</f>
        <v>#REF!</v>
      </c>
      <c r="EP133" t="e">
        <f>AND(#REF!,"DJizbB0O2ZE=")</f>
        <v>#REF!</v>
      </c>
      <c r="EQ133" t="e">
        <f>AND(#REF!,"DJizbB0O2ZI=")</f>
        <v>#REF!</v>
      </c>
      <c r="ER133" t="e">
        <f>IF(#REF!,"DJizbB0O2ZM=",0)</f>
        <v>#REF!</v>
      </c>
      <c r="ES133" t="e">
        <f>AND(#REF!,"DJizbB0O2ZQ=")</f>
        <v>#REF!</v>
      </c>
      <c r="ET133" t="e">
        <f>AND(#REF!,"DJizbB0O2ZU=")</f>
        <v>#REF!</v>
      </c>
      <c r="EU133" t="e">
        <f>AND(#REF!,"DJizbB0O2ZY=")</f>
        <v>#REF!</v>
      </c>
      <c r="EV133" t="e">
        <f>AND(#REF!,"DJizbB0O2Zc=")</f>
        <v>#REF!</v>
      </c>
      <c r="EW133" t="e">
        <f>AND(#REF!,"DJizbB0O2Zg=")</f>
        <v>#REF!</v>
      </c>
      <c r="EX133" t="e">
        <f>AND(#REF!,"DJizbB0O2Zk=")</f>
        <v>#REF!</v>
      </c>
      <c r="EY133" t="e">
        <f>AND(#REF!,"DJizbB0O2Zo=")</f>
        <v>#REF!</v>
      </c>
      <c r="EZ133" t="e">
        <f>AND(#REF!,"DJizbB0O2Zs=")</f>
        <v>#REF!</v>
      </c>
      <c r="FA133" t="e">
        <f>AND(#REF!,"DJizbB0O2Zw=")</f>
        <v>#REF!</v>
      </c>
      <c r="FB133" t="e">
        <f>AND(#REF!,"DJizbB0O2Z0=")</f>
        <v>#REF!</v>
      </c>
      <c r="FC133" t="e">
        <f>AND(#REF!,"DJizbB0O2Z4=")</f>
        <v>#REF!</v>
      </c>
      <c r="FD133" t="e">
        <f>AND(#REF!,"DJizbB0O2Z8=")</f>
        <v>#REF!</v>
      </c>
      <c r="FE133" t="e">
        <f>AND(#REF!,"DJizbB0O2aA=")</f>
        <v>#REF!</v>
      </c>
      <c r="FF133" t="e">
        <f>AND(#REF!,"DJizbB0O2aE=")</f>
        <v>#REF!</v>
      </c>
      <c r="FG133" t="e">
        <f>AND(#REF!,"DJizbB0O2aI=")</f>
        <v>#REF!</v>
      </c>
      <c r="FH133" t="e">
        <f>AND(#REF!,"DJizbB0O2aM=")</f>
        <v>#REF!</v>
      </c>
      <c r="FI133" t="e">
        <f>IF(#REF!,"DJizbB0O2aQ=",0)</f>
        <v>#REF!</v>
      </c>
      <c r="FJ133" t="e">
        <f>AND(#REF!,"DJizbB0O2aU=")</f>
        <v>#REF!</v>
      </c>
      <c r="FK133" t="e">
        <f>AND(#REF!,"DJizbB0O2aY=")</f>
        <v>#REF!</v>
      </c>
      <c r="FL133" t="e">
        <f>AND(#REF!,"DJizbB0O2ac=")</f>
        <v>#REF!</v>
      </c>
      <c r="FM133" t="e">
        <f>AND(#REF!,"DJizbB0O2ag=")</f>
        <v>#REF!</v>
      </c>
      <c r="FN133" t="e">
        <f>AND(#REF!,"DJizbB0O2ak=")</f>
        <v>#REF!</v>
      </c>
      <c r="FO133" t="e">
        <f>AND(#REF!,"DJizbB0O2ao=")</f>
        <v>#REF!</v>
      </c>
      <c r="FP133" t="e">
        <f>AND(#REF!,"DJizbB0O2as=")</f>
        <v>#REF!</v>
      </c>
      <c r="FQ133" t="e">
        <f>AND(#REF!,"DJizbB0O2aw=")</f>
        <v>#REF!</v>
      </c>
      <c r="FR133" t="e">
        <f>AND(#REF!,"DJizbB0O2a0=")</f>
        <v>#REF!</v>
      </c>
      <c r="FS133" t="e">
        <f>AND(#REF!,"DJizbB0O2a4=")</f>
        <v>#REF!</v>
      </c>
      <c r="FT133" t="e">
        <f>AND(#REF!,"DJizbB0O2a8=")</f>
        <v>#REF!</v>
      </c>
      <c r="FU133" t="e">
        <f>AND(#REF!,"DJizbB0O2bA=")</f>
        <v>#REF!</v>
      </c>
      <c r="FV133" t="e">
        <f>AND(#REF!,"DJizbB0O2bE=")</f>
        <v>#REF!</v>
      </c>
      <c r="FW133" t="e">
        <f>AND(#REF!,"DJizbB0O2bI=")</f>
        <v>#REF!</v>
      </c>
      <c r="FX133" t="e">
        <f>AND(#REF!,"DJizbB0O2bM=")</f>
        <v>#REF!</v>
      </c>
      <c r="FY133" t="e">
        <f>AND(#REF!,"DJizbB0O2bQ=")</f>
        <v>#REF!</v>
      </c>
      <c r="FZ133" t="e">
        <f>IF(#REF!,"DJizbB0O2bU=",0)</f>
        <v>#REF!</v>
      </c>
      <c r="GA133" t="e">
        <f>AND(#REF!,"DJizbB0O2bY=")</f>
        <v>#REF!</v>
      </c>
      <c r="GB133" t="e">
        <f>AND(#REF!,"DJizbB0O2bc=")</f>
        <v>#REF!</v>
      </c>
      <c r="GC133" t="e">
        <f>AND(#REF!,"DJizbB0O2bg=")</f>
        <v>#REF!</v>
      </c>
      <c r="GD133" t="e">
        <f>AND(#REF!,"DJizbB0O2bk=")</f>
        <v>#REF!</v>
      </c>
      <c r="GE133" t="e">
        <f>AND(#REF!,"DJizbB0O2bo=")</f>
        <v>#REF!</v>
      </c>
      <c r="GF133" t="e">
        <f>AND(#REF!,"DJizbB0O2bs=")</f>
        <v>#REF!</v>
      </c>
      <c r="GG133" t="e">
        <f>AND(#REF!,"DJizbB0O2bw=")</f>
        <v>#REF!</v>
      </c>
      <c r="GH133" t="e">
        <f>AND(#REF!,"DJizbB0O2b0=")</f>
        <v>#REF!</v>
      </c>
      <c r="GI133" t="e">
        <f>AND(#REF!,"DJizbB0O2b4=")</f>
        <v>#REF!</v>
      </c>
      <c r="GJ133" t="e">
        <f>AND(#REF!,"DJizbB0O2b8=")</f>
        <v>#REF!</v>
      </c>
      <c r="GK133" t="e">
        <f>AND(#REF!,"DJizbB0O2cA=")</f>
        <v>#REF!</v>
      </c>
      <c r="GL133" t="e">
        <f>AND(#REF!,"DJizbB0O2cE=")</f>
        <v>#REF!</v>
      </c>
      <c r="GM133" t="e">
        <f>AND(#REF!,"DJizbB0O2cI=")</f>
        <v>#REF!</v>
      </c>
      <c r="GN133" t="e">
        <f>AND(#REF!,"DJizbB0O2cM=")</f>
        <v>#REF!</v>
      </c>
      <c r="GO133" t="e">
        <f>AND(#REF!,"DJizbB0O2cQ=")</f>
        <v>#REF!</v>
      </c>
      <c r="GP133" t="e">
        <f>AND(#REF!,"DJizbB0O2cU=")</f>
        <v>#REF!</v>
      </c>
      <c r="GQ133" t="e">
        <f>IF(#REF!,"DJizbB0O2cY=",0)</f>
        <v>#REF!</v>
      </c>
      <c r="GR133" t="e">
        <f>AND(#REF!,"DJizbB0O2cc=")</f>
        <v>#REF!</v>
      </c>
      <c r="GS133" t="e">
        <f>AND(#REF!,"DJizbB0O2cg=")</f>
        <v>#REF!</v>
      </c>
      <c r="GT133" t="e">
        <f>AND(#REF!,"DJizbB0O2ck=")</f>
        <v>#REF!</v>
      </c>
      <c r="GU133" t="e">
        <f>AND(#REF!,"DJizbB0O2co=")</f>
        <v>#REF!</v>
      </c>
      <c r="GV133" t="e">
        <f>AND(#REF!,"DJizbB0O2cs=")</f>
        <v>#REF!</v>
      </c>
      <c r="GW133" t="e">
        <f>AND(#REF!,"DJizbB0O2cw=")</f>
        <v>#REF!</v>
      </c>
      <c r="GX133" t="e">
        <f>AND(#REF!,"DJizbB0O2c0=")</f>
        <v>#REF!</v>
      </c>
      <c r="GY133" t="e">
        <f>AND(#REF!,"DJizbB0O2c4=")</f>
        <v>#REF!</v>
      </c>
      <c r="GZ133" t="e">
        <f>AND(#REF!,"DJizbB0O2c8=")</f>
        <v>#REF!</v>
      </c>
      <c r="HA133" t="e">
        <f>AND(#REF!,"DJizbB0O2dA=")</f>
        <v>#REF!</v>
      </c>
      <c r="HB133" t="e">
        <f>AND(#REF!,"DJizbB0O2dE=")</f>
        <v>#REF!</v>
      </c>
      <c r="HC133" t="e">
        <f>AND(#REF!,"DJizbB0O2dI=")</f>
        <v>#REF!</v>
      </c>
      <c r="HD133" t="e">
        <f>AND(#REF!,"DJizbB0O2dM=")</f>
        <v>#REF!</v>
      </c>
      <c r="HE133" t="e">
        <f>AND(#REF!,"DJizbB0O2dQ=")</f>
        <v>#REF!</v>
      </c>
      <c r="HF133" t="e">
        <f>AND(#REF!,"DJizbB0O2dU=")</f>
        <v>#REF!</v>
      </c>
      <c r="HG133" t="e">
        <f>AND(#REF!,"DJizbB0O2dY=")</f>
        <v>#REF!</v>
      </c>
      <c r="HH133" t="e">
        <f>IF(#REF!,"DJizbB0O2dc=",0)</f>
        <v>#REF!</v>
      </c>
      <c r="HI133" t="e">
        <f>AND(#REF!,"DJizbB0O2dg=")</f>
        <v>#REF!</v>
      </c>
      <c r="HJ133" t="e">
        <f>AND(#REF!,"DJizbB0O2dk=")</f>
        <v>#REF!</v>
      </c>
      <c r="HK133" t="e">
        <f>AND(#REF!,"DJizbB0O2do=")</f>
        <v>#REF!</v>
      </c>
      <c r="HL133" t="e">
        <f>AND(#REF!,"DJizbB0O2ds=")</f>
        <v>#REF!</v>
      </c>
      <c r="HM133" t="e">
        <f>AND(#REF!,"DJizbB0O2dw=")</f>
        <v>#REF!</v>
      </c>
      <c r="HN133" t="e">
        <f>AND(#REF!,"DJizbB0O2d0=")</f>
        <v>#REF!</v>
      </c>
      <c r="HO133" t="e">
        <f>AND(#REF!,"DJizbB0O2d4=")</f>
        <v>#REF!</v>
      </c>
      <c r="HP133" t="e">
        <f>AND(#REF!,"DJizbB0O2d8=")</f>
        <v>#REF!</v>
      </c>
      <c r="HQ133" t="e">
        <f>AND(#REF!,"DJizbB0O2eA=")</f>
        <v>#REF!</v>
      </c>
      <c r="HR133" t="e">
        <f>AND(#REF!,"DJizbB0O2eE=")</f>
        <v>#REF!</v>
      </c>
      <c r="HS133" t="e">
        <f>AND(#REF!,"DJizbB0O2eI=")</f>
        <v>#REF!</v>
      </c>
      <c r="HT133" t="e">
        <f>AND(#REF!,"DJizbB0O2eM=")</f>
        <v>#REF!</v>
      </c>
      <c r="HU133" t="e">
        <f>AND(#REF!,"DJizbB0O2eQ=")</f>
        <v>#REF!</v>
      </c>
      <c r="HV133" t="e">
        <f>AND(#REF!,"DJizbB0O2eU=")</f>
        <v>#REF!</v>
      </c>
      <c r="HW133" t="e">
        <f>AND(#REF!,"DJizbB0O2eY=")</f>
        <v>#REF!</v>
      </c>
      <c r="HX133" t="e">
        <f>AND(#REF!,"DJizbB0O2ec=")</f>
        <v>#REF!</v>
      </c>
      <c r="HY133" t="e">
        <f>IF(#REF!,"DJizbB0O2eg=",0)</f>
        <v>#REF!</v>
      </c>
      <c r="HZ133" t="e">
        <f>AND(#REF!,"DJizbB0O2ek=")</f>
        <v>#REF!</v>
      </c>
      <c r="IA133" t="e">
        <f>AND(#REF!,"DJizbB0O2eo=")</f>
        <v>#REF!</v>
      </c>
      <c r="IB133" t="e">
        <f>AND(#REF!,"DJizbB0O2es=")</f>
        <v>#REF!</v>
      </c>
      <c r="IC133" t="e">
        <f>AND(#REF!,"DJizbB0O2ew=")</f>
        <v>#REF!</v>
      </c>
      <c r="ID133" t="e">
        <f>AND(#REF!,"DJizbB0O2e0=")</f>
        <v>#REF!</v>
      </c>
      <c r="IE133" t="e">
        <f>AND(#REF!,"DJizbB0O2e4=")</f>
        <v>#REF!</v>
      </c>
      <c r="IF133" t="e">
        <f>AND(#REF!,"DJizbB0O2e8=")</f>
        <v>#REF!</v>
      </c>
      <c r="IG133" t="e">
        <f>AND(#REF!,"DJizbB0O2fA=")</f>
        <v>#REF!</v>
      </c>
      <c r="IH133" t="e">
        <f>AND(#REF!,"DJizbB0O2fE=")</f>
        <v>#REF!</v>
      </c>
      <c r="II133" t="e">
        <f>AND(#REF!,"DJizbB0O2fI=")</f>
        <v>#REF!</v>
      </c>
      <c r="IJ133" t="e">
        <f>AND(#REF!,"DJizbB0O2fM=")</f>
        <v>#REF!</v>
      </c>
      <c r="IK133" t="e">
        <f>AND(#REF!,"DJizbB0O2fQ=")</f>
        <v>#REF!</v>
      </c>
      <c r="IL133" t="e">
        <f>AND(#REF!,"DJizbB0O2fU=")</f>
        <v>#REF!</v>
      </c>
      <c r="IM133" t="e">
        <f>AND(#REF!,"DJizbB0O2fY=")</f>
        <v>#REF!</v>
      </c>
      <c r="IN133" t="e">
        <f>AND(#REF!,"DJizbB0O2fc=")</f>
        <v>#REF!</v>
      </c>
      <c r="IO133" t="e">
        <f>AND(#REF!,"DJizbB0O2fg=")</f>
        <v>#REF!</v>
      </c>
      <c r="IP133" t="e">
        <f>IF(#REF!,"DJizbB0O2fk=",0)</f>
        <v>#REF!</v>
      </c>
      <c r="IQ133" t="e">
        <f>AND(#REF!,"DJizbB0O2fo=")</f>
        <v>#REF!</v>
      </c>
      <c r="IR133" t="e">
        <f>AND(#REF!,"DJizbB0O2fs=")</f>
        <v>#REF!</v>
      </c>
      <c r="IS133" t="e">
        <f>AND(#REF!,"DJizbB0O2fw=")</f>
        <v>#REF!</v>
      </c>
      <c r="IT133" t="e">
        <f>AND(#REF!,"DJizbB0O2f0=")</f>
        <v>#REF!</v>
      </c>
      <c r="IU133" t="e">
        <f>AND(#REF!,"DJizbB0O2f4=")</f>
        <v>#REF!</v>
      </c>
      <c r="IV133" t="e">
        <f>AND(#REF!,"DJizbB0O2f8=")</f>
        <v>#REF!</v>
      </c>
    </row>
    <row r="134" spans="1:256" x14ac:dyDescent="0.2">
      <c r="A134" t="e">
        <f>AND(#REF!,"Co/2ICv9QAA=")</f>
        <v>#REF!</v>
      </c>
      <c r="B134" t="e">
        <f>AND(#REF!,"Co/2ICv9QAE=")</f>
        <v>#REF!</v>
      </c>
      <c r="C134" t="e">
        <f>AND(#REF!,"Co/2ICv9QAI=")</f>
        <v>#REF!</v>
      </c>
      <c r="D134" t="e">
        <f>AND(#REF!,"Co/2ICv9QAM=")</f>
        <v>#REF!</v>
      </c>
      <c r="E134" t="e">
        <f>AND(#REF!,"Co/2ICv9QAQ=")</f>
        <v>#REF!</v>
      </c>
      <c r="F134" t="e">
        <f>AND(#REF!,"Co/2ICv9QAU=")</f>
        <v>#REF!</v>
      </c>
      <c r="G134" t="e">
        <f>AND(#REF!,"Co/2ICv9QAY=")</f>
        <v>#REF!</v>
      </c>
      <c r="H134" t="e">
        <f>AND(#REF!,"Co/2ICv9QAc=")</f>
        <v>#REF!</v>
      </c>
      <c r="I134" t="e">
        <f>AND(#REF!,"Co/2ICv9QAg=")</f>
        <v>#REF!</v>
      </c>
      <c r="J134" t="e">
        <f>AND(#REF!,"Co/2ICv9QAk=")</f>
        <v>#REF!</v>
      </c>
      <c r="K134" t="e">
        <f>IF(#REF!,"Co/2ICv9QAo=",0)</f>
        <v>#REF!</v>
      </c>
      <c r="L134" t="e">
        <f>AND(#REF!,"Co/2ICv9QAs=")</f>
        <v>#REF!</v>
      </c>
      <c r="M134" t="e">
        <f>AND(#REF!,"Co/2ICv9QAw=")</f>
        <v>#REF!</v>
      </c>
      <c r="N134" t="e">
        <f>AND(#REF!,"Co/2ICv9QA0=")</f>
        <v>#REF!</v>
      </c>
      <c r="O134" t="e">
        <f>AND(#REF!,"Co/2ICv9QA4=")</f>
        <v>#REF!</v>
      </c>
      <c r="P134" t="e">
        <f>AND(#REF!,"Co/2ICv9QA8=")</f>
        <v>#REF!</v>
      </c>
      <c r="Q134" t="e">
        <f>AND(#REF!,"Co/2ICv9QBA=")</f>
        <v>#REF!</v>
      </c>
      <c r="R134" t="e">
        <f>AND(#REF!,"Co/2ICv9QBE=")</f>
        <v>#REF!</v>
      </c>
      <c r="S134" t="e">
        <f>AND(#REF!,"Co/2ICv9QBI=")</f>
        <v>#REF!</v>
      </c>
      <c r="T134" t="e">
        <f>AND(#REF!,"Co/2ICv9QBM=")</f>
        <v>#REF!</v>
      </c>
      <c r="U134" t="e">
        <f>AND(#REF!,"Co/2ICv9QBQ=")</f>
        <v>#REF!</v>
      </c>
      <c r="V134" t="e">
        <f>AND(#REF!,"Co/2ICv9QBU=")</f>
        <v>#REF!</v>
      </c>
      <c r="W134" t="e">
        <f>AND(#REF!,"Co/2ICv9QBY=")</f>
        <v>#REF!</v>
      </c>
      <c r="X134" t="e">
        <f>AND(#REF!,"Co/2ICv9QBc=")</f>
        <v>#REF!</v>
      </c>
      <c r="Y134" t="e">
        <f>AND(#REF!,"Co/2ICv9QBg=")</f>
        <v>#REF!</v>
      </c>
      <c r="Z134" t="e">
        <f>AND(#REF!,"Co/2ICv9QBk=")</f>
        <v>#REF!</v>
      </c>
      <c r="AA134" t="e">
        <f>AND(#REF!,"Co/2ICv9QBo=")</f>
        <v>#REF!</v>
      </c>
      <c r="AB134" t="e">
        <f>IF(#REF!,"Co/2ICv9QBs=",0)</f>
        <v>#REF!</v>
      </c>
      <c r="AC134" t="e">
        <f>AND(#REF!,"Co/2ICv9QBw=")</f>
        <v>#REF!</v>
      </c>
      <c r="AD134" t="e">
        <f>AND(#REF!,"Co/2ICv9QB0=")</f>
        <v>#REF!</v>
      </c>
      <c r="AE134" t="e">
        <f>AND(#REF!,"Co/2ICv9QB4=")</f>
        <v>#REF!</v>
      </c>
      <c r="AF134" t="e">
        <f>AND(#REF!,"Co/2ICv9QB8=")</f>
        <v>#REF!</v>
      </c>
      <c r="AG134" t="e">
        <f>AND(#REF!,"Co/2ICv9QCA=")</f>
        <v>#REF!</v>
      </c>
      <c r="AH134" t="e">
        <f>AND(#REF!,"Co/2ICv9QCE=")</f>
        <v>#REF!</v>
      </c>
      <c r="AI134" t="e">
        <f>AND(#REF!,"Co/2ICv9QCI=")</f>
        <v>#REF!</v>
      </c>
      <c r="AJ134" t="e">
        <f>AND(#REF!,"Co/2ICv9QCM=")</f>
        <v>#REF!</v>
      </c>
      <c r="AK134" t="e">
        <f>AND(#REF!,"Co/2ICv9QCQ=")</f>
        <v>#REF!</v>
      </c>
      <c r="AL134" t="e">
        <f>AND(#REF!,"Co/2ICv9QCU=")</f>
        <v>#REF!</v>
      </c>
      <c r="AM134" t="e">
        <f>AND(#REF!,"Co/2ICv9QCY=")</f>
        <v>#REF!</v>
      </c>
      <c r="AN134" t="e">
        <f>AND(#REF!,"Co/2ICv9QCc=")</f>
        <v>#REF!</v>
      </c>
      <c r="AO134" t="e">
        <f>AND(#REF!,"Co/2ICv9QCg=")</f>
        <v>#REF!</v>
      </c>
      <c r="AP134" t="e">
        <f>AND(#REF!,"Co/2ICv9QCk=")</f>
        <v>#REF!</v>
      </c>
      <c r="AQ134" t="e">
        <f>AND(#REF!,"Co/2ICv9QCo=")</f>
        <v>#REF!</v>
      </c>
      <c r="AR134" t="e">
        <f>AND(#REF!,"Co/2ICv9QCs=")</f>
        <v>#REF!</v>
      </c>
      <c r="AS134" t="e">
        <f>IF(#REF!,"Co/2ICv9QCw=",0)</f>
        <v>#REF!</v>
      </c>
      <c r="AT134" t="e">
        <f>AND(#REF!,"Co/2ICv9QC0=")</f>
        <v>#REF!</v>
      </c>
      <c r="AU134" t="e">
        <f>AND(#REF!,"Co/2ICv9QC4=")</f>
        <v>#REF!</v>
      </c>
      <c r="AV134" t="e">
        <f>AND(#REF!,"Co/2ICv9QC8=")</f>
        <v>#REF!</v>
      </c>
      <c r="AW134" t="e">
        <f>AND(#REF!,"Co/2ICv9QDA=")</f>
        <v>#REF!</v>
      </c>
      <c r="AX134" t="e">
        <f>AND(#REF!,"Co/2ICv9QDE=")</f>
        <v>#REF!</v>
      </c>
      <c r="AY134" t="e">
        <f>AND(#REF!,"Co/2ICv9QDI=")</f>
        <v>#REF!</v>
      </c>
      <c r="AZ134" t="e">
        <f>AND(#REF!,"Co/2ICv9QDM=")</f>
        <v>#REF!</v>
      </c>
      <c r="BA134" t="e">
        <f>AND(#REF!,"Co/2ICv9QDQ=")</f>
        <v>#REF!</v>
      </c>
      <c r="BB134" t="e">
        <f>AND(#REF!,"Co/2ICv9QDU=")</f>
        <v>#REF!</v>
      </c>
      <c r="BC134" t="e">
        <f>AND(#REF!,"Co/2ICv9QDY=")</f>
        <v>#REF!</v>
      </c>
      <c r="BD134" t="e">
        <f>AND(#REF!,"Co/2ICv9QDc=")</f>
        <v>#REF!</v>
      </c>
      <c r="BE134" t="e">
        <f>AND(#REF!,"Co/2ICv9QDg=")</f>
        <v>#REF!</v>
      </c>
      <c r="BF134" t="e">
        <f>AND(#REF!,"Co/2ICv9QDk=")</f>
        <v>#REF!</v>
      </c>
      <c r="BG134" t="e">
        <f>AND(#REF!,"Co/2ICv9QDo=")</f>
        <v>#REF!</v>
      </c>
      <c r="BH134" t="e">
        <f>AND(#REF!,"Co/2ICv9QDs=")</f>
        <v>#REF!</v>
      </c>
      <c r="BI134" t="e">
        <f>AND(#REF!,"Co/2ICv9QDw=")</f>
        <v>#REF!</v>
      </c>
      <c r="BJ134" t="e">
        <f>IF(#REF!,"Co/2ICv9QD0=",0)</f>
        <v>#REF!</v>
      </c>
      <c r="BK134" t="e">
        <f>AND(#REF!,"Co/2ICv9QD4=")</f>
        <v>#REF!</v>
      </c>
      <c r="BL134" t="e">
        <f>AND(#REF!,"Co/2ICv9QD8=")</f>
        <v>#REF!</v>
      </c>
      <c r="BM134" t="e">
        <f>AND(#REF!,"Co/2ICv9QEA=")</f>
        <v>#REF!</v>
      </c>
      <c r="BN134" t="e">
        <f>AND(#REF!,"Co/2ICv9QEE=")</f>
        <v>#REF!</v>
      </c>
      <c r="BO134" t="e">
        <f>AND(#REF!,"Co/2ICv9QEI=")</f>
        <v>#REF!</v>
      </c>
      <c r="BP134" t="e">
        <f>AND(#REF!,"Co/2ICv9QEM=")</f>
        <v>#REF!</v>
      </c>
      <c r="BQ134" t="e">
        <f>AND(#REF!,"Co/2ICv9QEQ=")</f>
        <v>#REF!</v>
      </c>
      <c r="BR134" t="e">
        <f>AND(#REF!,"Co/2ICv9QEU=")</f>
        <v>#REF!</v>
      </c>
      <c r="BS134" t="e">
        <f>AND(#REF!,"Co/2ICv9QEY=")</f>
        <v>#REF!</v>
      </c>
      <c r="BT134" t="e">
        <f>AND(#REF!,"Co/2ICv9QEc=")</f>
        <v>#REF!</v>
      </c>
      <c r="BU134" t="e">
        <f>AND(#REF!,"Co/2ICv9QEg=")</f>
        <v>#REF!</v>
      </c>
      <c r="BV134" t="e">
        <f>AND(#REF!,"Co/2ICv9QEk=")</f>
        <v>#REF!</v>
      </c>
      <c r="BW134" t="e">
        <f>AND(#REF!,"Co/2ICv9QEo=")</f>
        <v>#REF!</v>
      </c>
      <c r="BX134" t="e">
        <f>AND(#REF!,"Co/2ICv9QEs=")</f>
        <v>#REF!</v>
      </c>
      <c r="BY134" t="e">
        <f>AND(#REF!,"Co/2ICv9QEw=")</f>
        <v>#REF!</v>
      </c>
      <c r="BZ134" t="e">
        <f>AND(#REF!,"Co/2ICv9QE0=")</f>
        <v>#REF!</v>
      </c>
      <c r="CA134" t="e">
        <f>IF(#REF!,"Co/2ICv9QE4=",0)</f>
        <v>#REF!</v>
      </c>
      <c r="CB134" t="e">
        <f>AND(#REF!,"Co/2ICv9QE8=")</f>
        <v>#REF!</v>
      </c>
      <c r="CC134" t="e">
        <f>AND(#REF!,"Co/2ICv9QFA=")</f>
        <v>#REF!</v>
      </c>
      <c r="CD134" t="e">
        <f>AND(#REF!,"Co/2ICv9QFE=")</f>
        <v>#REF!</v>
      </c>
      <c r="CE134" t="e">
        <f>AND(#REF!,"Co/2ICv9QFI=")</f>
        <v>#REF!</v>
      </c>
      <c r="CF134" t="e">
        <f>AND(#REF!,"Co/2ICv9QFM=")</f>
        <v>#REF!</v>
      </c>
      <c r="CG134" t="e">
        <f>AND(#REF!,"Co/2ICv9QFQ=")</f>
        <v>#REF!</v>
      </c>
      <c r="CH134" t="e">
        <f>AND(#REF!,"Co/2ICv9QFU=")</f>
        <v>#REF!</v>
      </c>
      <c r="CI134" t="e">
        <f>AND(#REF!,"Co/2ICv9QFY=")</f>
        <v>#REF!</v>
      </c>
      <c r="CJ134" t="e">
        <f>AND(#REF!,"Co/2ICv9QFc=")</f>
        <v>#REF!</v>
      </c>
      <c r="CK134" t="e">
        <f>AND(#REF!,"Co/2ICv9QFg=")</f>
        <v>#REF!</v>
      </c>
      <c r="CL134" t="e">
        <f>AND(#REF!,"Co/2ICv9QFk=")</f>
        <v>#REF!</v>
      </c>
      <c r="CM134" t="e">
        <f>AND(#REF!,"Co/2ICv9QFo=")</f>
        <v>#REF!</v>
      </c>
      <c r="CN134" t="e">
        <f>AND(#REF!,"Co/2ICv9QFs=")</f>
        <v>#REF!</v>
      </c>
      <c r="CO134" t="e">
        <f>AND(#REF!,"Co/2ICv9QFw=")</f>
        <v>#REF!</v>
      </c>
      <c r="CP134" t="e">
        <f>AND(#REF!,"Co/2ICv9QF0=")</f>
        <v>#REF!</v>
      </c>
      <c r="CQ134" t="e">
        <f>AND(#REF!,"Co/2ICv9QF4=")</f>
        <v>#REF!</v>
      </c>
      <c r="CR134" t="e">
        <f>IF(#REF!,"Co/2ICv9QF8=",0)</f>
        <v>#REF!</v>
      </c>
      <c r="CS134" t="e">
        <f>AND(#REF!,"Co/2ICv9QGA=")</f>
        <v>#REF!</v>
      </c>
      <c r="CT134" t="e">
        <f>AND(#REF!,"Co/2ICv9QGE=")</f>
        <v>#REF!</v>
      </c>
      <c r="CU134" t="e">
        <f>AND(#REF!,"Co/2ICv9QGI=")</f>
        <v>#REF!</v>
      </c>
      <c r="CV134" t="e">
        <f>AND(#REF!,"Co/2ICv9QGM=")</f>
        <v>#REF!</v>
      </c>
      <c r="CW134" t="e">
        <f>AND(#REF!,"Co/2ICv9QGQ=")</f>
        <v>#REF!</v>
      </c>
      <c r="CX134" t="e">
        <f>AND(#REF!,"Co/2ICv9QGU=")</f>
        <v>#REF!</v>
      </c>
      <c r="CY134" t="e">
        <f>AND(#REF!,"Co/2ICv9QGY=")</f>
        <v>#REF!</v>
      </c>
      <c r="CZ134" t="e">
        <f>AND(#REF!,"Co/2ICv9QGc=")</f>
        <v>#REF!</v>
      </c>
      <c r="DA134" t="e">
        <f>AND(#REF!,"Co/2ICv9QGg=")</f>
        <v>#REF!</v>
      </c>
      <c r="DB134" t="e">
        <f>AND(#REF!,"Co/2ICv9QGk=")</f>
        <v>#REF!</v>
      </c>
      <c r="DC134" t="e">
        <f>AND(#REF!,"Co/2ICv9QGo=")</f>
        <v>#REF!</v>
      </c>
      <c r="DD134" t="e">
        <f>AND(#REF!,"Co/2ICv9QGs=")</f>
        <v>#REF!</v>
      </c>
      <c r="DE134" t="e">
        <f>AND(#REF!,"Co/2ICv9QGw=")</f>
        <v>#REF!</v>
      </c>
      <c r="DF134" t="e">
        <f>AND(#REF!,"Co/2ICv9QG0=")</f>
        <v>#REF!</v>
      </c>
      <c r="DG134" t="e">
        <f>AND(#REF!,"Co/2ICv9QG4=")</f>
        <v>#REF!</v>
      </c>
      <c r="DH134" t="e">
        <f>AND(#REF!,"Co/2ICv9QG8=")</f>
        <v>#REF!</v>
      </c>
      <c r="DI134" t="e">
        <f>IF(#REF!,"Co/2ICv9QHA=",0)</f>
        <v>#REF!</v>
      </c>
      <c r="DJ134" t="e">
        <f>AND(#REF!,"Co/2ICv9QHE=")</f>
        <v>#REF!</v>
      </c>
      <c r="DK134" t="e">
        <f>AND(#REF!,"Co/2ICv9QHI=")</f>
        <v>#REF!</v>
      </c>
      <c r="DL134" t="e">
        <f>AND(#REF!,"Co/2ICv9QHM=")</f>
        <v>#REF!</v>
      </c>
      <c r="DM134" t="e">
        <f>AND(#REF!,"Co/2ICv9QHQ=")</f>
        <v>#REF!</v>
      </c>
      <c r="DN134" t="e">
        <f>AND(#REF!,"Co/2ICv9QHU=")</f>
        <v>#REF!</v>
      </c>
      <c r="DO134" t="e">
        <f>AND(#REF!,"Co/2ICv9QHY=")</f>
        <v>#REF!</v>
      </c>
      <c r="DP134" t="e">
        <f>AND(#REF!,"Co/2ICv9QHc=")</f>
        <v>#REF!</v>
      </c>
      <c r="DQ134" t="e">
        <f>AND(#REF!,"Co/2ICv9QHg=")</f>
        <v>#REF!</v>
      </c>
      <c r="DR134" t="e">
        <f>AND(#REF!,"Co/2ICv9QHk=")</f>
        <v>#REF!</v>
      </c>
      <c r="DS134" t="e">
        <f>AND(#REF!,"Co/2ICv9QHo=")</f>
        <v>#REF!</v>
      </c>
      <c r="DT134" t="e">
        <f>AND(#REF!,"Co/2ICv9QHs=")</f>
        <v>#REF!</v>
      </c>
      <c r="DU134" t="e">
        <f>AND(#REF!,"Co/2ICv9QHw=")</f>
        <v>#REF!</v>
      </c>
      <c r="DV134" t="e">
        <f>AND(#REF!,"Co/2ICv9QH0=")</f>
        <v>#REF!</v>
      </c>
      <c r="DW134" t="e">
        <f>AND(#REF!,"Co/2ICv9QH4=")</f>
        <v>#REF!</v>
      </c>
      <c r="DX134" t="e">
        <f>AND(#REF!,"Co/2ICv9QH8=")</f>
        <v>#REF!</v>
      </c>
      <c r="DY134" t="e">
        <f>AND(#REF!,"Co/2ICv9QIA=")</f>
        <v>#REF!</v>
      </c>
      <c r="DZ134" t="e">
        <f>IF(#REF!,"Co/2ICv9QIE=",0)</f>
        <v>#REF!</v>
      </c>
      <c r="EA134" t="e">
        <f>AND(#REF!,"Co/2ICv9QII=")</f>
        <v>#REF!</v>
      </c>
      <c r="EB134" t="e">
        <f>AND(#REF!,"Co/2ICv9QIM=")</f>
        <v>#REF!</v>
      </c>
      <c r="EC134" t="e">
        <f>AND(#REF!,"Co/2ICv9QIQ=")</f>
        <v>#REF!</v>
      </c>
      <c r="ED134" t="e">
        <f>AND(#REF!,"Co/2ICv9QIU=")</f>
        <v>#REF!</v>
      </c>
      <c r="EE134" t="e">
        <f>AND(#REF!,"Co/2ICv9QIY=")</f>
        <v>#REF!</v>
      </c>
      <c r="EF134" t="e">
        <f>AND(#REF!,"Co/2ICv9QIc=")</f>
        <v>#REF!</v>
      </c>
      <c r="EG134" t="e">
        <f>AND(#REF!,"Co/2ICv9QIg=")</f>
        <v>#REF!</v>
      </c>
      <c r="EH134" t="e">
        <f>AND(#REF!,"Co/2ICv9QIk=")</f>
        <v>#REF!</v>
      </c>
      <c r="EI134" t="e">
        <f>AND(#REF!,"Co/2ICv9QIo=")</f>
        <v>#REF!</v>
      </c>
      <c r="EJ134" t="e">
        <f>AND(#REF!,"Co/2ICv9QIs=")</f>
        <v>#REF!</v>
      </c>
      <c r="EK134" t="e">
        <f>AND(#REF!,"Co/2ICv9QIw=")</f>
        <v>#REF!</v>
      </c>
      <c r="EL134" t="e">
        <f>AND(#REF!,"Co/2ICv9QI0=")</f>
        <v>#REF!</v>
      </c>
      <c r="EM134" t="e">
        <f>AND(#REF!,"Co/2ICv9QI4=")</f>
        <v>#REF!</v>
      </c>
      <c r="EN134" t="e">
        <f>AND(#REF!,"Co/2ICv9QI8=")</f>
        <v>#REF!</v>
      </c>
      <c r="EO134" t="e">
        <f>AND(#REF!,"Co/2ICv9QJA=")</f>
        <v>#REF!</v>
      </c>
      <c r="EP134" t="e">
        <f>AND(#REF!,"Co/2ICv9QJE=")</f>
        <v>#REF!</v>
      </c>
      <c r="EQ134" t="e">
        <f>IF(#REF!,"Co/2ICv9QJI=",0)</f>
        <v>#REF!</v>
      </c>
      <c r="ER134" t="e">
        <f>AND(#REF!,"Co/2ICv9QJM=")</f>
        <v>#REF!</v>
      </c>
      <c r="ES134" t="e">
        <f>AND(#REF!,"Co/2ICv9QJQ=")</f>
        <v>#REF!</v>
      </c>
      <c r="ET134" t="e">
        <f>AND(#REF!,"Co/2ICv9QJU=")</f>
        <v>#REF!</v>
      </c>
      <c r="EU134" t="e">
        <f>AND(#REF!,"Co/2ICv9QJY=")</f>
        <v>#REF!</v>
      </c>
      <c r="EV134" t="e">
        <f>AND(#REF!,"Co/2ICv9QJc=")</f>
        <v>#REF!</v>
      </c>
      <c r="EW134" t="e">
        <f>AND(#REF!,"Co/2ICv9QJg=")</f>
        <v>#REF!</v>
      </c>
      <c r="EX134" t="e">
        <f>AND(#REF!,"Co/2ICv9QJk=")</f>
        <v>#REF!</v>
      </c>
      <c r="EY134" t="e">
        <f>AND(#REF!,"Co/2ICv9QJo=")</f>
        <v>#REF!</v>
      </c>
      <c r="EZ134" t="e">
        <f>AND(#REF!,"Co/2ICv9QJs=")</f>
        <v>#REF!</v>
      </c>
      <c r="FA134" t="e">
        <f>AND(#REF!,"Co/2ICv9QJw=")</f>
        <v>#REF!</v>
      </c>
      <c r="FB134" t="e">
        <f>AND(#REF!,"Co/2ICv9QJ0=")</f>
        <v>#REF!</v>
      </c>
      <c r="FC134" t="e">
        <f>AND(#REF!,"Co/2ICv9QJ4=")</f>
        <v>#REF!</v>
      </c>
      <c r="FD134" t="e">
        <f>AND(#REF!,"Co/2ICv9QJ8=")</f>
        <v>#REF!</v>
      </c>
      <c r="FE134" t="e">
        <f>AND(#REF!,"Co/2ICv9QKA=")</f>
        <v>#REF!</v>
      </c>
      <c r="FF134" t="e">
        <f>AND(#REF!,"Co/2ICv9QKE=")</f>
        <v>#REF!</v>
      </c>
      <c r="FG134" t="e">
        <f>AND(#REF!,"Co/2ICv9QKI=")</f>
        <v>#REF!</v>
      </c>
      <c r="FH134" t="e">
        <f>IF(#REF!,"Co/2ICv9QKM=",0)</f>
        <v>#REF!</v>
      </c>
      <c r="FI134" t="e">
        <f>AND(#REF!,"Co/2ICv9QKQ=")</f>
        <v>#REF!</v>
      </c>
      <c r="FJ134" t="e">
        <f>AND(#REF!,"Co/2ICv9QKU=")</f>
        <v>#REF!</v>
      </c>
      <c r="FK134" t="e">
        <f>AND(#REF!,"Co/2ICv9QKY=")</f>
        <v>#REF!</v>
      </c>
      <c r="FL134" t="e">
        <f>AND(#REF!,"Co/2ICv9QKc=")</f>
        <v>#REF!</v>
      </c>
      <c r="FM134" t="e">
        <f>AND(#REF!,"Co/2ICv9QKg=")</f>
        <v>#REF!</v>
      </c>
      <c r="FN134" t="e">
        <f>AND(#REF!,"Co/2ICv9QKk=")</f>
        <v>#REF!</v>
      </c>
      <c r="FO134" t="e">
        <f>AND(#REF!,"Co/2ICv9QKo=")</f>
        <v>#REF!</v>
      </c>
      <c r="FP134" t="e">
        <f>AND(#REF!,"Co/2ICv9QKs=")</f>
        <v>#REF!</v>
      </c>
      <c r="FQ134" t="e">
        <f>AND(#REF!,"Co/2ICv9QKw=")</f>
        <v>#REF!</v>
      </c>
      <c r="FR134" t="e">
        <f>AND(#REF!,"Co/2ICv9QK0=")</f>
        <v>#REF!</v>
      </c>
      <c r="FS134" t="e">
        <f>AND(#REF!,"Co/2ICv9QK4=")</f>
        <v>#REF!</v>
      </c>
      <c r="FT134" t="e">
        <f>AND(#REF!,"Co/2ICv9QK8=")</f>
        <v>#REF!</v>
      </c>
      <c r="FU134" t="e">
        <f>AND(#REF!,"Co/2ICv9QLA=")</f>
        <v>#REF!</v>
      </c>
      <c r="FV134" t="e">
        <f>AND(#REF!,"Co/2ICv9QLE=")</f>
        <v>#REF!</v>
      </c>
      <c r="FW134" t="e">
        <f>AND(#REF!,"Co/2ICv9QLI=")</f>
        <v>#REF!</v>
      </c>
      <c r="FX134" t="e">
        <f>AND(#REF!,"Co/2ICv9QLM=")</f>
        <v>#REF!</v>
      </c>
      <c r="FY134" t="e">
        <f>IF(#REF!,"Co/2ICv9QLQ=",0)</f>
        <v>#REF!</v>
      </c>
      <c r="FZ134" t="e">
        <f>AND(#REF!,"Co/2ICv9QLU=")</f>
        <v>#REF!</v>
      </c>
      <c r="GA134" t="e">
        <f>AND(#REF!,"Co/2ICv9QLY=")</f>
        <v>#REF!</v>
      </c>
      <c r="GB134" t="e">
        <f>AND(#REF!,"Co/2ICv9QLc=")</f>
        <v>#REF!</v>
      </c>
      <c r="GC134" t="e">
        <f>AND(#REF!,"Co/2ICv9QLg=")</f>
        <v>#REF!</v>
      </c>
      <c r="GD134" t="e">
        <f>AND(#REF!,"Co/2ICv9QLk=")</f>
        <v>#REF!</v>
      </c>
      <c r="GE134" t="e">
        <f>AND(#REF!,"Co/2ICv9QLo=")</f>
        <v>#REF!</v>
      </c>
      <c r="GF134" t="e">
        <f>AND(#REF!,"Co/2ICv9QLs=")</f>
        <v>#REF!</v>
      </c>
      <c r="GG134" t="e">
        <f>AND(#REF!,"Co/2ICv9QLw=")</f>
        <v>#REF!</v>
      </c>
      <c r="GH134" t="e">
        <f>AND(#REF!,"Co/2ICv9QL0=")</f>
        <v>#REF!</v>
      </c>
      <c r="GI134" t="e">
        <f>AND(#REF!,"Co/2ICv9QL4=")</f>
        <v>#REF!</v>
      </c>
      <c r="GJ134" t="e">
        <f>AND(#REF!,"Co/2ICv9QL8=")</f>
        <v>#REF!</v>
      </c>
      <c r="GK134" t="e">
        <f>AND(#REF!,"Co/2ICv9QMA=")</f>
        <v>#REF!</v>
      </c>
      <c r="GL134" t="e">
        <f>AND(#REF!,"Co/2ICv9QME=")</f>
        <v>#REF!</v>
      </c>
      <c r="GM134" t="e">
        <f>AND(#REF!,"Co/2ICv9QMI=")</f>
        <v>#REF!</v>
      </c>
      <c r="GN134" t="e">
        <f>AND(#REF!,"Co/2ICv9QMM=")</f>
        <v>#REF!</v>
      </c>
      <c r="GO134" t="e">
        <f>AND(#REF!,"Co/2ICv9QMQ=")</f>
        <v>#REF!</v>
      </c>
      <c r="GP134" t="e">
        <f>IF(#REF!,"Co/2ICv9QMU=",0)</f>
        <v>#REF!</v>
      </c>
      <c r="GQ134" t="e">
        <f>AND(#REF!,"Co/2ICv9QMY=")</f>
        <v>#REF!</v>
      </c>
      <c r="GR134" t="e">
        <f>AND(#REF!,"Co/2ICv9QMc=")</f>
        <v>#REF!</v>
      </c>
      <c r="GS134" t="e">
        <f>AND(#REF!,"Co/2ICv9QMg=")</f>
        <v>#REF!</v>
      </c>
      <c r="GT134" t="e">
        <f>AND(#REF!,"Co/2ICv9QMk=")</f>
        <v>#REF!</v>
      </c>
      <c r="GU134" t="e">
        <f>AND(#REF!,"Co/2ICv9QMo=")</f>
        <v>#REF!</v>
      </c>
      <c r="GV134" t="e">
        <f>AND(#REF!,"Co/2ICv9QMs=")</f>
        <v>#REF!</v>
      </c>
      <c r="GW134" t="e">
        <f>AND(#REF!,"Co/2ICv9QMw=")</f>
        <v>#REF!</v>
      </c>
      <c r="GX134" t="e">
        <f>AND(#REF!,"Co/2ICv9QM0=")</f>
        <v>#REF!</v>
      </c>
      <c r="GY134" t="e">
        <f>AND(#REF!,"Co/2ICv9QM4=")</f>
        <v>#REF!</v>
      </c>
      <c r="GZ134" t="e">
        <f>AND(#REF!,"Co/2ICv9QM8=")</f>
        <v>#REF!</v>
      </c>
      <c r="HA134" t="e">
        <f>AND(#REF!,"Co/2ICv9QNA=")</f>
        <v>#REF!</v>
      </c>
      <c r="HB134" t="e">
        <f>AND(#REF!,"Co/2ICv9QNE=")</f>
        <v>#REF!</v>
      </c>
      <c r="HC134" t="e">
        <f>AND(#REF!,"Co/2ICv9QNI=")</f>
        <v>#REF!</v>
      </c>
      <c r="HD134" t="e">
        <f>AND(#REF!,"Co/2ICv9QNM=")</f>
        <v>#REF!</v>
      </c>
      <c r="HE134" t="e">
        <f>AND(#REF!,"Co/2ICv9QNQ=")</f>
        <v>#REF!</v>
      </c>
      <c r="HF134" t="e">
        <f>AND(#REF!,"Co/2ICv9QNU=")</f>
        <v>#REF!</v>
      </c>
      <c r="HG134" t="e">
        <f>IF(#REF!,"Co/2ICv9QNY=",0)</f>
        <v>#REF!</v>
      </c>
      <c r="HH134" t="e">
        <f>AND(#REF!,"Co/2ICv9QNc=")</f>
        <v>#REF!</v>
      </c>
      <c r="HI134" t="e">
        <f>AND(#REF!,"Co/2ICv9QNg=")</f>
        <v>#REF!</v>
      </c>
      <c r="HJ134" t="e">
        <f>AND(#REF!,"Co/2ICv9QNk=")</f>
        <v>#REF!</v>
      </c>
      <c r="HK134" t="e">
        <f>AND(#REF!,"Co/2ICv9QNo=")</f>
        <v>#REF!</v>
      </c>
      <c r="HL134" t="e">
        <f>AND(#REF!,"Co/2ICv9QNs=")</f>
        <v>#REF!</v>
      </c>
      <c r="HM134" t="e">
        <f>AND(#REF!,"Co/2ICv9QNw=")</f>
        <v>#REF!</v>
      </c>
      <c r="HN134" t="e">
        <f>AND(#REF!,"Co/2ICv9QN0=")</f>
        <v>#REF!</v>
      </c>
      <c r="HO134" t="e">
        <f>AND(#REF!,"Co/2ICv9QN4=")</f>
        <v>#REF!</v>
      </c>
      <c r="HP134" t="e">
        <f>AND(#REF!,"Co/2ICv9QN8=")</f>
        <v>#REF!</v>
      </c>
      <c r="HQ134" t="e">
        <f>AND(#REF!,"Co/2ICv9QOA=")</f>
        <v>#REF!</v>
      </c>
      <c r="HR134" t="e">
        <f>AND(#REF!,"Co/2ICv9QOE=")</f>
        <v>#REF!</v>
      </c>
      <c r="HS134" t="e">
        <f>AND(#REF!,"Co/2ICv9QOI=")</f>
        <v>#REF!</v>
      </c>
      <c r="HT134" t="e">
        <f>AND(#REF!,"Co/2ICv9QOM=")</f>
        <v>#REF!</v>
      </c>
      <c r="HU134" t="e">
        <f>AND(#REF!,"Co/2ICv9QOQ=")</f>
        <v>#REF!</v>
      </c>
      <c r="HV134" t="e">
        <f>AND(#REF!,"Co/2ICv9QOU=")</f>
        <v>#REF!</v>
      </c>
      <c r="HW134" t="e">
        <f>AND(#REF!,"Co/2ICv9QOY=")</f>
        <v>#REF!</v>
      </c>
      <c r="HX134" t="e">
        <f>IF(#REF!,"Co/2ICv9QOc=",0)</f>
        <v>#REF!</v>
      </c>
      <c r="HY134" t="e">
        <f>AND(#REF!,"Co/2ICv9QOg=")</f>
        <v>#REF!</v>
      </c>
      <c r="HZ134" t="e">
        <f>AND(#REF!,"Co/2ICv9QOk=")</f>
        <v>#REF!</v>
      </c>
      <c r="IA134" t="e">
        <f>AND(#REF!,"Co/2ICv9QOo=")</f>
        <v>#REF!</v>
      </c>
      <c r="IB134" t="e">
        <f>AND(#REF!,"Co/2ICv9QOs=")</f>
        <v>#REF!</v>
      </c>
      <c r="IC134" t="e">
        <f>AND(#REF!,"Co/2ICv9QOw=")</f>
        <v>#REF!</v>
      </c>
      <c r="ID134" t="e">
        <f>AND(#REF!,"Co/2ICv9QO0=")</f>
        <v>#REF!</v>
      </c>
      <c r="IE134" t="e">
        <f>AND(#REF!,"Co/2ICv9QO4=")</f>
        <v>#REF!</v>
      </c>
      <c r="IF134" t="e">
        <f>AND(#REF!,"Co/2ICv9QO8=")</f>
        <v>#REF!</v>
      </c>
      <c r="IG134" t="e">
        <f>AND(#REF!,"Co/2ICv9QPA=")</f>
        <v>#REF!</v>
      </c>
      <c r="IH134" t="e">
        <f>AND(#REF!,"Co/2ICv9QPE=")</f>
        <v>#REF!</v>
      </c>
      <c r="II134" t="e">
        <f>AND(#REF!,"Co/2ICv9QPI=")</f>
        <v>#REF!</v>
      </c>
      <c r="IJ134" t="e">
        <f>AND(#REF!,"Co/2ICv9QPM=")</f>
        <v>#REF!</v>
      </c>
      <c r="IK134" t="e">
        <f>AND(#REF!,"Co/2ICv9QPQ=")</f>
        <v>#REF!</v>
      </c>
      <c r="IL134" t="e">
        <f>AND(#REF!,"Co/2ICv9QPU=")</f>
        <v>#REF!</v>
      </c>
      <c r="IM134" t="e">
        <f>AND(#REF!,"Co/2ICv9QPY=")</f>
        <v>#REF!</v>
      </c>
      <c r="IN134" t="e">
        <f>AND(#REF!,"Co/2ICv9QPc=")</f>
        <v>#REF!</v>
      </c>
      <c r="IO134" t="e">
        <f>IF(#REF!,"Co/2ICv9QPg=",0)</f>
        <v>#REF!</v>
      </c>
      <c r="IP134" t="e">
        <f>AND(#REF!,"Co/2ICv9QPk=")</f>
        <v>#REF!</v>
      </c>
      <c r="IQ134" t="e">
        <f>AND(#REF!,"Co/2ICv9QPo=")</f>
        <v>#REF!</v>
      </c>
      <c r="IR134" t="e">
        <f>AND(#REF!,"Co/2ICv9QPs=")</f>
        <v>#REF!</v>
      </c>
      <c r="IS134" t="e">
        <f>AND(#REF!,"Co/2ICv9QPw=")</f>
        <v>#REF!</v>
      </c>
      <c r="IT134" t="e">
        <f>AND(#REF!,"Co/2ICv9QP0=")</f>
        <v>#REF!</v>
      </c>
      <c r="IU134" t="e">
        <f>AND(#REF!,"Co/2ICv9QP4=")</f>
        <v>#REF!</v>
      </c>
      <c r="IV134" t="e">
        <f>AND(#REF!,"Co/2ICv9QP8=")</f>
        <v>#REF!</v>
      </c>
    </row>
    <row r="135" spans="1:256" x14ac:dyDescent="0.2">
      <c r="A135" t="e">
        <f>AND(#REF!,"ShRmMT2ytAA=")</f>
        <v>#REF!</v>
      </c>
      <c r="B135" t="e">
        <f>AND(#REF!,"ShRmMT2ytAE=")</f>
        <v>#REF!</v>
      </c>
      <c r="C135" t="e">
        <f>AND(#REF!,"ShRmMT2ytAI=")</f>
        <v>#REF!</v>
      </c>
      <c r="D135" t="e">
        <f>AND(#REF!,"ShRmMT2ytAM=")</f>
        <v>#REF!</v>
      </c>
      <c r="E135" t="e">
        <f>AND(#REF!,"ShRmMT2ytAQ=")</f>
        <v>#REF!</v>
      </c>
      <c r="F135" t="e">
        <f>AND(#REF!,"ShRmMT2ytAU=")</f>
        <v>#REF!</v>
      </c>
      <c r="G135" t="e">
        <f>AND(#REF!,"ShRmMT2ytAY=")</f>
        <v>#REF!</v>
      </c>
      <c r="H135" t="e">
        <f>AND(#REF!,"ShRmMT2ytAc=")</f>
        <v>#REF!</v>
      </c>
      <c r="I135" t="e">
        <f>AND(#REF!,"ShRmMT2ytAg=")</f>
        <v>#REF!</v>
      </c>
      <c r="J135" t="e">
        <f>IF(#REF!,"ShRmMT2ytAk=",0)</f>
        <v>#REF!</v>
      </c>
      <c r="K135" t="e">
        <f>AND(#REF!,"ShRmMT2ytAo=")</f>
        <v>#REF!</v>
      </c>
      <c r="L135" t="e">
        <f>AND(#REF!,"ShRmMT2ytAs=")</f>
        <v>#REF!</v>
      </c>
      <c r="M135" t="e">
        <f>AND(#REF!,"ShRmMT2ytAw=")</f>
        <v>#REF!</v>
      </c>
      <c r="N135" t="e">
        <f>AND(#REF!,"ShRmMT2ytA0=")</f>
        <v>#REF!</v>
      </c>
      <c r="O135" t="e">
        <f>AND(#REF!,"ShRmMT2ytA4=")</f>
        <v>#REF!</v>
      </c>
      <c r="P135" t="e">
        <f>AND(#REF!,"ShRmMT2ytA8=")</f>
        <v>#REF!</v>
      </c>
      <c r="Q135" t="e">
        <f>AND(#REF!,"ShRmMT2ytBA=")</f>
        <v>#REF!</v>
      </c>
      <c r="R135" t="e">
        <f>AND(#REF!,"ShRmMT2ytBE=")</f>
        <v>#REF!</v>
      </c>
      <c r="S135" t="e">
        <f>AND(#REF!,"ShRmMT2ytBI=")</f>
        <v>#REF!</v>
      </c>
      <c r="T135" t="e">
        <f>AND(#REF!,"ShRmMT2ytBM=")</f>
        <v>#REF!</v>
      </c>
      <c r="U135" t="e">
        <f>AND(#REF!,"ShRmMT2ytBQ=")</f>
        <v>#REF!</v>
      </c>
      <c r="V135" t="e">
        <f>AND(#REF!,"ShRmMT2ytBU=")</f>
        <v>#REF!</v>
      </c>
      <c r="W135" t="e">
        <f>AND(#REF!,"ShRmMT2ytBY=")</f>
        <v>#REF!</v>
      </c>
      <c r="X135" t="e">
        <f>AND(#REF!,"ShRmMT2ytBc=")</f>
        <v>#REF!</v>
      </c>
      <c r="Y135" t="e">
        <f>AND(#REF!,"ShRmMT2ytBg=")</f>
        <v>#REF!</v>
      </c>
      <c r="Z135" t="e">
        <f>AND(#REF!,"ShRmMT2ytBk=")</f>
        <v>#REF!</v>
      </c>
      <c r="AA135" t="e">
        <f>IF(#REF!,"ShRmMT2ytBo=",0)</f>
        <v>#REF!</v>
      </c>
      <c r="AB135" t="e">
        <f>AND(#REF!,"ShRmMT2ytBs=")</f>
        <v>#REF!</v>
      </c>
      <c r="AC135" t="e">
        <f>AND(#REF!,"ShRmMT2ytBw=")</f>
        <v>#REF!</v>
      </c>
      <c r="AD135" t="e">
        <f>AND(#REF!,"ShRmMT2ytB0=")</f>
        <v>#REF!</v>
      </c>
      <c r="AE135" t="e">
        <f>AND(#REF!,"ShRmMT2ytB4=")</f>
        <v>#REF!</v>
      </c>
      <c r="AF135" t="e">
        <f>AND(#REF!,"ShRmMT2ytB8=")</f>
        <v>#REF!</v>
      </c>
      <c r="AG135" t="e">
        <f>AND(#REF!,"ShRmMT2ytCA=")</f>
        <v>#REF!</v>
      </c>
      <c r="AH135" t="e">
        <f>AND(#REF!,"ShRmMT2ytCE=")</f>
        <v>#REF!</v>
      </c>
      <c r="AI135" t="e">
        <f>AND(#REF!,"ShRmMT2ytCI=")</f>
        <v>#REF!</v>
      </c>
      <c r="AJ135" t="e">
        <f>AND(#REF!,"ShRmMT2ytCM=")</f>
        <v>#REF!</v>
      </c>
      <c r="AK135" t="e">
        <f>AND(#REF!,"ShRmMT2ytCQ=")</f>
        <v>#REF!</v>
      </c>
      <c r="AL135" t="e">
        <f>AND(#REF!,"ShRmMT2ytCU=")</f>
        <v>#REF!</v>
      </c>
      <c r="AM135" t="e">
        <f>AND(#REF!,"ShRmMT2ytCY=")</f>
        <v>#REF!</v>
      </c>
      <c r="AN135" t="e">
        <f>AND(#REF!,"ShRmMT2ytCc=")</f>
        <v>#REF!</v>
      </c>
      <c r="AO135" t="e">
        <f>AND(#REF!,"ShRmMT2ytCg=")</f>
        <v>#REF!</v>
      </c>
      <c r="AP135" t="e">
        <f>AND(#REF!,"ShRmMT2ytCk=")</f>
        <v>#REF!</v>
      </c>
      <c r="AQ135" t="e">
        <f>AND(#REF!,"ShRmMT2ytCo=")</f>
        <v>#REF!</v>
      </c>
      <c r="AR135" t="e">
        <f>IF(#REF!,"ShRmMT2ytCs=",0)</f>
        <v>#REF!</v>
      </c>
      <c r="AS135" t="e">
        <f>AND(#REF!,"ShRmMT2ytCw=")</f>
        <v>#REF!</v>
      </c>
      <c r="AT135" t="e">
        <f>AND(#REF!,"ShRmMT2ytC0=")</f>
        <v>#REF!</v>
      </c>
      <c r="AU135" t="e">
        <f>AND(#REF!,"ShRmMT2ytC4=")</f>
        <v>#REF!</v>
      </c>
      <c r="AV135" t="e">
        <f>AND(#REF!,"ShRmMT2ytC8=")</f>
        <v>#REF!</v>
      </c>
      <c r="AW135" t="e">
        <f>AND(#REF!,"ShRmMT2ytDA=")</f>
        <v>#REF!</v>
      </c>
      <c r="AX135" t="e">
        <f>AND(#REF!,"ShRmMT2ytDE=")</f>
        <v>#REF!</v>
      </c>
      <c r="AY135" t="e">
        <f>AND(#REF!,"ShRmMT2ytDI=")</f>
        <v>#REF!</v>
      </c>
      <c r="AZ135" t="e">
        <f>AND(#REF!,"ShRmMT2ytDM=")</f>
        <v>#REF!</v>
      </c>
      <c r="BA135" t="e">
        <f>AND(#REF!,"ShRmMT2ytDQ=")</f>
        <v>#REF!</v>
      </c>
      <c r="BB135" t="e">
        <f>AND(#REF!,"ShRmMT2ytDU=")</f>
        <v>#REF!</v>
      </c>
      <c r="BC135" t="e">
        <f>AND(#REF!,"ShRmMT2ytDY=")</f>
        <v>#REF!</v>
      </c>
      <c r="BD135" t="e">
        <f>AND(#REF!,"ShRmMT2ytDc=")</f>
        <v>#REF!</v>
      </c>
      <c r="BE135" t="e">
        <f>AND(#REF!,"ShRmMT2ytDg=")</f>
        <v>#REF!</v>
      </c>
      <c r="BF135" t="e">
        <f>AND(#REF!,"ShRmMT2ytDk=")</f>
        <v>#REF!</v>
      </c>
      <c r="BG135" t="e">
        <f>AND(#REF!,"ShRmMT2ytDo=")</f>
        <v>#REF!</v>
      </c>
      <c r="BH135" t="e">
        <f>AND(#REF!,"ShRmMT2ytDs=")</f>
        <v>#REF!</v>
      </c>
      <c r="BI135" t="e">
        <f>IF(#REF!,"ShRmMT2ytDw=",0)</f>
        <v>#REF!</v>
      </c>
      <c r="BJ135" t="e">
        <f>AND(#REF!,"ShRmMT2ytD0=")</f>
        <v>#REF!</v>
      </c>
      <c r="BK135" t="e">
        <f>AND(#REF!,"ShRmMT2ytD4=")</f>
        <v>#REF!</v>
      </c>
      <c r="BL135" t="e">
        <f>AND(#REF!,"ShRmMT2ytD8=")</f>
        <v>#REF!</v>
      </c>
      <c r="BM135" t="e">
        <f>AND(#REF!,"ShRmMT2ytEA=")</f>
        <v>#REF!</v>
      </c>
      <c r="BN135" t="e">
        <f>AND(#REF!,"ShRmMT2ytEE=")</f>
        <v>#REF!</v>
      </c>
      <c r="BO135" t="e">
        <f>AND(#REF!,"ShRmMT2ytEI=")</f>
        <v>#REF!</v>
      </c>
      <c r="BP135" t="e">
        <f>AND(#REF!,"ShRmMT2ytEM=")</f>
        <v>#REF!</v>
      </c>
      <c r="BQ135" t="e">
        <f>AND(#REF!,"ShRmMT2ytEQ=")</f>
        <v>#REF!</v>
      </c>
      <c r="BR135" t="e">
        <f>AND(#REF!,"ShRmMT2ytEU=")</f>
        <v>#REF!</v>
      </c>
      <c r="BS135" t="e">
        <f>AND(#REF!,"ShRmMT2ytEY=")</f>
        <v>#REF!</v>
      </c>
      <c r="BT135" t="e">
        <f>AND(#REF!,"ShRmMT2ytEc=")</f>
        <v>#REF!</v>
      </c>
      <c r="BU135" t="e">
        <f>AND(#REF!,"ShRmMT2ytEg=")</f>
        <v>#REF!</v>
      </c>
      <c r="BV135" t="e">
        <f>AND(#REF!,"ShRmMT2ytEk=")</f>
        <v>#REF!</v>
      </c>
      <c r="BW135" t="e">
        <f>AND(#REF!,"ShRmMT2ytEo=")</f>
        <v>#REF!</v>
      </c>
      <c r="BX135" t="e">
        <f>AND(#REF!,"ShRmMT2ytEs=")</f>
        <v>#REF!</v>
      </c>
      <c r="BY135" t="e">
        <f>AND(#REF!,"ShRmMT2ytEw=")</f>
        <v>#REF!</v>
      </c>
      <c r="BZ135" t="e">
        <f>IF(#REF!,"ShRmMT2ytE0=",0)</f>
        <v>#REF!</v>
      </c>
      <c r="CA135" t="e">
        <f>AND(#REF!,"ShRmMT2ytE4=")</f>
        <v>#REF!</v>
      </c>
      <c r="CB135" t="e">
        <f>AND(#REF!,"ShRmMT2ytE8=")</f>
        <v>#REF!</v>
      </c>
      <c r="CC135" t="e">
        <f>AND(#REF!,"ShRmMT2ytFA=")</f>
        <v>#REF!</v>
      </c>
      <c r="CD135" t="e">
        <f>AND(#REF!,"ShRmMT2ytFE=")</f>
        <v>#REF!</v>
      </c>
      <c r="CE135" t="e">
        <f>AND(#REF!,"ShRmMT2ytFI=")</f>
        <v>#REF!</v>
      </c>
      <c r="CF135" t="e">
        <f>AND(#REF!,"ShRmMT2ytFM=")</f>
        <v>#REF!</v>
      </c>
      <c r="CG135" t="e">
        <f>AND(#REF!,"ShRmMT2ytFQ=")</f>
        <v>#REF!</v>
      </c>
      <c r="CH135" t="e">
        <f>AND(#REF!,"ShRmMT2ytFU=")</f>
        <v>#REF!</v>
      </c>
      <c r="CI135" t="e">
        <f>AND(#REF!,"ShRmMT2ytFY=")</f>
        <v>#REF!</v>
      </c>
      <c r="CJ135" t="e">
        <f>AND(#REF!,"ShRmMT2ytFc=")</f>
        <v>#REF!</v>
      </c>
      <c r="CK135" t="e">
        <f>AND(#REF!,"ShRmMT2ytFg=")</f>
        <v>#REF!</v>
      </c>
      <c r="CL135" t="e">
        <f>AND(#REF!,"ShRmMT2ytFk=")</f>
        <v>#REF!</v>
      </c>
      <c r="CM135" t="e">
        <f>AND(#REF!,"ShRmMT2ytFo=")</f>
        <v>#REF!</v>
      </c>
      <c r="CN135" t="e">
        <f>AND(#REF!,"ShRmMT2ytFs=")</f>
        <v>#REF!</v>
      </c>
      <c r="CO135" t="e">
        <f>AND(#REF!,"ShRmMT2ytFw=")</f>
        <v>#REF!</v>
      </c>
      <c r="CP135" t="e">
        <f>AND(#REF!,"ShRmMT2ytF0=")</f>
        <v>#REF!</v>
      </c>
      <c r="CQ135" t="e">
        <f>IF(#REF!,"ShRmMT2ytF4=",0)</f>
        <v>#REF!</v>
      </c>
      <c r="CR135" t="e">
        <f>AND(#REF!,"ShRmMT2ytF8=")</f>
        <v>#REF!</v>
      </c>
      <c r="CS135" t="e">
        <f>AND(#REF!,"ShRmMT2ytGA=")</f>
        <v>#REF!</v>
      </c>
      <c r="CT135" t="e">
        <f>AND(#REF!,"ShRmMT2ytGE=")</f>
        <v>#REF!</v>
      </c>
      <c r="CU135" t="e">
        <f>AND(#REF!,"ShRmMT2ytGI=")</f>
        <v>#REF!</v>
      </c>
      <c r="CV135" t="e">
        <f>AND(#REF!,"ShRmMT2ytGM=")</f>
        <v>#REF!</v>
      </c>
      <c r="CW135" t="e">
        <f>AND(#REF!,"ShRmMT2ytGQ=")</f>
        <v>#REF!</v>
      </c>
      <c r="CX135" t="e">
        <f>AND(#REF!,"ShRmMT2ytGU=")</f>
        <v>#REF!</v>
      </c>
      <c r="CY135" t="e">
        <f>AND(#REF!,"ShRmMT2ytGY=")</f>
        <v>#REF!</v>
      </c>
      <c r="CZ135" t="e">
        <f>AND(#REF!,"ShRmMT2ytGc=")</f>
        <v>#REF!</v>
      </c>
      <c r="DA135" t="e">
        <f>AND(#REF!,"ShRmMT2ytGg=")</f>
        <v>#REF!</v>
      </c>
      <c r="DB135" t="e">
        <f>AND(#REF!,"ShRmMT2ytGk=")</f>
        <v>#REF!</v>
      </c>
      <c r="DC135" t="e">
        <f>AND(#REF!,"ShRmMT2ytGo=")</f>
        <v>#REF!</v>
      </c>
      <c r="DD135" t="e">
        <f>AND(#REF!,"ShRmMT2ytGs=")</f>
        <v>#REF!</v>
      </c>
      <c r="DE135" t="e">
        <f>AND(#REF!,"ShRmMT2ytGw=")</f>
        <v>#REF!</v>
      </c>
      <c r="DF135" t="e">
        <f>AND(#REF!,"ShRmMT2ytG0=")</f>
        <v>#REF!</v>
      </c>
      <c r="DG135" t="e">
        <f>AND(#REF!,"ShRmMT2ytG4=")</f>
        <v>#REF!</v>
      </c>
      <c r="DH135" t="e">
        <f>IF(#REF!,"ShRmMT2ytG8=",0)</f>
        <v>#REF!</v>
      </c>
      <c r="DI135" t="e">
        <f>AND(#REF!,"ShRmMT2ytHA=")</f>
        <v>#REF!</v>
      </c>
      <c r="DJ135" t="e">
        <f>AND(#REF!,"ShRmMT2ytHE=")</f>
        <v>#REF!</v>
      </c>
      <c r="DK135" t="e">
        <f>AND(#REF!,"ShRmMT2ytHI=")</f>
        <v>#REF!</v>
      </c>
      <c r="DL135" t="e">
        <f>AND(#REF!,"ShRmMT2ytHM=")</f>
        <v>#REF!</v>
      </c>
      <c r="DM135" t="e">
        <f>AND(#REF!,"ShRmMT2ytHQ=")</f>
        <v>#REF!</v>
      </c>
      <c r="DN135" t="e">
        <f>AND(#REF!,"ShRmMT2ytHU=")</f>
        <v>#REF!</v>
      </c>
      <c r="DO135" t="e">
        <f>AND(#REF!,"ShRmMT2ytHY=")</f>
        <v>#REF!</v>
      </c>
      <c r="DP135" t="e">
        <f>AND(#REF!,"ShRmMT2ytHc=")</f>
        <v>#REF!</v>
      </c>
      <c r="DQ135" t="e">
        <f>AND(#REF!,"ShRmMT2ytHg=")</f>
        <v>#REF!</v>
      </c>
      <c r="DR135" t="e">
        <f>AND(#REF!,"ShRmMT2ytHk=")</f>
        <v>#REF!</v>
      </c>
      <c r="DS135" t="e">
        <f>AND(#REF!,"ShRmMT2ytHo=")</f>
        <v>#REF!</v>
      </c>
      <c r="DT135" t="e">
        <f>AND(#REF!,"ShRmMT2ytHs=")</f>
        <v>#REF!</v>
      </c>
      <c r="DU135" t="e">
        <f>AND(#REF!,"ShRmMT2ytHw=")</f>
        <v>#REF!</v>
      </c>
      <c r="DV135" t="e">
        <f>AND(#REF!,"ShRmMT2ytH0=")</f>
        <v>#REF!</v>
      </c>
      <c r="DW135" t="e">
        <f>AND(#REF!,"ShRmMT2ytH4=")</f>
        <v>#REF!</v>
      </c>
      <c r="DX135" t="e">
        <f>AND(#REF!,"ShRmMT2ytH8=")</f>
        <v>#REF!</v>
      </c>
      <c r="DY135" t="e">
        <f>IF(#REF!,"ShRmMT2ytIA=",0)</f>
        <v>#REF!</v>
      </c>
      <c r="DZ135" t="e">
        <f>AND(#REF!,"ShRmMT2ytIE=")</f>
        <v>#REF!</v>
      </c>
      <c r="EA135" t="e">
        <f>AND(#REF!,"ShRmMT2ytII=")</f>
        <v>#REF!</v>
      </c>
      <c r="EB135" t="e">
        <f>AND(#REF!,"ShRmMT2ytIM=")</f>
        <v>#REF!</v>
      </c>
      <c r="EC135" t="e">
        <f>AND(#REF!,"ShRmMT2ytIQ=")</f>
        <v>#REF!</v>
      </c>
      <c r="ED135" t="e">
        <f>AND(#REF!,"ShRmMT2ytIU=")</f>
        <v>#REF!</v>
      </c>
      <c r="EE135" t="e">
        <f>AND(#REF!,"ShRmMT2ytIY=")</f>
        <v>#REF!</v>
      </c>
      <c r="EF135" t="e">
        <f>AND(#REF!,"ShRmMT2ytIc=")</f>
        <v>#REF!</v>
      </c>
      <c r="EG135" t="e">
        <f>AND(#REF!,"ShRmMT2ytIg=")</f>
        <v>#REF!</v>
      </c>
      <c r="EH135" t="e">
        <f>AND(#REF!,"ShRmMT2ytIk=")</f>
        <v>#REF!</v>
      </c>
      <c r="EI135" t="e">
        <f>AND(#REF!,"ShRmMT2ytIo=")</f>
        <v>#REF!</v>
      </c>
      <c r="EJ135" t="e">
        <f>AND(#REF!,"ShRmMT2ytIs=")</f>
        <v>#REF!</v>
      </c>
      <c r="EK135" t="e">
        <f>AND(#REF!,"ShRmMT2ytIw=")</f>
        <v>#REF!</v>
      </c>
      <c r="EL135" t="e">
        <f>AND(#REF!,"ShRmMT2ytI0=")</f>
        <v>#REF!</v>
      </c>
      <c r="EM135" t="e">
        <f>AND(#REF!,"ShRmMT2ytI4=")</f>
        <v>#REF!</v>
      </c>
      <c r="EN135" t="e">
        <f>AND(#REF!,"ShRmMT2ytI8=")</f>
        <v>#REF!</v>
      </c>
      <c r="EO135" t="e">
        <f>AND(#REF!,"ShRmMT2ytJA=")</f>
        <v>#REF!</v>
      </c>
      <c r="EP135" t="e">
        <f>IF(#REF!,"ShRmMT2ytJE=",0)</f>
        <v>#REF!</v>
      </c>
      <c r="EQ135" t="e">
        <f>AND(#REF!,"ShRmMT2ytJI=")</f>
        <v>#REF!</v>
      </c>
      <c r="ER135" t="e">
        <f>AND(#REF!,"ShRmMT2ytJM=")</f>
        <v>#REF!</v>
      </c>
      <c r="ES135" t="e">
        <f>AND(#REF!,"ShRmMT2ytJQ=")</f>
        <v>#REF!</v>
      </c>
      <c r="ET135" t="e">
        <f>AND(#REF!,"ShRmMT2ytJU=")</f>
        <v>#REF!</v>
      </c>
      <c r="EU135" t="e">
        <f>AND(#REF!,"ShRmMT2ytJY=")</f>
        <v>#REF!</v>
      </c>
      <c r="EV135" t="e">
        <f>AND(#REF!,"ShRmMT2ytJc=")</f>
        <v>#REF!</v>
      </c>
      <c r="EW135" t="e">
        <f>AND(#REF!,"ShRmMT2ytJg=")</f>
        <v>#REF!</v>
      </c>
      <c r="EX135" t="e">
        <f>AND(#REF!,"ShRmMT2ytJk=")</f>
        <v>#REF!</v>
      </c>
      <c r="EY135" t="e">
        <f>AND(#REF!,"ShRmMT2ytJo=")</f>
        <v>#REF!</v>
      </c>
      <c r="EZ135" t="e">
        <f>AND(#REF!,"ShRmMT2ytJs=")</f>
        <v>#REF!</v>
      </c>
      <c r="FA135" t="e">
        <f>AND(#REF!,"ShRmMT2ytJw=")</f>
        <v>#REF!</v>
      </c>
      <c r="FB135" t="e">
        <f>AND(#REF!,"ShRmMT2ytJ0=")</f>
        <v>#REF!</v>
      </c>
      <c r="FC135" t="e">
        <f>AND(#REF!,"ShRmMT2ytJ4=")</f>
        <v>#REF!</v>
      </c>
      <c r="FD135" t="e">
        <f>AND(#REF!,"ShRmMT2ytJ8=")</f>
        <v>#REF!</v>
      </c>
      <c r="FE135" t="e">
        <f>AND(#REF!,"ShRmMT2ytKA=")</f>
        <v>#REF!</v>
      </c>
      <c r="FF135" t="e">
        <f>AND(#REF!,"ShRmMT2ytKE=")</f>
        <v>#REF!</v>
      </c>
      <c r="FG135" t="e">
        <f>IF(#REF!,"ShRmMT2ytKI=",0)</f>
        <v>#REF!</v>
      </c>
      <c r="FH135" t="e">
        <f>AND(#REF!,"ShRmMT2ytKM=")</f>
        <v>#REF!</v>
      </c>
      <c r="FI135" t="e">
        <f>AND(#REF!,"ShRmMT2ytKQ=")</f>
        <v>#REF!</v>
      </c>
      <c r="FJ135" t="e">
        <f>AND(#REF!,"ShRmMT2ytKU=")</f>
        <v>#REF!</v>
      </c>
      <c r="FK135" t="e">
        <f>AND(#REF!,"ShRmMT2ytKY=")</f>
        <v>#REF!</v>
      </c>
      <c r="FL135" t="e">
        <f>AND(#REF!,"ShRmMT2ytKc=")</f>
        <v>#REF!</v>
      </c>
      <c r="FM135" t="e">
        <f>AND(#REF!,"ShRmMT2ytKg=")</f>
        <v>#REF!</v>
      </c>
      <c r="FN135" t="e">
        <f>AND(#REF!,"ShRmMT2ytKk=")</f>
        <v>#REF!</v>
      </c>
      <c r="FO135" t="e">
        <f>AND(#REF!,"ShRmMT2ytKo=")</f>
        <v>#REF!</v>
      </c>
      <c r="FP135" t="e">
        <f>AND(#REF!,"ShRmMT2ytKs=")</f>
        <v>#REF!</v>
      </c>
      <c r="FQ135" t="e">
        <f>AND(#REF!,"ShRmMT2ytKw=")</f>
        <v>#REF!</v>
      </c>
      <c r="FR135" t="e">
        <f>AND(#REF!,"ShRmMT2ytK0=")</f>
        <v>#REF!</v>
      </c>
      <c r="FS135" t="e">
        <f>AND(#REF!,"ShRmMT2ytK4=")</f>
        <v>#REF!</v>
      </c>
      <c r="FT135" t="e">
        <f>AND(#REF!,"ShRmMT2ytK8=")</f>
        <v>#REF!</v>
      </c>
      <c r="FU135" t="e">
        <f>AND(#REF!,"ShRmMT2ytLA=")</f>
        <v>#REF!</v>
      </c>
      <c r="FV135" t="e">
        <f>AND(#REF!,"ShRmMT2ytLE=")</f>
        <v>#REF!</v>
      </c>
      <c r="FW135" t="e">
        <f>AND(#REF!,"ShRmMT2ytLI=")</f>
        <v>#REF!</v>
      </c>
      <c r="FX135" t="e">
        <f>IF(#REF!,"ShRmMT2ytLM=",0)</f>
        <v>#REF!</v>
      </c>
      <c r="FY135" t="e">
        <f>AND(#REF!,"ShRmMT2ytLQ=")</f>
        <v>#REF!</v>
      </c>
      <c r="FZ135" t="e">
        <f>AND(#REF!,"ShRmMT2ytLU=")</f>
        <v>#REF!</v>
      </c>
      <c r="GA135" t="e">
        <f>AND(#REF!,"ShRmMT2ytLY=")</f>
        <v>#REF!</v>
      </c>
      <c r="GB135" t="e">
        <f>AND(#REF!,"ShRmMT2ytLc=")</f>
        <v>#REF!</v>
      </c>
      <c r="GC135" t="e">
        <f>AND(#REF!,"ShRmMT2ytLg=")</f>
        <v>#REF!</v>
      </c>
      <c r="GD135" t="e">
        <f>AND(#REF!,"ShRmMT2ytLk=")</f>
        <v>#REF!</v>
      </c>
      <c r="GE135" t="e">
        <f>AND(#REF!,"ShRmMT2ytLo=")</f>
        <v>#REF!</v>
      </c>
      <c r="GF135" t="e">
        <f>AND(#REF!,"ShRmMT2ytLs=")</f>
        <v>#REF!</v>
      </c>
      <c r="GG135" t="e">
        <f>AND(#REF!,"ShRmMT2ytLw=")</f>
        <v>#REF!</v>
      </c>
      <c r="GH135" t="e">
        <f>AND(#REF!,"ShRmMT2ytL0=")</f>
        <v>#REF!</v>
      </c>
      <c r="GI135" t="e">
        <f>AND(#REF!,"ShRmMT2ytL4=")</f>
        <v>#REF!</v>
      </c>
      <c r="GJ135" t="e">
        <f>AND(#REF!,"ShRmMT2ytL8=")</f>
        <v>#REF!</v>
      </c>
      <c r="GK135" t="e">
        <f>AND(#REF!,"ShRmMT2ytMA=")</f>
        <v>#REF!</v>
      </c>
      <c r="GL135" t="e">
        <f>AND(#REF!,"ShRmMT2ytME=")</f>
        <v>#REF!</v>
      </c>
      <c r="GM135" t="e">
        <f>AND(#REF!,"ShRmMT2ytMI=")</f>
        <v>#REF!</v>
      </c>
      <c r="GN135" t="e">
        <f>AND(#REF!,"ShRmMT2ytMM=")</f>
        <v>#REF!</v>
      </c>
      <c r="GO135" t="e">
        <f>IF(#REF!,"ShRmMT2ytMQ=",0)</f>
        <v>#REF!</v>
      </c>
      <c r="GP135" t="e">
        <f>AND(#REF!,"ShRmMT2ytMU=")</f>
        <v>#REF!</v>
      </c>
      <c r="GQ135" t="e">
        <f>AND(#REF!,"ShRmMT2ytMY=")</f>
        <v>#REF!</v>
      </c>
      <c r="GR135" t="e">
        <f>AND(#REF!,"ShRmMT2ytMc=")</f>
        <v>#REF!</v>
      </c>
      <c r="GS135" t="e">
        <f>AND(#REF!,"ShRmMT2ytMg=")</f>
        <v>#REF!</v>
      </c>
      <c r="GT135" t="e">
        <f>AND(#REF!,"ShRmMT2ytMk=")</f>
        <v>#REF!</v>
      </c>
      <c r="GU135" t="e">
        <f>AND(#REF!,"ShRmMT2ytMo=")</f>
        <v>#REF!</v>
      </c>
      <c r="GV135" t="e">
        <f>AND(#REF!,"ShRmMT2ytMs=")</f>
        <v>#REF!</v>
      </c>
      <c r="GW135" t="e">
        <f>AND(#REF!,"ShRmMT2ytMw=")</f>
        <v>#REF!</v>
      </c>
      <c r="GX135" t="e">
        <f>AND(#REF!,"ShRmMT2ytM0=")</f>
        <v>#REF!</v>
      </c>
      <c r="GY135" t="e">
        <f>AND(#REF!,"ShRmMT2ytM4=")</f>
        <v>#REF!</v>
      </c>
      <c r="GZ135" t="e">
        <f>AND(#REF!,"ShRmMT2ytM8=")</f>
        <v>#REF!</v>
      </c>
      <c r="HA135" t="e">
        <f>AND(#REF!,"ShRmMT2ytNA=")</f>
        <v>#REF!</v>
      </c>
      <c r="HB135" t="e">
        <f>AND(#REF!,"ShRmMT2ytNE=")</f>
        <v>#REF!</v>
      </c>
      <c r="HC135" t="e">
        <f>AND(#REF!,"ShRmMT2ytNI=")</f>
        <v>#REF!</v>
      </c>
      <c r="HD135" t="e">
        <f>AND(#REF!,"ShRmMT2ytNM=")</f>
        <v>#REF!</v>
      </c>
      <c r="HE135" t="e">
        <f>AND(#REF!,"ShRmMT2ytNQ=")</f>
        <v>#REF!</v>
      </c>
      <c r="HF135" t="e">
        <f>IF(#REF!,"ShRmMT2ytNU=",0)</f>
        <v>#REF!</v>
      </c>
      <c r="HG135" t="e">
        <f>AND(#REF!,"ShRmMT2ytNY=")</f>
        <v>#REF!</v>
      </c>
      <c r="HH135" t="e">
        <f>AND(#REF!,"ShRmMT2ytNc=")</f>
        <v>#REF!</v>
      </c>
      <c r="HI135" t="e">
        <f>AND(#REF!,"ShRmMT2ytNg=")</f>
        <v>#REF!</v>
      </c>
      <c r="HJ135" t="e">
        <f>AND(#REF!,"ShRmMT2ytNk=")</f>
        <v>#REF!</v>
      </c>
      <c r="HK135" t="e">
        <f>AND(#REF!,"ShRmMT2ytNo=")</f>
        <v>#REF!</v>
      </c>
      <c r="HL135" t="e">
        <f>AND(#REF!,"ShRmMT2ytNs=")</f>
        <v>#REF!</v>
      </c>
      <c r="HM135" t="e">
        <f>AND(#REF!,"ShRmMT2ytNw=")</f>
        <v>#REF!</v>
      </c>
      <c r="HN135" t="e">
        <f>AND(#REF!,"ShRmMT2ytN0=")</f>
        <v>#REF!</v>
      </c>
      <c r="HO135" t="e">
        <f>AND(#REF!,"ShRmMT2ytN4=")</f>
        <v>#REF!</v>
      </c>
      <c r="HP135" t="e">
        <f>AND(#REF!,"ShRmMT2ytN8=")</f>
        <v>#REF!</v>
      </c>
      <c r="HQ135" t="e">
        <f>AND(#REF!,"ShRmMT2ytOA=")</f>
        <v>#REF!</v>
      </c>
      <c r="HR135" t="e">
        <f>AND(#REF!,"ShRmMT2ytOE=")</f>
        <v>#REF!</v>
      </c>
      <c r="HS135" t="e">
        <f>AND(#REF!,"ShRmMT2ytOI=")</f>
        <v>#REF!</v>
      </c>
      <c r="HT135" t="e">
        <f>AND(#REF!,"ShRmMT2ytOM=")</f>
        <v>#REF!</v>
      </c>
      <c r="HU135" t="e">
        <f>AND(#REF!,"ShRmMT2ytOQ=")</f>
        <v>#REF!</v>
      </c>
      <c r="HV135" t="e">
        <f>AND(#REF!,"ShRmMT2ytOU=")</f>
        <v>#REF!</v>
      </c>
      <c r="HW135" t="e">
        <f>IF(#REF!,"ShRmMT2ytOY=",0)</f>
        <v>#REF!</v>
      </c>
      <c r="HX135" t="e">
        <f>AND(#REF!,"ShRmMT2ytOc=")</f>
        <v>#REF!</v>
      </c>
      <c r="HY135" t="e">
        <f>AND(#REF!,"ShRmMT2ytOg=")</f>
        <v>#REF!</v>
      </c>
      <c r="HZ135" t="e">
        <f>AND(#REF!,"ShRmMT2ytOk=")</f>
        <v>#REF!</v>
      </c>
      <c r="IA135" t="e">
        <f>AND(#REF!,"ShRmMT2ytOo=")</f>
        <v>#REF!</v>
      </c>
      <c r="IB135" t="e">
        <f>AND(#REF!,"ShRmMT2ytOs=")</f>
        <v>#REF!</v>
      </c>
      <c r="IC135" t="e">
        <f>AND(#REF!,"ShRmMT2ytOw=")</f>
        <v>#REF!</v>
      </c>
      <c r="ID135" t="e">
        <f>AND(#REF!,"ShRmMT2ytO0=")</f>
        <v>#REF!</v>
      </c>
      <c r="IE135" t="e">
        <f>AND(#REF!,"ShRmMT2ytO4=")</f>
        <v>#REF!</v>
      </c>
      <c r="IF135" t="e">
        <f>AND(#REF!,"ShRmMT2ytO8=")</f>
        <v>#REF!</v>
      </c>
      <c r="IG135" t="e">
        <f>AND(#REF!,"ShRmMT2ytPA=")</f>
        <v>#REF!</v>
      </c>
      <c r="IH135" t="e">
        <f>AND(#REF!,"ShRmMT2ytPE=")</f>
        <v>#REF!</v>
      </c>
      <c r="II135" t="e">
        <f>AND(#REF!,"ShRmMT2ytPI=")</f>
        <v>#REF!</v>
      </c>
      <c r="IJ135" t="e">
        <f>AND(#REF!,"ShRmMT2ytPM=")</f>
        <v>#REF!</v>
      </c>
      <c r="IK135" t="e">
        <f>AND(#REF!,"ShRmMT2ytPQ=")</f>
        <v>#REF!</v>
      </c>
      <c r="IL135" t="e">
        <f>AND(#REF!,"ShRmMT2ytPU=")</f>
        <v>#REF!</v>
      </c>
      <c r="IM135" t="e">
        <f>AND(#REF!,"ShRmMT2ytPY=")</f>
        <v>#REF!</v>
      </c>
      <c r="IN135" t="e">
        <f>IF(#REF!,"ShRmMT2ytPc=",0)</f>
        <v>#REF!</v>
      </c>
      <c r="IO135" t="e">
        <f>AND(#REF!,"ShRmMT2ytPg=")</f>
        <v>#REF!</v>
      </c>
      <c r="IP135" t="e">
        <f>AND(#REF!,"ShRmMT2ytPk=")</f>
        <v>#REF!</v>
      </c>
      <c r="IQ135" t="e">
        <f>AND(#REF!,"ShRmMT2ytPo=")</f>
        <v>#REF!</v>
      </c>
      <c r="IR135" t="e">
        <f>AND(#REF!,"ShRmMT2ytPs=")</f>
        <v>#REF!</v>
      </c>
      <c r="IS135" t="e">
        <f>AND(#REF!,"ShRmMT2ytPw=")</f>
        <v>#REF!</v>
      </c>
      <c r="IT135" t="e">
        <f>AND(#REF!,"ShRmMT2ytP0=")</f>
        <v>#REF!</v>
      </c>
      <c r="IU135" t="e">
        <f>AND(#REF!,"ShRmMT2ytP4=")</f>
        <v>#REF!</v>
      </c>
      <c r="IV135" t="e">
        <f>AND(#REF!,"ShRmMT2ytP8=")</f>
        <v>#REF!</v>
      </c>
    </row>
    <row r="136" spans="1:256" x14ac:dyDescent="0.2">
      <c r="A136" t="e">
        <f>AND(#REF!,"NbReZikcRAA=")</f>
        <v>#REF!</v>
      </c>
      <c r="B136" t="e">
        <f>AND(#REF!,"NbReZikcRAE=")</f>
        <v>#REF!</v>
      </c>
      <c r="C136" t="e">
        <f>AND(#REF!,"NbReZikcRAI=")</f>
        <v>#REF!</v>
      </c>
      <c r="D136" t="e">
        <f>AND(#REF!,"NbReZikcRAM=")</f>
        <v>#REF!</v>
      </c>
      <c r="E136" t="e">
        <f>AND(#REF!,"NbReZikcRAQ=")</f>
        <v>#REF!</v>
      </c>
      <c r="F136" t="e">
        <f>AND(#REF!,"NbReZikcRAU=")</f>
        <v>#REF!</v>
      </c>
      <c r="G136" t="e">
        <f>AND(#REF!,"NbReZikcRAY=")</f>
        <v>#REF!</v>
      </c>
      <c r="H136" t="e">
        <f>AND(#REF!,"NbReZikcRAc=")</f>
        <v>#REF!</v>
      </c>
      <c r="I136" t="e">
        <f>IF(#REF!,"NbReZikcRAg=",0)</f>
        <v>#REF!</v>
      </c>
      <c r="J136" t="e">
        <f>AND(#REF!,"NbReZikcRAk=")</f>
        <v>#REF!</v>
      </c>
      <c r="K136" t="e">
        <f>AND(#REF!,"NbReZikcRAo=")</f>
        <v>#REF!</v>
      </c>
      <c r="L136" t="e">
        <f>AND(#REF!,"NbReZikcRAs=")</f>
        <v>#REF!</v>
      </c>
      <c r="M136" t="e">
        <f>AND(#REF!,"NbReZikcRAw=")</f>
        <v>#REF!</v>
      </c>
      <c r="N136" t="e">
        <f>AND(#REF!,"NbReZikcRA0=")</f>
        <v>#REF!</v>
      </c>
      <c r="O136" t="e">
        <f>AND(#REF!,"NbReZikcRA4=")</f>
        <v>#REF!</v>
      </c>
      <c r="P136" t="e">
        <f>AND(#REF!,"NbReZikcRA8=")</f>
        <v>#REF!</v>
      </c>
      <c r="Q136" t="e">
        <f>AND(#REF!,"NbReZikcRBA=")</f>
        <v>#REF!</v>
      </c>
      <c r="R136" t="e">
        <f>AND(#REF!,"NbReZikcRBE=")</f>
        <v>#REF!</v>
      </c>
      <c r="S136" t="e">
        <f>AND(#REF!,"NbReZikcRBI=")</f>
        <v>#REF!</v>
      </c>
      <c r="T136" t="e">
        <f>AND(#REF!,"NbReZikcRBM=")</f>
        <v>#REF!</v>
      </c>
      <c r="U136" t="e">
        <f>AND(#REF!,"NbReZikcRBQ=")</f>
        <v>#REF!</v>
      </c>
      <c r="V136" t="e">
        <f>AND(#REF!,"NbReZikcRBU=")</f>
        <v>#REF!</v>
      </c>
      <c r="W136" t="e">
        <f>AND(#REF!,"NbReZikcRBY=")</f>
        <v>#REF!</v>
      </c>
      <c r="X136" t="e">
        <f>AND(#REF!,"NbReZikcRBc=")</f>
        <v>#REF!</v>
      </c>
      <c r="Y136" t="e">
        <f>AND(#REF!,"NbReZikcRBg=")</f>
        <v>#REF!</v>
      </c>
      <c r="Z136" t="e">
        <f>IF(#REF!,"NbReZikcRBk=",0)</f>
        <v>#REF!</v>
      </c>
      <c r="AA136" t="e">
        <f>AND(#REF!,"NbReZikcRBo=")</f>
        <v>#REF!</v>
      </c>
      <c r="AB136" t="e">
        <f>AND(#REF!,"NbReZikcRBs=")</f>
        <v>#REF!</v>
      </c>
      <c r="AC136" t="e">
        <f>AND(#REF!,"NbReZikcRBw=")</f>
        <v>#REF!</v>
      </c>
      <c r="AD136" t="e">
        <f>AND(#REF!,"NbReZikcRB0=")</f>
        <v>#REF!</v>
      </c>
      <c r="AE136" t="e">
        <f>AND(#REF!,"NbReZikcRB4=")</f>
        <v>#REF!</v>
      </c>
      <c r="AF136" t="e">
        <f>AND(#REF!,"NbReZikcRB8=")</f>
        <v>#REF!</v>
      </c>
      <c r="AG136" t="e">
        <f>AND(#REF!,"NbReZikcRCA=")</f>
        <v>#REF!</v>
      </c>
      <c r="AH136" t="e">
        <f>AND(#REF!,"NbReZikcRCE=")</f>
        <v>#REF!</v>
      </c>
      <c r="AI136" t="e">
        <f>AND(#REF!,"NbReZikcRCI=")</f>
        <v>#REF!</v>
      </c>
      <c r="AJ136" t="e">
        <f>AND(#REF!,"NbReZikcRCM=")</f>
        <v>#REF!</v>
      </c>
      <c r="AK136" t="e">
        <f>AND(#REF!,"NbReZikcRCQ=")</f>
        <v>#REF!</v>
      </c>
      <c r="AL136" t="e">
        <f>AND(#REF!,"NbReZikcRCU=")</f>
        <v>#REF!</v>
      </c>
      <c r="AM136" t="e">
        <f>AND(#REF!,"NbReZikcRCY=")</f>
        <v>#REF!</v>
      </c>
      <c r="AN136" t="e">
        <f>AND(#REF!,"NbReZikcRCc=")</f>
        <v>#REF!</v>
      </c>
      <c r="AO136" t="e">
        <f>AND(#REF!,"NbReZikcRCg=")</f>
        <v>#REF!</v>
      </c>
      <c r="AP136" t="e">
        <f>AND(#REF!,"NbReZikcRCk=")</f>
        <v>#REF!</v>
      </c>
      <c r="AQ136" t="e">
        <f>IF(#REF!,"NbReZikcRCo=",0)</f>
        <v>#REF!</v>
      </c>
      <c r="AR136" t="e">
        <f>AND(#REF!,"NbReZikcRCs=")</f>
        <v>#REF!</v>
      </c>
      <c r="AS136" t="e">
        <f>AND(#REF!,"NbReZikcRCw=")</f>
        <v>#REF!</v>
      </c>
      <c r="AT136" t="e">
        <f>AND(#REF!,"NbReZikcRC0=")</f>
        <v>#REF!</v>
      </c>
      <c r="AU136" t="e">
        <f>AND(#REF!,"NbReZikcRC4=")</f>
        <v>#REF!</v>
      </c>
      <c r="AV136" t="e">
        <f>AND(#REF!,"NbReZikcRC8=")</f>
        <v>#REF!</v>
      </c>
      <c r="AW136" t="e">
        <f>AND(#REF!,"NbReZikcRDA=")</f>
        <v>#REF!</v>
      </c>
      <c r="AX136" t="e">
        <f>AND(#REF!,"NbReZikcRDE=")</f>
        <v>#REF!</v>
      </c>
      <c r="AY136" t="e">
        <f>AND(#REF!,"NbReZikcRDI=")</f>
        <v>#REF!</v>
      </c>
      <c r="AZ136" t="e">
        <f>AND(#REF!,"NbReZikcRDM=")</f>
        <v>#REF!</v>
      </c>
      <c r="BA136" t="e">
        <f>AND(#REF!,"NbReZikcRDQ=")</f>
        <v>#REF!</v>
      </c>
      <c r="BB136" t="e">
        <f>AND(#REF!,"NbReZikcRDU=")</f>
        <v>#REF!</v>
      </c>
      <c r="BC136" t="e">
        <f>AND(#REF!,"NbReZikcRDY=")</f>
        <v>#REF!</v>
      </c>
      <c r="BD136" t="e">
        <f>AND(#REF!,"NbReZikcRDc=")</f>
        <v>#REF!</v>
      </c>
      <c r="BE136" t="e">
        <f>AND(#REF!,"NbReZikcRDg=")</f>
        <v>#REF!</v>
      </c>
      <c r="BF136" t="e">
        <f>AND(#REF!,"NbReZikcRDk=")</f>
        <v>#REF!</v>
      </c>
      <c r="BG136" t="e">
        <f>AND(#REF!,"NbReZikcRDo=")</f>
        <v>#REF!</v>
      </c>
      <c r="BH136" t="e">
        <f>IF(#REF!,"NbReZikcRDs=",0)</f>
        <v>#REF!</v>
      </c>
      <c r="BI136" t="e">
        <f>AND(#REF!,"NbReZikcRDw=")</f>
        <v>#REF!</v>
      </c>
      <c r="BJ136" t="e">
        <f>AND(#REF!,"NbReZikcRD0=")</f>
        <v>#REF!</v>
      </c>
      <c r="BK136" t="e">
        <f>AND(#REF!,"NbReZikcRD4=")</f>
        <v>#REF!</v>
      </c>
      <c r="BL136" t="e">
        <f>AND(#REF!,"NbReZikcRD8=")</f>
        <v>#REF!</v>
      </c>
      <c r="BM136" t="e">
        <f>AND(#REF!,"NbReZikcREA=")</f>
        <v>#REF!</v>
      </c>
      <c r="BN136" t="e">
        <f>AND(#REF!,"NbReZikcREE=")</f>
        <v>#REF!</v>
      </c>
      <c r="BO136" t="e">
        <f>AND(#REF!,"NbReZikcREI=")</f>
        <v>#REF!</v>
      </c>
      <c r="BP136" t="e">
        <f>AND(#REF!,"NbReZikcREM=")</f>
        <v>#REF!</v>
      </c>
      <c r="BQ136" t="e">
        <f>AND(#REF!,"NbReZikcREQ=")</f>
        <v>#REF!</v>
      </c>
      <c r="BR136" t="e">
        <f>AND(#REF!,"NbReZikcREU=")</f>
        <v>#REF!</v>
      </c>
      <c r="BS136" t="e">
        <f>AND(#REF!,"NbReZikcREY=")</f>
        <v>#REF!</v>
      </c>
      <c r="BT136" t="e">
        <f>AND(#REF!,"NbReZikcREc=")</f>
        <v>#REF!</v>
      </c>
      <c r="BU136" t="e">
        <f>AND(#REF!,"NbReZikcREg=")</f>
        <v>#REF!</v>
      </c>
      <c r="BV136" t="e">
        <f>AND(#REF!,"NbReZikcREk=")</f>
        <v>#REF!</v>
      </c>
      <c r="BW136" t="e">
        <f>AND(#REF!,"NbReZikcREo=")</f>
        <v>#REF!</v>
      </c>
      <c r="BX136" t="e">
        <f>AND(#REF!,"NbReZikcREs=")</f>
        <v>#REF!</v>
      </c>
      <c r="BY136" t="e">
        <f>IF(#REF!,"NbReZikcREw=",0)</f>
        <v>#REF!</v>
      </c>
      <c r="BZ136" t="e">
        <f>AND(#REF!,"NbReZikcRE0=")</f>
        <v>#REF!</v>
      </c>
      <c r="CA136" t="e">
        <f>AND(#REF!,"NbReZikcRE4=")</f>
        <v>#REF!</v>
      </c>
      <c r="CB136" t="e">
        <f>AND(#REF!,"NbReZikcRE8=")</f>
        <v>#REF!</v>
      </c>
      <c r="CC136" t="e">
        <f>AND(#REF!,"NbReZikcRFA=")</f>
        <v>#REF!</v>
      </c>
      <c r="CD136" t="e">
        <f>AND(#REF!,"NbReZikcRFE=")</f>
        <v>#REF!</v>
      </c>
      <c r="CE136" t="e">
        <f>AND(#REF!,"NbReZikcRFI=")</f>
        <v>#REF!</v>
      </c>
      <c r="CF136" t="e">
        <f>AND(#REF!,"NbReZikcRFM=")</f>
        <v>#REF!</v>
      </c>
      <c r="CG136" t="e">
        <f>AND(#REF!,"NbReZikcRFQ=")</f>
        <v>#REF!</v>
      </c>
      <c r="CH136" t="e">
        <f>AND(#REF!,"NbReZikcRFU=")</f>
        <v>#REF!</v>
      </c>
      <c r="CI136" t="e">
        <f>AND(#REF!,"NbReZikcRFY=")</f>
        <v>#REF!</v>
      </c>
      <c r="CJ136" t="e">
        <f>AND(#REF!,"NbReZikcRFc=")</f>
        <v>#REF!</v>
      </c>
      <c r="CK136" t="e">
        <f>AND(#REF!,"NbReZikcRFg=")</f>
        <v>#REF!</v>
      </c>
      <c r="CL136" t="e">
        <f>AND(#REF!,"NbReZikcRFk=")</f>
        <v>#REF!</v>
      </c>
      <c r="CM136" t="e">
        <f>AND(#REF!,"NbReZikcRFo=")</f>
        <v>#REF!</v>
      </c>
      <c r="CN136" t="e">
        <f>AND(#REF!,"NbReZikcRFs=")</f>
        <v>#REF!</v>
      </c>
      <c r="CO136" t="e">
        <f>AND(#REF!,"NbReZikcRFw=")</f>
        <v>#REF!</v>
      </c>
      <c r="CP136" t="e">
        <f>IF(#REF!,"NbReZikcRF0=",0)</f>
        <v>#REF!</v>
      </c>
      <c r="CQ136" t="e">
        <f>AND(#REF!,"NbReZikcRF4=")</f>
        <v>#REF!</v>
      </c>
      <c r="CR136" t="e">
        <f>AND(#REF!,"NbReZikcRF8=")</f>
        <v>#REF!</v>
      </c>
      <c r="CS136" t="e">
        <f>AND(#REF!,"NbReZikcRGA=")</f>
        <v>#REF!</v>
      </c>
      <c r="CT136" t="e">
        <f>AND(#REF!,"NbReZikcRGE=")</f>
        <v>#REF!</v>
      </c>
      <c r="CU136" t="e">
        <f>AND(#REF!,"NbReZikcRGI=")</f>
        <v>#REF!</v>
      </c>
      <c r="CV136" t="e">
        <f>AND(#REF!,"NbReZikcRGM=")</f>
        <v>#REF!</v>
      </c>
      <c r="CW136" t="e">
        <f>AND(#REF!,"NbReZikcRGQ=")</f>
        <v>#REF!</v>
      </c>
      <c r="CX136" t="e">
        <f>AND(#REF!,"NbReZikcRGU=")</f>
        <v>#REF!</v>
      </c>
      <c r="CY136" t="e">
        <f>AND(#REF!,"NbReZikcRGY=")</f>
        <v>#REF!</v>
      </c>
      <c r="CZ136" t="e">
        <f>AND(#REF!,"NbReZikcRGc=")</f>
        <v>#REF!</v>
      </c>
      <c r="DA136" t="e">
        <f>AND(#REF!,"NbReZikcRGg=")</f>
        <v>#REF!</v>
      </c>
      <c r="DB136" t="e">
        <f>AND(#REF!,"NbReZikcRGk=")</f>
        <v>#REF!</v>
      </c>
      <c r="DC136" t="e">
        <f>AND(#REF!,"NbReZikcRGo=")</f>
        <v>#REF!</v>
      </c>
      <c r="DD136" t="e">
        <f>AND(#REF!,"NbReZikcRGs=")</f>
        <v>#REF!</v>
      </c>
      <c r="DE136" t="e">
        <f>AND(#REF!,"NbReZikcRGw=")</f>
        <v>#REF!</v>
      </c>
      <c r="DF136" t="e">
        <f>AND(#REF!,"NbReZikcRG0=")</f>
        <v>#REF!</v>
      </c>
      <c r="DG136" t="e">
        <f>IF(#REF!,"NbReZikcRG4=",0)</f>
        <v>#REF!</v>
      </c>
      <c r="DH136" t="e">
        <f>AND(#REF!,"NbReZikcRG8=")</f>
        <v>#REF!</v>
      </c>
      <c r="DI136" t="e">
        <f>AND(#REF!,"NbReZikcRHA=")</f>
        <v>#REF!</v>
      </c>
      <c r="DJ136" t="e">
        <f>AND(#REF!,"NbReZikcRHE=")</f>
        <v>#REF!</v>
      </c>
      <c r="DK136" t="e">
        <f>AND(#REF!,"NbReZikcRHI=")</f>
        <v>#REF!</v>
      </c>
      <c r="DL136" t="e">
        <f>AND(#REF!,"NbReZikcRHM=")</f>
        <v>#REF!</v>
      </c>
      <c r="DM136" t="e">
        <f>AND(#REF!,"NbReZikcRHQ=")</f>
        <v>#REF!</v>
      </c>
      <c r="DN136" t="e">
        <f>AND(#REF!,"NbReZikcRHU=")</f>
        <v>#REF!</v>
      </c>
      <c r="DO136" t="e">
        <f>AND(#REF!,"NbReZikcRHY=")</f>
        <v>#REF!</v>
      </c>
      <c r="DP136" t="e">
        <f>AND(#REF!,"NbReZikcRHc=")</f>
        <v>#REF!</v>
      </c>
      <c r="DQ136" t="e">
        <f>AND(#REF!,"NbReZikcRHg=")</f>
        <v>#REF!</v>
      </c>
      <c r="DR136" t="e">
        <f>AND(#REF!,"NbReZikcRHk=")</f>
        <v>#REF!</v>
      </c>
      <c r="DS136" t="e">
        <f>AND(#REF!,"NbReZikcRHo=")</f>
        <v>#REF!</v>
      </c>
      <c r="DT136" t="e">
        <f>AND(#REF!,"NbReZikcRHs=")</f>
        <v>#REF!</v>
      </c>
      <c r="DU136" t="e">
        <f>AND(#REF!,"NbReZikcRHw=")</f>
        <v>#REF!</v>
      </c>
      <c r="DV136" t="e">
        <f>AND(#REF!,"NbReZikcRH0=")</f>
        <v>#REF!</v>
      </c>
      <c r="DW136" t="e">
        <f>AND(#REF!,"NbReZikcRH4=")</f>
        <v>#REF!</v>
      </c>
      <c r="DX136" t="e">
        <f>IF(#REF!,"NbReZikcRH8=",0)</f>
        <v>#REF!</v>
      </c>
      <c r="DY136" t="e">
        <f>AND(#REF!,"NbReZikcRIA=")</f>
        <v>#REF!</v>
      </c>
      <c r="DZ136" t="e">
        <f>AND(#REF!,"NbReZikcRIE=")</f>
        <v>#REF!</v>
      </c>
      <c r="EA136" t="e">
        <f>AND(#REF!,"NbReZikcRII=")</f>
        <v>#REF!</v>
      </c>
      <c r="EB136" t="e">
        <f>AND(#REF!,"NbReZikcRIM=")</f>
        <v>#REF!</v>
      </c>
      <c r="EC136" t="e">
        <f>AND(#REF!,"NbReZikcRIQ=")</f>
        <v>#REF!</v>
      </c>
      <c r="ED136" t="e">
        <f>AND(#REF!,"NbReZikcRIU=")</f>
        <v>#REF!</v>
      </c>
      <c r="EE136" t="e">
        <f>AND(#REF!,"NbReZikcRIY=")</f>
        <v>#REF!</v>
      </c>
      <c r="EF136" t="e">
        <f>AND(#REF!,"NbReZikcRIc=")</f>
        <v>#REF!</v>
      </c>
      <c r="EG136" t="e">
        <f>AND(#REF!,"NbReZikcRIg=")</f>
        <v>#REF!</v>
      </c>
      <c r="EH136" t="e">
        <f>AND(#REF!,"NbReZikcRIk=")</f>
        <v>#REF!</v>
      </c>
      <c r="EI136" t="e">
        <f>AND(#REF!,"NbReZikcRIo=")</f>
        <v>#REF!</v>
      </c>
      <c r="EJ136" t="e">
        <f>AND(#REF!,"NbReZikcRIs=")</f>
        <v>#REF!</v>
      </c>
      <c r="EK136" t="e">
        <f>AND(#REF!,"NbReZikcRIw=")</f>
        <v>#REF!</v>
      </c>
      <c r="EL136" t="e">
        <f>AND(#REF!,"NbReZikcRI0=")</f>
        <v>#REF!</v>
      </c>
      <c r="EM136" t="e">
        <f>AND(#REF!,"NbReZikcRI4=")</f>
        <v>#REF!</v>
      </c>
      <c r="EN136" t="e">
        <f>AND(#REF!,"NbReZikcRI8=")</f>
        <v>#REF!</v>
      </c>
      <c r="EO136" t="e">
        <f>IF(#REF!,"NbReZikcRJA=",0)</f>
        <v>#REF!</v>
      </c>
      <c r="EP136" t="e">
        <f>AND(#REF!,"NbReZikcRJE=")</f>
        <v>#REF!</v>
      </c>
      <c r="EQ136" t="e">
        <f>AND(#REF!,"NbReZikcRJI=")</f>
        <v>#REF!</v>
      </c>
      <c r="ER136" t="e">
        <f>AND(#REF!,"NbReZikcRJM=")</f>
        <v>#REF!</v>
      </c>
      <c r="ES136" t="e">
        <f>AND(#REF!,"NbReZikcRJQ=")</f>
        <v>#REF!</v>
      </c>
      <c r="ET136" t="e">
        <f>AND(#REF!,"NbReZikcRJU=")</f>
        <v>#REF!</v>
      </c>
      <c r="EU136" t="e">
        <f>AND(#REF!,"NbReZikcRJY=")</f>
        <v>#REF!</v>
      </c>
      <c r="EV136" t="e">
        <f>AND(#REF!,"NbReZikcRJc=")</f>
        <v>#REF!</v>
      </c>
      <c r="EW136" t="e">
        <f>AND(#REF!,"NbReZikcRJg=")</f>
        <v>#REF!</v>
      </c>
      <c r="EX136" t="e">
        <f>AND(#REF!,"NbReZikcRJk=")</f>
        <v>#REF!</v>
      </c>
      <c r="EY136" t="e">
        <f>AND(#REF!,"NbReZikcRJo=")</f>
        <v>#REF!</v>
      </c>
      <c r="EZ136" t="e">
        <f>AND(#REF!,"NbReZikcRJs=")</f>
        <v>#REF!</v>
      </c>
      <c r="FA136" t="e">
        <f>AND(#REF!,"NbReZikcRJw=")</f>
        <v>#REF!</v>
      </c>
      <c r="FB136" t="e">
        <f>AND(#REF!,"NbReZikcRJ0=")</f>
        <v>#REF!</v>
      </c>
      <c r="FC136" t="e">
        <f>AND(#REF!,"NbReZikcRJ4=")</f>
        <v>#REF!</v>
      </c>
      <c r="FD136" t="e">
        <f>AND(#REF!,"NbReZikcRJ8=")</f>
        <v>#REF!</v>
      </c>
      <c r="FE136" t="e">
        <f>AND(#REF!,"NbReZikcRKA=")</f>
        <v>#REF!</v>
      </c>
      <c r="FF136" t="e">
        <f>IF(#REF!,"NbReZikcRKE=",0)</f>
        <v>#REF!</v>
      </c>
      <c r="FG136" t="e">
        <f>AND(#REF!,"NbReZikcRKI=")</f>
        <v>#REF!</v>
      </c>
      <c r="FH136" t="e">
        <f>AND(#REF!,"NbReZikcRKM=")</f>
        <v>#REF!</v>
      </c>
      <c r="FI136" t="e">
        <f>AND(#REF!,"NbReZikcRKQ=")</f>
        <v>#REF!</v>
      </c>
      <c r="FJ136" t="e">
        <f>AND(#REF!,"NbReZikcRKU=")</f>
        <v>#REF!</v>
      </c>
      <c r="FK136" t="e">
        <f>AND(#REF!,"NbReZikcRKY=")</f>
        <v>#REF!</v>
      </c>
      <c r="FL136" t="e">
        <f>AND(#REF!,"NbReZikcRKc=")</f>
        <v>#REF!</v>
      </c>
      <c r="FM136" t="e">
        <f>AND(#REF!,"NbReZikcRKg=")</f>
        <v>#REF!</v>
      </c>
      <c r="FN136" t="e">
        <f>AND(#REF!,"NbReZikcRKk=")</f>
        <v>#REF!</v>
      </c>
      <c r="FO136" t="e">
        <f>AND(#REF!,"NbReZikcRKo=")</f>
        <v>#REF!</v>
      </c>
      <c r="FP136" t="e">
        <f>AND(#REF!,"NbReZikcRKs=")</f>
        <v>#REF!</v>
      </c>
      <c r="FQ136" t="e">
        <f>AND(#REF!,"NbReZikcRKw=")</f>
        <v>#REF!</v>
      </c>
      <c r="FR136" t="e">
        <f>AND(#REF!,"NbReZikcRK0=")</f>
        <v>#REF!</v>
      </c>
      <c r="FS136" t="e">
        <f>AND(#REF!,"NbReZikcRK4=")</f>
        <v>#REF!</v>
      </c>
      <c r="FT136" t="e">
        <f>AND(#REF!,"NbReZikcRK8=")</f>
        <v>#REF!</v>
      </c>
      <c r="FU136" t="e">
        <f>AND(#REF!,"NbReZikcRLA=")</f>
        <v>#REF!</v>
      </c>
      <c r="FV136" t="e">
        <f>AND(#REF!,"NbReZikcRLE=")</f>
        <v>#REF!</v>
      </c>
      <c r="FW136" t="e">
        <f>IF(#REF!,"NbReZikcRLI=",0)</f>
        <v>#REF!</v>
      </c>
      <c r="FX136" t="e">
        <f>AND(#REF!,"NbReZikcRLM=")</f>
        <v>#REF!</v>
      </c>
      <c r="FY136" t="e">
        <f>AND(#REF!,"NbReZikcRLQ=")</f>
        <v>#REF!</v>
      </c>
      <c r="FZ136" t="e">
        <f>AND(#REF!,"NbReZikcRLU=")</f>
        <v>#REF!</v>
      </c>
      <c r="GA136" t="e">
        <f>AND(#REF!,"NbReZikcRLY=")</f>
        <v>#REF!</v>
      </c>
      <c r="GB136" t="e">
        <f>AND(#REF!,"NbReZikcRLc=")</f>
        <v>#REF!</v>
      </c>
      <c r="GC136" t="e">
        <f>AND(#REF!,"NbReZikcRLg=")</f>
        <v>#REF!</v>
      </c>
      <c r="GD136" t="e">
        <f>AND(#REF!,"NbReZikcRLk=")</f>
        <v>#REF!</v>
      </c>
      <c r="GE136" t="e">
        <f>AND(#REF!,"NbReZikcRLo=")</f>
        <v>#REF!</v>
      </c>
      <c r="GF136" t="e">
        <f>AND(#REF!,"NbReZikcRLs=")</f>
        <v>#REF!</v>
      </c>
      <c r="GG136" t="e">
        <f>AND(#REF!,"NbReZikcRLw=")</f>
        <v>#REF!</v>
      </c>
      <c r="GH136" t="e">
        <f>AND(#REF!,"NbReZikcRL0=")</f>
        <v>#REF!</v>
      </c>
      <c r="GI136" t="e">
        <f>AND(#REF!,"NbReZikcRL4=")</f>
        <v>#REF!</v>
      </c>
      <c r="GJ136" t="e">
        <f>AND(#REF!,"NbReZikcRL8=")</f>
        <v>#REF!</v>
      </c>
      <c r="GK136" t="e">
        <f>AND(#REF!,"NbReZikcRMA=")</f>
        <v>#REF!</v>
      </c>
      <c r="GL136" t="e">
        <f>AND(#REF!,"NbReZikcRME=")</f>
        <v>#REF!</v>
      </c>
      <c r="GM136" t="e">
        <f>AND(#REF!,"NbReZikcRMI=")</f>
        <v>#REF!</v>
      </c>
      <c r="GN136" t="e">
        <f>IF(#REF!,"NbReZikcRMM=",0)</f>
        <v>#REF!</v>
      </c>
      <c r="GO136" t="e">
        <f>AND(#REF!,"NbReZikcRMQ=")</f>
        <v>#REF!</v>
      </c>
      <c r="GP136" t="e">
        <f>AND(#REF!,"NbReZikcRMU=")</f>
        <v>#REF!</v>
      </c>
      <c r="GQ136" t="e">
        <f>AND(#REF!,"NbReZikcRMY=")</f>
        <v>#REF!</v>
      </c>
      <c r="GR136" t="e">
        <f>AND(#REF!,"NbReZikcRMc=")</f>
        <v>#REF!</v>
      </c>
      <c r="GS136" t="e">
        <f>AND(#REF!,"NbReZikcRMg=")</f>
        <v>#REF!</v>
      </c>
      <c r="GT136" t="e">
        <f>AND(#REF!,"NbReZikcRMk=")</f>
        <v>#REF!</v>
      </c>
      <c r="GU136" t="e">
        <f>AND(#REF!,"NbReZikcRMo=")</f>
        <v>#REF!</v>
      </c>
      <c r="GV136" t="e">
        <f>AND(#REF!,"NbReZikcRMs=")</f>
        <v>#REF!</v>
      </c>
      <c r="GW136" t="e">
        <f>AND(#REF!,"NbReZikcRMw=")</f>
        <v>#REF!</v>
      </c>
      <c r="GX136" t="e">
        <f>AND(#REF!,"NbReZikcRM0=")</f>
        <v>#REF!</v>
      </c>
      <c r="GY136" t="e">
        <f>AND(#REF!,"NbReZikcRM4=")</f>
        <v>#REF!</v>
      </c>
      <c r="GZ136" t="e">
        <f>AND(#REF!,"NbReZikcRM8=")</f>
        <v>#REF!</v>
      </c>
      <c r="HA136" t="e">
        <f>AND(#REF!,"NbReZikcRNA=")</f>
        <v>#REF!</v>
      </c>
      <c r="HB136" t="e">
        <f>AND(#REF!,"NbReZikcRNE=")</f>
        <v>#REF!</v>
      </c>
      <c r="HC136" t="e">
        <f>AND(#REF!,"NbReZikcRNI=")</f>
        <v>#REF!</v>
      </c>
      <c r="HD136" t="e">
        <f>AND(#REF!,"NbReZikcRNM=")</f>
        <v>#REF!</v>
      </c>
      <c r="HE136" t="e">
        <f>IF(#REF!,"NbReZikcRNQ=",0)</f>
        <v>#REF!</v>
      </c>
      <c r="HF136" t="e">
        <f>AND(#REF!,"NbReZikcRNU=")</f>
        <v>#REF!</v>
      </c>
      <c r="HG136" t="e">
        <f>AND(#REF!,"NbReZikcRNY=")</f>
        <v>#REF!</v>
      </c>
      <c r="HH136" t="e">
        <f>AND(#REF!,"NbReZikcRNc=")</f>
        <v>#REF!</v>
      </c>
      <c r="HI136" t="e">
        <f>AND(#REF!,"NbReZikcRNg=")</f>
        <v>#REF!</v>
      </c>
      <c r="HJ136" t="e">
        <f>AND(#REF!,"NbReZikcRNk=")</f>
        <v>#REF!</v>
      </c>
      <c r="HK136" t="e">
        <f>AND(#REF!,"NbReZikcRNo=")</f>
        <v>#REF!</v>
      </c>
      <c r="HL136" t="e">
        <f>AND(#REF!,"NbReZikcRNs=")</f>
        <v>#REF!</v>
      </c>
      <c r="HM136" t="e">
        <f>AND(#REF!,"NbReZikcRNw=")</f>
        <v>#REF!</v>
      </c>
      <c r="HN136" t="e">
        <f>AND(#REF!,"NbReZikcRN0=")</f>
        <v>#REF!</v>
      </c>
      <c r="HO136" t="e">
        <f>AND(#REF!,"NbReZikcRN4=")</f>
        <v>#REF!</v>
      </c>
      <c r="HP136" t="e">
        <f>AND(#REF!,"NbReZikcRN8=")</f>
        <v>#REF!</v>
      </c>
      <c r="HQ136" t="e">
        <f>AND(#REF!,"NbReZikcROA=")</f>
        <v>#REF!</v>
      </c>
      <c r="HR136" t="e">
        <f>AND(#REF!,"NbReZikcROE=")</f>
        <v>#REF!</v>
      </c>
      <c r="HS136" t="e">
        <f>AND(#REF!,"NbReZikcROI=")</f>
        <v>#REF!</v>
      </c>
      <c r="HT136" t="e">
        <f>AND(#REF!,"NbReZikcROM=")</f>
        <v>#REF!</v>
      </c>
      <c r="HU136" t="e">
        <f>AND(#REF!,"NbReZikcROQ=")</f>
        <v>#REF!</v>
      </c>
      <c r="HV136" t="e">
        <f>IF(#REF!,"NbReZikcROU=",0)</f>
        <v>#REF!</v>
      </c>
      <c r="HW136" t="e">
        <f>AND(#REF!,"NbReZikcROY=")</f>
        <v>#REF!</v>
      </c>
      <c r="HX136" t="e">
        <f>AND(#REF!,"NbReZikcROc=")</f>
        <v>#REF!</v>
      </c>
      <c r="HY136" t="e">
        <f>AND(#REF!,"NbReZikcROg=")</f>
        <v>#REF!</v>
      </c>
      <c r="HZ136" t="e">
        <f>AND(#REF!,"NbReZikcROk=")</f>
        <v>#REF!</v>
      </c>
      <c r="IA136" t="e">
        <f>AND(#REF!,"NbReZikcROo=")</f>
        <v>#REF!</v>
      </c>
      <c r="IB136" t="e">
        <f>AND(#REF!,"NbReZikcROs=")</f>
        <v>#REF!</v>
      </c>
      <c r="IC136" t="e">
        <f>AND(#REF!,"NbReZikcROw=")</f>
        <v>#REF!</v>
      </c>
      <c r="ID136" t="e">
        <f>AND(#REF!,"NbReZikcRO0=")</f>
        <v>#REF!</v>
      </c>
      <c r="IE136" t="e">
        <f>AND(#REF!,"NbReZikcRO4=")</f>
        <v>#REF!</v>
      </c>
      <c r="IF136" t="e">
        <f>AND(#REF!,"NbReZikcRO8=")</f>
        <v>#REF!</v>
      </c>
      <c r="IG136" t="e">
        <f>AND(#REF!,"NbReZikcRPA=")</f>
        <v>#REF!</v>
      </c>
      <c r="IH136" t="e">
        <f>AND(#REF!,"NbReZikcRPE=")</f>
        <v>#REF!</v>
      </c>
      <c r="II136" t="e">
        <f>AND(#REF!,"NbReZikcRPI=")</f>
        <v>#REF!</v>
      </c>
      <c r="IJ136" t="e">
        <f>AND(#REF!,"NbReZikcRPM=")</f>
        <v>#REF!</v>
      </c>
      <c r="IK136" t="e">
        <f>AND(#REF!,"NbReZikcRPQ=")</f>
        <v>#REF!</v>
      </c>
      <c r="IL136" t="e">
        <f>AND(#REF!,"NbReZikcRPU=")</f>
        <v>#REF!</v>
      </c>
      <c r="IM136" t="e">
        <f>IF(#REF!,"NbReZikcRPY=",0)</f>
        <v>#REF!</v>
      </c>
      <c r="IN136" t="e">
        <f>AND(#REF!,"NbReZikcRPc=")</f>
        <v>#REF!</v>
      </c>
      <c r="IO136" t="e">
        <f>AND(#REF!,"NbReZikcRPg=")</f>
        <v>#REF!</v>
      </c>
      <c r="IP136" t="e">
        <f>AND(#REF!,"NbReZikcRPk=")</f>
        <v>#REF!</v>
      </c>
      <c r="IQ136" t="e">
        <f>AND(#REF!,"NbReZikcRPo=")</f>
        <v>#REF!</v>
      </c>
      <c r="IR136" t="e">
        <f>AND(#REF!,"NbReZikcRPs=")</f>
        <v>#REF!</v>
      </c>
      <c r="IS136" t="e">
        <f>AND(#REF!,"NbReZikcRPw=")</f>
        <v>#REF!</v>
      </c>
      <c r="IT136" t="e">
        <f>AND(#REF!,"NbReZikcRP0=")</f>
        <v>#REF!</v>
      </c>
      <c r="IU136" t="e">
        <f>AND(#REF!,"NbReZikcRP4=")</f>
        <v>#REF!</v>
      </c>
      <c r="IV136" t="e">
        <f>AND(#REF!,"NbReZikcRP8=")</f>
        <v>#REF!</v>
      </c>
    </row>
    <row r="137" spans="1:256" x14ac:dyDescent="0.2">
      <c r="A137" t="e">
        <f>AND(#REF!,"IVAC2xzmGAA=")</f>
        <v>#REF!</v>
      </c>
      <c r="B137" t="e">
        <f>AND(#REF!,"IVAC2xzmGAE=")</f>
        <v>#REF!</v>
      </c>
      <c r="C137" t="e">
        <f>AND(#REF!,"IVAC2xzmGAI=")</f>
        <v>#REF!</v>
      </c>
      <c r="D137" t="e">
        <f>AND(#REF!,"IVAC2xzmGAM=")</f>
        <v>#REF!</v>
      </c>
      <c r="E137" t="e">
        <f>AND(#REF!,"IVAC2xzmGAQ=")</f>
        <v>#REF!</v>
      </c>
      <c r="F137" t="e">
        <f>AND(#REF!,"IVAC2xzmGAU=")</f>
        <v>#REF!</v>
      </c>
      <c r="G137" t="e">
        <f>AND(#REF!,"IVAC2xzmGAY=")</f>
        <v>#REF!</v>
      </c>
      <c r="H137" t="e">
        <f>IF(#REF!,"IVAC2xzmGAc=",0)</f>
        <v>#REF!</v>
      </c>
      <c r="I137" t="e">
        <f>AND(#REF!,"IVAC2xzmGAg=")</f>
        <v>#REF!</v>
      </c>
      <c r="J137" t="e">
        <f>AND(#REF!,"IVAC2xzmGAk=")</f>
        <v>#REF!</v>
      </c>
      <c r="K137" t="e">
        <f>AND(#REF!,"IVAC2xzmGAo=")</f>
        <v>#REF!</v>
      </c>
      <c r="L137" t="e">
        <f>AND(#REF!,"IVAC2xzmGAs=")</f>
        <v>#REF!</v>
      </c>
      <c r="M137" t="e">
        <f>AND(#REF!,"IVAC2xzmGAw=")</f>
        <v>#REF!</v>
      </c>
      <c r="N137" t="e">
        <f>AND(#REF!,"IVAC2xzmGA0=")</f>
        <v>#REF!</v>
      </c>
      <c r="O137" t="e">
        <f>AND(#REF!,"IVAC2xzmGA4=")</f>
        <v>#REF!</v>
      </c>
      <c r="P137" t="e">
        <f>AND(#REF!,"IVAC2xzmGA8=")</f>
        <v>#REF!</v>
      </c>
      <c r="Q137" t="e">
        <f>AND(#REF!,"IVAC2xzmGBA=")</f>
        <v>#REF!</v>
      </c>
      <c r="R137" t="e">
        <f>AND(#REF!,"IVAC2xzmGBE=")</f>
        <v>#REF!</v>
      </c>
      <c r="S137" t="e">
        <f>AND(#REF!,"IVAC2xzmGBI=")</f>
        <v>#REF!</v>
      </c>
      <c r="T137" t="e">
        <f>AND(#REF!,"IVAC2xzmGBM=")</f>
        <v>#REF!</v>
      </c>
      <c r="U137" t="e">
        <f>AND(#REF!,"IVAC2xzmGBQ=")</f>
        <v>#REF!</v>
      </c>
      <c r="V137" t="e">
        <f>AND(#REF!,"IVAC2xzmGBU=")</f>
        <v>#REF!</v>
      </c>
      <c r="W137" t="e">
        <f>AND(#REF!,"IVAC2xzmGBY=")</f>
        <v>#REF!</v>
      </c>
      <c r="X137" t="e">
        <f>AND(#REF!,"IVAC2xzmGBc=")</f>
        <v>#REF!</v>
      </c>
      <c r="Y137" t="e">
        <f>IF(#REF!,"IVAC2xzmGBg=",0)</f>
        <v>#REF!</v>
      </c>
      <c r="Z137" t="e">
        <f>AND(#REF!,"IVAC2xzmGBk=")</f>
        <v>#REF!</v>
      </c>
      <c r="AA137" t="e">
        <f>AND(#REF!,"IVAC2xzmGBo=")</f>
        <v>#REF!</v>
      </c>
      <c r="AB137" t="e">
        <f>AND(#REF!,"IVAC2xzmGBs=")</f>
        <v>#REF!</v>
      </c>
      <c r="AC137" t="e">
        <f>AND(#REF!,"IVAC2xzmGBw=")</f>
        <v>#REF!</v>
      </c>
      <c r="AD137" t="e">
        <f>AND(#REF!,"IVAC2xzmGB0=")</f>
        <v>#REF!</v>
      </c>
      <c r="AE137" t="e">
        <f>AND(#REF!,"IVAC2xzmGB4=")</f>
        <v>#REF!</v>
      </c>
      <c r="AF137" t="e">
        <f>AND(#REF!,"IVAC2xzmGB8=")</f>
        <v>#REF!</v>
      </c>
      <c r="AG137" t="e">
        <f>AND(#REF!,"IVAC2xzmGCA=")</f>
        <v>#REF!</v>
      </c>
      <c r="AH137" t="e">
        <f>AND(#REF!,"IVAC2xzmGCE=")</f>
        <v>#REF!</v>
      </c>
      <c r="AI137" t="e">
        <f>AND(#REF!,"IVAC2xzmGCI=")</f>
        <v>#REF!</v>
      </c>
      <c r="AJ137" t="e">
        <f>AND(#REF!,"IVAC2xzmGCM=")</f>
        <v>#REF!</v>
      </c>
      <c r="AK137" t="e">
        <f>AND(#REF!,"IVAC2xzmGCQ=")</f>
        <v>#REF!</v>
      </c>
      <c r="AL137" t="e">
        <f>AND(#REF!,"IVAC2xzmGCU=")</f>
        <v>#REF!</v>
      </c>
      <c r="AM137" t="e">
        <f>AND(#REF!,"IVAC2xzmGCY=")</f>
        <v>#REF!</v>
      </c>
      <c r="AN137" t="e">
        <f>AND(#REF!,"IVAC2xzmGCc=")</f>
        <v>#REF!</v>
      </c>
      <c r="AO137" t="e">
        <f>AND(#REF!,"IVAC2xzmGCg=")</f>
        <v>#REF!</v>
      </c>
      <c r="AP137" t="e">
        <f>IF(#REF!,"IVAC2xzmGCk=",0)</f>
        <v>#REF!</v>
      </c>
      <c r="AQ137" t="e">
        <f>AND(#REF!,"IVAC2xzmGCo=")</f>
        <v>#REF!</v>
      </c>
      <c r="AR137" t="e">
        <f>AND(#REF!,"IVAC2xzmGCs=")</f>
        <v>#REF!</v>
      </c>
      <c r="AS137" t="e">
        <f>AND(#REF!,"IVAC2xzmGCw=")</f>
        <v>#REF!</v>
      </c>
      <c r="AT137" t="e">
        <f>AND(#REF!,"IVAC2xzmGC0=")</f>
        <v>#REF!</v>
      </c>
      <c r="AU137" t="e">
        <f>AND(#REF!,"IVAC2xzmGC4=")</f>
        <v>#REF!</v>
      </c>
      <c r="AV137" t="e">
        <f>AND(#REF!,"IVAC2xzmGC8=")</f>
        <v>#REF!</v>
      </c>
      <c r="AW137" t="e">
        <f>AND(#REF!,"IVAC2xzmGDA=")</f>
        <v>#REF!</v>
      </c>
      <c r="AX137" t="e">
        <f>AND(#REF!,"IVAC2xzmGDE=")</f>
        <v>#REF!</v>
      </c>
      <c r="AY137" t="e">
        <f>AND(#REF!,"IVAC2xzmGDI=")</f>
        <v>#REF!</v>
      </c>
      <c r="AZ137" t="e">
        <f>AND(#REF!,"IVAC2xzmGDM=")</f>
        <v>#REF!</v>
      </c>
      <c r="BA137" t="e">
        <f>AND(#REF!,"IVAC2xzmGDQ=")</f>
        <v>#REF!</v>
      </c>
      <c r="BB137" t="e">
        <f>AND(#REF!,"IVAC2xzmGDU=")</f>
        <v>#REF!</v>
      </c>
      <c r="BC137" t="e">
        <f>AND(#REF!,"IVAC2xzmGDY=")</f>
        <v>#REF!</v>
      </c>
      <c r="BD137" t="e">
        <f>AND(#REF!,"IVAC2xzmGDc=")</f>
        <v>#REF!</v>
      </c>
      <c r="BE137" t="e">
        <f>AND(#REF!,"IVAC2xzmGDg=")</f>
        <v>#REF!</v>
      </c>
      <c r="BF137" t="e">
        <f>AND(#REF!,"IVAC2xzmGDk=")</f>
        <v>#REF!</v>
      </c>
      <c r="BG137" t="e">
        <f>IF(#REF!,"IVAC2xzmGDo=",0)</f>
        <v>#REF!</v>
      </c>
      <c r="BH137" t="e">
        <f>AND(#REF!,"IVAC2xzmGDs=")</f>
        <v>#REF!</v>
      </c>
      <c r="BI137" t="e">
        <f>AND(#REF!,"IVAC2xzmGDw=")</f>
        <v>#REF!</v>
      </c>
      <c r="BJ137" t="e">
        <f>AND(#REF!,"IVAC2xzmGD0=")</f>
        <v>#REF!</v>
      </c>
      <c r="BK137" t="e">
        <f>AND(#REF!,"IVAC2xzmGD4=")</f>
        <v>#REF!</v>
      </c>
      <c r="BL137" t="e">
        <f>AND(#REF!,"IVAC2xzmGD8=")</f>
        <v>#REF!</v>
      </c>
      <c r="BM137" t="e">
        <f>AND(#REF!,"IVAC2xzmGEA=")</f>
        <v>#REF!</v>
      </c>
      <c r="BN137" t="e">
        <f>AND(#REF!,"IVAC2xzmGEE=")</f>
        <v>#REF!</v>
      </c>
      <c r="BO137" t="e">
        <f>AND(#REF!,"IVAC2xzmGEI=")</f>
        <v>#REF!</v>
      </c>
      <c r="BP137" t="e">
        <f>AND(#REF!,"IVAC2xzmGEM=")</f>
        <v>#REF!</v>
      </c>
      <c r="BQ137" t="e">
        <f>AND(#REF!,"IVAC2xzmGEQ=")</f>
        <v>#REF!</v>
      </c>
      <c r="BR137" t="e">
        <f>AND(#REF!,"IVAC2xzmGEU=")</f>
        <v>#REF!</v>
      </c>
      <c r="BS137" t="e">
        <f>AND(#REF!,"IVAC2xzmGEY=")</f>
        <v>#REF!</v>
      </c>
      <c r="BT137" t="e">
        <f>AND(#REF!,"IVAC2xzmGEc=")</f>
        <v>#REF!</v>
      </c>
      <c r="BU137" t="e">
        <f>AND(#REF!,"IVAC2xzmGEg=")</f>
        <v>#REF!</v>
      </c>
      <c r="BV137" t="e">
        <f>AND(#REF!,"IVAC2xzmGEk=")</f>
        <v>#REF!</v>
      </c>
      <c r="BW137" t="e">
        <f>AND(#REF!,"IVAC2xzmGEo=")</f>
        <v>#REF!</v>
      </c>
      <c r="BX137" t="e">
        <f>IF(#REF!,"IVAC2xzmGEs=",0)</f>
        <v>#REF!</v>
      </c>
      <c r="BY137" t="e">
        <f>AND(#REF!,"IVAC2xzmGEw=")</f>
        <v>#REF!</v>
      </c>
      <c r="BZ137" t="e">
        <f>AND(#REF!,"IVAC2xzmGE0=")</f>
        <v>#REF!</v>
      </c>
      <c r="CA137" t="e">
        <f>AND(#REF!,"IVAC2xzmGE4=")</f>
        <v>#REF!</v>
      </c>
      <c r="CB137" t="e">
        <f>AND(#REF!,"IVAC2xzmGE8=")</f>
        <v>#REF!</v>
      </c>
      <c r="CC137" t="e">
        <f>AND(#REF!,"IVAC2xzmGFA=")</f>
        <v>#REF!</v>
      </c>
      <c r="CD137" t="e">
        <f>AND(#REF!,"IVAC2xzmGFE=")</f>
        <v>#REF!</v>
      </c>
      <c r="CE137" t="e">
        <f>AND(#REF!,"IVAC2xzmGFI=")</f>
        <v>#REF!</v>
      </c>
      <c r="CF137" t="e">
        <f>AND(#REF!,"IVAC2xzmGFM=")</f>
        <v>#REF!</v>
      </c>
      <c r="CG137" t="e">
        <f>AND(#REF!,"IVAC2xzmGFQ=")</f>
        <v>#REF!</v>
      </c>
      <c r="CH137" t="e">
        <f>AND(#REF!,"IVAC2xzmGFU=")</f>
        <v>#REF!</v>
      </c>
      <c r="CI137" t="e">
        <f>AND(#REF!,"IVAC2xzmGFY=")</f>
        <v>#REF!</v>
      </c>
      <c r="CJ137" t="e">
        <f>AND(#REF!,"IVAC2xzmGFc=")</f>
        <v>#REF!</v>
      </c>
      <c r="CK137" t="e">
        <f>AND(#REF!,"IVAC2xzmGFg=")</f>
        <v>#REF!</v>
      </c>
      <c r="CL137" t="e">
        <f>AND(#REF!,"IVAC2xzmGFk=")</f>
        <v>#REF!</v>
      </c>
      <c r="CM137" t="e">
        <f>AND(#REF!,"IVAC2xzmGFo=")</f>
        <v>#REF!</v>
      </c>
      <c r="CN137" t="e">
        <f>AND(#REF!,"IVAC2xzmGFs=")</f>
        <v>#REF!</v>
      </c>
      <c r="CO137" t="e">
        <f>IF(#REF!,"IVAC2xzmGFw=",0)</f>
        <v>#REF!</v>
      </c>
      <c r="CP137" t="e">
        <f>AND(#REF!,"IVAC2xzmGF0=")</f>
        <v>#REF!</v>
      </c>
      <c r="CQ137" t="e">
        <f>AND(#REF!,"IVAC2xzmGF4=")</f>
        <v>#REF!</v>
      </c>
      <c r="CR137" t="e">
        <f>AND(#REF!,"IVAC2xzmGF8=")</f>
        <v>#REF!</v>
      </c>
      <c r="CS137" t="e">
        <f>AND(#REF!,"IVAC2xzmGGA=")</f>
        <v>#REF!</v>
      </c>
      <c r="CT137" t="e">
        <f>AND(#REF!,"IVAC2xzmGGE=")</f>
        <v>#REF!</v>
      </c>
      <c r="CU137" t="e">
        <f>AND(#REF!,"IVAC2xzmGGI=")</f>
        <v>#REF!</v>
      </c>
      <c r="CV137" t="e">
        <f>AND(#REF!,"IVAC2xzmGGM=")</f>
        <v>#REF!</v>
      </c>
      <c r="CW137" t="e">
        <f>AND(#REF!,"IVAC2xzmGGQ=")</f>
        <v>#REF!</v>
      </c>
      <c r="CX137" t="e">
        <f>AND(#REF!,"IVAC2xzmGGU=")</f>
        <v>#REF!</v>
      </c>
      <c r="CY137" t="e">
        <f>AND(#REF!,"IVAC2xzmGGY=")</f>
        <v>#REF!</v>
      </c>
      <c r="CZ137" t="e">
        <f>AND(#REF!,"IVAC2xzmGGc=")</f>
        <v>#REF!</v>
      </c>
      <c r="DA137" t="e">
        <f>AND(#REF!,"IVAC2xzmGGg=")</f>
        <v>#REF!</v>
      </c>
      <c r="DB137" t="e">
        <f>AND(#REF!,"IVAC2xzmGGk=")</f>
        <v>#REF!</v>
      </c>
      <c r="DC137" t="e">
        <f>AND(#REF!,"IVAC2xzmGGo=")</f>
        <v>#REF!</v>
      </c>
      <c r="DD137" t="e">
        <f>AND(#REF!,"IVAC2xzmGGs=")</f>
        <v>#REF!</v>
      </c>
      <c r="DE137" t="e">
        <f>AND(#REF!,"IVAC2xzmGGw=")</f>
        <v>#REF!</v>
      </c>
      <c r="DF137" t="e">
        <f>IF(#REF!,"IVAC2xzmGG0=",0)</f>
        <v>#REF!</v>
      </c>
      <c r="DG137" t="e">
        <f>AND(#REF!,"IVAC2xzmGG4=")</f>
        <v>#REF!</v>
      </c>
      <c r="DH137" t="e">
        <f>AND(#REF!,"IVAC2xzmGG8=")</f>
        <v>#REF!</v>
      </c>
      <c r="DI137" t="e">
        <f>AND(#REF!,"IVAC2xzmGHA=")</f>
        <v>#REF!</v>
      </c>
      <c r="DJ137" t="e">
        <f>AND(#REF!,"IVAC2xzmGHE=")</f>
        <v>#REF!</v>
      </c>
      <c r="DK137" t="e">
        <f>AND(#REF!,"IVAC2xzmGHI=")</f>
        <v>#REF!</v>
      </c>
      <c r="DL137" t="e">
        <f>AND(#REF!,"IVAC2xzmGHM=")</f>
        <v>#REF!</v>
      </c>
      <c r="DM137" t="e">
        <f>AND(#REF!,"IVAC2xzmGHQ=")</f>
        <v>#REF!</v>
      </c>
      <c r="DN137" t="e">
        <f>AND(#REF!,"IVAC2xzmGHU=")</f>
        <v>#REF!</v>
      </c>
      <c r="DO137" t="e">
        <f>AND(#REF!,"IVAC2xzmGHY=")</f>
        <v>#REF!</v>
      </c>
      <c r="DP137" t="e">
        <f>AND(#REF!,"IVAC2xzmGHc=")</f>
        <v>#REF!</v>
      </c>
      <c r="DQ137" t="e">
        <f>AND(#REF!,"IVAC2xzmGHg=")</f>
        <v>#REF!</v>
      </c>
      <c r="DR137" t="e">
        <f>AND(#REF!,"IVAC2xzmGHk=")</f>
        <v>#REF!</v>
      </c>
      <c r="DS137" t="e">
        <f>AND(#REF!,"IVAC2xzmGHo=")</f>
        <v>#REF!</v>
      </c>
      <c r="DT137" t="e">
        <f>AND(#REF!,"IVAC2xzmGHs=")</f>
        <v>#REF!</v>
      </c>
      <c r="DU137" t="e">
        <f>AND(#REF!,"IVAC2xzmGHw=")</f>
        <v>#REF!</v>
      </c>
      <c r="DV137" t="e">
        <f>AND(#REF!,"IVAC2xzmGH0=")</f>
        <v>#REF!</v>
      </c>
      <c r="DW137" t="e">
        <f>IF(#REF!,"IVAC2xzmGH4=",0)</f>
        <v>#REF!</v>
      </c>
      <c r="DX137" t="e">
        <f>AND(#REF!,"IVAC2xzmGH8=")</f>
        <v>#REF!</v>
      </c>
      <c r="DY137" t="e">
        <f>AND(#REF!,"IVAC2xzmGIA=")</f>
        <v>#REF!</v>
      </c>
      <c r="DZ137" t="e">
        <f>AND(#REF!,"IVAC2xzmGIE=")</f>
        <v>#REF!</v>
      </c>
      <c r="EA137" t="e">
        <f>AND(#REF!,"IVAC2xzmGII=")</f>
        <v>#REF!</v>
      </c>
      <c r="EB137" t="e">
        <f>AND(#REF!,"IVAC2xzmGIM=")</f>
        <v>#REF!</v>
      </c>
      <c r="EC137" t="e">
        <f>AND(#REF!,"IVAC2xzmGIQ=")</f>
        <v>#REF!</v>
      </c>
      <c r="ED137" t="e">
        <f>AND(#REF!,"IVAC2xzmGIU=")</f>
        <v>#REF!</v>
      </c>
      <c r="EE137" t="e">
        <f>AND(#REF!,"IVAC2xzmGIY=")</f>
        <v>#REF!</v>
      </c>
      <c r="EF137" t="e">
        <f>AND(#REF!,"IVAC2xzmGIc=")</f>
        <v>#REF!</v>
      </c>
      <c r="EG137" t="e">
        <f>AND(#REF!,"IVAC2xzmGIg=")</f>
        <v>#REF!</v>
      </c>
      <c r="EH137" t="e">
        <f>AND(#REF!,"IVAC2xzmGIk=")</f>
        <v>#REF!</v>
      </c>
      <c r="EI137" t="e">
        <f>AND(#REF!,"IVAC2xzmGIo=")</f>
        <v>#REF!</v>
      </c>
      <c r="EJ137" t="e">
        <f>AND(#REF!,"IVAC2xzmGIs=")</f>
        <v>#REF!</v>
      </c>
      <c r="EK137" t="e">
        <f>AND(#REF!,"IVAC2xzmGIw=")</f>
        <v>#REF!</v>
      </c>
      <c r="EL137" t="e">
        <f>AND(#REF!,"IVAC2xzmGI0=")</f>
        <v>#REF!</v>
      </c>
      <c r="EM137" t="e">
        <f>AND(#REF!,"IVAC2xzmGI4=")</f>
        <v>#REF!</v>
      </c>
      <c r="EN137" t="e">
        <f>IF(#REF!,"IVAC2xzmGI8=",0)</f>
        <v>#REF!</v>
      </c>
      <c r="EO137" t="e">
        <f>AND(#REF!,"IVAC2xzmGJA=")</f>
        <v>#REF!</v>
      </c>
      <c r="EP137" t="e">
        <f>AND(#REF!,"IVAC2xzmGJE=")</f>
        <v>#REF!</v>
      </c>
      <c r="EQ137" t="e">
        <f>AND(#REF!,"IVAC2xzmGJI=")</f>
        <v>#REF!</v>
      </c>
      <c r="ER137" t="e">
        <f>AND(#REF!,"IVAC2xzmGJM=")</f>
        <v>#REF!</v>
      </c>
      <c r="ES137" t="e">
        <f>AND(#REF!,"IVAC2xzmGJQ=")</f>
        <v>#REF!</v>
      </c>
      <c r="ET137" t="e">
        <f>AND(#REF!,"IVAC2xzmGJU=")</f>
        <v>#REF!</v>
      </c>
      <c r="EU137" t="e">
        <f>AND(#REF!,"IVAC2xzmGJY=")</f>
        <v>#REF!</v>
      </c>
      <c r="EV137" t="e">
        <f>AND(#REF!,"IVAC2xzmGJc=")</f>
        <v>#REF!</v>
      </c>
      <c r="EW137" t="e">
        <f>AND(#REF!,"IVAC2xzmGJg=")</f>
        <v>#REF!</v>
      </c>
      <c r="EX137" t="e">
        <f>AND(#REF!,"IVAC2xzmGJk=")</f>
        <v>#REF!</v>
      </c>
      <c r="EY137" t="e">
        <f>AND(#REF!,"IVAC2xzmGJo=")</f>
        <v>#REF!</v>
      </c>
      <c r="EZ137" t="e">
        <f>AND(#REF!,"IVAC2xzmGJs=")</f>
        <v>#REF!</v>
      </c>
      <c r="FA137" t="e">
        <f>AND(#REF!,"IVAC2xzmGJw=")</f>
        <v>#REF!</v>
      </c>
      <c r="FB137" t="e">
        <f>AND(#REF!,"IVAC2xzmGJ0=")</f>
        <v>#REF!</v>
      </c>
      <c r="FC137" t="e">
        <f>AND(#REF!,"IVAC2xzmGJ4=")</f>
        <v>#REF!</v>
      </c>
      <c r="FD137" t="e">
        <f>AND(#REF!,"IVAC2xzmGJ8=")</f>
        <v>#REF!</v>
      </c>
      <c r="FE137" t="e">
        <f>IF(#REF!,"IVAC2xzmGKA=",0)</f>
        <v>#REF!</v>
      </c>
      <c r="FF137" t="e">
        <f>AND(#REF!,"IVAC2xzmGKE=")</f>
        <v>#REF!</v>
      </c>
      <c r="FG137" t="e">
        <f>AND(#REF!,"IVAC2xzmGKI=")</f>
        <v>#REF!</v>
      </c>
      <c r="FH137" t="e">
        <f>AND(#REF!,"IVAC2xzmGKM=")</f>
        <v>#REF!</v>
      </c>
      <c r="FI137" t="e">
        <f>AND(#REF!,"IVAC2xzmGKQ=")</f>
        <v>#REF!</v>
      </c>
      <c r="FJ137" t="e">
        <f>AND(#REF!,"IVAC2xzmGKU=")</f>
        <v>#REF!</v>
      </c>
      <c r="FK137" t="e">
        <f>AND(#REF!,"IVAC2xzmGKY=")</f>
        <v>#REF!</v>
      </c>
      <c r="FL137" t="e">
        <f>AND(#REF!,"IVAC2xzmGKc=")</f>
        <v>#REF!</v>
      </c>
      <c r="FM137" t="e">
        <f>AND(#REF!,"IVAC2xzmGKg=")</f>
        <v>#REF!</v>
      </c>
      <c r="FN137" t="e">
        <f>AND(#REF!,"IVAC2xzmGKk=")</f>
        <v>#REF!</v>
      </c>
      <c r="FO137" t="e">
        <f>AND(#REF!,"IVAC2xzmGKo=")</f>
        <v>#REF!</v>
      </c>
      <c r="FP137" t="e">
        <f>AND(#REF!,"IVAC2xzmGKs=")</f>
        <v>#REF!</v>
      </c>
      <c r="FQ137" t="e">
        <f>AND(#REF!,"IVAC2xzmGKw=")</f>
        <v>#REF!</v>
      </c>
      <c r="FR137" t="e">
        <f>AND(#REF!,"IVAC2xzmGK0=")</f>
        <v>#REF!</v>
      </c>
      <c r="FS137" t="e">
        <f>AND(#REF!,"IVAC2xzmGK4=")</f>
        <v>#REF!</v>
      </c>
      <c r="FT137" t="e">
        <f>AND(#REF!,"IVAC2xzmGK8=")</f>
        <v>#REF!</v>
      </c>
      <c r="FU137" t="e">
        <f>AND(#REF!,"IVAC2xzmGLA=")</f>
        <v>#REF!</v>
      </c>
      <c r="FV137" t="e">
        <f>IF(#REF!,"IVAC2xzmGLE=",0)</f>
        <v>#REF!</v>
      </c>
      <c r="FW137" t="e">
        <f>AND(#REF!,"IVAC2xzmGLI=")</f>
        <v>#REF!</v>
      </c>
      <c r="FX137" t="e">
        <f>AND(#REF!,"IVAC2xzmGLM=")</f>
        <v>#REF!</v>
      </c>
      <c r="FY137" t="e">
        <f>AND(#REF!,"IVAC2xzmGLQ=")</f>
        <v>#REF!</v>
      </c>
      <c r="FZ137" t="e">
        <f>AND(#REF!,"IVAC2xzmGLU=")</f>
        <v>#REF!</v>
      </c>
      <c r="GA137" t="e">
        <f>AND(#REF!,"IVAC2xzmGLY=")</f>
        <v>#REF!</v>
      </c>
      <c r="GB137" t="e">
        <f>AND(#REF!,"IVAC2xzmGLc=")</f>
        <v>#REF!</v>
      </c>
      <c r="GC137" t="e">
        <f>AND(#REF!,"IVAC2xzmGLg=")</f>
        <v>#REF!</v>
      </c>
      <c r="GD137" t="e">
        <f>AND(#REF!,"IVAC2xzmGLk=")</f>
        <v>#REF!</v>
      </c>
      <c r="GE137" t="e">
        <f>AND(#REF!,"IVAC2xzmGLo=")</f>
        <v>#REF!</v>
      </c>
      <c r="GF137" t="e">
        <f>AND(#REF!,"IVAC2xzmGLs=")</f>
        <v>#REF!</v>
      </c>
      <c r="GG137" t="e">
        <f>AND(#REF!,"IVAC2xzmGLw=")</f>
        <v>#REF!</v>
      </c>
      <c r="GH137" t="e">
        <f>AND(#REF!,"IVAC2xzmGL0=")</f>
        <v>#REF!</v>
      </c>
      <c r="GI137" t="e">
        <f>AND(#REF!,"IVAC2xzmGL4=")</f>
        <v>#REF!</v>
      </c>
      <c r="GJ137" t="e">
        <f>AND(#REF!,"IVAC2xzmGL8=")</f>
        <v>#REF!</v>
      </c>
      <c r="GK137" t="e">
        <f>AND(#REF!,"IVAC2xzmGMA=")</f>
        <v>#REF!</v>
      </c>
      <c r="GL137" t="e">
        <f>AND(#REF!,"IVAC2xzmGME=")</f>
        <v>#REF!</v>
      </c>
      <c r="GM137" t="e">
        <f>IF(#REF!,"IVAC2xzmGMI=",0)</f>
        <v>#REF!</v>
      </c>
      <c r="GN137" t="e">
        <f>AND(#REF!,"IVAC2xzmGMM=")</f>
        <v>#REF!</v>
      </c>
      <c r="GO137" t="e">
        <f>AND(#REF!,"IVAC2xzmGMQ=")</f>
        <v>#REF!</v>
      </c>
      <c r="GP137" t="e">
        <f>AND(#REF!,"IVAC2xzmGMU=")</f>
        <v>#REF!</v>
      </c>
      <c r="GQ137" t="e">
        <f>AND(#REF!,"IVAC2xzmGMY=")</f>
        <v>#REF!</v>
      </c>
      <c r="GR137" t="e">
        <f>AND(#REF!,"IVAC2xzmGMc=")</f>
        <v>#REF!</v>
      </c>
      <c r="GS137" t="e">
        <f>AND(#REF!,"IVAC2xzmGMg=")</f>
        <v>#REF!</v>
      </c>
      <c r="GT137" t="e">
        <f>AND(#REF!,"IVAC2xzmGMk=")</f>
        <v>#REF!</v>
      </c>
      <c r="GU137" t="e">
        <f>AND(#REF!,"IVAC2xzmGMo=")</f>
        <v>#REF!</v>
      </c>
      <c r="GV137" t="e">
        <f>AND(#REF!,"IVAC2xzmGMs=")</f>
        <v>#REF!</v>
      </c>
      <c r="GW137" t="e">
        <f>AND(#REF!,"IVAC2xzmGMw=")</f>
        <v>#REF!</v>
      </c>
      <c r="GX137" t="e">
        <f>AND(#REF!,"IVAC2xzmGM0=")</f>
        <v>#REF!</v>
      </c>
      <c r="GY137" t="e">
        <f>AND(#REF!,"IVAC2xzmGM4=")</f>
        <v>#REF!</v>
      </c>
      <c r="GZ137" t="e">
        <f>AND(#REF!,"IVAC2xzmGM8=")</f>
        <v>#REF!</v>
      </c>
      <c r="HA137" t="e">
        <f>AND(#REF!,"IVAC2xzmGNA=")</f>
        <v>#REF!</v>
      </c>
      <c r="HB137" t="e">
        <f>AND(#REF!,"IVAC2xzmGNE=")</f>
        <v>#REF!</v>
      </c>
      <c r="HC137" t="e">
        <f>AND(#REF!,"IVAC2xzmGNI=")</f>
        <v>#REF!</v>
      </c>
      <c r="HD137" t="e">
        <f>IF(#REF!,"IVAC2xzmGNM=",0)</f>
        <v>#REF!</v>
      </c>
      <c r="HE137" t="e">
        <f>AND(#REF!,"IVAC2xzmGNQ=")</f>
        <v>#REF!</v>
      </c>
      <c r="HF137" t="e">
        <f>AND(#REF!,"IVAC2xzmGNU=")</f>
        <v>#REF!</v>
      </c>
      <c r="HG137" t="e">
        <f>AND(#REF!,"IVAC2xzmGNY=")</f>
        <v>#REF!</v>
      </c>
      <c r="HH137" t="e">
        <f>AND(#REF!,"IVAC2xzmGNc=")</f>
        <v>#REF!</v>
      </c>
      <c r="HI137" t="e">
        <f>AND(#REF!,"IVAC2xzmGNg=")</f>
        <v>#REF!</v>
      </c>
      <c r="HJ137" t="e">
        <f>AND(#REF!,"IVAC2xzmGNk=")</f>
        <v>#REF!</v>
      </c>
      <c r="HK137" t="e">
        <f>AND(#REF!,"IVAC2xzmGNo=")</f>
        <v>#REF!</v>
      </c>
      <c r="HL137" t="e">
        <f>AND(#REF!,"IVAC2xzmGNs=")</f>
        <v>#REF!</v>
      </c>
      <c r="HM137" t="e">
        <f>AND(#REF!,"IVAC2xzmGNw=")</f>
        <v>#REF!</v>
      </c>
      <c r="HN137" t="e">
        <f>AND(#REF!,"IVAC2xzmGN0=")</f>
        <v>#REF!</v>
      </c>
      <c r="HO137" t="e">
        <f>AND(#REF!,"IVAC2xzmGN4=")</f>
        <v>#REF!</v>
      </c>
      <c r="HP137" t="e">
        <f>AND(#REF!,"IVAC2xzmGN8=")</f>
        <v>#REF!</v>
      </c>
      <c r="HQ137" t="e">
        <f>AND(#REF!,"IVAC2xzmGOA=")</f>
        <v>#REF!</v>
      </c>
      <c r="HR137" t="e">
        <f>AND(#REF!,"IVAC2xzmGOE=")</f>
        <v>#REF!</v>
      </c>
      <c r="HS137" t="e">
        <f>AND(#REF!,"IVAC2xzmGOI=")</f>
        <v>#REF!</v>
      </c>
      <c r="HT137" t="e">
        <f>AND(#REF!,"IVAC2xzmGOM=")</f>
        <v>#REF!</v>
      </c>
      <c r="HU137" t="e">
        <f>IF(#REF!,"IVAC2xzmGOQ=",0)</f>
        <v>#REF!</v>
      </c>
      <c r="HV137" t="e">
        <f>AND(#REF!,"IVAC2xzmGOU=")</f>
        <v>#REF!</v>
      </c>
      <c r="HW137" t="e">
        <f>AND(#REF!,"IVAC2xzmGOY=")</f>
        <v>#REF!</v>
      </c>
      <c r="HX137" t="e">
        <f>AND(#REF!,"IVAC2xzmGOc=")</f>
        <v>#REF!</v>
      </c>
      <c r="HY137" t="e">
        <f>AND(#REF!,"IVAC2xzmGOg=")</f>
        <v>#REF!</v>
      </c>
      <c r="HZ137" t="e">
        <f>AND(#REF!,"IVAC2xzmGOk=")</f>
        <v>#REF!</v>
      </c>
      <c r="IA137" t="e">
        <f>AND(#REF!,"IVAC2xzmGOo=")</f>
        <v>#REF!</v>
      </c>
      <c r="IB137" t="e">
        <f>AND(#REF!,"IVAC2xzmGOs=")</f>
        <v>#REF!</v>
      </c>
      <c r="IC137" t="e">
        <f>AND(#REF!,"IVAC2xzmGOw=")</f>
        <v>#REF!</v>
      </c>
      <c r="ID137" t="e">
        <f>AND(#REF!,"IVAC2xzmGO0=")</f>
        <v>#REF!</v>
      </c>
      <c r="IE137" t="e">
        <f>AND(#REF!,"IVAC2xzmGO4=")</f>
        <v>#REF!</v>
      </c>
      <c r="IF137" t="e">
        <f>AND(#REF!,"IVAC2xzmGO8=")</f>
        <v>#REF!</v>
      </c>
      <c r="IG137" t="e">
        <f>AND(#REF!,"IVAC2xzmGPA=")</f>
        <v>#REF!</v>
      </c>
      <c r="IH137" t="e">
        <f>AND(#REF!,"IVAC2xzmGPE=")</f>
        <v>#REF!</v>
      </c>
      <c r="II137" t="e">
        <f>AND(#REF!,"IVAC2xzmGPI=")</f>
        <v>#REF!</v>
      </c>
      <c r="IJ137" t="e">
        <f>AND(#REF!,"IVAC2xzmGPM=")</f>
        <v>#REF!</v>
      </c>
      <c r="IK137" t="e">
        <f>AND(#REF!,"IVAC2xzmGPQ=")</f>
        <v>#REF!</v>
      </c>
      <c r="IL137" t="e">
        <f>IF(#REF!,"IVAC2xzmGPU=",0)</f>
        <v>#REF!</v>
      </c>
      <c r="IM137" t="e">
        <f>AND(#REF!,"IVAC2xzmGPY=")</f>
        <v>#REF!</v>
      </c>
      <c r="IN137" t="e">
        <f>AND(#REF!,"IVAC2xzmGPc=")</f>
        <v>#REF!</v>
      </c>
      <c r="IO137" t="e">
        <f>AND(#REF!,"IVAC2xzmGPg=")</f>
        <v>#REF!</v>
      </c>
      <c r="IP137" t="e">
        <f>AND(#REF!,"IVAC2xzmGPk=")</f>
        <v>#REF!</v>
      </c>
      <c r="IQ137" t="e">
        <f>AND(#REF!,"IVAC2xzmGPo=")</f>
        <v>#REF!</v>
      </c>
      <c r="IR137" t="e">
        <f>AND(#REF!,"IVAC2xzmGPs=")</f>
        <v>#REF!</v>
      </c>
      <c r="IS137" t="e">
        <f>AND(#REF!,"IVAC2xzmGPw=")</f>
        <v>#REF!</v>
      </c>
      <c r="IT137" t="e">
        <f>AND(#REF!,"IVAC2xzmGP0=")</f>
        <v>#REF!</v>
      </c>
      <c r="IU137" t="e">
        <f>AND(#REF!,"IVAC2xzmGP4=")</f>
        <v>#REF!</v>
      </c>
      <c r="IV137" t="e">
        <f>AND(#REF!,"IVAC2xzmGP8=")</f>
        <v>#REF!</v>
      </c>
    </row>
    <row r="138" spans="1:256" x14ac:dyDescent="0.2">
      <c r="A138" t="e">
        <f>AND(#REF!,"XIvoLmOYawA=")</f>
        <v>#REF!</v>
      </c>
      <c r="B138" t="e">
        <f>AND(#REF!,"XIvoLmOYawE=")</f>
        <v>#REF!</v>
      </c>
      <c r="C138" t="e">
        <f>AND(#REF!,"XIvoLmOYawI=")</f>
        <v>#REF!</v>
      </c>
      <c r="D138" t="e">
        <f>AND(#REF!,"XIvoLmOYawM=")</f>
        <v>#REF!</v>
      </c>
      <c r="E138" t="e">
        <f>AND(#REF!,"XIvoLmOYawQ=")</f>
        <v>#REF!</v>
      </c>
      <c r="F138" t="e">
        <f>AND(#REF!,"XIvoLmOYawU=")</f>
        <v>#REF!</v>
      </c>
      <c r="G138" t="e">
        <f>IF(#REF!,"XIvoLmOYawY=",0)</f>
        <v>#REF!</v>
      </c>
      <c r="H138" t="e">
        <f>AND(#REF!,"XIvoLmOYawc=")</f>
        <v>#REF!</v>
      </c>
      <c r="I138" t="e">
        <f>AND(#REF!,"XIvoLmOYawg=")</f>
        <v>#REF!</v>
      </c>
      <c r="J138" t="e">
        <f>AND(#REF!,"XIvoLmOYawk=")</f>
        <v>#REF!</v>
      </c>
      <c r="K138" t="e">
        <f>AND(#REF!,"XIvoLmOYawo=")</f>
        <v>#REF!</v>
      </c>
      <c r="L138" t="e">
        <f>AND(#REF!,"XIvoLmOYaws=")</f>
        <v>#REF!</v>
      </c>
      <c r="M138" t="e">
        <f>AND(#REF!,"XIvoLmOYaww=")</f>
        <v>#REF!</v>
      </c>
      <c r="N138" t="e">
        <f>AND(#REF!,"XIvoLmOYaw0=")</f>
        <v>#REF!</v>
      </c>
      <c r="O138" t="e">
        <f>AND(#REF!,"XIvoLmOYaw4=")</f>
        <v>#REF!</v>
      </c>
      <c r="P138" t="e">
        <f>AND(#REF!,"XIvoLmOYaw8=")</f>
        <v>#REF!</v>
      </c>
      <c r="Q138" t="e">
        <f>AND(#REF!,"XIvoLmOYaxA=")</f>
        <v>#REF!</v>
      </c>
      <c r="R138" t="e">
        <f>AND(#REF!,"XIvoLmOYaxE=")</f>
        <v>#REF!</v>
      </c>
      <c r="S138" t="e">
        <f>AND(#REF!,"XIvoLmOYaxI=")</f>
        <v>#REF!</v>
      </c>
      <c r="T138" t="e">
        <f>AND(#REF!,"XIvoLmOYaxM=")</f>
        <v>#REF!</v>
      </c>
      <c r="U138" t="e">
        <f>AND(#REF!,"XIvoLmOYaxQ=")</f>
        <v>#REF!</v>
      </c>
      <c r="V138" t="e">
        <f>AND(#REF!,"XIvoLmOYaxU=")</f>
        <v>#REF!</v>
      </c>
      <c r="W138" t="e">
        <f>AND(#REF!,"XIvoLmOYaxY=")</f>
        <v>#REF!</v>
      </c>
      <c r="X138" t="e">
        <f>IF(#REF!,"XIvoLmOYaxc=",0)</f>
        <v>#REF!</v>
      </c>
      <c r="Y138" t="e">
        <f>AND(#REF!,"XIvoLmOYaxg=")</f>
        <v>#REF!</v>
      </c>
      <c r="Z138" t="e">
        <f>AND(#REF!,"XIvoLmOYaxk=")</f>
        <v>#REF!</v>
      </c>
      <c r="AA138" t="e">
        <f>AND(#REF!,"XIvoLmOYaxo=")</f>
        <v>#REF!</v>
      </c>
      <c r="AB138" t="e">
        <f>AND(#REF!,"XIvoLmOYaxs=")</f>
        <v>#REF!</v>
      </c>
      <c r="AC138" t="e">
        <f>AND(#REF!,"XIvoLmOYaxw=")</f>
        <v>#REF!</v>
      </c>
      <c r="AD138" t="e">
        <f>AND(#REF!,"XIvoLmOYax0=")</f>
        <v>#REF!</v>
      </c>
      <c r="AE138" t="e">
        <f>AND(#REF!,"XIvoLmOYax4=")</f>
        <v>#REF!</v>
      </c>
      <c r="AF138" t="e">
        <f>AND(#REF!,"XIvoLmOYax8=")</f>
        <v>#REF!</v>
      </c>
      <c r="AG138" t="e">
        <f>AND(#REF!,"XIvoLmOYayA=")</f>
        <v>#REF!</v>
      </c>
      <c r="AH138" t="e">
        <f>AND(#REF!,"XIvoLmOYayE=")</f>
        <v>#REF!</v>
      </c>
      <c r="AI138" t="e">
        <f>AND(#REF!,"XIvoLmOYayI=")</f>
        <v>#REF!</v>
      </c>
      <c r="AJ138" t="e">
        <f>AND(#REF!,"XIvoLmOYayM=")</f>
        <v>#REF!</v>
      </c>
      <c r="AK138" t="e">
        <f>AND(#REF!,"XIvoLmOYayQ=")</f>
        <v>#REF!</v>
      </c>
      <c r="AL138" t="e">
        <f>AND(#REF!,"XIvoLmOYayU=")</f>
        <v>#REF!</v>
      </c>
      <c r="AM138" t="e">
        <f>AND(#REF!,"XIvoLmOYayY=")</f>
        <v>#REF!</v>
      </c>
      <c r="AN138" t="e">
        <f>AND(#REF!,"XIvoLmOYayc=")</f>
        <v>#REF!</v>
      </c>
      <c r="AO138" t="e">
        <f>IF(#REF!,"XIvoLmOYayg=",0)</f>
        <v>#REF!</v>
      </c>
      <c r="AP138" t="e">
        <f>AND(#REF!,"XIvoLmOYayk=")</f>
        <v>#REF!</v>
      </c>
      <c r="AQ138" t="e">
        <f>AND(#REF!,"XIvoLmOYayo=")</f>
        <v>#REF!</v>
      </c>
      <c r="AR138" t="e">
        <f>AND(#REF!,"XIvoLmOYays=")</f>
        <v>#REF!</v>
      </c>
      <c r="AS138" t="e">
        <f>AND(#REF!,"XIvoLmOYayw=")</f>
        <v>#REF!</v>
      </c>
      <c r="AT138" t="e">
        <f>AND(#REF!,"XIvoLmOYay0=")</f>
        <v>#REF!</v>
      </c>
      <c r="AU138" t="e">
        <f>AND(#REF!,"XIvoLmOYay4=")</f>
        <v>#REF!</v>
      </c>
      <c r="AV138" t="e">
        <f>AND(#REF!,"XIvoLmOYay8=")</f>
        <v>#REF!</v>
      </c>
      <c r="AW138" t="e">
        <f>AND(#REF!,"XIvoLmOYazA=")</f>
        <v>#REF!</v>
      </c>
      <c r="AX138" t="e">
        <f>AND(#REF!,"XIvoLmOYazE=")</f>
        <v>#REF!</v>
      </c>
      <c r="AY138" t="e">
        <f>AND(#REF!,"XIvoLmOYazI=")</f>
        <v>#REF!</v>
      </c>
      <c r="AZ138" t="e">
        <f>AND(#REF!,"XIvoLmOYazM=")</f>
        <v>#REF!</v>
      </c>
      <c r="BA138" t="e">
        <f>AND(#REF!,"XIvoLmOYazQ=")</f>
        <v>#REF!</v>
      </c>
      <c r="BB138" t="e">
        <f>AND(#REF!,"XIvoLmOYazU=")</f>
        <v>#REF!</v>
      </c>
      <c r="BC138" t="e">
        <f>AND(#REF!,"XIvoLmOYazY=")</f>
        <v>#REF!</v>
      </c>
      <c r="BD138" t="e">
        <f>AND(#REF!,"XIvoLmOYazc=")</f>
        <v>#REF!</v>
      </c>
      <c r="BE138" t="e">
        <f>AND(#REF!,"XIvoLmOYazg=")</f>
        <v>#REF!</v>
      </c>
      <c r="BF138" t="e">
        <f>IF(#REF!,"XIvoLmOYazk=",0)</f>
        <v>#REF!</v>
      </c>
      <c r="BG138" t="e">
        <f>AND(#REF!,"XIvoLmOYazo=")</f>
        <v>#REF!</v>
      </c>
      <c r="BH138" t="e">
        <f>AND(#REF!,"XIvoLmOYazs=")</f>
        <v>#REF!</v>
      </c>
      <c r="BI138" t="e">
        <f>AND(#REF!,"XIvoLmOYazw=")</f>
        <v>#REF!</v>
      </c>
      <c r="BJ138" t="e">
        <f>AND(#REF!,"XIvoLmOYaz0=")</f>
        <v>#REF!</v>
      </c>
      <c r="BK138" t="e">
        <f>AND(#REF!,"XIvoLmOYaz4=")</f>
        <v>#REF!</v>
      </c>
      <c r="BL138" t="e">
        <f>AND(#REF!,"XIvoLmOYaz8=")</f>
        <v>#REF!</v>
      </c>
      <c r="BM138" t="e">
        <f>AND(#REF!,"XIvoLmOYa0A=")</f>
        <v>#REF!</v>
      </c>
      <c r="BN138" t="e">
        <f>AND(#REF!,"XIvoLmOYa0E=")</f>
        <v>#REF!</v>
      </c>
      <c r="BO138" t="e">
        <f>AND(#REF!,"XIvoLmOYa0I=")</f>
        <v>#REF!</v>
      </c>
      <c r="BP138" t="e">
        <f>AND(#REF!,"XIvoLmOYa0M=")</f>
        <v>#REF!</v>
      </c>
      <c r="BQ138" t="e">
        <f>AND(#REF!,"XIvoLmOYa0Q=")</f>
        <v>#REF!</v>
      </c>
      <c r="BR138" t="e">
        <f>AND(#REF!,"XIvoLmOYa0U=")</f>
        <v>#REF!</v>
      </c>
      <c r="BS138" t="e">
        <f>AND(#REF!,"XIvoLmOYa0Y=")</f>
        <v>#REF!</v>
      </c>
      <c r="BT138" t="e">
        <f>AND(#REF!,"XIvoLmOYa0c=")</f>
        <v>#REF!</v>
      </c>
      <c r="BU138" t="e">
        <f>AND(#REF!,"XIvoLmOYa0g=")</f>
        <v>#REF!</v>
      </c>
      <c r="BV138" t="e">
        <f>AND(#REF!,"XIvoLmOYa0k=")</f>
        <v>#REF!</v>
      </c>
      <c r="BW138" t="e">
        <f>IF(#REF!,"XIvoLmOYa0o=",0)</f>
        <v>#REF!</v>
      </c>
      <c r="BX138" t="e">
        <f>AND(#REF!,"XIvoLmOYa0s=")</f>
        <v>#REF!</v>
      </c>
      <c r="BY138" t="e">
        <f>AND(#REF!,"XIvoLmOYa0w=")</f>
        <v>#REF!</v>
      </c>
      <c r="BZ138" t="e">
        <f>AND(#REF!,"XIvoLmOYa00=")</f>
        <v>#REF!</v>
      </c>
      <c r="CA138" t="e">
        <f>AND(#REF!,"XIvoLmOYa04=")</f>
        <v>#REF!</v>
      </c>
      <c r="CB138" t="e">
        <f>AND(#REF!,"XIvoLmOYa08=")</f>
        <v>#REF!</v>
      </c>
      <c r="CC138" t="e">
        <f>AND(#REF!,"XIvoLmOYa1A=")</f>
        <v>#REF!</v>
      </c>
      <c r="CD138" t="e">
        <f>AND(#REF!,"XIvoLmOYa1E=")</f>
        <v>#REF!</v>
      </c>
      <c r="CE138" t="e">
        <f>AND(#REF!,"XIvoLmOYa1I=")</f>
        <v>#REF!</v>
      </c>
      <c r="CF138" t="e">
        <f>AND(#REF!,"XIvoLmOYa1M=")</f>
        <v>#REF!</v>
      </c>
      <c r="CG138" t="e">
        <f>AND(#REF!,"XIvoLmOYa1Q=")</f>
        <v>#REF!</v>
      </c>
      <c r="CH138" t="e">
        <f>AND(#REF!,"XIvoLmOYa1U=")</f>
        <v>#REF!</v>
      </c>
      <c r="CI138" t="e">
        <f>AND(#REF!,"XIvoLmOYa1Y=")</f>
        <v>#REF!</v>
      </c>
      <c r="CJ138" t="e">
        <f>AND(#REF!,"XIvoLmOYa1c=")</f>
        <v>#REF!</v>
      </c>
      <c r="CK138" t="e">
        <f>AND(#REF!,"XIvoLmOYa1g=")</f>
        <v>#REF!</v>
      </c>
      <c r="CL138" t="e">
        <f>AND(#REF!,"XIvoLmOYa1k=")</f>
        <v>#REF!</v>
      </c>
      <c r="CM138" t="e">
        <f>AND(#REF!,"XIvoLmOYa1o=")</f>
        <v>#REF!</v>
      </c>
      <c r="CN138" t="e">
        <f>IF(#REF!,"XIvoLmOYa1s=",0)</f>
        <v>#REF!</v>
      </c>
      <c r="CO138" t="e">
        <f>AND(#REF!,"XIvoLmOYa1w=")</f>
        <v>#REF!</v>
      </c>
      <c r="CP138" t="e">
        <f>AND(#REF!,"XIvoLmOYa10=")</f>
        <v>#REF!</v>
      </c>
      <c r="CQ138" t="e">
        <f>AND(#REF!,"XIvoLmOYa14=")</f>
        <v>#REF!</v>
      </c>
      <c r="CR138" t="e">
        <f>AND(#REF!,"XIvoLmOYa18=")</f>
        <v>#REF!</v>
      </c>
      <c r="CS138" t="e">
        <f>AND(#REF!,"XIvoLmOYa2A=")</f>
        <v>#REF!</v>
      </c>
      <c r="CT138" t="e">
        <f>AND(#REF!,"XIvoLmOYa2E=")</f>
        <v>#REF!</v>
      </c>
      <c r="CU138" t="e">
        <f>AND(#REF!,"XIvoLmOYa2I=")</f>
        <v>#REF!</v>
      </c>
      <c r="CV138" t="e">
        <f>AND(#REF!,"XIvoLmOYa2M=")</f>
        <v>#REF!</v>
      </c>
      <c r="CW138" t="e">
        <f>AND(#REF!,"XIvoLmOYa2Q=")</f>
        <v>#REF!</v>
      </c>
      <c r="CX138" t="e">
        <f>AND(#REF!,"XIvoLmOYa2U=")</f>
        <v>#REF!</v>
      </c>
      <c r="CY138" t="e">
        <f>AND(#REF!,"XIvoLmOYa2Y=")</f>
        <v>#REF!</v>
      </c>
      <c r="CZ138" t="e">
        <f>AND(#REF!,"XIvoLmOYa2c=")</f>
        <v>#REF!</v>
      </c>
      <c r="DA138" t="e">
        <f>AND(#REF!,"XIvoLmOYa2g=")</f>
        <v>#REF!</v>
      </c>
      <c r="DB138" t="e">
        <f>AND(#REF!,"XIvoLmOYa2k=")</f>
        <v>#REF!</v>
      </c>
      <c r="DC138" t="e">
        <f>AND(#REF!,"XIvoLmOYa2o=")</f>
        <v>#REF!</v>
      </c>
      <c r="DD138" t="e">
        <f>AND(#REF!,"XIvoLmOYa2s=")</f>
        <v>#REF!</v>
      </c>
      <c r="DE138" t="e">
        <f>IF(#REF!,"XIvoLmOYa2w=",0)</f>
        <v>#REF!</v>
      </c>
      <c r="DF138" t="e">
        <f>AND(#REF!,"XIvoLmOYa20=")</f>
        <v>#REF!</v>
      </c>
      <c r="DG138" t="e">
        <f>AND(#REF!,"XIvoLmOYa24=")</f>
        <v>#REF!</v>
      </c>
      <c r="DH138" t="e">
        <f>AND(#REF!,"XIvoLmOYa28=")</f>
        <v>#REF!</v>
      </c>
      <c r="DI138" t="e">
        <f>AND(#REF!,"XIvoLmOYa3A=")</f>
        <v>#REF!</v>
      </c>
      <c r="DJ138" t="e">
        <f>AND(#REF!,"XIvoLmOYa3E=")</f>
        <v>#REF!</v>
      </c>
      <c r="DK138" t="e">
        <f>AND(#REF!,"XIvoLmOYa3I=")</f>
        <v>#REF!</v>
      </c>
      <c r="DL138" t="e">
        <f>AND(#REF!,"XIvoLmOYa3M=")</f>
        <v>#REF!</v>
      </c>
      <c r="DM138" t="e">
        <f>AND(#REF!,"XIvoLmOYa3Q=")</f>
        <v>#REF!</v>
      </c>
      <c r="DN138" t="e">
        <f>AND(#REF!,"XIvoLmOYa3U=")</f>
        <v>#REF!</v>
      </c>
      <c r="DO138" t="e">
        <f>AND(#REF!,"XIvoLmOYa3Y=")</f>
        <v>#REF!</v>
      </c>
      <c r="DP138" t="e">
        <f>AND(#REF!,"XIvoLmOYa3c=")</f>
        <v>#REF!</v>
      </c>
      <c r="DQ138" t="e">
        <f>AND(#REF!,"XIvoLmOYa3g=")</f>
        <v>#REF!</v>
      </c>
      <c r="DR138" t="e">
        <f>AND(#REF!,"XIvoLmOYa3k=")</f>
        <v>#REF!</v>
      </c>
      <c r="DS138" t="e">
        <f>AND(#REF!,"XIvoLmOYa3o=")</f>
        <v>#REF!</v>
      </c>
      <c r="DT138" t="e">
        <f>AND(#REF!,"XIvoLmOYa3s=")</f>
        <v>#REF!</v>
      </c>
      <c r="DU138" t="e">
        <f>AND(#REF!,"XIvoLmOYa3w=")</f>
        <v>#REF!</v>
      </c>
      <c r="DV138" t="e">
        <f>IF(#REF!,"XIvoLmOYa30=",0)</f>
        <v>#REF!</v>
      </c>
      <c r="DW138" t="e">
        <f>AND(#REF!,"XIvoLmOYa34=")</f>
        <v>#REF!</v>
      </c>
      <c r="DX138" t="e">
        <f>AND(#REF!,"XIvoLmOYa38=")</f>
        <v>#REF!</v>
      </c>
      <c r="DY138" t="e">
        <f>AND(#REF!,"XIvoLmOYa4A=")</f>
        <v>#REF!</v>
      </c>
      <c r="DZ138" t="e">
        <f>AND(#REF!,"XIvoLmOYa4E=")</f>
        <v>#REF!</v>
      </c>
      <c r="EA138" t="e">
        <f>AND(#REF!,"XIvoLmOYa4I=")</f>
        <v>#REF!</v>
      </c>
      <c r="EB138" t="e">
        <f>AND(#REF!,"XIvoLmOYa4M=")</f>
        <v>#REF!</v>
      </c>
      <c r="EC138" t="e">
        <f>AND(#REF!,"XIvoLmOYa4Q=")</f>
        <v>#REF!</v>
      </c>
      <c r="ED138" t="e">
        <f>AND(#REF!,"XIvoLmOYa4U=")</f>
        <v>#REF!</v>
      </c>
      <c r="EE138" t="e">
        <f>AND(#REF!,"XIvoLmOYa4Y=")</f>
        <v>#REF!</v>
      </c>
      <c r="EF138" t="e">
        <f>AND(#REF!,"XIvoLmOYa4c=")</f>
        <v>#REF!</v>
      </c>
      <c r="EG138" t="e">
        <f>AND(#REF!,"XIvoLmOYa4g=")</f>
        <v>#REF!</v>
      </c>
      <c r="EH138" t="e">
        <f>AND(#REF!,"XIvoLmOYa4k=")</f>
        <v>#REF!</v>
      </c>
      <c r="EI138" t="e">
        <f>AND(#REF!,"XIvoLmOYa4o=")</f>
        <v>#REF!</v>
      </c>
      <c r="EJ138" t="e">
        <f>AND(#REF!,"XIvoLmOYa4s=")</f>
        <v>#REF!</v>
      </c>
      <c r="EK138" t="e">
        <f>AND(#REF!,"XIvoLmOYa4w=")</f>
        <v>#REF!</v>
      </c>
      <c r="EL138" t="e">
        <f>AND(#REF!,"XIvoLmOYa40=")</f>
        <v>#REF!</v>
      </c>
      <c r="EM138" t="e">
        <f>IF(#REF!,"XIvoLmOYa44=",0)</f>
        <v>#REF!</v>
      </c>
      <c r="EN138" t="e">
        <f>AND(#REF!,"XIvoLmOYa48=")</f>
        <v>#REF!</v>
      </c>
      <c r="EO138" t="e">
        <f>AND(#REF!,"XIvoLmOYa5A=")</f>
        <v>#REF!</v>
      </c>
      <c r="EP138" t="e">
        <f>AND(#REF!,"XIvoLmOYa5E=")</f>
        <v>#REF!</v>
      </c>
      <c r="EQ138" t="e">
        <f>AND(#REF!,"XIvoLmOYa5I=")</f>
        <v>#REF!</v>
      </c>
      <c r="ER138" t="e">
        <f>AND(#REF!,"XIvoLmOYa5M=")</f>
        <v>#REF!</v>
      </c>
      <c r="ES138" t="e">
        <f>AND(#REF!,"XIvoLmOYa5Q=")</f>
        <v>#REF!</v>
      </c>
      <c r="ET138" t="e">
        <f>AND(#REF!,"XIvoLmOYa5U=")</f>
        <v>#REF!</v>
      </c>
      <c r="EU138" t="e">
        <f>AND(#REF!,"XIvoLmOYa5Y=")</f>
        <v>#REF!</v>
      </c>
      <c r="EV138" t="e">
        <f>AND(#REF!,"XIvoLmOYa5c=")</f>
        <v>#REF!</v>
      </c>
      <c r="EW138" t="e">
        <f>AND(#REF!,"XIvoLmOYa5g=")</f>
        <v>#REF!</v>
      </c>
      <c r="EX138" t="e">
        <f>AND(#REF!,"XIvoLmOYa5k=")</f>
        <v>#REF!</v>
      </c>
      <c r="EY138" t="e">
        <f>AND(#REF!,"XIvoLmOYa5o=")</f>
        <v>#REF!</v>
      </c>
      <c r="EZ138" t="e">
        <f>AND(#REF!,"XIvoLmOYa5s=")</f>
        <v>#REF!</v>
      </c>
      <c r="FA138" t="e">
        <f>AND(#REF!,"XIvoLmOYa5w=")</f>
        <v>#REF!</v>
      </c>
      <c r="FB138" t="e">
        <f>AND(#REF!,"XIvoLmOYa50=")</f>
        <v>#REF!</v>
      </c>
      <c r="FC138" t="e">
        <f>AND(#REF!,"XIvoLmOYa54=")</f>
        <v>#REF!</v>
      </c>
      <c r="FD138" t="e">
        <f>IF(#REF!,"XIvoLmOYa58=",0)</f>
        <v>#REF!</v>
      </c>
      <c r="FE138" t="e">
        <f>AND(#REF!,"XIvoLmOYa6A=")</f>
        <v>#REF!</v>
      </c>
      <c r="FF138" t="e">
        <f>AND(#REF!,"XIvoLmOYa6E=")</f>
        <v>#REF!</v>
      </c>
      <c r="FG138" t="e">
        <f>AND(#REF!,"XIvoLmOYa6I=")</f>
        <v>#REF!</v>
      </c>
      <c r="FH138" t="e">
        <f>AND(#REF!,"XIvoLmOYa6M=")</f>
        <v>#REF!</v>
      </c>
      <c r="FI138" t="e">
        <f>AND(#REF!,"XIvoLmOYa6Q=")</f>
        <v>#REF!</v>
      </c>
      <c r="FJ138" t="e">
        <f>AND(#REF!,"XIvoLmOYa6U=")</f>
        <v>#REF!</v>
      </c>
      <c r="FK138" t="e">
        <f>AND(#REF!,"XIvoLmOYa6Y=")</f>
        <v>#REF!</v>
      </c>
      <c r="FL138" t="e">
        <f>AND(#REF!,"XIvoLmOYa6c=")</f>
        <v>#REF!</v>
      </c>
      <c r="FM138" t="e">
        <f>AND(#REF!,"XIvoLmOYa6g=")</f>
        <v>#REF!</v>
      </c>
      <c r="FN138" t="e">
        <f>AND(#REF!,"XIvoLmOYa6k=")</f>
        <v>#REF!</v>
      </c>
      <c r="FO138" t="e">
        <f>AND(#REF!,"XIvoLmOYa6o=")</f>
        <v>#REF!</v>
      </c>
      <c r="FP138" t="e">
        <f>AND(#REF!,"XIvoLmOYa6s=")</f>
        <v>#REF!</v>
      </c>
      <c r="FQ138" t="e">
        <f>AND(#REF!,"XIvoLmOYa6w=")</f>
        <v>#REF!</v>
      </c>
      <c r="FR138" t="e">
        <f>AND(#REF!,"XIvoLmOYa60=")</f>
        <v>#REF!</v>
      </c>
      <c r="FS138" t="e">
        <f>AND(#REF!,"XIvoLmOYa64=")</f>
        <v>#REF!</v>
      </c>
      <c r="FT138" t="e">
        <f>AND(#REF!,"XIvoLmOYa68=")</f>
        <v>#REF!</v>
      </c>
      <c r="FU138" t="e">
        <f>IF(#REF!,"XIvoLmOYa7A=",0)</f>
        <v>#REF!</v>
      </c>
      <c r="FV138" t="e">
        <f>AND(#REF!,"XIvoLmOYa7E=")</f>
        <v>#REF!</v>
      </c>
      <c r="FW138" t="e">
        <f>AND(#REF!,"XIvoLmOYa7I=")</f>
        <v>#REF!</v>
      </c>
      <c r="FX138" t="e">
        <f>AND(#REF!,"XIvoLmOYa7M=")</f>
        <v>#REF!</v>
      </c>
      <c r="FY138" t="e">
        <f>AND(#REF!,"XIvoLmOYa7Q=")</f>
        <v>#REF!</v>
      </c>
      <c r="FZ138" t="e">
        <f>AND(#REF!,"XIvoLmOYa7U=")</f>
        <v>#REF!</v>
      </c>
      <c r="GA138" t="e">
        <f>AND(#REF!,"XIvoLmOYa7Y=")</f>
        <v>#REF!</v>
      </c>
      <c r="GB138" t="e">
        <f>AND(#REF!,"XIvoLmOYa7c=")</f>
        <v>#REF!</v>
      </c>
      <c r="GC138" t="e">
        <f>AND(#REF!,"XIvoLmOYa7g=")</f>
        <v>#REF!</v>
      </c>
      <c r="GD138" t="e">
        <f>AND(#REF!,"XIvoLmOYa7k=")</f>
        <v>#REF!</v>
      </c>
      <c r="GE138" t="e">
        <f>AND(#REF!,"XIvoLmOYa7o=")</f>
        <v>#REF!</v>
      </c>
      <c r="GF138" t="e">
        <f>AND(#REF!,"XIvoLmOYa7s=")</f>
        <v>#REF!</v>
      </c>
      <c r="GG138" t="e">
        <f>AND(#REF!,"XIvoLmOYa7w=")</f>
        <v>#REF!</v>
      </c>
      <c r="GH138" t="e">
        <f>AND(#REF!,"XIvoLmOYa70=")</f>
        <v>#REF!</v>
      </c>
      <c r="GI138" t="e">
        <f>AND(#REF!,"XIvoLmOYa74=")</f>
        <v>#REF!</v>
      </c>
      <c r="GJ138" t="e">
        <f>AND(#REF!,"XIvoLmOYa78=")</f>
        <v>#REF!</v>
      </c>
      <c r="GK138" t="e">
        <f>AND(#REF!,"XIvoLmOYa8A=")</f>
        <v>#REF!</v>
      </c>
      <c r="GL138" t="e">
        <f>IF(#REF!,"XIvoLmOYa8E=",0)</f>
        <v>#REF!</v>
      </c>
      <c r="GM138" t="e">
        <f>AND(#REF!,"XIvoLmOYa8I=")</f>
        <v>#REF!</v>
      </c>
      <c r="GN138" t="e">
        <f>AND(#REF!,"XIvoLmOYa8M=")</f>
        <v>#REF!</v>
      </c>
      <c r="GO138" t="e">
        <f>AND(#REF!,"XIvoLmOYa8Q=")</f>
        <v>#REF!</v>
      </c>
      <c r="GP138" t="e">
        <f>AND(#REF!,"XIvoLmOYa8U=")</f>
        <v>#REF!</v>
      </c>
      <c r="GQ138" t="e">
        <f>AND(#REF!,"XIvoLmOYa8Y=")</f>
        <v>#REF!</v>
      </c>
      <c r="GR138" t="e">
        <f>AND(#REF!,"XIvoLmOYa8c=")</f>
        <v>#REF!</v>
      </c>
      <c r="GS138" t="e">
        <f>AND(#REF!,"XIvoLmOYa8g=")</f>
        <v>#REF!</v>
      </c>
      <c r="GT138" t="e">
        <f>AND(#REF!,"XIvoLmOYa8k=")</f>
        <v>#REF!</v>
      </c>
      <c r="GU138" t="e">
        <f>AND(#REF!,"XIvoLmOYa8o=")</f>
        <v>#REF!</v>
      </c>
      <c r="GV138" t="e">
        <f>AND(#REF!,"XIvoLmOYa8s=")</f>
        <v>#REF!</v>
      </c>
      <c r="GW138" t="e">
        <f>AND(#REF!,"XIvoLmOYa8w=")</f>
        <v>#REF!</v>
      </c>
      <c r="GX138" t="e">
        <f>AND(#REF!,"XIvoLmOYa80=")</f>
        <v>#REF!</v>
      </c>
      <c r="GY138" t="e">
        <f>AND(#REF!,"XIvoLmOYa84=")</f>
        <v>#REF!</v>
      </c>
      <c r="GZ138" t="e">
        <f>AND(#REF!,"XIvoLmOYa88=")</f>
        <v>#REF!</v>
      </c>
      <c r="HA138" t="e">
        <f>AND(#REF!,"XIvoLmOYa9A=")</f>
        <v>#REF!</v>
      </c>
      <c r="HB138" t="e">
        <f>AND(#REF!,"XIvoLmOYa9E=")</f>
        <v>#REF!</v>
      </c>
      <c r="HC138" t="e">
        <f>IF(#REF!,"XIvoLmOYa9I=",0)</f>
        <v>#REF!</v>
      </c>
      <c r="HD138" t="e">
        <f>AND(#REF!,"XIvoLmOYa9M=")</f>
        <v>#REF!</v>
      </c>
      <c r="HE138" t="e">
        <f>AND(#REF!,"XIvoLmOYa9Q=")</f>
        <v>#REF!</v>
      </c>
      <c r="HF138" t="e">
        <f>AND(#REF!,"XIvoLmOYa9U=")</f>
        <v>#REF!</v>
      </c>
      <c r="HG138" t="e">
        <f>AND(#REF!,"XIvoLmOYa9Y=")</f>
        <v>#REF!</v>
      </c>
      <c r="HH138" t="e">
        <f>AND(#REF!,"XIvoLmOYa9c=")</f>
        <v>#REF!</v>
      </c>
      <c r="HI138" t="e">
        <f>AND(#REF!,"XIvoLmOYa9g=")</f>
        <v>#REF!</v>
      </c>
      <c r="HJ138" t="e">
        <f>AND(#REF!,"XIvoLmOYa9k=")</f>
        <v>#REF!</v>
      </c>
      <c r="HK138" t="e">
        <f>AND(#REF!,"XIvoLmOYa9o=")</f>
        <v>#REF!</v>
      </c>
      <c r="HL138" t="e">
        <f>AND(#REF!,"XIvoLmOYa9s=")</f>
        <v>#REF!</v>
      </c>
      <c r="HM138" t="e">
        <f>AND(#REF!,"XIvoLmOYa9w=")</f>
        <v>#REF!</v>
      </c>
      <c r="HN138" t="e">
        <f>AND(#REF!,"XIvoLmOYa90=")</f>
        <v>#REF!</v>
      </c>
      <c r="HO138" t="e">
        <f>AND(#REF!,"XIvoLmOYa94=")</f>
        <v>#REF!</v>
      </c>
      <c r="HP138" t="e">
        <f>AND(#REF!,"XIvoLmOYa98=")</f>
        <v>#REF!</v>
      </c>
      <c r="HQ138" t="e">
        <f>AND(#REF!,"XIvoLmOYa+A=")</f>
        <v>#REF!</v>
      </c>
      <c r="HR138" t="e">
        <f>AND(#REF!,"XIvoLmOYa+E=")</f>
        <v>#REF!</v>
      </c>
      <c r="HS138" t="e">
        <f>AND(#REF!,"XIvoLmOYa+I=")</f>
        <v>#REF!</v>
      </c>
      <c r="HT138" t="e">
        <f>IF(#REF!,"XIvoLmOYa+M=",0)</f>
        <v>#REF!</v>
      </c>
      <c r="HU138" t="e">
        <f>AND(#REF!,"XIvoLmOYa+Q=")</f>
        <v>#REF!</v>
      </c>
      <c r="HV138" t="e">
        <f>AND(#REF!,"XIvoLmOYa+U=")</f>
        <v>#REF!</v>
      </c>
      <c r="HW138" t="e">
        <f>AND(#REF!,"XIvoLmOYa+Y=")</f>
        <v>#REF!</v>
      </c>
      <c r="HX138" t="e">
        <f>AND(#REF!,"XIvoLmOYa+c=")</f>
        <v>#REF!</v>
      </c>
      <c r="HY138" t="e">
        <f>AND(#REF!,"XIvoLmOYa+g=")</f>
        <v>#REF!</v>
      </c>
      <c r="HZ138" t="e">
        <f>AND(#REF!,"XIvoLmOYa+k=")</f>
        <v>#REF!</v>
      </c>
      <c r="IA138" t="e">
        <f>AND(#REF!,"XIvoLmOYa+o=")</f>
        <v>#REF!</v>
      </c>
      <c r="IB138" t="e">
        <f>AND(#REF!,"XIvoLmOYa+s=")</f>
        <v>#REF!</v>
      </c>
      <c r="IC138" t="e">
        <f>AND(#REF!,"XIvoLmOYa+w=")</f>
        <v>#REF!</v>
      </c>
      <c r="ID138" t="e">
        <f>AND(#REF!,"XIvoLmOYa+0=")</f>
        <v>#REF!</v>
      </c>
      <c r="IE138" t="e">
        <f>AND(#REF!,"XIvoLmOYa+4=")</f>
        <v>#REF!</v>
      </c>
      <c r="IF138" t="e">
        <f>AND(#REF!,"XIvoLmOYa+8=")</f>
        <v>#REF!</v>
      </c>
      <c r="IG138" t="e">
        <f>AND(#REF!,"XIvoLmOYa/A=")</f>
        <v>#REF!</v>
      </c>
      <c r="IH138" t="e">
        <f>AND(#REF!,"XIvoLmOYa/E=")</f>
        <v>#REF!</v>
      </c>
      <c r="II138" t="e">
        <f>AND(#REF!,"XIvoLmOYa/I=")</f>
        <v>#REF!</v>
      </c>
      <c r="IJ138" t="e">
        <f>AND(#REF!,"XIvoLmOYa/M=")</f>
        <v>#REF!</v>
      </c>
      <c r="IK138" t="e">
        <f>IF(#REF!,"XIvoLmOYa/Q=",0)</f>
        <v>#REF!</v>
      </c>
      <c r="IL138" t="e">
        <f>AND(#REF!,"XIvoLmOYa/U=")</f>
        <v>#REF!</v>
      </c>
      <c r="IM138" t="e">
        <f>AND(#REF!,"XIvoLmOYa/Y=")</f>
        <v>#REF!</v>
      </c>
      <c r="IN138" t="e">
        <f>AND(#REF!,"XIvoLmOYa/c=")</f>
        <v>#REF!</v>
      </c>
      <c r="IO138" t="e">
        <f>AND(#REF!,"XIvoLmOYa/g=")</f>
        <v>#REF!</v>
      </c>
      <c r="IP138" t="e">
        <f>AND(#REF!,"XIvoLmOYa/k=")</f>
        <v>#REF!</v>
      </c>
      <c r="IQ138" t="e">
        <f>AND(#REF!,"XIvoLmOYa/o=")</f>
        <v>#REF!</v>
      </c>
      <c r="IR138" t="e">
        <f>AND(#REF!,"XIvoLmOYa/s=")</f>
        <v>#REF!</v>
      </c>
      <c r="IS138" t="e">
        <f>AND(#REF!,"XIvoLmOYa/w=")</f>
        <v>#REF!</v>
      </c>
      <c r="IT138" t="e">
        <f>AND(#REF!,"XIvoLmOYa/0=")</f>
        <v>#REF!</v>
      </c>
      <c r="IU138" t="e">
        <f>AND(#REF!,"XIvoLmOYa/4=")</f>
        <v>#REF!</v>
      </c>
      <c r="IV138" t="e">
        <f>AND(#REF!,"XIvoLmOYa/8=")</f>
        <v>#REF!</v>
      </c>
    </row>
    <row r="139" spans="1:256" x14ac:dyDescent="0.2">
      <c r="A139" t="e">
        <f>AND(#REF!,"Wi8dO0G7/wA=")</f>
        <v>#REF!</v>
      </c>
      <c r="B139" t="e">
        <f>AND(#REF!,"Wi8dO0G7/wE=")</f>
        <v>#REF!</v>
      </c>
      <c r="C139" t="e">
        <f>AND(#REF!,"Wi8dO0G7/wI=")</f>
        <v>#REF!</v>
      </c>
      <c r="D139" t="e">
        <f>AND(#REF!,"Wi8dO0G7/wM=")</f>
        <v>#REF!</v>
      </c>
      <c r="E139" t="e">
        <f>AND(#REF!,"Wi8dO0G7/wQ=")</f>
        <v>#REF!</v>
      </c>
      <c r="F139" t="e">
        <f>IF(#REF!,"Wi8dO0G7/wU=",0)</f>
        <v>#REF!</v>
      </c>
      <c r="G139" t="e">
        <f>AND(#REF!,"Wi8dO0G7/wY=")</f>
        <v>#REF!</v>
      </c>
      <c r="H139" t="e">
        <f>AND(#REF!,"Wi8dO0G7/wc=")</f>
        <v>#REF!</v>
      </c>
      <c r="I139" t="e">
        <f>AND(#REF!,"Wi8dO0G7/wg=")</f>
        <v>#REF!</v>
      </c>
      <c r="J139" t="e">
        <f>AND(#REF!,"Wi8dO0G7/wk=")</f>
        <v>#REF!</v>
      </c>
      <c r="K139" t="e">
        <f>AND(#REF!,"Wi8dO0G7/wo=")</f>
        <v>#REF!</v>
      </c>
      <c r="L139" t="e">
        <f>AND(#REF!,"Wi8dO0G7/ws=")</f>
        <v>#REF!</v>
      </c>
      <c r="M139" t="e">
        <f>AND(#REF!,"Wi8dO0G7/ww=")</f>
        <v>#REF!</v>
      </c>
      <c r="N139" t="e">
        <f>AND(#REF!,"Wi8dO0G7/w0=")</f>
        <v>#REF!</v>
      </c>
      <c r="O139" t="e">
        <f>AND(#REF!,"Wi8dO0G7/w4=")</f>
        <v>#REF!</v>
      </c>
      <c r="P139" t="e">
        <f>AND(#REF!,"Wi8dO0G7/w8=")</f>
        <v>#REF!</v>
      </c>
      <c r="Q139" t="e">
        <f>AND(#REF!,"Wi8dO0G7/xA=")</f>
        <v>#REF!</v>
      </c>
      <c r="R139" t="e">
        <f>AND(#REF!,"Wi8dO0G7/xE=")</f>
        <v>#REF!</v>
      </c>
      <c r="S139" t="e">
        <f>AND(#REF!,"Wi8dO0G7/xI=")</f>
        <v>#REF!</v>
      </c>
      <c r="T139" t="e">
        <f>AND(#REF!,"Wi8dO0G7/xM=")</f>
        <v>#REF!</v>
      </c>
      <c r="U139" t="e">
        <f>AND(#REF!,"Wi8dO0G7/xQ=")</f>
        <v>#REF!</v>
      </c>
      <c r="V139" t="e">
        <f>AND(#REF!,"Wi8dO0G7/xU=")</f>
        <v>#REF!</v>
      </c>
      <c r="W139" t="e">
        <f>IF(#REF!,"Wi8dO0G7/xY=",0)</f>
        <v>#REF!</v>
      </c>
      <c r="X139" t="e">
        <f>AND(#REF!,"Wi8dO0G7/xc=")</f>
        <v>#REF!</v>
      </c>
      <c r="Y139" t="e">
        <f>AND(#REF!,"Wi8dO0G7/xg=")</f>
        <v>#REF!</v>
      </c>
      <c r="Z139" t="e">
        <f>AND(#REF!,"Wi8dO0G7/xk=")</f>
        <v>#REF!</v>
      </c>
      <c r="AA139" t="e">
        <f>AND(#REF!,"Wi8dO0G7/xo=")</f>
        <v>#REF!</v>
      </c>
      <c r="AB139" t="e">
        <f>AND(#REF!,"Wi8dO0G7/xs=")</f>
        <v>#REF!</v>
      </c>
      <c r="AC139" t="e">
        <f>AND(#REF!,"Wi8dO0G7/xw=")</f>
        <v>#REF!</v>
      </c>
      <c r="AD139" t="e">
        <f>AND(#REF!,"Wi8dO0G7/x0=")</f>
        <v>#REF!</v>
      </c>
      <c r="AE139" t="e">
        <f>AND(#REF!,"Wi8dO0G7/x4=")</f>
        <v>#REF!</v>
      </c>
      <c r="AF139" t="e">
        <f>AND(#REF!,"Wi8dO0G7/x8=")</f>
        <v>#REF!</v>
      </c>
      <c r="AG139" t="e">
        <f>AND(#REF!,"Wi8dO0G7/yA=")</f>
        <v>#REF!</v>
      </c>
      <c r="AH139" t="e">
        <f>AND(#REF!,"Wi8dO0G7/yE=")</f>
        <v>#REF!</v>
      </c>
      <c r="AI139" t="e">
        <f>AND(#REF!,"Wi8dO0G7/yI=")</f>
        <v>#REF!</v>
      </c>
      <c r="AJ139" t="e">
        <f>AND(#REF!,"Wi8dO0G7/yM=")</f>
        <v>#REF!</v>
      </c>
      <c r="AK139" t="e">
        <f>AND(#REF!,"Wi8dO0G7/yQ=")</f>
        <v>#REF!</v>
      </c>
      <c r="AL139" t="e">
        <f>AND(#REF!,"Wi8dO0G7/yU=")</f>
        <v>#REF!</v>
      </c>
      <c r="AM139" t="e">
        <f>AND(#REF!,"Wi8dO0G7/yY=")</f>
        <v>#REF!</v>
      </c>
      <c r="AN139" t="e">
        <f>IF(#REF!,"Wi8dO0G7/yc=",0)</f>
        <v>#REF!</v>
      </c>
      <c r="AO139" t="e">
        <f>AND(#REF!,"Wi8dO0G7/yg=")</f>
        <v>#REF!</v>
      </c>
      <c r="AP139" t="e">
        <f>AND(#REF!,"Wi8dO0G7/yk=")</f>
        <v>#REF!</v>
      </c>
      <c r="AQ139" t="e">
        <f>AND(#REF!,"Wi8dO0G7/yo=")</f>
        <v>#REF!</v>
      </c>
      <c r="AR139" t="e">
        <f>AND(#REF!,"Wi8dO0G7/ys=")</f>
        <v>#REF!</v>
      </c>
      <c r="AS139" t="e">
        <f>AND(#REF!,"Wi8dO0G7/yw=")</f>
        <v>#REF!</v>
      </c>
      <c r="AT139" t="e">
        <f>AND(#REF!,"Wi8dO0G7/y0=")</f>
        <v>#REF!</v>
      </c>
      <c r="AU139" t="e">
        <f>AND(#REF!,"Wi8dO0G7/y4=")</f>
        <v>#REF!</v>
      </c>
      <c r="AV139" t="e">
        <f>AND(#REF!,"Wi8dO0G7/y8=")</f>
        <v>#REF!</v>
      </c>
      <c r="AW139" t="e">
        <f>AND(#REF!,"Wi8dO0G7/zA=")</f>
        <v>#REF!</v>
      </c>
      <c r="AX139" t="e">
        <f>AND(#REF!,"Wi8dO0G7/zE=")</f>
        <v>#REF!</v>
      </c>
      <c r="AY139" t="e">
        <f>AND(#REF!,"Wi8dO0G7/zI=")</f>
        <v>#REF!</v>
      </c>
      <c r="AZ139" t="e">
        <f>AND(#REF!,"Wi8dO0G7/zM=")</f>
        <v>#REF!</v>
      </c>
      <c r="BA139" t="e">
        <f>AND(#REF!,"Wi8dO0G7/zQ=")</f>
        <v>#REF!</v>
      </c>
      <c r="BB139" t="e">
        <f>AND(#REF!,"Wi8dO0G7/zU=")</f>
        <v>#REF!</v>
      </c>
      <c r="BC139" t="e">
        <f>AND(#REF!,"Wi8dO0G7/zY=")</f>
        <v>#REF!</v>
      </c>
      <c r="BD139" t="e">
        <f>AND(#REF!,"Wi8dO0G7/zc=")</f>
        <v>#REF!</v>
      </c>
      <c r="BE139" t="e">
        <f>IF(#REF!,"Wi8dO0G7/zg=",0)</f>
        <v>#REF!</v>
      </c>
      <c r="BF139" t="e">
        <f>AND(#REF!,"Wi8dO0G7/zk=")</f>
        <v>#REF!</v>
      </c>
      <c r="BG139" t="e">
        <f>AND(#REF!,"Wi8dO0G7/zo=")</f>
        <v>#REF!</v>
      </c>
      <c r="BH139" t="e">
        <f>AND(#REF!,"Wi8dO0G7/zs=")</f>
        <v>#REF!</v>
      </c>
      <c r="BI139" t="e">
        <f>AND(#REF!,"Wi8dO0G7/zw=")</f>
        <v>#REF!</v>
      </c>
      <c r="BJ139" t="e">
        <f>AND(#REF!,"Wi8dO0G7/z0=")</f>
        <v>#REF!</v>
      </c>
      <c r="BK139" t="e">
        <f>AND(#REF!,"Wi8dO0G7/z4=")</f>
        <v>#REF!</v>
      </c>
      <c r="BL139" t="e">
        <f>AND(#REF!,"Wi8dO0G7/z8=")</f>
        <v>#REF!</v>
      </c>
      <c r="BM139" t="e">
        <f>AND(#REF!,"Wi8dO0G7/0A=")</f>
        <v>#REF!</v>
      </c>
      <c r="BN139" t="e">
        <f>AND(#REF!,"Wi8dO0G7/0E=")</f>
        <v>#REF!</v>
      </c>
      <c r="BO139" t="e">
        <f>AND(#REF!,"Wi8dO0G7/0I=")</f>
        <v>#REF!</v>
      </c>
      <c r="BP139" t="e">
        <f>AND(#REF!,"Wi8dO0G7/0M=")</f>
        <v>#REF!</v>
      </c>
      <c r="BQ139" t="e">
        <f>AND(#REF!,"Wi8dO0G7/0Q=")</f>
        <v>#REF!</v>
      </c>
      <c r="BR139" t="e">
        <f>AND(#REF!,"Wi8dO0G7/0U=")</f>
        <v>#REF!</v>
      </c>
      <c r="BS139" t="e">
        <f>AND(#REF!,"Wi8dO0G7/0Y=")</f>
        <v>#REF!</v>
      </c>
      <c r="BT139" t="e">
        <f>AND(#REF!,"Wi8dO0G7/0c=")</f>
        <v>#REF!</v>
      </c>
      <c r="BU139" t="e">
        <f>AND(#REF!,"Wi8dO0G7/0g=")</f>
        <v>#REF!</v>
      </c>
      <c r="BV139" t="e">
        <f>IF(#REF!,"Wi8dO0G7/0k=",0)</f>
        <v>#REF!</v>
      </c>
      <c r="BW139" t="e">
        <f>AND(#REF!,"Wi8dO0G7/0o=")</f>
        <v>#REF!</v>
      </c>
      <c r="BX139" t="e">
        <f>AND(#REF!,"Wi8dO0G7/0s=")</f>
        <v>#REF!</v>
      </c>
      <c r="BY139" t="e">
        <f>AND(#REF!,"Wi8dO0G7/0w=")</f>
        <v>#REF!</v>
      </c>
      <c r="BZ139" t="e">
        <f>AND(#REF!,"Wi8dO0G7/00=")</f>
        <v>#REF!</v>
      </c>
      <c r="CA139" t="e">
        <f>AND(#REF!,"Wi8dO0G7/04=")</f>
        <v>#REF!</v>
      </c>
      <c r="CB139" t="e">
        <f>AND(#REF!,"Wi8dO0G7/08=")</f>
        <v>#REF!</v>
      </c>
      <c r="CC139" t="e">
        <f>AND(#REF!,"Wi8dO0G7/1A=")</f>
        <v>#REF!</v>
      </c>
      <c r="CD139" t="e">
        <f>AND(#REF!,"Wi8dO0G7/1E=")</f>
        <v>#REF!</v>
      </c>
      <c r="CE139" t="e">
        <f>AND(#REF!,"Wi8dO0G7/1I=")</f>
        <v>#REF!</v>
      </c>
      <c r="CF139" t="e">
        <f>AND(#REF!,"Wi8dO0G7/1M=")</f>
        <v>#REF!</v>
      </c>
      <c r="CG139" t="e">
        <f>AND(#REF!,"Wi8dO0G7/1Q=")</f>
        <v>#REF!</v>
      </c>
      <c r="CH139" t="e">
        <f>AND(#REF!,"Wi8dO0G7/1U=")</f>
        <v>#REF!</v>
      </c>
      <c r="CI139" t="e">
        <f>AND(#REF!,"Wi8dO0G7/1Y=")</f>
        <v>#REF!</v>
      </c>
      <c r="CJ139" t="e">
        <f>AND(#REF!,"Wi8dO0G7/1c=")</f>
        <v>#REF!</v>
      </c>
      <c r="CK139" t="e">
        <f>AND(#REF!,"Wi8dO0G7/1g=")</f>
        <v>#REF!</v>
      </c>
      <c r="CL139" t="e">
        <f>AND(#REF!,"Wi8dO0G7/1k=")</f>
        <v>#REF!</v>
      </c>
      <c r="CM139" t="e">
        <f>IF(#REF!,"Wi8dO0G7/1o=",0)</f>
        <v>#REF!</v>
      </c>
      <c r="CN139" t="e">
        <f>AND(#REF!,"Wi8dO0G7/1s=")</f>
        <v>#REF!</v>
      </c>
      <c r="CO139" t="e">
        <f>AND(#REF!,"Wi8dO0G7/1w=")</f>
        <v>#REF!</v>
      </c>
      <c r="CP139" t="e">
        <f>AND(#REF!,"Wi8dO0G7/10=")</f>
        <v>#REF!</v>
      </c>
      <c r="CQ139" t="e">
        <f>AND(#REF!,"Wi8dO0G7/14=")</f>
        <v>#REF!</v>
      </c>
      <c r="CR139" t="e">
        <f>AND(#REF!,"Wi8dO0G7/18=")</f>
        <v>#REF!</v>
      </c>
      <c r="CS139" t="e">
        <f>AND(#REF!,"Wi8dO0G7/2A=")</f>
        <v>#REF!</v>
      </c>
      <c r="CT139" t="e">
        <f>AND(#REF!,"Wi8dO0G7/2E=")</f>
        <v>#REF!</v>
      </c>
      <c r="CU139" t="e">
        <f>AND(#REF!,"Wi8dO0G7/2I=")</f>
        <v>#REF!</v>
      </c>
      <c r="CV139" t="e">
        <f>AND(#REF!,"Wi8dO0G7/2M=")</f>
        <v>#REF!</v>
      </c>
      <c r="CW139" t="e">
        <f>AND(#REF!,"Wi8dO0G7/2Q=")</f>
        <v>#REF!</v>
      </c>
      <c r="CX139" t="e">
        <f>AND(#REF!,"Wi8dO0G7/2U=")</f>
        <v>#REF!</v>
      </c>
      <c r="CY139" t="e">
        <f>AND(#REF!,"Wi8dO0G7/2Y=")</f>
        <v>#REF!</v>
      </c>
      <c r="CZ139" t="e">
        <f>AND(#REF!,"Wi8dO0G7/2c=")</f>
        <v>#REF!</v>
      </c>
      <c r="DA139" t="e">
        <f>AND(#REF!,"Wi8dO0G7/2g=")</f>
        <v>#REF!</v>
      </c>
      <c r="DB139" t="e">
        <f>AND(#REF!,"Wi8dO0G7/2k=")</f>
        <v>#REF!</v>
      </c>
      <c r="DC139" t="e">
        <f>AND(#REF!,"Wi8dO0G7/2o=")</f>
        <v>#REF!</v>
      </c>
      <c r="DD139" t="e">
        <f>IF(#REF!,"Wi8dO0G7/2s=",0)</f>
        <v>#REF!</v>
      </c>
      <c r="DE139" t="e">
        <f>AND(#REF!,"Wi8dO0G7/2w=")</f>
        <v>#REF!</v>
      </c>
      <c r="DF139" t="e">
        <f>AND(#REF!,"Wi8dO0G7/20=")</f>
        <v>#REF!</v>
      </c>
      <c r="DG139" t="e">
        <f>AND(#REF!,"Wi8dO0G7/24=")</f>
        <v>#REF!</v>
      </c>
      <c r="DH139" t="e">
        <f>AND(#REF!,"Wi8dO0G7/28=")</f>
        <v>#REF!</v>
      </c>
      <c r="DI139" t="e">
        <f>AND(#REF!,"Wi8dO0G7/3A=")</f>
        <v>#REF!</v>
      </c>
      <c r="DJ139" t="e">
        <f>AND(#REF!,"Wi8dO0G7/3E=")</f>
        <v>#REF!</v>
      </c>
      <c r="DK139" t="e">
        <f>AND(#REF!,"Wi8dO0G7/3I=")</f>
        <v>#REF!</v>
      </c>
      <c r="DL139" t="e">
        <f>AND(#REF!,"Wi8dO0G7/3M=")</f>
        <v>#REF!</v>
      </c>
      <c r="DM139" t="e">
        <f>AND(#REF!,"Wi8dO0G7/3Q=")</f>
        <v>#REF!</v>
      </c>
      <c r="DN139" t="e">
        <f>AND(#REF!,"Wi8dO0G7/3U=")</f>
        <v>#REF!</v>
      </c>
      <c r="DO139" t="e">
        <f>AND(#REF!,"Wi8dO0G7/3Y=")</f>
        <v>#REF!</v>
      </c>
      <c r="DP139" t="e">
        <f>AND(#REF!,"Wi8dO0G7/3c=")</f>
        <v>#REF!</v>
      </c>
      <c r="DQ139" t="e">
        <f>AND(#REF!,"Wi8dO0G7/3g=")</f>
        <v>#REF!</v>
      </c>
      <c r="DR139" t="e">
        <f>AND(#REF!,"Wi8dO0G7/3k=")</f>
        <v>#REF!</v>
      </c>
      <c r="DS139" t="e">
        <f>AND(#REF!,"Wi8dO0G7/3o=")</f>
        <v>#REF!</v>
      </c>
      <c r="DT139" t="e">
        <f>AND(#REF!,"Wi8dO0G7/3s=")</f>
        <v>#REF!</v>
      </c>
      <c r="DU139" t="e">
        <f>IF(#REF!,"Wi8dO0G7/3w=",0)</f>
        <v>#REF!</v>
      </c>
      <c r="DV139" t="e">
        <f>AND(#REF!,"Wi8dO0G7/30=")</f>
        <v>#REF!</v>
      </c>
      <c r="DW139" t="e">
        <f>AND(#REF!,"Wi8dO0G7/34=")</f>
        <v>#REF!</v>
      </c>
      <c r="DX139" t="e">
        <f>AND(#REF!,"Wi8dO0G7/38=")</f>
        <v>#REF!</v>
      </c>
      <c r="DY139" t="e">
        <f>AND(#REF!,"Wi8dO0G7/4A=")</f>
        <v>#REF!</v>
      </c>
      <c r="DZ139" t="e">
        <f>AND(#REF!,"Wi8dO0G7/4E=")</f>
        <v>#REF!</v>
      </c>
      <c r="EA139" t="e">
        <f>AND(#REF!,"Wi8dO0G7/4I=")</f>
        <v>#REF!</v>
      </c>
      <c r="EB139" t="e">
        <f>AND(#REF!,"Wi8dO0G7/4M=")</f>
        <v>#REF!</v>
      </c>
      <c r="EC139" t="e">
        <f>AND(#REF!,"Wi8dO0G7/4Q=")</f>
        <v>#REF!</v>
      </c>
      <c r="ED139" t="e">
        <f>AND(#REF!,"Wi8dO0G7/4U=")</f>
        <v>#REF!</v>
      </c>
      <c r="EE139" t="e">
        <f>AND(#REF!,"Wi8dO0G7/4Y=")</f>
        <v>#REF!</v>
      </c>
      <c r="EF139" t="e">
        <f>AND(#REF!,"Wi8dO0G7/4c=")</f>
        <v>#REF!</v>
      </c>
      <c r="EG139" t="e">
        <f>AND(#REF!,"Wi8dO0G7/4g=")</f>
        <v>#REF!</v>
      </c>
      <c r="EH139" t="e">
        <f>AND(#REF!,"Wi8dO0G7/4k=")</f>
        <v>#REF!</v>
      </c>
      <c r="EI139" t="e">
        <f>AND(#REF!,"Wi8dO0G7/4o=")</f>
        <v>#REF!</v>
      </c>
      <c r="EJ139" t="e">
        <f>AND(#REF!,"Wi8dO0G7/4s=")</f>
        <v>#REF!</v>
      </c>
      <c r="EK139" t="e">
        <f>AND(#REF!,"Wi8dO0G7/4w=")</f>
        <v>#REF!</v>
      </c>
      <c r="EL139" t="e">
        <f>IF(#REF!,"Wi8dO0G7/40=",0)</f>
        <v>#REF!</v>
      </c>
      <c r="EM139" t="e">
        <f>AND(#REF!,"Wi8dO0G7/44=")</f>
        <v>#REF!</v>
      </c>
      <c r="EN139" t="e">
        <f>AND(#REF!,"Wi8dO0G7/48=")</f>
        <v>#REF!</v>
      </c>
      <c r="EO139" t="e">
        <f>AND(#REF!,"Wi8dO0G7/5A=")</f>
        <v>#REF!</v>
      </c>
      <c r="EP139" t="e">
        <f>AND(#REF!,"Wi8dO0G7/5E=")</f>
        <v>#REF!</v>
      </c>
      <c r="EQ139" t="e">
        <f>AND(#REF!,"Wi8dO0G7/5I=")</f>
        <v>#REF!</v>
      </c>
      <c r="ER139" t="e">
        <f>AND(#REF!,"Wi8dO0G7/5M=")</f>
        <v>#REF!</v>
      </c>
      <c r="ES139" t="e">
        <f>AND(#REF!,"Wi8dO0G7/5Q=")</f>
        <v>#REF!</v>
      </c>
      <c r="ET139" t="e">
        <f>AND(#REF!,"Wi8dO0G7/5U=")</f>
        <v>#REF!</v>
      </c>
      <c r="EU139" t="e">
        <f>AND(#REF!,"Wi8dO0G7/5Y=")</f>
        <v>#REF!</v>
      </c>
      <c r="EV139" t="e">
        <f>AND(#REF!,"Wi8dO0G7/5c=")</f>
        <v>#REF!</v>
      </c>
      <c r="EW139" t="e">
        <f>AND(#REF!,"Wi8dO0G7/5g=")</f>
        <v>#REF!</v>
      </c>
      <c r="EX139" t="e">
        <f>AND(#REF!,"Wi8dO0G7/5k=")</f>
        <v>#REF!</v>
      </c>
      <c r="EY139" t="e">
        <f>AND(#REF!,"Wi8dO0G7/5o=")</f>
        <v>#REF!</v>
      </c>
      <c r="EZ139" t="e">
        <f>AND(#REF!,"Wi8dO0G7/5s=")</f>
        <v>#REF!</v>
      </c>
      <c r="FA139" t="e">
        <f>AND(#REF!,"Wi8dO0G7/5w=")</f>
        <v>#REF!</v>
      </c>
      <c r="FB139" t="e">
        <f>AND(#REF!,"Wi8dO0G7/50=")</f>
        <v>#REF!</v>
      </c>
      <c r="FC139" t="e">
        <f>IF(#REF!,"Wi8dO0G7/54=",0)</f>
        <v>#REF!</v>
      </c>
      <c r="FD139" t="e">
        <f>AND(#REF!,"Wi8dO0G7/58=")</f>
        <v>#REF!</v>
      </c>
      <c r="FE139" t="e">
        <f>AND(#REF!,"Wi8dO0G7/6A=")</f>
        <v>#REF!</v>
      </c>
      <c r="FF139" t="e">
        <f>AND(#REF!,"Wi8dO0G7/6E=")</f>
        <v>#REF!</v>
      </c>
      <c r="FG139" t="e">
        <f>AND(#REF!,"Wi8dO0G7/6I=")</f>
        <v>#REF!</v>
      </c>
      <c r="FH139" t="e">
        <f>AND(#REF!,"Wi8dO0G7/6M=")</f>
        <v>#REF!</v>
      </c>
      <c r="FI139" t="e">
        <f>AND(#REF!,"Wi8dO0G7/6Q=")</f>
        <v>#REF!</v>
      </c>
      <c r="FJ139" t="e">
        <f>AND(#REF!,"Wi8dO0G7/6U=")</f>
        <v>#REF!</v>
      </c>
      <c r="FK139" t="e">
        <f>AND(#REF!,"Wi8dO0G7/6Y=")</f>
        <v>#REF!</v>
      </c>
      <c r="FL139" t="e">
        <f>AND(#REF!,"Wi8dO0G7/6c=")</f>
        <v>#REF!</v>
      </c>
      <c r="FM139" t="e">
        <f>AND(#REF!,"Wi8dO0G7/6g=")</f>
        <v>#REF!</v>
      </c>
      <c r="FN139" t="e">
        <f>AND(#REF!,"Wi8dO0G7/6k=")</f>
        <v>#REF!</v>
      </c>
      <c r="FO139" t="e">
        <f>AND(#REF!,"Wi8dO0G7/6o=")</f>
        <v>#REF!</v>
      </c>
      <c r="FP139" t="e">
        <f>AND(#REF!,"Wi8dO0G7/6s=")</f>
        <v>#REF!</v>
      </c>
      <c r="FQ139" t="e">
        <f>AND(#REF!,"Wi8dO0G7/6w=")</f>
        <v>#REF!</v>
      </c>
      <c r="FR139" t="e">
        <f>AND(#REF!,"Wi8dO0G7/60=")</f>
        <v>#REF!</v>
      </c>
      <c r="FS139" t="e">
        <f>AND(#REF!,"Wi8dO0G7/64=")</f>
        <v>#REF!</v>
      </c>
      <c r="FT139" t="e">
        <f>IF(#REF!,"Wi8dO0G7/68=",0)</f>
        <v>#REF!</v>
      </c>
      <c r="FU139" t="e">
        <f>AND(#REF!,"Wi8dO0G7/7A=")</f>
        <v>#REF!</v>
      </c>
      <c r="FV139" t="e">
        <f>AND(#REF!,"Wi8dO0G7/7E=")</f>
        <v>#REF!</v>
      </c>
      <c r="FW139" t="e">
        <f>AND(#REF!,"Wi8dO0G7/7I=")</f>
        <v>#REF!</v>
      </c>
      <c r="FX139" t="e">
        <f>AND(#REF!,"Wi8dO0G7/7M=")</f>
        <v>#REF!</v>
      </c>
      <c r="FY139" t="e">
        <f>AND(#REF!,"Wi8dO0G7/7Q=")</f>
        <v>#REF!</v>
      </c>
      <c r="FZ139" t="e">
        <f>AND(#REF!,"Wi8dO0G7/7U=")</f>
        <v>#REF!</v>
      </c>
      <c r="GA139" t="e">
        <f>AND(#REF!,"Wi8dO0G7/7Y=")</f>
        <v>#REF!</v>
      </c>
      <c r="GB139" t="e">
        <f>AND(#REF!,"Wi8dO0G7/7c=")</f>
        <v>#REF!</v>
      </c>
      <c r="GC139" t="e">
        <f>AND(#REF!,"Wi8dO0G7/7g=")</f>
        <v>#REF!</v>
      </c>
      <c r="GD139" t="e">
        <f>AND(#REF!,"Wi8dO0G7/7k=")</f>
        <v>#REF!</v>
      </c>
      <c r="GE139" t="e">
        <f>AND(#REF!,"Wi8dO0G7/7o=")</f>
        <v>#REF!</v>
      </c>
      <c r="GF139" t="e">
        <f>AND(#REF!,"Wi8dO0G7/7s=")</f>
        <v>#REF!</v>
      </c>
      <c r="GG139" t="e">
        <f>AND(#REF!,"Wi8dO0G7/7w=")</f>
        <v>#REF!</v>
      </c>
      <c r="GH139" t="e">
        <f>AND(#REF!,"Wi8dO0G7/70=")</f>
        <v>#REF!</v>
      </c>
      <c r="GI139" t="e">
        <f>AND(#REF!,"Wi8dO0G7/74=")</f>
        <v>#REF!</v>
      </c>
      <c r="GJ139" t="e">
        <f>AND(#REF!,"Wi8dO0G7/78=")</f>
        <v>#REF!</v>
      </c>
      <c r="GK139" t="e">
        <f>IF(#REF!,"Wi8dO0G7/8A=",0)</f>
        <v>#REF!</v>
      </c>
      <c r="GL139" t="e">
        <f>AND(#REF!,"Wi8dO0G7/8E=")</f>
        <v>#REF!</v>
      </c>
      <c r="GM139" t="e">
        <f>AND(#REF!,"Wi8dO0G7/8I=")</f>
        <v>#REF!</v>
      </c>
      <c r="GN139" t="e">
        <f>AND(#REF!,"Wi8dO0G7/8M=")</f>
        <v>#REF!</v>
      </c>
      <c r="GO139" t="e">
        <f>AND(#REF!,"Wi8dO0G7/8Q=")</f>
        <v>#REF!</v>
      </c>
      <c r="GP139" t="e">
        <f>AND(#REF!,"Wi8dO0G7/8U=")</f>
        <v>#REF!</v>
      </c>
      <c r="GQ139" t="e">
        <f>AND(#REF!,"Wi8dO0G7/8Y=")</f>
        <v>#REF!</v>
      </c>
      <c r="GR139" t="e">
        <f>AND(#REF!,"Wi8dO0G7/8c=")</f>
        <v>#REF!</v>
      </c>
      <c r="GS139" t="e">
        <f>AND(#REF!,"Wi8dO0G7/8g=")</f>
        <v>#REF!</v>
      </c>
      <c r="GT139" t="e">
        <f>AND(#REF!,"Wi8dO0G7/8k=")</f>
        <v>#REF!</v>
      </c>
      <c r="GU139" t="e">
        <f>AND(#REF!,"Wi8dO0G7/8o=")</f>
        <v>#REF!</v>
      </c>
      <c r="GV139" t="e">
        <f>AND(#REF!,"Wi8dO0G7/8s=")</f>
        <v>#REF!</v>
      </c>
      <c r="GW139" t="e">
        <f>AND(#REF!,"Wi8dO0G7/8w=")</f>
        <v>#REF!</v>
      </c>
      <c r="GX139" t="e">
        <f>AND(#REF!,"Wi8dO0G7/80=")</f>
        <v>#REF!</v>
      </c>
      <c r="GY139" t="e">
        <f>AND(#REF!,"Wi8dO0G7/84=")</f>
        <v>#REF!</v>
      </c>
      <c r="GZ139" t="e">
        <f>AND(#REF!,"Wi8dO0G7/88=")</f>
        <v>#REF!</v>
      </c>
      <c r="HA139" t="e">
        <f>AND(#REF!,"Wi8dO0G7/9A=")</f>
        <v>#REF!</v>
      </c>
      <c r="HB139" t="e">
        <f>IF(#REF!,"Wi8dO0G7/9E=",0)</f>
        <v>#REF!</v>
      </c>
      <c r="HC139" t="e">
        <f>AND(#REF!,"Wi8dO0G7/9I=")</f>
        <v>#REF!</v>
      </c>
      <c r="HD139" t="e">
        <f>AND(#REF!,"Wi8dO0G7/9M=")</f>
        <v>#REF!</v>
      </c>
      <c r="HE139" t="e">
        <f>AND(#REF!,"Wi8dO0G7/9Q=")</f>
        <v>#REF!</v>
      </c>
      <c r="HF139" t="e">
        <f>AND(#REF!,"Wi8dO0G7/9U=")</f>
        <v>#REF!</v>
      </c>
      <c r="HG139" t="e">
        <f>AND(#REF!,"Wi8dO0G7/9Y=")</f>
        <v>#REF!</v>
      </c>
      <c r="HH139" t="e">
        <f>AND(#REF!,"Wi8dO0G7/9c=")</f>
        <v>#REF!</v>
      </c>
      <c r="HI139" t="e">
        <f>AND(#REF!,"Wi8dO0G7/9g=")</f>
        <v>#REF!</v>
      </c>
      <c r="HJ139" t="e">
        <f>AND(#REF!,"Wi8dO0G7/9k=")</f>
        <v>#REF!</v>
      </c>
      <c r="HK139" t="e">
        <f>AND(#REF!,"Wi8dO0G7/9o=")</f>
        <v>#REF!</v>
      </c>
      <c r="HL139" t="e">
        <f>AND(#REF!,"Wi8dO0G7/9s=")</f>
        <v>#REF!</v>
      </c>
      <c r="HM139" t="e">
        <f>AND(#REF!,"Wi8dO0G7/9w=")</f>
        <v>#REF!</v>
      </c>
      <c r="HN139" t="e">
        <f>AND(#REF!,"Wi8dO0G7/90=")</f>
        <v>#REF!</v>
      </c>
      <c r="HO139" t="e">
        <f>AND(#REF!,"Wi8dO0G7/94=")</f>
        <v>#REF!</v>
      </c>
      <c r="HP139" t="e">
        <f>AND(#REF!,"Wi8dO0G7/98=")</f>
        <v>#REF!</v>
      </c>
      <c r="HQ139" t="e">
        <f>AND(#REF!,"Wi8dO0G7/+A=")</f>
        <v>#REF!</v>
      </c>
      <c r="HR139" t="e">
        <f>AND(#REF!,"Wi8dO0G7/+E=")</f>
        <v>#REF!</v>
      </c>
      <c r="HS139" t="e">
        <f>IF(#REF!,"Wi8dO0G7/+I=",0)</f>
        <v>#REF!</v>
      </c>
      <c r="HT139" t="e">
        <f>AND(#REF!,"Wi8dO0G7/+M=")</f>
        <v>#REF!</v>
      </c>
      <c r="HU139" t="e">
        <f>AND(#REF!,"Wi8dO0G7/+Q=")</f>
        <v>#REF!</v>
      </c>
      <c r="HV139" t="e">
        <f>AND(#REF!,"Wi8dO0G7/+U=")</f>
        <v>#REF!</v>
      </c>
      <c r="HW139" t="e">
        <f>AND(#REF!,"Wi8dO0G7/+Y=")</f>
        <v>#REF!</v>
      </c>
      <c r="HX139" t="e">
        <f>AND(#REF!,"Wi8dO0G7/+c=")</f>
        <v>#REF!</v>
      </c>
      <c r="HY139" t="e">
        <f>AND(#REF!,"Wi8dO0G7/+g=")</f>
        <v>#REF!</v>
      </c>
      <c r="HZ139" t="e">
        <f>AND(#REF!,"Wi8dO0G7/+k=")</f>
        <v>#REF!</v>
      </c>
      <c r="IA139" t="e">
        <f>AND(#REF!,"Wi8dO0G7/+o=")</f>
        <v>#REF!</v>
      </c>
      <c r="IB139" t="e">
        <f>AND(#REF!,"Wi8dO0G7/+s=")</f>
        <v>#REF!</v>
      </c>
      <c r="IC139" t="e">
        <f>AND(#REF!,"Wi8dO0G7/+w=")</f>
        <v>#REF!</v>
      </c>
      <c r="ID139" t="e">
        <f>AND(#REF!,"Wi8dO0G7/+0=")</f>
        <v>#REF!</v>
      </c>
      <c r="IE139" t="e">
        <f>AND(#REF!,"Wi8dO0G7/+4=")</f>
        <v>#REF!</v>
      </c>
      <c r="IF139" t="e">
        <f>AND(#REF!,"Wi8dO0G7/+8=")</f>
        <v>#REF!</v>
      </c>
      <c r="IG139" t="e">
        <f>AND(#REF!,"Wi8dO0G7//A=")</f>
        <v>#REF!</v>
      </c>
      <c r="IH139" t="e">
        <f>AND(#REF!,"Wi8dO0G7//E=")</f>
        <v>#REF!</v>
      </c>
      <c r="II139" t="e">
        <f>AND(#REF!,"Wi8dO0G7//I=")</f>
        <v>#REF!</v>
      </c>
      <c r="IJ139" t="e">
        <f>IF(#REF!,"Wi8dO0G7//M=",0)</f>
        <v>#REF!</v>
      </c>
      <c r="IK139" t="e">
        <f>AND(#REF!,"Wi8dO0G7//Q=")</f>
        <v>#REF!</v>
      </c>
      <c r="IL139" t="e">
        <f>AND(#REF!,"Wi8dO0G7//U=")</f>
        <v>#REF!</v>
      </c>
      <c r="IM139" t="e">
        <f>AND(#REF!,"Wi8dO0G7//Y=")</f>
        <v>#REF!</v>
      </c>
      <c r="IN139" t="e">
        <f>AND(#REF!,"Wi8dO0G7//c=")</f>
        <v>#REF!</v>
      </c>
      <c r="IO139" t="e">
        <f>AND(#REF!,"Wi8dO0G7//g=")</f>
        <v>#REF!</v>
      </c>
      <c r="IP139" t="e">
        <f>AND(#REF!,"Wi8dO0G7//k=")</f>
        <v>#REF!</v>
      </c>
      <c r="IQ139" t="e">
        <f>AND(#REF!,"Wi8dO0G7//o=")</f>
        <v>#REF!</v>
      </c>
      <c r="IR139" t="e">
        <f>AND(#REF!,"Wi8dO0G7//s=")</f>
        <v>#REF!</v>
      </c>
      <c r="IS139" t="e">
        <f>AND(#REF!,"Wi8dO0G7//w=")</f>
        <v>#REF!</v>
      </c>
      <c r="IT139" t="e">
        <f>AND(#REF!,"Wi8dO0G7//0=")</f>
        <v>#REF!</v>
      </c>
      <c r="IU139" t="e">
        <f>AND(#REF!,"Wi8dO0G7//4=")</f>
        <v>#REF!</v>
      </c>
      <c r="IV139" t="e">
        <f>AND(#REF!,"Wi8dO0G7//8=")</f>
        <v>#REF!</v>
      </c>
    </row>
    <row r="140" spans="1:256" x14ac:dyDescent="0.2">
      <c r="A140" t="e">
        <f>AND(#REF!,"DKptsWXphgA=")</f>
        <v>#REF!</v>
      </c>
      <c r="B140" t="e">
        <f>AND(#REF!,"DKptsWXphgE=")</f>
        <v>#REF!</v>
      </c>
      <c r="C140" t="e">
        <f>AND(#REF!,"DKptsWXphgI=")</f>
        <v>#REF!</v>
      </c>
      <c r="D140" t="e">
        <f>AND(#REF!,"DKptsWXphgM=")</f>
        <v>#REF!</v>
      </c>
      <c r="E140" t="e">
        <f>IF(#REF!,"DKptsWXphgQ=",0)</f>
        <v>#REF!</v>
      </c>
      <c r="F140" t="e">
        <f>AND(#REF!,"DKptsWXphgU=")</f>
        <v>#REF!</v>
      </c>
      <c r="G140" t="e">
        <f>AND(#REF!,"DKptsWXphgY=")</f>
        <v>#REF!</v>
      </c>
      <c r="H140" t="e">
        <f>AND(#REF!,"DKptsWXphgc=")</f>
        <v>#REF!</v>
      </c>
      <c r="I140" t="e">
        <f>AND(#REF!,"DKptsWXphgg=")</f>
        <v>#REF!</v>
      </c>
      <c r="J140" t="e">
        <f>AND(#REF!,"DKptsWXphgk=")</f>
        <v>#REF!</v>
      </c>
      <c r="K140" t="e">
        <f>AND(#REF!,"DKptsWXphgo=")</f>
        <v>#REF!</v>
      </c>
      <c r="L140" t="e">
        <f>AND(#REF!,"DKptsWXphgs=")</f>
        <v>#REF!</v>
      </c>
      <c r="M140" t="e">
        <f>AND(#REF!,"DKptsWXphgw=")</f>
        <v>#REF!</v>
      </c>
      <c r="N140" t="e">
        <f>AND(#REF!,"DKptsWXphg0=")</f>
        <v>#REF!</v>
      </c>
      <c r="O140" t="e">
        <f>AND(#REF!,"DKptsWXphg4=")</f>
        <v>#REF!</v>
      </c>
      <c r="P140" t="e">
        <f>AND(#REF!,"DKptsWXphg8=")</f>
        <v>#REF!</v>
      </c>
      <c r="Q140" t="e">
        <f>AND(#REF!,"DKptsWXphhA=")</f>
        <v>#REF!</v>
      </c>
      <c r="R140" t="e">
        <f>AND(#REF!,"DKptsWXphhE=")</f>
        <v>#REF!</v>
      </c>
      <c r="S140" t="e">
        <f>AND(#REF!,"DKptsWXphhI=")</f>
        <v>#REF!</v>
      </c>
      <c r="T140" t="e">
        <f>AND(#REF!,"DKptsWXphhM=")</f>
        <v>#REF!</v>
      </c>
      <c r="U140" t="e">
        <f>AND(#REF!,"DKptsWXphhQ=")</f>
        <v>#REF!</v>
      </c>
      <c r="V140" t="e">
        <f>IF(#REF!,"DKptsWXphhU=",0)</f>
        <v>#REF!</v>
      </c>
      <c r="W140" t="e">
        <f>AND(#REF!,"DKptsWXphhY=")</f>
        <v>#REF!</v>
      </c>
      <c r="X140" t="e">
        <f>AND(#REF!,"DKptsWXphhc=")</f>
        <v>#REF!</v>
      </c>
      <c r="Y140" t="e">
        <f>AND(#REF!,"DKptsWXphhg=")</f>
        <v>#REF!</v>
      </c>
      <c r="Z140" t="e">
        <f>AND(#REF!,"DKptsWXphhk=")</f>
        <v>#REF!</v>
      </c>
      <c r="AA140" t="e">
        <f>AND(#REF!,"DKptsWXphho=")</f>
        <v>#REF!</v>
      </c>
      <c r="AB140" t="e">
        <f>AND(#REF!,"DKptsWXphhs=")</f>
        <v>#REF!</v>
      </c>
      <c r="AC140" t="e">
        <f>AND(#REF!,"DKptsWXphhw=")</f>
        <v>#REF!</v>
      </c>
      <c r="AD140" t="e">
        <f>AND(#REF!,"DKptsWXphh0=")</f>
        <v>#REF!</v>
      </c>
      <c r="AE140" t="e">
        <f>AND(#REF!,"DKptsWXphh4=")</f>
        <v>#REF!</v>
      </c>
      <c r="AF140" t="e">
        <f>AND(#REF!,"DKptsWXphh8=")</f>
        <v>#REF!</v>
      </c>
      <c r="AG140" t="e">
        <f>AND(#REF!,"DKptsWXphiA=")</f>
        <v>#REF!</v>
      </c>
      <c r="AH140" t="e">
        <f>AND(#REF!,"DKptsWXphiE=")</f>
        <v>#REF!</v>
      </c>
      <c r="AI140" t="e">
        <f>AND(#REF!,"DKptsWXphiI=")</f>
        <v>#REF!</v>
      </c>
      <c r="AJ140" t="e">
        <f>AND(#REF!,"DKptsWXphiM=")</f>
        <v>#REF!</v>
      </c>
      <c r="AK140" t="e">
        <f>AND(#REF!,"DKptsWXphiQ=")</f>
        <v>#REF!</v>
      </c>
      <c r="AL140" t="e">
        <f>AND(#REF!,"DKptsWXphiU=")</f>
        <v>#REF!</v>
      </c>
      <c r="AM140" t="e">
        <f>IF(#REF!,"DKptsWXphiY=",0)</f>
        <v>#REF!</v>
      </c>
      <c r="AN140" t="e">
        <f>AND(#REF!,"DKptsWXphic=")</f>
        <v>#REF!</v>
      </c>
      <c r="AO140" t="e">
        <f>AND(#REF!,"DKptsWXphig=")</f>
        <v>#REF!</v>
      </c>
      <c r="AP140" t="e">
        <f>AND(#REF!,"DKptsWXphik=")</f>
        <v>#REF!</v>
      </c>
      <c r="AQ140" t="e">
        <f>AND(#REF!,"DKptsWXphio=")</f>
        <v>#REF!</v>
      </c>
      <c r="AR140" t="e">
        <f>AND(#REF!,"DKptsWXphis=")</f>
        <v>#REF!</v>
      </c>
      <c r="AS140" t="e">
        <f>AND(#REF!,"DKptsWXphiw=")</f>
        <v>#REF!</v>
      </c>
      <c r="AT140" t="e">
        <f>AND(#REF!,"DKptsWXphi0=")</f>
        <v>#REF!</v>
      </c>
      <c r="AU140" t="e">
        <f>AND(#REF!,"DKptsWXphi4=")</f>
        <v>#REF!</v>
      </c>
      <c r="AV140" t="e">
        <f>AND(#REF!,"DKptsWXphi8=")</f>
        <v>#REF!</v>
      </c>
      <c r="AW140" t="e">
        <f>AND(#REF!,"DKptsWXphjA=")</f>
        <v>#REF!</v>
      </c>
      <c r="AX140" t="e">
        <f>AND(#REF!,"DKptsWXphjE=")</f>
        <v>#REF!</v>
      </c>
      <c r="AY140" t="e">
        <f>AND(#REF!,"DKptsWXphjI=")</f>
        <v>#REF!</v>
      </c>
      <c r="AZ140" t="e">
        <f>AND(#REF!,"DKptsWXphjM=")</f>
        <v>#REF!</v>
      </c>
      <c r="BA140" t="e">
        <f>AND(#REF!,"DKptsWXphjQ=")</f>
        <v>#REF!</v>
      </c>
      <c r="BB140" t="e">
        <f>AND(#REF!,"DKptsWXphjU=")</f>
        <v>#REF!</v>
      </c>
      <c r="BC140" t="e">
        <f>AND(#REF!,"DKptsWXphjY=")</f>
        <v>#REF!</v>
      </c>
      <c r="BD140" t="e">
        <f>IF(#REF!,"DKptsWXphjc=",0)</f>
        <v>#REF!</v>
      </c>
      <c r="BE140" t="e">
        <f>AND(#REF!,"DKptsWXphjg=")</f>
        <v>#REF!</v>
      </c>
      <c r="BF140" t="e">
        <f>AND(#REF!,"DKptsWXphjk=")</f>
        <v>#REF!</v>
      </c>
      <c r="BG140" t="e">
        <f>AND(#REF!,"DKptsWXphjo=")</f>
        <v>#REF!</v>
      </c>
      <c r="BH140" t="e">
        <f>AND(#REF!,"DKptsWXphjs=")</f>
        <v>#REF!</v>
      </c>
      <c r="BI140" t="e">
        <f>AND(#REF!,"DKptsWXphjw=")</f>
        <v>#REF!</v>
      </c>
      <c r="BJ140" t="e">
        <f>AND(#REF!,"DKptsWXphj0=")</f>
        <v>#REF!</v>
      </c>
      <c r="BK140" t="e">
        <f>AND(#REF!,"DKptsWXphj4=")</f>
        <v>#REF!</v>
      </c>
      <c r="BL140" t="e">
        <f>AND(#REF!,"DKptsWXphj8=")</f>
        <v>#REF!</v>
      </c>
      <c r="BM140" t="e">
        <f>AND(#REF!,"DKptsWXphkA=")</f>
        <v>#REF!</v>
      </c>
      <c r="BN140" t="e">
        <f>AND(#REF!,"DKptsWXphkE=")</f>
        <v>#REF!</v>
      </c>
      <c r="BO140" t="e">
        <f>AND(#REF!,"DKptsWXphkI=")</f>
        <v>#REF!</v>
      </c>
      <c r="BP140" t="e">
        <f>AND(#REF!,"DKptsWXphkM=")</f>
        <v>#REF!</v>
      </c>
      <c r="BQ140" t="e">
        <f>AND(#REF!,"DKptsWXphkQ=")</f>
        <v>#REF!</v>
      </c>
      <c r="BR140" t="e">
        <f>AND(#REF!,"DKptsWXphkU=")</f>
        <v>#REF!</v>
      </c>
      <c r="BS140" t="e">
        <f>AND(#REF!,"DKptsWXphkY=")</f>
        <v>#REF!</v>
      </c>
      <c r="BT140" t="e">
        <f>AND(#REF!,"DKptsWXphkc=")</f>
        <v>#REF!</v>
      </c>
      <c r="BU140" t="e">
        <f>IF(#REF!,"DKptsWXphkg=",0)</f>
        <v>#REF!</v>
      </c>
      <c r="BV140" t="e">
        <f>AND(#REF!,"DKptsWXphkk=")</f>
        <v>#REF!</v>
      </c>
      <c r="BW140" t="e">
        <f>AND(#REF!,"DKptsWXphko=")</f>
        <v>#REF!</v>
      </c>
      <c r="BX140" t="e">
        <f>AND(#REF!,"DKptsWXphks=")</f>
        <v>#REF!</v>
      </c>
      <c r="BY140" t="e">
        <f>AND(#REF!,"DKptsWXphkw=")</f>
        <v>#REF!</v>
      </c>
      <c r="BZ140" t="e">
        <f>AND(#REF!,"DKptsWXphk0=")</f>
        <v>#REF!</v>
      </c>
      <c r="CA140" t="e">
        <f>AND(#REF!,"DKptsWXphk4=")</f>
        <v>#REF!</v>
      </c>
      <c r="CB140" t="e">
        <f>AND(#REF!,"DKptsWXphk8=")</f>
        <v>#REF!</v>
      </c>
      <c r="CC140" t="e">
        <f>AND(#REF!,"DKptsWXphlA=")</f>
        <v>#REF!</v>
      </c>
      <c r="CD140" t="e">
        <f>AND(#REF!,"DKptsWXphlE=")</f>
        <v>#REF!</v>
      </c>
      <c r="CE140" t="e">
        <f>AND(#REF!,"DKptsWXphlI=")</f>
        <v>#REF!</v>
      </c>
      <c r="CF140" t="e">
        <f>AND(#REF!,"DKptsWXphlM=")</f>
        <v>#REF!</v>
      </c>
      <c r="CG140" t="e">
        <f>AND(#REF!,"DKptsWXphlQ=")</f>
        <v>#REF!</v>
      </c>
      <c r="CH140" t="e">
        <f>AND(#REF!,"DKptsWXphlU=")</f>
        <v>#REF!</v>
      </c>
      <c r="CI140" t="e">
        <f>AND(#REF!,"DKptsWXphlY=")</f>
        <v>#REF!</v>
      </c>
      <c r="CJ140" t="e">
        <f>AND(#REF!,"DKptsWXphlc=")</f>
        <v>#REF!</v>
      </c>
      <c r="CK140" t="e">
        <f>AND(#REF!,"DKptsWXphlg=")</f>
        <v>#REF!</v>
      </c>
      <c r="CL140" t="e">
        <f>IF(#REF!,"DKptsWXphlk=",0)</f>
        <v>#REF!</v>
      </c>
      <c r="CM140" t="e">
        <f>AND(#REF!,"DKptsWXphlo=")</f>
        <v>#REF!</v>
      </c>
      <c r="CN140" t="e">
        <f>AND(#REF!,"DKptsWXphls=")</f>
        <v>#REF!</v>
      </c>
      <c r="CO140" t="e">
        <f>AND(#REF!,"DKptsWXphlw=")</f>
        <v>#REF!</v>
      </c>
      <c r="CP140" t="e">
        <f>AND(#REF!,"DKptsWXphl0=")</f>
        <v>#REF!</v>
      </c>
      <c r="CQ140" t="e">
        <f>AND(#REF!,"DKptsWXphl4=")</f>
        <v>#REF!</v>
      </c>
      <c r="CR140" t="e">
        <f>AND(#REF!,"DKptsWXphl8=")</f>
        <v>#REF!</v>
      </c>
      <c r="CS140" t="e">
        <f>AND(#REF!,"DKptsWXphmA=")</f>
        <v>#REF!</v>
      </c>
      <c r="CT140" t="e">
        <f>AND(#REF!,"DKptsWXphmE=")</f>
        <v>#REF!</v>
      </c>
      <c r="CU140" t="e">
        <f>AND(#REF!,"DKptsWXphmI=")</f>
        <v>#REF!</v>
      </c>
      <c r="CV140" t="e">
        <f>AND(#REF!,"DKptsWXphmM=")</f>
        <v>#REF!</v>
      </c>
      <c r="CW140" t="e">
        <f>AND(#REF!,"DKptsWXphmQ=")</f>
        <v>#REF!</v>
      </c>
      <c r="CX140" t="e">
        <f>AND(#REF!,"DKptsWXphmU=")</f>
        <v>#REF!</v>
      </c>
      <c r="CY140" t="e">
        <f>AND(#REF!,"DKptsWXphmY=")</f>
        <v>#REF!</v>
      </c>
      <c r="CZ140" t="e">
        <f>AND(#REF!,"DKptsWXphmc=")</f>
        <v>#REF!</v>
      </c>
      <c r="DA140" t="e">
        <f>AND(#REF!,"DKptsWXphmg=")</f>
        <v>#REF!</v>
      </c>
      <c r="DB140" t="e">
        <f>AND(#REF!,"DKptsWXphmk=")</f>
        <v>#REF!</v>
      </c>
      <c r="DC140" t="e">
        <f>IF(#REF!,"DKptsWXphmo=",0)</f>
        <v>#REF!</v>
      </c>
      <c r="DD140" t="e">
        <f>AND(#REF!,"DKptsWXphms=")</f>
        <v>#REF!</v>
      </c>
      <c r="DE140" t="e">
        <f>AND(#REF!,"DKptsWXphmw=")</f>
        <v>#REF!</v>
      </c>
      <c r="DF140" t="e">
        <f>AND(#REF!,"DKptsWXphm0=")</f>
        <v>#REF!</v>
      </c>
      <c r="DG140" t="e">
        <f>AND(#REF!,"DKptsWXphm4=")</f>
        <v>#REF!</v>
      </c>
      <c r="DH140" t="e">
        <f>AND(#REF!,"DKptsWXphm8=")</f>
        <v>#REF!</v>
      </c>
      <c r="DI140" t="e">
        <f>AND(#REF!,"DKptsWXphnA=")</f>
        <v>#REF!</v>
      </c>
      <c r="DJ140" t="e">
        <f>AND(#REF!,"DKptsWXphnE=")</f>
        <v>#REF!</v>
      </c>
      <c r="DK140" t="e">
        <f>AND(#REF!,"DKptsWXphnI=")</f>
        <v>#REF!</v>
      </c>
      <c r="DL140" t="e">
        <f>AND(#REF!,"DKptsWXphnM=")</f>
        <v>#REF!</v>
      </c>
      <c r="DM140" t="e">
        <f>AND(#REF!,"DKptsWXphnQ=")</f>
        <v>#REF!</v>
      </c>
      <c r="DN140" t="e">
        <f>AND(#REF!,"DKptsWXphnU=")</f>
        <v>#REF!</v>
      </c>
      <c r="DO140" t="e">
        <f>AND(#REF!,"DKptsWXphnY=")</f>
        <v>#REF!</v>
      </c>
      <c r="DP140" t="e">
        <f>AND(#REF!,"DKptsWXphnc=")</f>
        <v>#REF!</v>
      </c>
      <c r="DQ140" t="e">
        <f>AND(#REF!,"DKptsWXphng=")</f>
        <v>#REF!</v>
      </c>
      <c r="DR140" t="e">
        <f>AND(#REF!,"DKptsWXphnk=")</f>
        <v>#REF!</v>
      </c>
      <c r="DS140" t="e">
        <f>AND(#REF!,"DKptsWXphno=")</f>
        <v>#REF!</v>
      </c>
      <c r="DT140" t="e">
        <f>IF(#REF!,"DKptsWXphns=",0)</f>
        <v>#REF!</v>
      </c>
      <c r="DU140" t="e">
        <f>AND(#REF!,"DKptsWXphnw=")</f>
        <v>#REF!</v>
      </c>
      <c r="DV140" t="e">
        <f>AND(#REF!,"DKptsWXphn0=")</f>
        <v>#REF!</v>
      </c>
      <c r="DW140" t="e">
        <f>AND(#REF!,"DKptsWXphn4=")</f>
        <v>#REF!</v>
      </c>
      <c r="DX140" t="e">
        <f>AND(#REF!,"DKptsWXphn8=")</f>
        <v>#REF!</v>
      </c>
      <c r="DY140" t="e">
        <f>AND(#REF!,"DKptsWXphoA=")</f>
        <v>#REF!</v>
      </c>
      <c r="DZ140" t="e">
        <f>AND(#REF!,"DKptsWXphoE=")</f>
        <v>#REF!</v>
      </c>
      <c r="EA140" t="e">
        <f>AND(#REF!,"DKptsWXphoI=")</f>
        <v>#REF!</v>
      </c>
      <c r="EB140" t="e">
        <f>AND(#REF!,"DKptsWXphoM=")</f>
        <v>#REF!</v>
      </c>
      <c r="EC140" t="e">
        <f>AND(#REF!,"DKptsWXphoQ=")</f>
        <v>#REF!</v>
      </c>
      <c r="ED140" t="e">
        <f>AND(#REF!,"DKptsWXphoU=")</f>
        <v>#REF!</v>
      </c>
      <c r="EE140" t="e">
        <f>AND(#REF!,"DKptsWXphoY=")</f>
        <v>#REF!</v>
      </c>
      <c r="EF140" t="e">
        <f>AND(#REF!,"DKptsWXphoc=")</f>
        <v>#REF!</v>
      </c>
      <c r="EG140" t="e">
        <f>AND(#REF!,"DKptsWXphog=")</f>
        <v>#REF!</v>
      </c>
      <c r="EH140" t="e">
        <f>AND(#REF!,"DKptsWXphok=")</f>
        <v>#REF!</v>
      </c>
      <c r="EI140" t="e">
        <f>AND(#REF!,"DKptsWXphoo=")</f>
        <v>#REF!</v>
      </c>
      <c r="EJ140" t="e">
        <f>AND(#REF!,"DKptsWXphos=")</f>
        <v>#REF!</v>
      </c>
      <c r="EK140" t="e">
        <f>IF(#REF!,"DKptsWXphow=",0)</f>
        <v>#REF!</v>
      </c>
      <c r="EL140" t="e">
        <f>AND(#REF!,"DKptsWXpho0=")</f>
        <v>#REF!</v>
      </c>
      <c r="EM140" t="e">
        <f>AND(#REF!,"DKptsWXpho4=")</f>
        <v>#REF!</v>
      </c>
      <c r="EN140" t="e">
        <f>AND(#REF!,"DKptsWXpho8=")</f>
        <v>#REF!</v>
      </c>
      <c r="EO140" t="e">
        <f>AND(#REF!,"DKptsWXphpA=")</f>
        <v>#REF!</v>
      </c>
      <c r="EP140" t="e">
        <f>AND(#REF!,"DKptsWXphpE=")</f>
        <v>#REF!</v>
      </c>
      <c r="EQ140" t="e">
        <f>AND(#REF!,"DKptsWXphpI=")</f>
        <v>#REF!</v>
      </c>
      <c r="ER140" t="e">
        <f>AND(#REF!,"DKptsWXphpM=")</f>
        <v>#REF!</v>
      </c>
      <c r="ES140" t="e">
        <f>AND(#REF!,"DKptsWXphpQ=")</f>
        <v>#REF!</v>
      </c>
      <c r="ET140" t="e">
        <f>AND(#REF!,"DKptsWXphpU=")</f>
        <v>#REF!</v>
      </c>
      <c r="EU140" t="e">
        <f>AND(#REF!,"DKptsWXphpY=")</f>
        <v>#REF!</v>
      </c>
      <c r="EV140" t="e">
        <f>AND(#REF!,"DKptsWXphpc=")</f>
        <v>#REF!</v>
      </c>
      <c r="EW140" t="e">
        <f>AND(#REF!,"DKptsWXphpg=")</f>
        <v>#REF!</v>
      </c>
      <c r="EX140" t="e">
        <f>AND(#REF!,"DKptsWXphpk=")</f>
        <v>#REF!</v>
      </c>
      <c r="EY140" t="e">
        <f>AND(#REF!,"DKptsWXphpo=")</f>
        <v>#REF!</v>
      </c>
      <c r="EZ140" t="e">
        <f>AND(#REF!,"DKptsWXphps=")</f>
        <v>#REF!</v>
      </c>
      <c r="FA140" t="e">
        <f>AND(#REF!,"DKptsWXphpw=")</f>
        <v>#REF!</v>
      </c>
      <c r="FB140" t="e">
        <f>IF(#REF!,"DKptsWXphp0=",0)</f>
        <v>#REF!</v>
      </c>
      <c r="FC140" t="e">
        <f>AND(#REF!,"DKptsWXphp4=")</f>
        <v>#REF!</v>
      </c>
      <c r="FD140" t="e">
        <f>AND(#REF!,"DKptsWXphp8=")</f>
        <v>#REF!</v>
      </c>
      <c r="FE140" t="e">
        <f>AND(#REF!,"DKptsWXphqA=")</f>
        <v>#REF!</v>
      </c>
      <c r="FF140" t="e">
        <f>AND(#REF!,"DKptsWXphqE=")</f>
        <v>#REF!</v>
      </c>
      <c r="FG140" t="e">
        <f>AND(#REF!,"DKptsWXphqI=")</f>
        <v>#REF!</v>
      </c>
      <c r="FH140" t="e">
        <f>AND(#REF!,"DKptsWXphqM=")</f>
        <v>#REF!</v>
      </c>
      <c r="FI140" t="e">
        <f>AND(#REF!,"DKptsWXphqQ=")</f>
        <v>#REF!</v>
      </c>
      <c r="FJ140" t="e">
        <f>AND(#REF!,"DKptsWXphqU=")</f>
        <v>#REF!</v>
      </c>
      <c r="FK140" t="e">
        <f>AND(#REF!,"DKptsWXphqY=")</f>
        <v>#REF!</v>
      </c>
      <c r="FL140" t="e">
        <f>AND(#REF!,"DKptsWXphqc=")</f>
        <v>#REF!</v>
      </c>
      <c r="FM140" t="e">
        <f>AND(#REF!,"DKptsWXphqg=")</f>
        <v>#REF!</v>
      </c>
      <c r="FN140" t="e">
        <f>AND(#REF!,"DKptsWXphqk=")</f>
        <v>#REF!</v>
      </c>
      <c r="FO140" t="e">
        <f>AND(#REF!,"DKptsWXphqo=")</f>
        <v>#REF!</v>
      </c>
      <c r="FP140" t="e">
        <f>AND(#REF!,"DKptsWXphqs=")</f>
        <v>#REF!</v>
      </c>
      <c r="FQ140" t="e">
        <f>AND(#REF!,"DKptsWXphqw=")</f>
        <v>#REF!</v>
      </c>
      <c r="FR140" t="e">
        <f>AND(#REF!,"DKptsWXphq0=")</f>
        <v>#REF!</v>
      </c>
      <c r="FS140" t="e">
        <f>IF(#REF!,"DKptsWXphq4=",0)</f>
        <v>#REF!</v>
      </c>
      <c r="FT140" t="e">
        <f>AND(#REF!,"DKptsWXphq8=")</f>
        <v>#REF!</v>
      </c>
      <c r="FU140" t="e">
        <f>AND(#REF!,"DKptsWXphrA=")</f>
        <v>#REF!</v>
      </c>
      <c r="FV140" t="e">
        <f>AND(#REF!,"DKptsWXphrE=")</f>
        <v>#REF!</v>
      </c>
      <c r="FW140" t="e">
        <f>AND(#REF!,"DKptsWXphrI=")</f>
        <v>#REF!</v>
      </c>
      <c r="FX140" t="e">
        <f>AND(#REF!,"DKptsWXphrM=")</f>
        <v>#REF!</v>
      </c>
      <c r="FY140" t="e">
        <f>AND(#REF!,"DKptsWXphrQ=")</f>
        <v>#REF!</v>
      </c>
      <c r="FZ140" t="e">
        <f>AND(#REF!,"DKptsWXphrU=")</f>
        <v>#REF!</v>
      </c>
      <c r="GA140" t="e">
        <f>AND(#REF!,"DKptsWXphrY=")</f>
        <v>#REF!</v>
      </c>
      <c r="GB140" t="e">
        <f>AND(#REF!,"DKptsWXphrc=")</f>
        <v>#REF!</v>
      </c>
      <c r="GC140" t="e">
        <f>AND(#REF!,"DKptsWXphrg=")</f>
        <v>#REF!</v>
      </c>
      <c r="GD140" t="e">
        <f>AND(#REF!,"DKptsWXphrk=")</f>
        <v>#REF!</v>
      </c>
      <c r="GE140" t="e">
        <f>AND(#REF!,"DKptsWXphro=")</f>
        <v>#REF!</v>
      </c>
      <c r="GF140" t="e">
        <f>AND(#REF!,"DKptsWXphrs=")</f>
        <v>#REF!</v>
      </c>
      <c r="GG140" t="e">
        <f>AND(#REF!,"DKptsWXphrw=")</f>
        <v>#REF!</v>
      </c>
      <c r="GH140" t="e">
        <f>AND(#REF!,"DKptsWXphr0=")</f>
        <v>#REF!</v>
      </c>
      <c r="GI140" t="e">
        <f>AND(#REF!,"DKptsWXphr4=")</f>
        <v>#REF!</v>
      </c>
      <c r="GJ140" t="e">
        <f>IF(#REF!,"DKptsWXphr8=",0)</f>
        <v>#REF!</v>
      </c>
      <c r="GK140" t="e">
        <f>AND(#REF!,"DKptsWXphsA=")</f>
        <v>#REF!</v>
      </c>
      <c r="GL140" t="e">
        <f>AND(#REF!,"DKptsWXphsE=")</f>
        <v>#REF!</v>
      </c>
      <c r="GM140" t="e">
        <f>AND(#REF!,"DKptsWXphsI=")</f>
        <v>#REF!</v>
      </c>
      <c r="GN140" t="e">
        <f>AND(#REF!,"DKptsWXphsM=")</f>
        <v>#REF!</v>
      </c>
      <c r="GO140" t="e">
        <f>AND(#REF!,"DKptsWXphsQ=")</f>
        <v>#REF!</v>
      </c>
      <c r="GP140" t="e">
        <f>AND(#REF!,"DKptsWXphsU=")</f>
        <v>#REF!</v>
      </c>
      <c r="GQ140" t="e">
        <f>AND(#REF!,"DKptsWXphsY=")</f>
        <v>#REF!</v>
      </c>
      <c r="GR140" t="e">
        <f>AND(#REF!,"DKptsWXphsc=")</f>
        <v>#REF!</v>
      </c>
      <c r="GS140" t="e">
        <f>AND(#REF!,"DKptsWXphsg=")</f>
        <v>#REF!</v>
      </c>
      <c r="GT140" t="e">
        <f>AND(#REF!,"DKptsWXphsk=")</f>
        <v>#REF!</v>
      </c>
      <c r="GU140" t="e">
        <f>AND(#REF!,"DKptsWXphso=")</f>
        <v>#REF!</v>
      </c>
      <c r="GV140" t="e">
        <f>AND(#REF!,"DKptsWXphss=")</f>
        <v>#REF!</v>
      </c>
      <c r="GW140" t="e">
        <f>AND(#REF!,"DKptsWXphsw=")</f>
        <v>#REF!</v>
      </c>
      <c r="GX140" t="e">
        <f>AND(#REF!,"DKptsWXphs0=")</f>
        <v>#REF!</v>
      </c>
      <c r="GY140" t="e">
        <f>AND(#REF!,"DKptsWXphs4=")</f>
        <v>#REF!</v>
      </c>
      <c r="GZ140" t="e">
        <f>AND(#REF!,"DKptsWXphs8=")</f>
        <v>#REF!</v>
      </c>
      <c r="HA140" t="e">
        <f>IF(#REF!,"DKptsWXphtA=",0)</f>
        <v>#REF!</v>
      </c>
      <c r="HB140" t="e">
        <f>AND(#REF!,"DKptsWXphtE=")</f>
        <v>#REF!</v>
      </c>
      <c r="HC140" t="e">
        <f>AND(#REF!,"DKptsWXphtI=")</f>
        <v>#REF!</v>
      </c>
      <c r="HD140" t="e">
        <f>AND(#REF!,"DKptsWXphtM=")</f>
        <v>#REF!</v>
      </c>
      <c r="HE140" t="e">
        <f>AND(#REF!,"DKptsWXphtQ=")</f>
        <v>#REF!</v>
      </c>
      <c r="HF140" t="e">
        <f>AND(#REF!,"DKptsWXphtU=")</f>
        <v>#REF!</v>
      </c>
      <c r="HG140" t="e">
        <f>AND(#REF!,"DKptsWXphtY=")</f>
        <v>#REF!</v>
      </c>
      <c r="HH140" t="e">
        <f>AND(#REF!,"DKptsWXphtc=")</f>
        <v>#REF!</v>
      </c>
      <c r="HI140" t="e">
        <f>AND(#REF!,"DKptsWXphtg=")</f>
        <v>#REF!</v>
      </c>
      <c r="HJ140" t="e">
        <f>AND(#REF!,"DKptsWXphtk=")</f>
        <v>#REF!</v>
      </c>
      <c r="HK140" t="e">
        <f>AND(#REF!,"DKptsWXphto=")</f>
        <v>#REF!</v>
      </c>
      <c r="HL140" t="e">
        <f>AND(#REF!,"DKptsWXphts=")</f>
        <v>#REF!</v>
      </c>
      <c r="HM140" t="e">
        <f>AND(#REF!,"DKptsWXphtw=")</f>
        <v>#REF!</v>
      </c>
      <c r="HN140" t="e">
        <f>AND(#REF!,"DKptsWXpht0=")</f>
        <v>#REF!</v>
      </c>
      <c r="HO140" t="e">
        <f>AND(#REF!,"DKptsWXpht4=")</f>
        <v>#REF!</v>
      </c>
      <c r="HP140" t="e">
        <f>AND(#REF!,"DKptsWXpht8=")</f>
        <v>#REF!</v>
      </c>
      <c r="HQ140" t="e">
        <f>AND(#REF!,"DKptsWXphuA=")</f>
        <v>#REF!</v>
      </c>
      <c r="HR140" t="e">
        <f>IF(#REF!,"DKptsWXphuE=",0)</f>
        <v>#REF!</v>
      </c>
      <c r="HS140" t="e">
        <f>AND(#REF!,"DKptsWXphuI=")</f>
        <v>#REF!</v>
      </c>
      <c r="HT140" t="e">
        <f>AND(#REF!,"DKptsWXphuM=")</f>
        <v>#REF!</v>
      </c>
      <c r="HU140" t="e">
        <f>AND(#REF!,"DKptsWXphuQ=")</f>
        <v>#REF!</v>
      </c>
      <c r="HV140" t="e">
        <f>AND(#REF!,"DKptsWXphuU=")</f>
        <v>#REF!</v>
      </c>
      <c r="HW140" t="e">
        <f>AND(#REF!,"DKptsWXphuY=")</f>
        <v>#REF!</v>
      </c>
      <c r="HX140" t="e">
        <f>AND(#REF!,"DKptsWXphuc=")</f>
        <v>#REF!</v>
      </c>
      <c r="HY140" t="e">
        <f>AND(#REF!,"DKptsWXphug=")</f>
        <v>#REF!</v>
      </c>
      <c r="HZ140" t="e">
        <f>AND(#REF!,"DKptsWXphuk=")</f>
        <v>#REF!</v>
      </c>
      <c r="IA140" t="e">
        <f>AND(#REF!,"DKptsWXphuo=")</f>
        <v>#REF!</v>
      </c>
      <c r="IB140" t="e">
        <f>AND(#REF!,"DKptsWXphus=")</f>
        <v>#REF!</v>
      </c>
      <c r="IC140" t="e">
        <f>AND(#REF!,"DKptsWXphuw=")</f>
        <v>#REF!</v>
      </c>
      <c r="ID140" t="e">
        <f>AND(#REF!,"DKptsWXphu0=")</f>
        <v>#REF!</v>
      </c>
      <c r="IE140" t="e">
        <f>AND(#REF!,"DKptsWXphu4=")</f>
        <v>#REF!</v>
      </c>
      <c r="IF140" t="e">
        <f>AND(#REF!,"DKptsWXphu8=")</f>
        <v>#REF!</v>
      </c>
      <c r="IG140" t="e">
        <f>AND(#REF!,"DKptsWXphvA=")</f>
        <v>#REF!</v>
      </c>
      <c r="IH140" t="e">
        <f>AND(#REF!,"DKptsWXphvE=")</f>
        <v>#REF!</v>
      </c>
      <c r="II140" t="e">
        <f>IF(#REF!,"DKptsWXphvI=",0)</f>
        <v>#REF!</v>
      </c>
      <c r="IJ140" t="e">
        <f>IF(#REF!,"DKptsWXphvM=",0)</f>
        <v>#REF!</v>
      </c>
      <c r="IK140" t="e">
        <f>IF(#REF!,"DKptsWXphvQ=",0)</f>
        <v>#REF!</v>
      </c>
      <c r="IL140" t="e">
        <f>IF(#REF!,"DKptsWXphvU=",0)</f>
        <v>#REF!</v>
      </c>
      <c r="IM140" t="e">
        <f>IF(#REF!,"DKptsWXphvY=",0)</f>
        <v>#REF!</v>
      </c>
      <c r="IN140" t="e">
        <f>IF(#REF!,"DKptsWXphvc=",0)</f>
        <v>#REF!</v>
      </c>
      <c r="IO140" t="e">
        <f>IF(#REF!,"DKptsWXphvg=",0)</f>
        <v>#REF!</v>
      </c>
      <c r="IP140" t="e">
        <f>IF(#REF!,"DKptsWXphvk=",0)</f>
        <v>#REF!</v>
      </c>
      <c r="IQ140" t="e">
        <f>IF(#REF!,"DKptsWXphvo=",0)</f>
        <v>#REF!</v>
      </c>
      <c r="IR140" t="e">
        <f>IF(#REF!,"DKptsWXphvs=",0)</f>
        <v>#REF!</v>
      </c>
      <c r="IS140" t="e">
        <f>IF(#REF!,"DKptsWXphvw=",0)</f>
        <v>#REF!</v>
      </c>
      <c r="IT140" t="e">
        <f>IF(#REF!,"DKptsWXphv0=",0)</f>
        <v>#REF!</v>
      </c>
      <c r="IU140" t="e">
        <f>IF(#REF!,"DKptsWXphv4=",0)</f>
        <v>#REF!</v>
      </c>
      <c r="IV140" t="e">
        <f>IF(#REF!,"DKptsWXphv8=",0)</f>
        <v>#REF!</v>
      </c>
    </row>
    <row r="141" spans="1:256" x14ac:dyDescent="0.2">
      <c r="A141" t="e">
        <f>IF(#REF!,"cV1M/zUmZwA=",0)</f>
        <v>#REF!</v>
      </c>
      <c r="B141" t="e">
        <f>IF(#REF!,"cV1M/zUmZwE=",0)</f>
        <v>#REF!</v>
      </c>
      <c r="C141" t="e">
        <f>IF(#REF!,"cV1M/zUmZwI=",0)</f>
        <v>#REF!</v>
      </c>
      <c r="D141" t="e">
        <f>AND(#REF!,"cV1M/zUmZwM=")</f>
        <v>#REF!</v>
      </c>
      <c r="E141" t="e">
        <f>AND(#REF!,"cV1M/zUmZwQ=")</f>
        <v>#REF!</v>
      </c>
      <c r="F141" t="e">
        <f>AND(#REF!,"cV1M/zUmZwU=")</f>
        <v>#REF!</v>
      </c>
      <c r="G141" t="e">
        <f>AND(#REF!,"cV1M/zUmZwY=")</f>
        <v>#REF!</v>
      </c>
      <c r="H141" t="e">
        <f>AND(#REF!,"cV1M/zUmZwc=")</f>
        <v>#REF!</v>
      </c>
      <c r="I141" t="e">
        <f>AND(#REF!,"cV1M/zUmZwg=")</f>
        <v>#REF!</v>
      </c>
      <c r="J141" t="e">
        <f>AND(#REF!,"cV1M/zUmZwk=")</f>
        <v>#REF!</v>
      </c>
      <c r="K141" t="e">
        <f>AND(#REF!,"cV1M/zUmZwo=")</f>
        <v>#REF!</v>
      </c>
      <c r="L141" t="e">
        <f>AND(#REF!,"cV1M/zUmZws=")</f>
        <v>#REF!</v>
      </c>
      <c r="M141" t="e">
        <f>AND(#REF!,"cV1M/zUmZww=")</f>
        <v>#REF!</v>
      </c>
      <c r="N141" t="e">
        <f>AND(#REF!,"cV1M/zUmZw0=")</f>
        <v>#REF!</v>
      </c>
      <c r="O141" t="e">
        <f>AND(#REF!,"cV1M/zUmZw4=")</f>
        <v>#REF!</v>
      </c>
      <c r="P141" t="e">
        <f>AND(#REF!,"cV1M/zUmZw8=")</f>
        <v>#REF!</v>
      </c>
      <c r="Q141" t="e">
        <f>AND(#REF!,"cV1M/zUmZxA=")</f>
        <v>#REF!</v>
      </c>
      <c r="R141" t="e">
        <f>AND(#REF!,"cV1M/zUmZxE=")</f>
        <v>#REF!</v>
      </c>
      <c r="S141" t="e">
        <f>IF(#REF!,"cV1M/zUmZxI=",0)</f>
        <v>#REF!</v>
      </c>
      <c r="T141" t="e">
        <f>AND(#REF!,"cV1M/zUmZxM=")</f>
        <v>#REF!</v>
      </c>
      <c r="U141" t="e">
        <f>AND(#REF!,"cV1M/zUmZxQ=")</f>
        <v>#REF!</v>
      </c>
      <c r="V141" t="e">
        <f>AND(#REF!,"cV1M/zUmZxU=")</f>
        <v>#REF!</v>
      </c>
      <c r="W141" t="e">
        <f>AND(#REF!,"cV1M/zUmZxY=")</f>
        <v>#REF!</v>
      </c>
      <c r="X141" t="e">
        <f>AND(#REF!,"cV1M/zUmZxc=")</f>
        <v>#REF!</v>
      </c>
      <c r="Y141" t="e">
        <f>AND(#REF!,"cV1M/zUmZxg=")</f>
        <v>#REF!</v>
      </c>
      <c r="Z141" t="e">
        <f>AND(#REF!,"cV1M/zUmZxk=")</f>
        <v>#REF!</v>
      </c>
      <c r="AA141" t="e">
        <f>AND(#REF!,"cV1M/zUmZxo=")</f>
        <v>#REF!</v>
      </c>
      <c r="AB141" t="e">
        <f>AND(#REF!,"cV1M/zUmZxs=")</f>
        <v>#REF!</v>
      </c>
      <c r="AC141" t="e">
        <f>AND(#REF!,"cV1M/zUmZxw=")</f>
        <v>#REF!</v>
      </c>
      <c r="AD141" t="e">
        <f>AND(#REF!,"cV1M/zUmZx0=")</f>
        <v>#REF!</v>
      </c>
      <c r="AE141" t="e">
        <f>AND(#REF!,"cV1M/zUmZx4=")</f>
        <v>#REF!</v>
      </c>
      <c r="AF141" t="e">
        <f>AND(#REF!,"cV1M/zUmZx8=")</f>
        <v>#REF!</v>
      </c>
      <c r="AG141" t="e">
        <f>AND(#REF!,"cV1M/zUmZyA=")</f>
        <v>#REF!</v>
      </c>
      <c r="AH141" t="e">
        <f>AND(#REF!,"cV1M/zUmZyE=")</f>
        <v>#REF!</v>
      </c>
      <c r="AI141" t="e">
        <f>IF(#REF!,"cV1M/zUmZyI=",0)</f>
        <v>#REF!</v>
      </c>
      <c r="AJ141" t="e">
        <f>AND(#REF!,"cV1M/zUmZyM=")</f>
        <v>#REF!</v>
      </c>
      <c r="AK141" t="e">
        <f>AND(#REF!,"cV1M/zUmZyQ=")</f>
        <v>#REF!</v>
      </c>
      <c r="AL141" t="e">
        <f>AND(#REF!,"cV1M/zUmZyU=")</f>
        <v>#REF!</v>
      </c>
      <c r="AM141" t="e">
        <f>AND(#REF!,"cV1M/zUmZyY=")</f>
        <v>#REF!</v>
      </c>
      <c r="AN141" t="e">
        <f>AND(#REF!,"cV1M/zUmZyc=")</f>
        <v>#REF!</v>
      </c>
      <c r="AO141" t="e">
        <f>AND(#REF!,"cV1M/zUmZyg=")</f>
        <v>#REF!</v>
      </c>
      <c r="AP141" t="e">
        <f>AND(#REF!,"cV1M/zUmZyk=")</f>
        <v>#REF!</v>
      </c>
      <c r="AQ141" t="e">
        <f>AND(#REF!,"cV1M/zUmZyo=")</f>
        <v>#REF!</v>
      </c>
      <c r="AR141" t="e">
        <f>AND(#REF!,"cV1M/zUmZys=")</f>
        <v>#REF!</v>
      </c>
      <c r="AS141" t="e">
        <f>AND(#REF!,"cV1M/zUmZyw=")</f>
        <v>#REF!</v>
      </c>
      <c r="AT141" t="e">
        <f>AND(#REF!,"cV1M/zUmZy0=")</f>
        <v>#REF!</v>
      </c>
      <c r="AU141" t="e">
        <f>AND(#REF!,"cV1M/zUmZy4=")</f>
        <v>#REF!</v>
      </c>
      <c r="AV141" t="e">
        <f>AND(#REF!,"cV1M/zUmZy8=")</f>
        <v>#REF!</v>
      </c>
      <c r="AW141" t="e">
        <f>AND(#REF!,"cV1M/zUmZzA=")</f>
        <v>#REF!</v>
      </c>
      <c r="AX141" t="e">
        <f>AND(#REF!,"cV1M/zUmZzE=")</f>
        <v>#REF!</v>
      </c>
      <c r="AY141" t="e">
        <f>IF(#REF!,"cV1M/zUmZzI=",0)</f>
        <v>#REF!</v>
      </c>
      <c r="AZ141" t="e">
        <f>AND(#REF!,"cV1M/zUmZzM=")</f>
        <v>#REF!</v>
      </c>
      <c r="BA141" t="e">
        <f>AND(#REF!,"cV1M/zUmZzQ=")</f>
        <v>#REF!</v>
      </c>
      <c r="BB141" t="e">
        <f>AND(#REF!,"cV1M/zUmZzU=")</f>
        <v>#REF!</v>
      </c>
      <c r="BC141" t="e">
        <f>AND(#REF!,"cV1M/zUmZzY=")</f>
        <v>#REF!</v>
      </c>
      <c r="BD141" t="e">
        <f>AND(#REF!,"cV1M/zUmZzc=")</f>
        <v>#REF!</v>
      </c>
      <c r="BE141" t="e">
        <f>AND(#REF!,"cV1M/zUmZzg=")</f>
        <v>#REF!</v>
      </c>
      <c r="BF141" t="e">
        <f>AND(#REF!,"cV1M/zUmZzk=")</f>
        <v>#REF!</v>
      </c>
      <c r="BG141" t="e">
        <f>AND(#REF!,"cV1M/zUmZzo=")</f>
        <v>#REF!</v>
      </c>
      <c r="BH141" t="e">
        <f>AND(#REF!,"cV1M/zUmZzs=")</f>
        <v>#REF!</v>
      </c>
      <c r="BI141" t="e">
        <f>AND(#REF!,"cV1M/zUmZzw=")</f>
        <v>#REF!</v>
      </c>
      <c r="BJ141" t="e">
        <f>AND(#REF!,"cV1M/zUmZz0=")</f>
        <v>#REF!</v>
      </c>
      <c r="BK141" t="e">
        <f>AND(#REF!,"cV1M/zUmZz4=")</f>
        <v>#REF!</v>
      </c>
      <c r="BL141" t="e">
        <f>AND(#REF!,"cV1M/zUmZz8=")</f>
        <v>#REF!</v>
      </c>
      <c r="BM141" t="e">
        <f>AND(#REF!,"cV1M/zUmZ0A=")</f>
        <v>#REF!</v>
      </c>
      <c r="BN141" t="e">
        <f>AND(#REF!,"cV1M/zUmZ0E=")</f>
        <v>#REF!</v>
      </c>
      <c r="BO141" t="e">
        <f>IF(#REF!,"cV1M/zUmZ0I=",0)</f>
        <v>#REF!</v>
      </c>
      <c r="BP141" t="e">
        <f>AND(#REF!,"cV1M/zUmZ0M=")</f>
        <v>#REF!</v>
      </c>
      <c r="BQ141" t="e">
        <f>AND(#REF!,"cV1M/zUmZ0Q=")</f>
        <v>#REF!</v>
      </c>
      <c r="BR141" t="e">
        <f>AND(#REF!,"cV1M/zUmZ0U=")</f>
        <v>#REF!</v>
      </c>
      <c r="BS141" t="e">
        <f>AND(#REF!,"cV1M/zUmZ0Y=")</f>
        <v>#REF!</v>
      </c>
      <c r="BT141" t="e">
        <f>AND(#REF!,"cV1M/zUmZ0c=")</f>
        <v>#REF!</v>
      </c>
      <c r="BU141" t="e">
        <f>AND(#REF!,"cV1M/zUmZ0g=")</f>
        <v>#REF!</v>
      </c>
      <c r="BV141" t="e">
        <f>AND(#REF!,"cV1M/zUmZ0k=")</f>
        <v>#REF!</v>
      </c>
      <c r="BW141" t="e">
        <f>AND(#REF!,"cV1M/zUmZ0o=")</f>
        <v>#REF!</v>
      </c>
      <c r="BX141" t="e">
        <f>AND(#REF!,"cV1M/zUmZ0s=")</f>
        <v>#REF!</v>
      </c>
      <c r="BY141" t="e">
        <f>AND(#REF!,"cV1M/zUmZ0w=")</f>
        <v>#REF!</v>
      </c>
      <c r="BZ141" t="e">
        <f>AND(#REF!,"cV1M/zUmZ00=")</f>
        <v>#REF!</v>
      </c>
      <c r="CA141" t="e">
        <f>AND(#REF!,"cV1M/zUmZ04=")</f>
        <v>#REF!</v>
      </c>
      <c r="CB141" t="e">
        <f>AND(#REF!,"cV1M/zUmZ08=")</f>
        <v>#REF!</v>
      </c>
      <c r="CC141" t="e">
        <f>AND(#REF!,"cV1M/zUmZ1A=")</f>
        <v>#REF!</v>
      </c>
      <c r="CD141" t="e">
        <f>AND(#REF!,"cV1M/zUmZ1E=")</f>
        <v>#REF!</v>
      </c>
      <c r="CE141" t="e">
        <f>IF(#REF!,"cV1M/zUmZ1I=",0)</f>
        <v>#REF!</v>
      </c>
      <c r="CF141" t="e">
        <f>AND(#REF!,"cV1M/zUmZ1M=")</f>
        <v>#REF!</v>
      </c>
      <c r="CG141" t="e">
        <f>AND(#REF!,"cV1M/zUmZ1Q=")</f>
        <v>#REF!</v>
      </c>
      <c r="CH141" t="e">
        <f>AND(#REF!,"cV1M/zUmZ1U=")</f>
        <v>#REF!</v>
      </c>
      <c r="CI141" t="e">
        <f>AND(#REF!,"cV1M/zUmZ1Y=")</f>
        <v>#REF!</v>
      </c>
      <c r="CJ141" t="e">
        <f>AND(#REF!,"cV1M/zUmZ1c=")</f>
        <v>#REF!</v>
      </c>
      <c r="CK141" t="e">
        <f>AND(#REF!,"cV1M/zUmZ1g=")</f>
        <v>#REF!</v>
      </c>
      <c r="CL141" t="e">
        <f>AND(#REF!,"cV1M/zUmZ1k=")</f>
        <v>#REF!</v>
      </c>
      <c r="CM141" t="e">
        <f>AND(#REF!,"cV1M/zUmZ1o=")</f>
        <v>#REF!</v>
      </c>
      <c r="CN141" t="e">
        <f>AND(#REF!,"cV1M/zUmZ1s=")</f>
        <v>#REF!</v>
      </c>
      <c r="CO141" t="e">
        <f>AND(#REF!,"cV1M/zUmZ1w=")</f>
        <v>#REF!</v>
      </c>
      <c r="CP141" t="e">
        <f>AND(#REF!,"cV1M/zUmZ10=")</f>
        <v>#REF!</v>
      </c>
      <c r="CQ141" t="e">
        <f>AND(#REF!,"cV1M/zUmZ14=")</f>
        <v>#REF!</v>
      </c>
      <c r="CR141" t="e">
        <f>AND(#REF!,"cV1M/zUmZ18=")</f>
        <v>#REF!</v>
      </c>
      <c r="CS141" t="e">
        <f>AND(#REF!,"cV1M/zUmZ2A=")</f>
        <v>#REF!</v>
      </c>
      <c r="CT141" t="e">
        <f>AND(#REF!,"cV1M/zUmZ2E=")</f>
        <v>#REF!</v>
      </c>
      <c r="CU141" t="e">
        <f>IF(#REF!,"cV1M/zUmZ2I=",0)</f>
        <v>#REF!</v>
      </c>
      <c r="CV141" t="e">
        <f>AND(#REF!,"cV1M/zUmZ2M=")</f>
        <v>#REF!</v>
      </c>
      <c r="CW141" t="e">
        <f>AND(#REF!,"cV1M/zUmZ2Q=")</f>
        <v>#REF!</v>
      </c>
      <c r="CX141" t="e">
        <f>AND(#REF!,"cV1M/zUmZ2U=")</f>
        <v>#REF!</v>
      </c>
      <c r="CY141" t="e">
        <f>AND(#REF!,"cV1M/zUmZ2Y=")</f>
        <v>#REF!</v>
      </c>
      <c r="CZ141" t="e">
        <f>AND(#REF!,"cV1M/zUmZ2c=")</f>
        <v>#REF!</v>
      </c>
      <c r="DA141" t="e">
        <f>AND(#REF!,"cV1M/zUmZ2g=")</f>
        <v>#REF!</v>
      </c>
      <c r="DB141" t="e">
        <f>AND(#REF!,"cV1M/zUmZ2k=")</f>
        <v>#REF!</v>
      </c>
      <c r="DC141" t="e">
        <f>AND(#REF!,"cV1M/zUmZ2o=")</f>
        <v>#REF!</v>
      </c>
      <c r="DD141" t="e">
        <f>AND(#REF!,"cV1M/zUmZ2s=")</f>
        <v>#REF!</v>
      </c>
      <c r="DE141" t="e">
        <f>AND(#REF!,"cV1M/zUmZ2w=")</f>
        <v>#REF!</v>
      </c>
      <c r="DF141" t="e">
        <f>AND(#REF!,"cV1M/zUmZ20=")</f>
        <v>#REF!</v>
      </c>
      <c r="DG141" t="e">
        <f>AND(#REF!,"cV1M/zUmZ24=")</f>
        <v>#REF!</v>
      </c>
      <c r="DH141" t="e">
        <f>AND(#REF!,"cV1M/zUmZ28=")</f>
        <v>#REF!</v>
      </c>
      <c r="DI141" t="e">
        <f>AND(#REF!,"cV1M/zUmZ3A=")</f>
        <v>#REF!</v>
      </c>
      <c r="DJ141" t="e">
        <f>AND(#REF!,"cV1M/zUmZ3E=")</f>
        <v>#REF!</v>
      </c>
      <c r="DK141" t="e">
        <f>IF(#REF!,"cV1M/zUmZ3I=",0)</f>
        <v>#REF!</v>
      </c>
      <c r="DL141" t="e">
        <f>AND(#REF!,"cV1M/zUmZ3M=")</f>
        <v>#REF!</v>
      </c>
      <c r="DM141" t="e">
        <f>AND(#REF!,"cV1M/zUmZ3Q=")</f>
        <v>#REF!</v>
      </c>
      <c r="DN141" t="e">
        <f>AND(#REF!,"cV1M/zUmZ3U=")</f>
        <v>#REF!</v>
      </c>
      <c r="DO141" t="e">
        <f>AND(#REF!,"cV1M/zUmZ3Y=")</f>
        <v>#REF!</v>
      </c>
      <c r="DP141" t="e">
        <f>AND(#REF!,"cV1M/zUmZ3c=")</f>
        <v>#REF!</v>
      </c>
      <c r="DQ141" t="e">
        <f>AND(#REF!,"cV1M/zUmZ3g=")</f>
        <v>#REF!</v>
      </c>
      <c r="DR141" t="e">
        <f>AND(#REF!,"cV1M/zUmZ3k=")</f>
        <v>#REF!</v>
      </c>
      <c r="DS141" t="e">
        <f>AND(#REF!,"cV1M/zUmZ3o=")</f>
        <v>#REF!</v>
      </c>
      <c r="DT141" t="e">
        <f>AND(#REF!,"cV1M/zUmZ3s=")</f>
        <v>#REF!</v>
      </c>
      <c r="DU141" t="e">
        <f>AND(#REF!,"cV1M/zUmZ3w=")</f>
        <v>#REF!</v>
      </c>
      <c r="DV141" t="e">
        <f>AND(#REF!,"cV1M/zUmZ30=")</f>
        <v>#REF!</v>
      </c>
      <c r="DW141" t="e">
        <f>AND(#REF!,"cV1M/zUmZ34=")</f>
        <v>#REF!</v>
      </c>
      <c r="DX141" t="e">
        <f>AND(#REF!,"cV1M/zUmZ38=")</f>
        <v>#REF!</v>
      </c>
      <c r="DY141" t="e">
        <f>AND(#REF!,"cV1M/zUmZ4A=")</f>
        <v>#REF!</v>
      </c>
      <c r="DZ141" t="e">
        <f>AND(#REF!,"cV1M/zUmZ4E=")</f>
        <v>#REF!</v>
      </c>
      <c r="EA141" t="e">
        <f>IF(#REF!,"cV1M/zUmZ4I=",0)</f>
        <v>#REF!</v>
      </c>
      <c r="EB141" t="e">
        <f>AND(#REF!,"cV1M/zUmZ4M=")</f>
        <v>#REF!</v>
      </c>
      <c r="EC141" t="e">
        <f>AND(#REF!,"cV1M/zUmZ4Q=")</f>
        <v>#REF!</v>
      </c>
      <c r="ED141" t="e">
        <f>AND(#REF!,"cV1M/zUmZ4U=")</f>
        <v>#REF!</v>
      </c>
      <c r="EE141" t="e">
        <f>AND(#REF!,"cV1M/zUmZ4Y=")</f>
        <v>#REF!</v>
      </c>
      <c r="EF141" t="e">
        <f>AND(#REF!,"cV1M/zUmZ4c=")</f>
        <v>#REF!</v>
      </c>
      <c r="EG141" t="e">
        <f>AND(#REF!,"cV1M/zUmZ4g=")</f>
        <v>#REF!</v>
      </c>
      <c r="EH141" t="e">
        <f>AND(#REF!,"cV1M/zUmZ4k=")</f>
        <v>#REF!</v>
      </c>
      <c r="EI141" t="e">
        <f>AND(#REF!,"cV1M/zUmZ4o=")</f>
        <v>#REF!</v>
      </c>
      <c r="EJ141" t="e">
        <f>AND(#REF!,"cV1M/zUmZ4s=")</f>
        <v>#REF!</v>
      </c>
      <c r="EK141" t="e">
        <f>AND(#REF!,"cV1M/zUmZ4w=")</f>
        <v>#REF!</v>
      </c>
      <c r="EL141" t="e">
        <f>AND(#REF!,"cV1M/zUmZ40=")</f>
        <v>#REF!</v>
      </c>
      <c r="EM141" t="e">
        <f>AND(#REF!,"cV1M/zUmZ44=")</f>
        <v>#REF!</v>
      </c>
      <c r="EN141" t="e">
        <f>AND(#REF!,"cV1M/zUmZ48=")</f>
        <v>#REF!</v>
      </c>
      <c r="EO141" t="e">
        <f>AND(#REF!,"cV1M/zUmZ5A=")</f>
        <v>#REF!</v>
      </c>
      <c r="EP141" t="e">
        <f>AND(#REF!,"cV1M/zUmZ5E=")</f>
        <v>#REF!</v>
      </c>
      <c r="EQ141" t="e">
        <f>IF(#REF!,"cV1M/zUmZ5I=",0)</f>
        <v>#REF!</v>
      </c>
      <c r="ER141" t="e">
        <f>AND(#REF!,"cV1M/zUmZ5M=")</f>
        <v>#REF!</v>
      </c>
      <c r="ES141" t="e">
        <f>AND(#REF!,"cV1M/zUmZ5Q=")</f>
        <v>#REF!</v>
      </c>
      <c r="ET141" t="e">
        <f>AND(#REF!,"cV1M/zUmZ5U=")</f>
        <v>#REF!</v>
      </c>
      <c r="EU141" t="e">
        <f>AND(#REF!,"cV1M/zUmZ5Y=")</f>
        <v>#REF!</v>
      </c>
      <c r="EV141" t="e">
        <f>AND(#REF!,"cV1M/zUmZ5c=")</f>
        <v>#REF!</v>
      </c>
      <c r="EW141" t="e">
        <f>AND(#REF!,"cV1M/zUmZ5g=")</f>
        <v>#REF!</v>
      </c>
      <c r="EX141" t="e">
        <f>AND(#REF!,"cV1M/zUmZ5k=")</f>
        <v>#REF!</v>
      </c>
      <c r="EY141" t="e">
        <f>AND(#REF!,"cV1M/zUmZ5o=")</f>
        <v>#REF!</v>
      </c>
      <c r="EZ141" t="e">
        <f>AND(#REF!,"cV1M/zUmZ5s=")</f>
        <v>#REF!</v>
      </c>
      <c r="FA141" t="e">
        <f>AND(#REF!,"cV1M/zUmZ5w=")</f>
        <v>#REF!</v>
      </c>
      <c r="FB141" t="e">
        <f>AND(#REF!,"cV1M/zUmZ50=")</f>
        <v>#REF!</v>
      </c>
      <c r="FC141" t="e">
        <f>AND(#REF!,"cV1M/zUmZ54=")</f>
        <v>#REF!</v>
      </c>
      <c r="FD141" t="e">
        <f>AND(#REF!,"cV1M/zUmZ58=")</f>
        <v>#REF!</v>
      </c>
      <c r="FE141" t="e">
        <f>AND(#REF!,"cV1M/zUmZ6A=")</f>
        <v>#REF!</v>
      </c>
      <c r="FF141" t="e">
        <f>AND(#REF!,"cV1M/zUmZ6E=")</f>
        <v>#REF!</v>
      </c>
      <c r="FG141" t="e">
        <f>IF(#REF!,"cV1M/zUmZ6I=",0)</f>
        <v>#REF!</v>
      </c>
      <c r="FH141" t="e">
        <f>AND(#REF!,"cV1M/zUmZ6M=")</f>
        <v>#REF!</v>
      </c>
      <c r="FI141" t="e">
        <f>AND(#REF!,"cV1M/zUmZ6Q=")</f>
        <v>#REF!</v>
      </c>
      <c r="FJ141" t="e">
        <f>AND(#REF!,"cV1M/zUmZ6U=")</f>
        <v>#REF!</v>
      </c>
      <c r="FK141" t="e">
        <f>AND(#REF!,"cV1M/zUmZ6Y=")</f>
        <v>#REF!</v>
      </c>
      <c r="FL141" t="e">
        <f>AND(#REF!,"cV1M/zUmZ6c=")</f>
        <v>#REF!</v>
      </c>
      <c r="FM141" t="e">
        <f>AND(#REF!,"cV1M/zUmZ6g=")</f>
        <v>#REF!</v>
      </c>
      <c r="FN141" t="e">
        <f>AND(#REF!,"cV1M/zUmZ6k=")</f>
        <v>#REF!</v>
      </c>
      <c r="FO141" t="e">
        <f>AND(#REF!,"cV1M/zUmZ6o=")</f>
        <v>#REF!</v>
      </c>
      <c r="FP141" t="e">
        <f>AND(#REF!,"cV1M/zUmZ6s=")</f>
        <v>#REF!</v>
      </c>
      <c r="FQ141" t="e">
        <f>AND(#REF!,"cV1M/zUmZ6w=")</f>
        <v>#REF!</v>
      </c>
      <c r="FR141" t="e">
        <f>AND(#REF!,"cV1M/zUmZ60=")</f>
        <v>#REF!</v>
      </c>
      <c r="FS141" t="e">
        <f>AND(#REF!,"cV1M/zUmZ64=")</f>
        <v>#REF!</v>
      </c>
      <c r="FT141" t="e">
        <f>AND(#REF!,"cV1M/zUmZ68=")</f>
        <v>#REF!</v>
      </c>
      <c r="FU141" t="e">
        <f>AND(#REF!,"cV1M/zUmZ7A=")</f>
        <v>#REF!</v>
      </c>
      <c r="FV141" t="e">
        <f>AND(#REF!,"cV1M/zUmZ7E=")</f>
        <v>#REF!</v>
      </c>
      <c r="FW141" t="e">
        <f>IF(#REF!,"cV1M/zUmZ7I=",0)</f>
        <v>#REF!</v>
      </c>
      <c r="FX141" t="e">
        <f>AND(#REF!,"cV1M/zUmZ7M=")</f>
        <v>#REF!</v>
      </c>
      <c r="FY141" t="e">
        <f>AND(#REF!,"cV1M/zUmZ7Q=")</f>
        <v>#REF!</v>
      </c>
      <c r="FZ141" t="e">
        <f>AND(#REF!,"cV1M/zUmZ7U=")</f>
        <v>#REF!</v>
      </c>
      <c r="GA141" t="e">
        <f>AND(#REF!,"cV1M/zUmZ7Y=")</f>
        <v>#REF!</v>
      </c>
      <c r="GB141" t="e">
        <f>AND(#REF!,"cV1M/zUmZ7c=")</f>
        <v>#REF!</v>
      </c>
      <c r="GC141" t="e">
        <f>AND(#REF!,"cV1M/zUmZ7g=")</f>
        <v>#REF!</v>
      </c>
      <c r="GD141" t="e">
        <f>AND(#REF!,"cV1M/zUmZ7k=")</f>
        <v>#REF!</v>
      </c>
      <c r="GE141" t="e">
        <f>AND(#REF!,"cV1M/zUmZ7o=")</f>
        <v>#REF!</v>
      </c>
      <c r="GF141" t="e">
        <f>AND(#REF!,"cV1M/zUmZ7s=")</f>
        <v>#REF!</v>
      </c>
      <c r="GG141" t="e">
        <f>AND(#REF!,"cV1M/zUmZ7w=")</f>
        <v>#REF!</v>
      </c>
      <c r="GH141" t="e">
        <f>AND(#REF!,"cV1M/zUmZ70=")</f>
        <v>#REF!</v>
      </c>
      <c r="GI141" t="e">
        <f>AND(#REF!,"cV1M/zUmZ74=")</f>
        <v>#REF!</v>
      </c>
      <c r="GJ141" t="e">
        <f>AND(#REF!,"cV1M/zUmZ78=")</f>
        <v>#REF!</v>
      </c>
      <c r="GK141" t="e">
        <f>AND(#REF!,"cV1M/zUmZ8A=")</f>
        <v>#REF!</v>
      </c>
      <c r="GL141" t="e">
        <f>AND(#REF!,"cV1M/zUmZ8E=")</f>
        <v>#REF!</v>
      </c>
      <c r="GM141" t="e">
        <f>IF(#REF!,"cV1M/zUmZ8I=",0)</f>
        <v>#REF!</v>
      </c>
      <c r="GN141" t="e">
        <f>AND(#REF!,"cV1M/zUmZ8M=")</f>
        <v>#REF!</v>
      </c>
      <c r="GO141" t="e">
        <f>AND(#REF!,"cV1M/zUmZ8Q=")</f>
        <v>#REF!</v>
      </c>
      <c r="GP141" t="e">
        <f>AND(#REF!,"cV1M/zUmZ8U=")</f>
        <v>#REF!</v>
      </c>
      <c r="GQ141" t="e">
        <f>AND(#REF!,"cV1M/zUmZ8Y=")</f>
        <v>#REF!</v>
      </c>
      <c r="GR141" t="e">
        <f>AND(#REF!,"cV1M/zUmZ8c=")</f>
        <v>#REF!</v>
      </c>
      <c r="GS141" t="e">
        <f>AND(#REF!,"cV1M/zUmZ8g=")</f>
        <v>#REF!</v>
      </c>
      <c r="GT141" t="e">
        <f>AND(#REF!,"cV1M/zUmZ8k=")</f>
        <v>#REF!</v>
      </c>
      <c r="GU141" t="e">
        <f>AND(#REF!,"cV1M/zUmZ8o=")</f>
        <v>#REF!</v>
      </c>
      <c r="GV141" t="e">
        <f>AND(#REF!,"cV1M/zUmZ8s=")</f>
        <v>#REF!</v>
      </c>
      <c r="GW141" t="e">
        <f>AND(#REF!,"cV1M/zUmZ8w=")</f>
        <v>#REF!</v>
      </c>
      <c r="GX141" t="e">
        <f>AND(#REF!,"cV1M/zUmZ80=")</f>
        <v>#REF!</v>
      </c>
      <c r="GY141" t="e">
        <f>AND(#REF!,"cV1M/zUmZ84=")</f>
        <v>#REF!</v>
      </c>
      <c r="GZ141" t="e">
        <f>AND(#REF!,"cV1M/zUmZ88=")</f>
        <v>#REF!</v>
      </c>
      <c r="HA141" t="e">
        <f>AND(#REF!,"cV1M/zUmZ9A=")</f>
        <v>#REF!</v>
      </c>
      <c r="HB141" t="e">
        <f>AND(#REF!,"cV1M/zUmZ9E=")</f>
        <v>#REF!</v>
      </c>
      <c r="HC141" t="e">
        <f>IF(#REF!,"cV1M/zUmZ9I=",0)</f>
        <v>#REF!</v>
      </c>
      <c r="HD141" t="e">
        <f>AND(#REF!,"cV1M/zUmZ9M=")</f>
        <v>#REF!</v>
      </c>
      <c r="HE141" t="e">
        <f>AND(#REF!,"cV1M/zUmZ9Q=")</f>
        <v>#REF!</v>
      </c>
      <c r="HF141" t="e">
        <f>AND(#REF!,"cV1M/zUmZ9U=")</f>
        <v>#REF!</v>
      </c>
      <c r="HG141" t="e">
        <f>AND(#REF!,"cV1M/zUmZ9Y=")</f>
        <v>#REF!</v>
      </c>
      <c r="HH141" t="e">
        <f>AND(#REF!,"cV1M/zUmZ9c=")</f>
        <v>#REF!</v>
      </c>
      <c r="HI141" t="e">
        <f>AND(#REF!,"cV1M/zUmZ9g=")</f>
        <v>#REF!</v>
      </c>
      <c r="HJ141" t="e">
        <f>AND(#REF!,"cV1M/zUmZ9k=")</f>
        <v>#REF!</v>
      </c>
      <c r="HK141" t="e">
        <f>AND(#REF!,"cV1M/zUmZ9o=")</f>
        <v>#REF!</v>
      </c>
      <c r="HL141" t="e">
        <f>AND(#REF!,"cV1M/zUmZ9s=")</f>
        <v>#REF!</v>
      </c>
      <c r="HM141" t="e">
        <f>AND(#REF!,"cV1M/zUmZ9w=")</f>
        <v>#REF!</v>
      </c>
      <c r="HN141" t="e">
        <f>AND(#REF!,"cV1M/zUmZ90=")</f>
        <v>#REF!</v>
      </c>
      <c r="HO141" t="e">
        <f>AND(#REF!,"cV1M/zUmZ94=")</f>
        <v>#REF!</v>
      </c>
      <c r="HP141" t="e">
        <f>AND(#REF!,"cV1M/zUmZ98=")</f>
        <v>#REF!</v>
      </c>
      <c r="HQ141" t="e">
        <f>AND(#REF!,"cV1M/zUmZ+A=")</f>
        <v>#REF!</v>
      </c>
      <c r="HR141" t="e">
        <f>AND(#REF!,"cV1M/zUmZ+E=")</f>
        <v>#REF!</v>
      </c>
      <c r="HS141" t="e">
        <f>IF(#REF!,"cV1M/zUmZ+I=",0)</f>
        <v>#REF!</v>
      </c>
      <c r="HT141" t="e">
        <f>AND(#REF!,"cV1M/zUmZ+M=")</f>
        <v>#REF!</v>
      </c>
      <c r="HU141" t="e">
        <f>AND(#REF!,"cV1M/zUmZ+Q=")</f>
        <v>#REF!</v>
      </c>
      <c r="HV141" t="e">
        <f>AND(#REF!,"cV1M/zUmZ+U=")</f>
        <v>#REF!</v>
      </c>
      <c r="HW141" t="e">
        <f>AND(#REF!,"cV1M/zUmZ+Y=")</f>
        <v>#REF!</v>
      </c>
      <c r="HX141" t="e">
        <f>AND(#REF!,"cV1M/zUmZ+c=")</f>
        <v>#REF!</v>
      </c>
      <c r="HY141" t="e">
        <f>AND(#REF!,"cV1M/zUmZ+g=")</f>
        <v>#REF!</v>
      </c>
      <c r="HZ141" t="e">
        <f>AND(#REF!,"cV1M/zUmZ+k=")</f>
        <v>#REF!</v>
      </c>
      <c r="IA141" t="e">
        <f>AND(#REF!,"cV1M/zUmZ+o=")</f>
        <v>#REF!</v>
      </c>
      <c r="IB141" t="e">
        <f>AND(#REF!,"cV1M/zUmZ+s=")</f>
        <v>#REF!</v>
      </c>
      <c r="IC141" t="e">
        <f>AND(#REF!,"cV1M/zUmZ+w=")</f>
        <v>#REF!</v>
      </c>
      <c r="ID141" t="e">
        <f>AND(#REF!,"cV1M/zUmZ+0=")</f>
        <v>#REF!</v>
      </c>
      <c r="IE141" t="e">
        <f>AND(#REF!,"cV1M/zUmZ+4=")</f>
        <v>#REF!</v>
      </c>
      <c r="IF141" t="e">
        <f>AND(#REF!,"cV1M/zUmZ+8=")</f>
        <v>#REF!</v>
      </c>
      <c r="IG141" t="e">
        <f>AND(#REF!,"cV1M/zUmZ/A=")</f>
        <v>#REF!</v>
      </c>
      <c r="IH141" t="e">
        <f>AND(#REF!,"cV1M/zUmZ/E=")</f>
        <v>#REF!</v>
      </c>
      <c r="II141" t="e">
        <f>IF(#REF!,"cV1M/zUmZ/I=",0)</f>
        <v>#REF!</v>
      </c>
      <c r="IJ141" t="e">
        <f>AND(#REF!,"cV1M/zUmZ/M=")</f>
        <v>#REF!</v>
      </c>
      <c r="IK141" t="e">
        <f>AND(#REF!,"cV1M/zUmZ/Q=")</f>
        <v>#REF!</v>
      </c>
      <c r="IL141" t="e">
        <f>AND(#REF!,"cV1M/zUmZ/U=")</f>
        <v>#REF!</v>
      </c>
      <c r="IM141" t="e">
        <f>AND(#REF!,"cV1M/zUmZ/Y=")</f>
        <v>#REF!</v>
      </c>
      <c r="IN141" t="e">
        <f>AND(#REF!,"cV1M/zUmZ/c=")</f>
        <v>#REF!</v>
      </c>
      <c r="IO141" t="e">
        <f>AND(#REF!,"cV1M/zUmZ/g=")</f>
        <v>#REF!</v>
      </c>
      <c r="IP141" t="e">
        <f>AND(#REF!,"cV1M/zUmZ/k=")</f>
        <v>#REF!</v>
      </c>
      <c r="IQ141" t="e">
        <f>AND(#REF!,"cV1M/zUmZ/o=")</f>
        <v>#REF!</v>
      </c>
      <c r="IR141" t="e">
        <f>AND(#REF!,"cV1M/zUmZ/s=")</f>
        <v>#REF!</v>
      </c>
      <c r="IS141" t="e">
        <f>AND(#REF!,"cV1M/zUmZ/w=")</f>
        <v>#REF!</v>
      </c>
      <c r="IT141" t="e">
        <f>AND(#REF!,"cV1M/zUmZ/0=")</f>
        <v>#REF!</v>
      </c>
      <c r="IU141" t="e">
        <f>AND(#REF!,"cV1M/zUmZ/4=")</f>
        <v>#REF!</v>
      </c>
      <c r="IV141" t="e">
        <f>AND(#REF!,"cV1M/zUmZ/8=")</f>
        <v>#REF!</v>
      </c>
    </row>
    <row r="142" spans="1:256" x14ac:dyDescent="0.2">
      <c r="A142" t="e">
        <f>AND(#REF!,"B5Y3YB/zmQA=")</f>
        <v>#REF!</v>
      </c>
      <c r="B142" t="e">
        <f>AND(#REF!,"B5Y3YB/zmQE=")</f>
        <v>#REF!</v>
      </c>
      <c r="C142" t="e">
        <f>IF(#REF!,"B5Y3YB/zmQI=",0)</f>
        <v>#REF!</v>
      </c>
      <c r="D142" t="e">
        <f>AND(#REF!,"B5Y3YB/zmQM=")</f>
        <v>#REF!</v>
      </c>
      <c r="E142" t="e">
        <f>AND(#REF!,"B5Y3YB/zmQQ=")</f>
        <v>#REF!</v>
      </c>
      <c r="F142" t="e">
        <f>AND(#REF!,"B5Y3YB/zmQU=")</f>
        <v>#REF!</v>
      </c>
      <c r="G142" t="e">
        <f>AND(#REF!,"B5Y3YB/zmQY=")</f>
        <v>#REF!</v>
      </c>
      <c r="H142" t="e">
        <f>AND(#REF!,"B5Y3YB/zmQc=")</f>
        <v>#REF!</v>
      </c>
      <c r="I142" t="e">
        <f>AND(#REF!,"B5Y3YB/zmQg=")</f>
        <v>#REF!</v>
      </c>
      <c r="J142" t="e">
        <f>AND(#REF!,"B5Y3YB/zmQk=")</f>
        <v>#REF!</v>
      </c>
      <c r="K142" t="e">
        <f>AND(#REF!,"B5Y3YB/zmQo=")</f>
        <v>#REF!</v>
      </c>
      <c r="L142" t="e">
        <f>AND(#REF!,"B5Y3YB/zmQs=")</f>
        <v>#REF!</v>
      </c>
      <c r="M142" t="e">
        <f>AND(#REF!,"B5Y3YB/zmQw=")</f>
        <v>#REF!</v>
      </c>
      <c r="N142" t="e">
        <f>AND(#REF!,"B5Y3YB/zmQ0=")</f>
        <v>#REF!</v>
      </c>
      <c r="O142" t="e">
        <f>AND(#REF!,"B5Y3YB/zmQ4=")</f>
        <v>#REF!</v>
      </c>
      <c r="P142" t="e">
        <f>AND(#REF!,"B5Y3YB/zmQ8=")</f>
        <v>#REF!</v>
      </c>
      <c r="Q142" t="e">
        <f>AND(#REF!,"B5Y3YB/zmRA=")</f>
        <v>#REF!</v>
      </c>
      <c r="R142" t="e">
        <f>AND(#REF!,"B5Y3YB/zmRE=")</f>
        <v>#REF!</v>
      </c>
      <c r="S142" t="e">
        <f>IF(#REF!,"B5Y3YB/zmRI=",0)</f>
        <v>#REF!</v>
      </c>
      <c r="T142" t="e">
        <f>AND(#REF!,"B5Y3YB/zmRM=")</f>
        <v>#REF!</v>
      </c>
      <c r="U142" t="e">
        <f>AND(#REF!,"B5Y3YB/zmRQ=")</f>
        <v>#REF!</v>
      </c>
      <c r="V142" t="e">
        <f>AND(#REF!,"B5Y3YB/zmRU=")</f>
        <v>#REF!</v>
      </c>
      <c r="W142" t="e">
        <f>AND(#REF!,"B5Y3YB/zmRY=")</f>
        <v>#REF!</v>
      </c>
      <c r="X142" t="e">
        <f>AND(#REF!,"B5Y3YB/zmRc=")</f>
        <v>#REF!</v>
      </c>
      <c r="Y142" t="e">
        <f>AND(#REF!,"B5Y3YB/zmRg=")</f>
        <v>#REF!</v>
      </c>
      <c r="Z142" t="e">
        <f>AND(#REF!,"B5Y3YB/zmRk=")</f>
        <v>#REF!</v>
      </c>
      <c r="AA142" t="e">
        <f>AND(#REF!,"B5Y3YB/zmRo=")</f>
        <v>#REF!</v>
      </c>
      <c r="AB142" t="e">
        <f>AND(#REF!,"B5Y3YB/zmRs=")</f>
        <v>#REF!</v>
      </c>
      <c r="AC142" t="e">
        <f>AND(#REF!,"B5Y3YB/zmRw=")</f>
        <v>#REF!</v>
      </c>
      <c r="AD142" t="e">
        <f>AND(#REF!,"B5Y3YB/zmR0=")</f>
        <v>#REF!</v>
      </c>
      <c r="AE142" t="e">
        <f>AND(#REF!,"B5Y3YB/zmR4=")</f>
        <v>#REF!</v>
      </c>
      <c r="AF142" t="e">
        <f>AND(#REF!,"B5Y3YB/zmR8=")</f>
        <v>#REF!</v>
      </c>
      <c r="AG142" t="e">
        <f>AND(#REF!,"B5Y3YB/zmSA=")</f>
        <v>#REF!</v>
      </c>
      <c r="AH142" t="e">
        <f>AND(#REF!,"B5Y3YB/zmSE=")</f>
        <v>#REF!</v>
      </c>
      <c r="AI142" t="e">
        <f>IF(#REF!,"B5Y3YB/zmSI=",0)</f>
        <v>#REF!</v>
      </c>
      <c r="AJ142" t="e">
        <f>AND(#REF!,"B5Y3YB/zmSM=")</f>
        <v>#REF!</v>
      </c>
      <c r="AK142" t="e">
        <f>AND(#REF!,"B5Y3YB/zmSQ=")</f>
        <v>#REF!</v>
      </c>
      <c r="AL142" t="e">
        <f>AND(#REF!,"B5Y3YB/zmSU=")</f>
        <v>#REF!</v>
      </c>
      <c r="AM142" t="e">
        <f>AND(#REF!,"B5Y3YB/zmSY=")</f>
        <v>#REF!</v>
      </c>
      <c r="AN142" t="e">
        <f>AND(#REF!,"B5Y3YB/zmSc=")</f>
        <v>#REF!</v>
      </c>
      <c r="AO142" t="e">
        <f>AND(#REF!,"B5Y3YB/zmSg=")</f>
        <v>#REF!</v>
      </c>
      <c r="AP142" t="e">
        <f>AND(#REF!,"B5Y3YB/zmSk=")</f>
        <v>#REF!</v>
      </c>
      <c r="AQ142" t="e">
        <f>AND(#REF!,"B5Y3YB/zmSo=")</f>
        <v>#REF!</v>
      </c>
      <c r="AR142" t="e">
        <f>AND(#REF!,"B5Y3YB/zmSs=")</f>
        <v>#REF!</v>
      </c>
      <c r="AS142" t="e">
        <f>AND(#REF!,"B5Y3YB/zmSw=")</f>
        <v>#REF!</v>
      </c>
      <c r="AT142" t="e">
        <f>AND(#REF!,"B5Y3YB/zmS0=")</f>
        <v>#REF!</v>
      </c>
      <c r="AU142" t="e">
        <f>AND(#REF!,"B5Y3YB/zmS4=")</f>
        <v>#REF!</v>
      </c>
      <c r="AV142" t="e">
        <f>AND(#REF!,"B5Y3YB/zmS8=")</f>
        <v>#REF!</v>
      </c>
      <c r="AW142" t="e">
        <f>AND(#REF!,"B5Y3YB/zmTA=")</f>
        <v>#REF!</v>
      </c>
      <c r="AX142" t="e">
        <f>AND(#REF!,"B5Y3YB/zmTE=")</f>
        <v>#REF!</v>
      </c>
      <c r="AY142" t="e">
        <f>IF(#REF!,"B5Y3YB/zmTI=",0)</f>
        <v>#REF!</v>
      </c>
      <c r="AZ142" t="e">
        <f>AND(#REF!,"B5Y3YB/zmTM=")</f>
        <v>#REF!</v>
      </c>
      <c r="BA142" t="e">
        <f>AND(#REF!,"B5Y3YB/zmTQ=")</f>
        <v>#REF!</v>
      </c>
      <c r="BB142" t="e">
        <f>AND(#REF!,"B5Y3YB/zmTU=")</f>
        <v>#REF!</v>
      </c>
      <c r="BC142" t="e">
        <f>AND(#REF!,"B5Y3YB/zmTY=")</f>
        <v>#REF!</v>
      </c>
      <c r="BD142" t="e">
        <f>AND(#REF!,"B5Y3YB/zmTc=")</f>
        <v>#REF!</v>
      </c>
      <c r="BE142" t="e">
        <f>AND(#REF!,"B5Y3YB/zmTg=")</f>
        <v>#REF!</v>
      </c>
      <c r="BF142" t="e">
        <f>AND(#REF!,"B5Y3YB/zmTk=")</f>
        <v>#REF!</v>
      </c>
      <c r="BG142" t="e">
        <f>AND(#REF!,"B5Y3YB/zmTo=")</f>
        <v>#REF!</v>
      </c>
      <c r="BH142" t="e">
        <f>AND(#REF!,"B5Y3YB/zmTs=")</f>
        <v>#REF!</v>
      </c>
      <c r="BI142" t="e">
        <f>AND(#REF!,"B5Y3YB/zmTw=")</f>
        <v>#REF!</v>
      </c>
      <c r="BJ142" t="e">
        <f>AND(#REF!,"B5Y3YB/zmT0=")</f>
        <v>#REF!</v>
      </c>
      <c r="BK142" t="e">
        <f>AND(#REF!,"B5Y3YB/zmT4=")</f>
        <v>#REF!</v>
      </c>
      <c r="BL142" t="e">
        <f>AND(#REF!,"B5Y3YB/zmT8=")</f>
        <v>#REF!</v>
      </c>
      <c r="BM142" t="e">
        <f>AND(#REF!,"B5Y3YB/zmUA=")</f>
        <v>#REF!</v>
      </c>
      <c r="BN142" t="e">
        <f>AND(#REF!,"B5Y3YB/zmUE=")</f>
        <v>#REF!</v>
      </c>
      <c r="BO142" t="e">
        <f>IF(#REF!,"B5Y3YB/zmUI=",0)</f>
        <v>#REF!</v>
      </c>
      <c r="BP142" t="e">
        <f>AND(#REF!,"B5Y3YB/zmUM=")</f>
        <v>#REF!</v>
      </c>
      <c r="BQ142" t="e">
        <f>AND(#REF!,"B5Y3YB/zmUQ=")</f>
        <v>#REF!</v>
      </c>
      <c r="BR142" t="e">
        <f>AND(#REF!,"B5Y3YB/zmUU=")</f>
        <v>#REF!</v>
      </c>
      <c r="BS142" t="e">
        <f>AND(#REF!,"B5Y3YB/zmUY=")</f>
        <v>#REF!</v>
      </c>
      <c r="BT142" t="e">
        <f>AND(#REF!,"B5Y3YB/zmUc=")</f>
        <v>#REF!</v>
      </c>
      <c r="BU142" t="e">
        <f>AND(#REF!,"B5Y3YB/zmUg=")</f>
        <v>#REF!</v>
      </c>
      <c r="BV142" t="e">
        <f>AND(#REF!,"B5Y3YB/zmUk=")</f>
        <v>#REF!</v>
      </c>
      <c r="BW142" t="e">
        <f>AND(#REF!,"B5Y3YB/zmUo=")</f>
        <v>#REF!</v>
      </c>
      <c r="BX142" t="e">
        <f>AND(#REF!,"B5Y3YB/zmUs=")</f>
        <v>#REF!</v>
      </c>
      <c r="BY142" t="e">
        <f>AND(#REF!,"B5Y3YB/zmUw=")</f>
        <v>#REF!</v>
      </c>
      <c r="BZ142" t="e">
        <f>AND(#REF!,"B5Y3YB/zmU0=")</f>
        <v>#REF!</v>
      </c>
      <c r="CA142" t="e">
        <f>AND(#REF!,"B5Y3YB/zmU4=")</f>
        <v>#REF!</v>
      </c>
      <c r="CB142" t="e">
        <f>AND(#REF!,"B5Y3YB/zmU8=")</f>
        <v>#REF!</v>
      </c>
      <c r="CC142" t="e">
        <f>AND(#REF!,"B5Y3YB/zmVA=")</f>
        <v>#REF!</v>
      </c>
      <c r="CD142" t="e">
        <f>AND(#REF!,"B5Y3YB/zmVE=")</f>
        <v>#REF!</v>
      </c>
      <c r="CE142" t="e">
        <f>IF(#REF!,"B5Y3YB/zmVI=",0)</f>
        <v>#REF!</v>
      </c>
      <c r="CF142" t="e">
        <f>AND(#REF!,"B5Y3YB/zmVM=")</f>
        <v>#REF!</v>
      </c>
      <c r="CG142" t="e">
        <f>AND(#REF!,"B5Y3YB/zmVQ=")</f>
        <v>#REF!</v>
      </c>
      <c r="CH142" t="e">
        <f>AND(#REF!,"B5Y3YB/zmVU=")</f>
        <v>#REF!</v>
      </c>
      <c r="CI142" t="e">
        <f>AND(#REF!,"B5Y3YB/zmVY=")</f>
        <v>#REF!</v>
      </c>
      <c r="CJ142" t="e">
        <f>AND(#REF!,"B5Y3YB/zmVc=")</f>
        <v>#REF!</v>
      </c>
      <c r="CK142" t="e">
        <f>AND(#REF!,"B5Y3YB/zmVg=")</f>
        <v>#REF!</v>
      </c>
      <c r="CL142" t="e">
        <f>AND(#REF!,"B5Y3YB/zmVk=")</f>
        <v>#REF!</v>
      </c>
      <c r="CM142" t="e">
        <f>AND(#REF!,"B5Y3YB/zmVo=")</f>
        <v>#REF!</v>
      </c>
      <c r="CN142" t="e">
        <f>AND(#REF!,"B5Y3YB/zmVs=")</f>
        <v>#REF!</v>
      </c>
      <c r="CO142" t="e">
        <f>AND(#REF!,"B5Y3YB/zmVw=")</f>
        <v>#REF!</v>
      </c>
      <c r="CP142" t="e">
        <f>AND(#REF!,"B5Y3YB/zmV0=")</f>
        <v>#REF!</v>
      </c>
      <c r="CQ142" t="e">
        <f>AND(#REF!,"B5Y3YB/zmV4=")</f>
        <v>#REF!</v>
      </c>
      <c r="CR142" t="e">
        <f>AND(#REF!,"B5Y3YB/zmV8=")</f>
        <v>#REF!</v>
      </c>
      <c r="CS142" t="e">
        <f>AND(#REF!,"B5Y3YB/zmWA=")</f>
        <v>#REF!</v>
      </c>
      <c r="CT142" t="e">
        <f>AND(#REF!,"B5Y3YB/zmWE=")</f>
        <v>#REF!</v>
      </c>
      <c r="CU142" t="e">
        <f>IF(#REF!,"B5Y3YB/zmWI=",0)</f>
        <v>#REF!</v>
      </c>
      <c r="CV142" t="e">
        <f>AND(#REF!,"B5Y3YB/zmWM=")</f>
        <v>#REF!</v>
      </c>
      <c r="CW142" t="e">
        <f>AND(#REF!,"B5Y3YB/zmWQ=")</f>
        <v>#REF!</v>
      </c>
      <c r="CX142" t="e">
        <f>AND(#REF!,"B5Y3YB/zmWU=")</f>
        <v>#REF!</v>
      </c>
      <c r="CY142" t="e">
        <f>AND(#REF!,"B5Y3YB/zmWY=")</f>
        <v>#REF!</v>
      </c>
      <c r="CZ142" t="e">
        <f>AND(#REF!,"B5Y3YB/zmWc=")</f>
        <v>#REF!</v>
      </c>
      <c r="DA142" t="e">
        <f>AND(#REF!,"B5Y3YB/zmWg=")</f>
        <v>#REF!</v>
      </c>
      <c r="DB142" t="e">
        <f>AND(#REF!,"B5Y3YB/zmWk=")</f>
        <v>#REF!</v>
      </c>
      <c r="DC142" t="e">
        <f>AND(#REF!,"B5Y3YB/zmWo=")</f>
        <v>#REF!</v>
      </c>
      <c r="DD142" t="e">
        <f>AND(#REF!,"B5Y3YB/zmWs=")</f>
        <v>#REF!</v>
      </c>
      <c r="DE142" t="e">
        <f>AND(#REF!,"B5Y3YB/zmWw=")</f>
        <v>#REF!</v>
      </c>
      <c r="DF142" t="e">
        <f>AND(#REF!,"B5Y3YB/zmW0=")</f>
        <v>#REF!</v>
      </c>
      <c r="DG142" t="e">
        <f>AND(#REF!,"B5Y3YB/zmW4=")</f>
        <v>#REF!</v>
      </c>
      <c r="DH142" t="e">
        <f>AND(#REF!,"B5Y3YB/zmW8=")</f>
        <v>#REF!</v>
      </c>
      <c r="DI142" t="e">
        <f>AND(#REF!,"B5Y3YB/zmXA=")</f>
        <v>#REF!</v>
      </c>
      <c r="DJ142" t="e">
        <f>AND(#REF!,"B5Y3YB/zmXE=")</f>
        <v>#REF!</v>
      </c>
      <c r="DK142" t="e">
        <f>IF(#REF!,"B5Y3YB/zmXI=",0)</f>
        <v>#REF!</v>
      </c>
      <c r="DL142" t="e">
        <f>AND(#REF!,"B5Y3YB/zmXM=")</f>
        <v>#REF!</v>
      </c>
      <c r="DM142" t="e">
        <f>AND(#REF!,"B5Y3YB/zmXQ=")</f>
        <v>#REF!</v>
      </c>
      <c r="DN142" t="e">
        <f>AND(#REF!,"B5Y3YB/zmXU=")</f>
        <v>#REF!</v>
      </c>
      <c r="DO142" t="e">
        <f>AND(#REF!,"B5Y3YB/zmXY=")</f>
        <v>#REF!</v>
      </c>
      <c r="DP142" t="e">
        <f>AND(#REF!,"B5Y3YB/zmXc=")</f>
        <v>#REF!</v>
      </c>
      <c r="DQ142" t="e">
        <f>AND(#REF!,"B5Y3YB/zmXg=")</f>
        <v>#REF!</v>
      </c>
      <c r="DR142" t="e">
        <f>AND(#REF!,"B5Y3YB/zmXk=")</f>
        <v>#REF!</v>
      </c>
      <c r="DS142" t="e">
        <f>AND(#REF!,"B5Y3YB/zmXo=")</f>
        <v>#REF!</v>
      </c>
      <c r="DT142" t="e">
        <f>AND(#REF!,"B5Y3YB/zmXs=")</f>
        <v>#REF!</v>
      </c>
      <c r="DU142" t="e">
        <f>AND(#REF!,"B5Y3YB/zmXw=")</f>
        <v>#REF!</v>
      </c>
      <c r="DV142" t="e">
        <f>AND(#REF!,"B5Y3YB/zmX0=")</f>
        <v>#REF!</v>
      </c>
      <c r="DW142" t="e">
        <f>AND(#REF!,"B5Y3YB/zmX4=")</f>
        <v>#REF!</v>
      </c>
      <c r="DX142" t="e">
        <f>AND(#REF!,"B5Y3YB/zmX8=")</f>
        <v>#REF!</v>
      </c>
      <c r="DY142" t="e">
        <f>AND(#REF!,"B5Y3YB/zmYA=")</f>
        <v>#REF!</v>
      </c>
      <c r="DZ142" t="e">
        <f>AND(#REF!,"B5Y3YB/zmYE=")</f>
        <v>#REF!</v>
      </c>
      <c r="EA142" t="e">
        <f>IF(#REF!,"B5Y3YB/zmYI=",0)</f>
        <v>#REF!</v>
      </c>
      <c r="EB142" t="e">
        <f>AND(#REF!,"B5Y3YB/zmYM=")</f>
        <v>#REF!</v>
      </c>
      <c r="EC142" t="e">
        <f>AND(#REF!,"B5Y3YB/zmYQ=")</f>
        <v>#REF!</v>
      </c>
      <c r="ED142" t="e">
        <f>AND(#REF!,"B5Y3YB/zmYU=")</f>
        <v>#REF!</v>
      </c>
      <c r="EE142" t="e">
        <f>AND(#REF!,"B5Y3YB/zmYY=")</f>
        <v>#REF!</v>
      </c>
      <c r="EF142" t="e">
        <f>AND(#REF!,"B5Y3YB/zmYc=")</f>
        <v>#REF!</v>
      </c>
      <c r="EG142" t="e">
        <f>AND(#REF!,"B5Y3YB/zmYg=")</f>
        <v>#REF!</v>
      </c>
      <c r="EH142" t="e">
        <f>AND(#REF!,"B5Y3YB/zmYk=")</f>
        <v>#REF!</v>
      </c>
      <c r="EI142" t="e">
        <f>AND(#REF!,"B5Y3YB/zmYo=")</f>
        <v>#REF!</v>
      </c>
      <c r="EJ142" t="e">
        <f>AND(#REF!,"B5Y3YB/zmYs=")</f>
        <v>#REF!</v>
      </c>
      <c r="EK142" t="e">
        <f>AND(#REF!,"B5Y3YB/zmYw=")</f>
        <v>#REF!</v>
      </c>
      <c r="EL142" t="e">
        <f>AND(#REF!,"B5Y3YB/zmY0=")</f>
        <v>#REF!</v>
      </c>
      <c r="EM142" t="e">
        <f>AND(#REF!,"B5Y3YB/zmY4=")</f>
        <v>#REF!</v>
      </c>
      <c r="EN142" t="e">
        <f>AND(#REF!,"B5Y3YB/zmY8=")</f>
        <v>#REF!</v>
      </c>
      <c r="EO142" t="e">
        <f>AND(#REF!,"B5Y3YB/zmZA=")</f>
        <v>#REF!</v>
      </c>
      <c r="EP142" t="e">
        <f>AND(#REF!,"B5Y3YB/zmZE=")</f>
        <v>#REF!</v>
      </c>
      <c r="EQ142" t="e">
        <f>IF(#REF!,"B5Y3YB/zmZI=",0)</f>
        <v>#REF!</v>
      </c>
      <c r="ER142" t="e">
        <f>AND(#REF!,"B5Y3YB/zmZM=")</f>
        <v>#REF!</v>
      </c>
      <c r="ES142" t="e">
        <f>AND(#REF!,"B5Y3YB/zmZQ=")</f>
        <v>#REF!</v>
      </c>
      <c r="ET142" t="e">
        <f>AND(#REF!,"B5Y3YB/zmZU=")</f>
        <v>#REF!</v>
      </c>
      <c r="EU142" t="e">
        <f>AND(#REF!,"B5Y3YB/zmZY=")</f>
        <v>#REF!</v>
      </c>
      <c r="EV142" t="e">
        <f>AND(#REF!,"B5Y3YB/zmZc=")</f>
        <v>#REF!</v>
      </c>
      <c r="EW142" t="e">
        <f>AND(#REF!,"B5Y3YB/zmZg=")</f>
        <v>#REF!</v>
      </c>
      <c r="EX142" t="e">
        <f>AND(#REF!,"B5Y3YB/zmZk=")</f>
        <v>#REF!</v>
      </c>
      <c r="EY142" t="e">
        <f>AND(#REF!,"B5Y3YB/zmZo=")</f>
        <v>#REF!</v>
      </c>
      <c r="EZ142" t="e">
        <f>AND(#REF!,"B5Y3YB/zmZs=")</f>
        <v>#REF!</v>
      </c>
      <c r="FA142" t="e">
        <f>AND(#REF!,"B5Y3YB/zmZw=")</f>
        <v>#REF!</v>
      </c>
      <c r="FB142" t="e">
        <f>AND(#REF!,"B5Y3YB/zmZ0=")</f>
        <v>#REF!</v>
      </c>
      <c r="FC142" t="e">
        <f>AND(#REF!,"B5Y3YB/zmZ4=")</f>
        <v>#REF!</v>
      </c>
      <c r="FD142" t="e">
        <f>AND(#REF!,"B5Y3YB/zmZ8=")</f>
        <v>#REF!</v>
      </c>
      <c r="FE142" t="e">
        <f>AND(#REF!,"B5Y3YB/zmaA=")</f>
        <v>#REF!</v>
      </c>
      <c r="FF142" t="e">
        <f>AND(#REF!,"B5Y3YB/zmaE=")</f>
        <v>#REF!</v>
      </c>
      <c r="FG142" t="e">
        <f>IF(#REF!,"B5Y3YB/zmaI=",0)</f>
        <v>#REF!</v>
      </c>
      <c r="FH142" t="e">
        <f>AND(#REF!,"B5Y3YB/zmaM=")</f>
        <v>#REF!</v>
      </c>
      <c r="FI142" t="e">
        <f>AND(#REF!,"B5Y3YB/zmaQ=")</f>
        <v>#REF!</v>
      </c>
      <c r="FJ142" t="e">
        <f>AND(#REF!,"B5Y3YB/zmaU=")</f>
        <v>#REF!</v>
      </c>
      <c r="FK142" t="e">
        <f>AND(#REF!,"B5Y3YB/zmaY=")</f>
        <v>#REF!</v>
      </c>
      <c r="FL142" t="e">
        <f>AND(#REF!,"B5Y3YB/zmac=")</f>
        <v>#REF!</v>
      </c>
      <c r="FM142" t="e">
        <f>AND(#REF!,"B5Y3YB/zmag=")</f>
        <v>#REF!</v>
      </c>
      <c r="FN142" t="e">
        <f>AND(#REF!,"B5Y3YB/zmak=")</f>
        <v>#REF!</v>
      </c>
      <c r="FO142" t="e">
        <f>AND(#REF!,"B5Y3YB/zmao=")</f>
        <v>#REF!</v>
      </c>
      <c r="FP142" t="e">
        <f>AND(#REF!,"B5Y3YB/zmas=")</f>
        <v>#REF!</v>
      </c>
      <c r="FQ142" t="e">
        <f>AND(#REF!,"B5Y3YB/zmaw=")</f>
        <v>#REF!</v>
      </c>
      <c r="FR142" t="e">
        <f>AND(#REF!,"B5Y3YB/zma0=")</f>
        <v>#REF!</v>
      </c>
      <c r="FS142" t="e">
        <f>AND(#REF!,"B5Y3YB/zma4=")</f>
        <v>#REF!</v>
      </c>
      <c r="FT142" t="e">
        <f>AND(#REF!,"B5Y3YB/zma8=")</f>
        <v>#REF!</v>
      </c>
      <c r="FU142" t="e">
        <f>AND(#REF!,"B5Y3YB/zmbA=")</f>
        <v>#REF!</v>
      </c>
      <c r="FV142" t="e">
        <f>AND(#REF!,"B5Y3YB/zmbE=")</f>
        <v>#REF!</v>
      </c>
      <c r="FW142" t="e">
        <f>IF(#REF!,"B5Y3YB/zmbI=",0)</f>
        <v>#REF!</v>
      </c>
      <c r="FX142" t="e">
        <f>AND(#REF!,"B5Y3YB/zmbM=")</f>
        <v>#REF!</v>
      </c>
      <c r="FY142" t="e">
        <f>AND(#REF!,"B5Y3YB/zmbQ=")</f>
        <v>#REF!</v>
      </c>
      <c r="FZ142" t="e">
        <f>AND(#REF!,"B5Y3YB/zmbU=")</f>
        <v>#REF!</v>
      </c>
      <c r="GA142" t="e">
        <f>AND(#REF!,"B5Y3YB/zmbY=")</f>
        <v>#REF!</v>
      </c>
      <c r="GB142" t="e">
        <f>AND(#REF!,"B5Y3YB/zmbc=")</f>
        <v>#REF!</v>
      </c>
      <c r="GC142" t="e">
        <f>AND(#REF!,"B5Y3YB/zmbg=")</f>
        <v>#REF!</v>
      </c>
      <c r="GD142" t="e">
        <f>AND(#REF!,"B5Y3YB/zmbk=")</f>
        <v>#REF!</v>
      </c>
      <c r="GE142" t="e">
        <f>AND(#REF!,"B5Y3YB/zmbo=")</f>
        <v>#REF!</v>
      </c>
      <c r="GF142" t="e">
        <f>AND(#REF!,"B5Y3YB/zmbs=")</f>
        <v>#REF!</v>
      </c>
      <c r="GG142" t="e">
        <f>AND(#REF!,"B5Y3YB/zmbw=")</f>
        <v>#REF!</v>
      </c>
      <c r="GH142" t="e">
        <f>AND(#REF!,"B5Y3YB/zmb0=")</f>
        <v>#REF!</v>
      </c>
      <c r="GI142" t="e">
        <f>AND(#REF!,"B5Y3YB/zmb4=")</f>
        <v>#REF!</v>
      </c>
      <c r="GJ142" t="e">
        <f>AND(#REF!,"B5Y3YB/zmb8=")</f>
        <v>#REF!</v>
      </c>
      <c r="GK142" t="e">
        <f>AND(#REF!,"B5Y3YB/zmcA=")</f>
        <v>#REF!</v>
      </c>
      <c r="GL142" t="e">
        <f>AND(#REF!,"B5Y3YB/zmcE=")</f>
        <v>#REF!</v>
      </c>
      <c r="GM142" t="e">
        <f>IF(#REF!,"B5Y3YB/zmcI=",0)</f>
        <v>#REF!</v>
      </c>
      <c r="GN142" t="e">
        <f>AND(#REF!,"B5Y3YB/zmcM=")</f>
        <v>#REF!</v>
      </c>
      <c r="GO142" t="e">
        <f>AND(#REF!,"B5Y3YB/zmcQ=")</f>
        <v>#REF!</v>
      </c>
      <c r="GP142" t="e">
        <f>AND(#REF!,"B5Y3YB/zmcU=")</f>
        <v>#REF!</v>
      </c>
      <c r="GQ142" t="e">
        <f>AND(#REF!,"B5Y3YB/zmcY=")</f>
        <v>#REF!</v>
      </c>
      <c r="GR142" t="e">
        <f>AND(#REF!,"B5Y3YB/zmcc=")</f>
        <v>#REF!</v>
      </c>
      <c r="GS142" t="e">
        <f>AND(#REF!,"B5Y3YB/zmcg=")</f>
        <v>#REF!</v>
      </c>
      <c r="GT142" t="e">
        <f>AND(#REF!,"B5Y3YB/zmck=")</f>
        <v>#REF!</v>
      </c>
      <c r="GU142" t="e">
        <f>AND(#REF!,"B5Y3YB/zmco=")</f>
        <v>#REF!</v>
      </c>
      <c r="GV142" t="e">
        <f>AND(#REF!,"B5Y3YB/zmcs=")</f>
        <v>#REF!</v>
      </c>
      <c r="GW142" t="e">
        <f>AND(#REF!,"B5Y3YB/zmcw=")</f>
        <v>#REF!</v>
      </c>
      <c r="GX142" t="e">
        <f>AND(#REF!,"B5Y3YB/zmc0=")</f>
        <v>#REF!</v>
      </c>
      <c r="GY142" t="e">
        <f>AND(#REF!,"B5Y3YB/zmc4=")</f>
        <v>#REF!</v>
      </c>
      <c r="GZ142" t="e">
        <f>AND(#REF!,"B5Y3YB/zmc8=")</f>
        <v>#REF!</v>
      </c>
      <c r="HA142" t="e">
        <f>AND(#REF!,"B5Y3YB/zmdA=")</f>
        <v>#REF!</v>
      </c>
      <c r="HB142" t="e">
        <f>AND(#REF!,"B5Y3YB/zmdE=")</f>
        <v>#REF!</v>
      </c>
      <c r="HC142" t="e">
        <f>IF(#REF!,"B5Y3YB/zmdI=",0)</f>
        <v>#REF!</v>
      </c>
      <c r="HD142" t="e">
        <f>AND(#REF!,"B5Y3YB/zmdM=")</f>
        <v>#REF!</v>
      </c>
      <c r="HE142" t="e">
        <f>AND(#REF!,"B5Y3YB/zmdQ=")</f>
        <v>#REF!</v>
      </c>
      <c r="HF142" t="e">
        <f>AND(#REF!,"B5Y3YB/zmdU=")</f>
        <v>#REF!</v>
      </c>
      <c r="HG142" t="e">
        <f>AND(#REF!,"B5Y3YB/zmdY=")</f>
        <v>#REF!</v>
      </c>
      <c r="HH142" t="e">
        <f>AND(#REF!,"B5Y3YB/zmdc=")</f>
        <v>#REF!</v>
      </c>
      <c r="HI142" t="e">
        <f>AND(#REF!,"B5Y3YB/zmdg=")</f>
        <v>#REF!</v>
      </c>
      <c r="HJ142" t="e">
        <f>AND(#REF!,"B5Y3YB/zmdk=")</f>
        <v>#REF!</v>
      </c>
      <c r="HK142" t="e">
        <f>AND(#REF!,"B5Y3YB/zmdo=")</f>
        <v>#REF!</v>
      </c>
      <c r="HL142" t="e">
        <f>AND(#REF!,"B5Y3YB/zmds=")</f>
        <v>#REF!</v>
      </c>
      <c r="HM142" t="e">
        <f>AND(#REF!,"B5Y3YB/zmdw=")</f>
        <v>#REF!</v>
      </c>
      <c r="HN142" t="e">
        <f>AND(#REF!,"B5Y3YB/zmd0=")</f>
        <v>#REF!</v>
      </c>
      <c r="HO142" t="e">
        <f>AND(#REF!,"B5Y3YB/zmd4=")</f>
        <v>#REF!</v>
      </c>
      <c r="HP142" t="e">
        <f>AND(#REF!,"B5Y3YB/zmd8=")</f>
        <v>#REF!</v>
      </c>
      <c r="HQ142" t="e">
        <f>AND(#REF!,"B5Y3YB/zmeA=")</f>
        <v>#REF!</v>
      </c>
      <c r="HR142" t="e">
        <f>AND(#REF!,"B5Y3YB/zmeE=")</f>
        <v>#REF!</v>
      </c>
      <c r="HS142" t="e">
        <f>IF(#REF!,"B5Y3YB/zmeI=",0)</f>
        <v>#REF!</v>
      </c>
      <c r="HT142" t="e">
        <f>AND(#REF!,"B5Y3YB/zmeM=")</f>
        <v>#REF!</v>
      </c>
      <c r="HU142" t="e">
        <f>AND(#REF!,"B5Y3YB/zmeQ=")</f>
        <v>#REF!</v>
      </c>
      <c r="HV142" t="e">
        <f>AND(#REF!,"B5Y3YB/zmeU=")</f>
        <v>#REF!</v>
      </c>
      <c r="HW142" t="e">
        <f>AND(#REF!,"B5Y3YB/zmeY=")</f>
        <v>#REF!</v>
      </c>
      <c r="HX142" t="e">
        <f>AND(#REF!,"B5Y3YB/zmec=")</f>
        <v>#REF!</v>
      </c>
      <c r="HY142" t="e">
        <f>AND(#REF!,"B5Y3YB/zmeg=")</f>
        <v>#REF!</v>
      </c>
      <c r="HZ142" t="e">
        <f>AND(#REF!,"B5Y3YB/zmek=")</f>
        <v>#REF!</v>
      </c>
      <c r="IA142" t="e">
        <f>AND(#REF!,"B5Y3YB/zmeo=")</f>
        <v>#REF!</v>
      </c>
      <c r="IB142" t="e">
        <f>AND(#REF!,"B5Y3YB/zmes=")</f>
        <v>#REF!</v>
      </c>
      <c r="IC142" t="e">
        <f>AND(#REF!,"B5Y3YB/zmew=")</f>
        <v>#REF!</v>
      </c>
      <c r="ID142" t="e">
        <f>AND(#REF!,"B5Y3YB/zme0=")</f>
        <v>#REF!</v>
      </c>
      <c r="IE142" t="e">
        <f>AND(#REF!,"B5Y3YB/zme4=")</f>
        <v>#REF!</v>
      </c>
      <c r="IF142" t="e">
        <f>AND(#REF!,"B5Y3YB/zme8=")</f>
        <v>#REF!</v>
      </c>
      <c r="IG142" t="e">
        <f>AND(#REF!,"B5Y3YB/zmfA=")</f>
        <v>#REF!</v>
      </c>
      <c r="IH142" t="e">
        <f>AND(#REF!,"B5Y3YB/zmfE=")</f>
        <v>#REF!</v>
      </c>
      <c r="II142" t="e">
        <f>IF(#REF!,"B5Y3YB/zmfI=",0)</f>
        <v>#REF!</v>
      </c>
      <c r="IJ142" t="e">
        <f>AND(#REF!,"B5Y3YB/zmfM=")</f>
        <v>#REF!</v>
      </c>
      <c r="IK142" t="e">
        <f>AND(#REF!,"B5Y3YB/zmfQ=")</f>
        <v>#REF!</v>
      </c>
      <c r="IL142" t="e">
        <f>AND(#REF!,"B5Y3YB/zmfU=")</f>
        <v>#REF!</v>
      </c>
      <c r="IM142" t="e">
        <f>AND(#REF!,"B5Y3YB/zmfY=")</f>
        <v>#REF!</v>
      </c>
      <c r="IN142" t="e">
        <f>AND(#REF!,"B5Y3YB/zmfc=")</f>
        <v>#REF!</v>
      </c>
      <c r="IO142" t="e">
        <f>AND(#REF!,"B5Y3YB/zmfg=")</f>
        <v>#REF!</v>
      </c>
      <c r="IP142" t="e">
        <f>AND(#REF!,"B5Y3YB/zmfk=")</f>
        <v>#REF!</v>
      </c>
      <c r="IQ142" t="e">
        <f>AND(#REF!,"B5Y3YB/zmfo=")</f>
        <v>#REF!</v>
      </c>
      <c r="IR142" t="e">
        <f>AND(#REF!,"B5Y3YB/zmfs=")</f>
        <v>#REF!</v>
      </c>
      <c r="IS142" t="e">
        <f>AND(#REF!,"B5Y3YB/zmfw=")</f>
        <v>#REF!</v>
      </c>
      <c r="IT142" t="e">
        <f>AND(#REF!,"B5Y3YB/zmf0=")</f>
        <v>#REF!</v>
      </c>
      <c r="IU142" t="e">
        <f>AND(#REF!,"B5Y3YB/zmf4=")</f>
        <v>#REF!</v>
      </c>
      <c r="IV142" t="e">
        <f>AND(#REF!,"B5Y3YB/zmf8=")</f>
        <v>#REF!</v>
      </c>
    </row>
    <row r="143" spans="1:256" x14ac:dyDescent="0.2">
      <c r="A143" t="e">
        <f>AND(#REF!,"Z2/z/QyWmQA=")</f>
        <v>#REF!</v>
      </c>
      <c r="B143" t="e">
        <f>AND(#REF!,"Z2/z/QyWmQE=")</f>
        <v>#REF!</v>
      </c>
      <c r="C143" t="e">
        <f>IF(#REF!,"Z2/z/QyWmQI=",0)</f>
        <v>#REF!</v>
      </c>
      <c r="D143" t="e">
        <f>AND(#REF!,"Z2/z/QyWmQM=")</f>
        <v>#REF!</v>
      </c>
      <c r="E143" t="e">
        <f>AND(#REF!,"Z2/z/QyWmQQ=")</f>
        <v>#REF!</v>
      </c>
      <c r="F143" t="e">
        <f>AND(#REF!,"Z2/z/QyWmQU=")</f>
        <v>#REF!</v>
      </c>
      <c r="G143" t="e">
        <f>AND(#REF!,"Z2/z/QyWmQY=")</f>
        <v>#REF!</v>
      </c>
      <c r="H143" t="e">
        <f>AND(#REF!,"Z2/z/QyWmQc=")</f>
        <v>#REF!</v>
      </c>
      <c r="I143" t="e">
        <f>AND(#REF!,"Z2/z/QyWmQg=")</f>
        <v>#REF!</v>
      </c>
      <c r="J143" t="e">
        <f>AND(#REF!,"Z2/z/QyWmQk=")</f>
        <v>#REF!</v>
      </c>
      <c r="K143" t="e">
        <f>AND(#REF!,"Z2/z/QyWmQo=")</f>
        <v>#REF!</v>
      </c>
      <c r="L143" t="e">
        <f>AND(#REF!,"Z2/z/QyWmQs=")</f>
        <v>#REF!</v>
      </c>
      <c r="M143" t="e">
        <f>AND(#REF!,"Z2/z/QyWmQw=")</f>
        <v>#REF!</v>
      </c>
      <c r="N143" t="e">
        <f>AND(#REF!,"Z2/z/QyWmQ0=")</f>
        <v>#REF!</v>
      </c>
      <c r="O143" t="e">
        <f>AND(#REF!,"Z2/z/QyWmQ4=")</f>
        <v>#REF!</v>
      </c>
      <c r="P143" t="e">
        <f>AND(#REF!,"Z2/z/QyWmQ8=")</f>
        <v>#REF!</v>
      </c>
      <c r="Q143" t="e">
        <f>AND(#REF!,"Z2/z/QyWmRA=")</f>
        <v>#REF!</v>
      </c>
      <c r="R143" t="e">
        <f>AND(#REF!,"Z2/z/QyWmRE=")</f>
        <v>#REF!</v>
      </c>
      <c r="S143" t="e">
        <f>IF(#REF!,"Z2/z/QyWmRI=",0)</f>
        <v>#REF!</v>
      </c>
      <c r="T143" t="e">
        <f>AND(#REF!,"Z2/z/QyWmRM=")</f>
        <v>#REF!</v>
      </c>
      <c r="U143" t="e">
        <f>AND(#REF!,"Z2/z/QyWmRQ=")</f>
        <v>#REF!</v>
      </c>
      <c r="V143" t="e">
        <f>AND(#REF!,"Z2/z/QyWmRU=")</f>
        <v>#REF!</v>
      </c>
      <c r="W143" t="e">
        <f>AND(#REF!,"Z2/z/QyWmRY=")</f>
        <v>#REF!</v>
      </c>
      <c r="X143" t="e">
        <f>AND(#REF!,"Z2/z/QyWmRc=")</f>
        <v>#REF!</v>
      </c>
      <c r="Y143" t="e">
        <f>AND(#REF!,"Z2/z/QyWmRg=")</f>
        <v>#REF!</v>
      </c>
      <c r="Z143" t="e">
        <f>AND(#REF!,"Z2/z/QyWmRk=")</f>
        <v>#REF!</v>
      </c>
      <c r="AA143" t="e">
        <f>AND(#REF!,"Z2/z/QyWmRo=")</f>
        <v>#REF!</v>
      </c>
      <c r="AB143" t="e">
        <f>AND(#REF!,"Z2/z/QyWmRs=")</f>
        <v>#REF!</v>
      </c>
      <c r="AC143" t="e">
        <f>AND(#REF!,"Z2/z/QyWmRw=")</f>
        <v>#REF!</v>
      </c>
      <c r="AD143" t="e">
        <f>AND(#REF!,"Z2/z/QyWmR0=")</f>
        <v>#REF!</v>
      </c>
      <c r="AE143" t="e">
        <f>AND(#REF!,"Z2/z/QyWmR4=")</f>
        <v>#REF!</v>
      </c>
      <c r="AF143" t="e">
        <f>AND(#REF!,"Z2/z/QyWmR8=")</f>
        <v>#REF!</v>
      </c>
      <c r="AG143" t="e">
        <f>AND(#REF!,"Z2/z/QyWmSA=")</f>
        <v>#REF!</v>
      </c>
      <c r="AH143" t="e">
        <f>AND(#REF!,"Z2/z/QyWmSE=")</f>
        <v>#REF!</v>
      </c>
      <c r="AI143" t="e">
        <f>IF(#REF!,"Z2/z/QyWmSI=",0)</f>
        <v>#REF!</v>
      </c>
      <c r="AJ143" t="e">
        <f>AND(#REF!,"Z2/z/QyWmSM=")</f>
        <v>#REF!</v>
      </c>
      <c r="AK143" t="e">
        <f>AND(#REF!,"Z2/z/QyWmSQ=")</f>
        <v>#REF!</v>
      </c>
      <c r="AL143" t="e">
        <f>AND(#REF!,"Z2/z/QyWmSU=")</f>
        <v>#REF!</v>
      </c>
      <c r="AM143" t="e">
        <f>AND(#REF!,"Z2/z/QyWmSY=")</f>
        <v>#REF!</v>
      </c>
      <c r="AN143" t="e">
        <f>AND(#REF!,"Z2/z/QyWmSc=")</f>
        <v>#REF!</v>
      </c>
      <c r="AO143" t="e">
        <f>AND(#REF!,"Z2/z/QyWmSg=")</f>
        <v>#REF!</v>
      </c>
      <c r="AP143" t="e">
        <f>AND(#REF!,"Z2/z/QyWmSk=")</f>
        <v>#REF!</v>
      </c>
      <c r="AQ143" t="e">
        <f>AND(#REF!,"Z2/z/QyWmSo=")</f>
        <v>#REF!</v>
      </c>
      <c r="AR143" t="e">
        <f>AND(#REF!,"Z2/z/QyWmSs=")</f>
        <v>#REF!</v>
      </c>
      <c r="AS143" t="e">
        <f>AND(#REF!,"Z2/z/QyWmSw=")</f>
        <v>#REF!</v>
      </c>
      <c r="AT143" t="e">
        <f>AND(#REF!,"Z2/z/QyWmS0=")</f>
        <v>#REF!</v>
      </c>
      <c r="AU143" t="e">
        <f>AND(#REF!,"Z2/z/QyWmS4=")</f>
        <v>#REF!</v>
      </c>
      <c r="AV143" t="e">
        <f>AND(#REF!,"Z2/z/QyWmS8=")</f>
        <v>#REF!</v>
      </c>
      <c r="AW143" t="e">
        <f>AND(#REF!,"Z2/z/QyWmTA=")</f>
        <v>#REF!</v>
      </c>
      <c r="AX143" t="e">
        <f>AND(#REF!,"Z2/z/QyWmTE=")</f>
        <v>#REF!</v>
      </c>
      <c r="AY143" t="e">
        <f>IF(#REF!,"Z2/z/QyWmTI=",0)</f>
        <v>#REF!</v>
      </c>
      <c r="AZ143" t="e">
        <f>AND(#REF!,"Z2/z/QyWmTM=")</f>
        <v>#REF!</v>
      </c>
      <c r="BA143" t="e">
        <f>AND(#REF!,"Z2/z/QyWmTQ=")</f>
        <v>#REF!</v>
      </c>
      <c r="BB143" t="e">
        <f>AND(#REF!,"Z2/z/QyWmTU=")</f>
        <v>#REF!</v>
      </c>
      <c r="BC143" t="e">
        <f>AND(#REF!,"Z2/z/QyWmTY=")</f>
        <v>#REF!</v>
      </c>
      <c r="BD143" t="e">
        <f>AND(#REF!,"Z2/z/QyWmTc=")</f>
        <v>#REF!</v>
      </c>
      <c r="BE143" t="e">
        <f>AND(#REF!,"Z2/z/QyWmTg=")</f>
        <v>#REF!</v>
      </c>
      <c r="BF143" t="e">
        <f>AND(#REF!,"Z2/z/QyWmTk=")</f>
        <v>#REF!</v>
      </c>
      <c r="BG143" t="e">
        <f>AND(#REF!,"Z2/z/QyWmTo=")</f>
        <v>#REF!</v>
      </c>
      <c r="BH143" t="e">
        <f>AND(#REF!,"Z2/z/QyWmTs=")</f>
        <v>#REF!</v>
      </c>
      <c r="BI143" t="e">
        <f>AND(#REF!,"Z2/z/QyWmTw=")</f>
        <v>#REF!</v>
      </c>
      <c r="BJ143" t="e">
        <f>AND(#REF!,"Z2/z/QyWmT0=")</f>
        <v>#REF!</v>
      </c>
      <c r="BK143" t="e">
        <f>AND(#REF!,"Z2/z/QyWmT4=")</f>
        <v>#REF!</v>
      </c>
      <c r="BL143" t="e">
        <f>AND(#REF!,"Z2/z/QyWmT8=")</f>
        <v>#REF!</v>
      </c>
      <c r="BM143" t="e">
        <f>AND(#REF!,"Z2/z/QyWmUA=")</f>
        <v>#REF!</v>
      </c>
      <c r="BN143" t="e">
        <f>AND(#REF!,"Z2/z/QyWmUE=")</f>
        <v>#REF!</v>
      </c>
      <c r="BO143" t="e">
        <f>IF(#REF!,"Z2/z/QyWmUI=",0)</f>
        <v>#REF!</v>
      </c>
      <c r="BP143" t="e">
        <f>AND(#REF!,"Z2/z/QyWmUM=")</f>
        <v>#REF!</v>
      </c>
      <c r="BQ143" t="e">
        <f>AND(#REF!,"Z2/z/QyWmUQ=")</f>
        <v>#REF!</v>
      </c>
      <c r="BR143" t="e">
        <f>AND(#REF!,"Z2/z/QyWmUU=")</f>
        <v>#REF!</v>
      </c>
      <c r="BS143" t="e">
        <f>AND(#REF!,"Z2/z/QyWmUY=")</f>
        <v>#REF!</v>
      </c>
      <c r="BT143" t="e">
        <f>AND(#REF!,"Z2/z/QyWmUc=")</f>
        <v>#REF!</v>
      </c>
      <c r="BU143" t="e">
        <f>AND(#REF!,"Z2/z/QyWmUg=")</f>
        <v>#REF!</v>
      </c>
      <c r="BV143" t="e">
        <f>AND(#REF!,"Z2/z/QyWmUk=")</f>
        <v>#REF!</v>
      </c>
      <c r="BW143" t="e">
        <f>AND(#REF!,"Z2/z/QyWmUo=")</f>
        <v>#REF!</v>
      </c>
      <c r="BX143" t="e">
        <f>AND(#REF!,"Z2/z/QyWmUs=")</f>
        <v>#REF!</v>
      </c>
      <c r="BY143" t="e">
        <f>AND(#REF!,"Z2/z/QyWmUw=")</f>
        <v>#REF!</v>
      </c>
      <c r="BZ143" t="e">
        <f>AND(#REF!,"Z2/z/QyWmU0=")</f>
        <v>#REF!</v>
      </c>
      <c r="CA143" t="e">
        <f>AND(#REF!,"Z2/z/QyWmU4=")</f>
        <v>#REF!</v>
      </c>
      <c r="CB143" t="e">
        <f>AND(#REF!,"Z2/z/QyWmU8=")</f>
        <v>#REF!</v>
      </c>
      <c r="CC143" t="e">
        <f>AND(#REF!,"Z2/z/QyWmVA=")</f>
        <v>#REF!</v>
      </c>
      <c r="CD143" t="e">
        <f>AND(#REF!,"Z2/z/QyWmVE=")</f>
        <v>#REF!</v>
      </c>
      <c r="CE143" t="e">
        <f>IF(#REF!,"Z2/z/QyWmVI=",0)</f>
        <v>#REF!</v>
      </c>
      <c r="CF143" t="e">
        <f>AND(#REF!,"Z2/z/QyWmVM=")</f>
        <v>#REF!</v>
      </c>
      <c r="CG143" t="e">
        <f>AND(#REF!,"Z2/z/QyWmVQ=")</f>
        <v>#REF!</v>
      </c>
      <c r="CH143" t="e">
        <f>AND(#REF!,"Z2/z/QyWmVU=")</f>
        <v>#REF!</v>
      </c>
      <c r="CI143" t="e">
        <f>AND(#REF!,"Z2/z/QyWmVY=")</f>
        <v>#REF!</v>
      </c>
      <c r="CJ143" t="e">
        <f>AND(#REF!,"Z2/z/QyWmVc=")</f>
        <v>#REF!</v>
      </c>
      <c r="CK143" t="e">
        <f>AND(#REF!,"Z2/z/QyWmVg=")</f>
        <v>#REF!</v>
      </c>
      <c r="CL143" t="e">
        <f>AND(#REF!,"Z2/z/QyWmVk=")</f>
        <v>#REF!</v>
      </c>
      <c r="CM143" t="e">
        <f>AND(#REF!,"Z2/z/QyWmVo=")</f>
        <v>#REF!</v>
      </c>
      <c r="CN143" t="e">
        <f>AND(#REF!,"Z2/z/QyWmVs=")</f>
        <v>#REF!</v>
      </c>
      <c r="CO143" t="e">
        <f>AND(#REF!,"Z2/z/QyWmVw=")</f>
        <v>#REF!</v>
      </c>
      <c r="CP143" t="e">
        <f>AND(#REF!,"Z2/z/QyWmV0=")</f>
        <v>#REF!</v>
      </c>
      <c r="CQ143" t="e">
        <f>AND(#REF!,"Z2/z/QyWmV4=")</f>
        <v>#REF!</v>
      </c>
      <c r="CR143" t="e">
        <f>AND(#REF!,"Z2/z/QyWmV8=")</f>
        <v>#REF!</v>
      </c>
      <c r="CS143" t="e">
        <f>AND(#REF!,"Z2/z/QyWmWA=")</f>
        <v>#REF!</v>
      </c>
      <c r="CT143" t="e">
        <f>AND(#REF!,"Z2/z/QyWmWE=")</f>
        <v>#REF!</v>
      </c>
      <c r="CU143" t="e">
        <f>IF(#REF!,"Z2/z/QyWmWI=",0)</f>
        <v>#REF!</v>
      </c>
      <c r="CV143" t="e">
        <f>AND(#REF!,"Z2/z/QyWmWM=")</f>
        <v>#REF!</v>
      </c>
      <c r="CW143" t="e">
        <f>AND(#REF!,"Z2/z/QyWmWQ=")</f>
        <v>#REF!</v>
      </c>
      <c r="CX143" t="e">
        <f>AND(#REF!,"Z2/z/QyWmWU=")</f>
        <v>#REF!</v>
      </c>
      <c r="CY143" t="e">
        <f>AND(#REF!,"Z2/z/QyWmWY=")</f>
        <v>#REF!</v>
      </c>
      <c r="CZ143" t="e">
        <f>AND(#REF!,"Z2/z/QyWmWc=")</f>
        <v>#REF!</v>
      </c>
      <c r="DA143" t="e">
        <f>AND(#REF!,"Z2/z/QyWmWg=")</f>
        <v>#REF!</v>
      </c>
      <c r="DB143" t="e">
        <f>AND(#REF!,"Z2/z/QyWmWk=")</f>
        <v>#REF!</v>
      </c>
      <c r="DC143" t="e">
        <f>AND(#REF!,"Z2/z/QyWmWo=")</f>
        <v>#REF!</v>
      </c>
      <c r="DD143" t="e">
        <f>AND(#REF!,"Z2/z/QyWmWs=")</f>
        <v>#REF!</v>
      </c>
      <c r="DE143" t="e">
        <f>AND(#REF!,"Z2/z/QyWmWw=")</f>
        <v>#REF!</v>
      </c>
      <c r="DF143" t="e">
        <f>AND(#REF!,"Z2/z/QyWmW0=")</f>
        <v>#REF!</v>
      </c>
      <c r="DG143" t="e">
        <f>AND(#REF!,"Z2/z/QyWmW4=")</f>
        <v>#REF!</v>
      </c>
      <c r="DH143" t="e">
        <f>AND(#REF!,"Z2/z/QyWmW8=")</f>
        <v>#REF!</v>
      </c>
      <c r="DI143" t="e">
        <f>AND(#REF!,"Z2/z/QyWmXA=")</f>
        <v>#REF!</v>
      </c>
      <c r="DJ143" t="e">
        <f>AND(#REF!,"Z2/z/QyWmXE=")</f>
        <v>#REF!</v>
      </c>
      <c r="DK143" t="e">
        <f>IF(#REF!,"Z2/z/QyWmXI=",0)</f>
        <v>#REF!</v>
      </c>
      <c r="DL143" t="e">
        <f>AND(#REF!,"Z2/z/QyWmXM=")</f>
        <v>#REF!</v>
      </c>
      <c r="DM143" t="e">
        <f>AND(#REF!,"Z2/z/QyWmXQ=")</f>
        <v>#REF!</v>
      </c>
      <c r="DN143" t="e">
        <f>AND(#REF!,"Z2/z/QyWmXU=")</f>
        <v>#REF!</v>
      </c>
      <c r="DO143" t="e">
        <f>AND(#REF!,"Z2/z/QyWmXY=")</f>
        <v>#REF!</v>
      </c>
      <c r="DP143" t="e">
        <f>AND(#REF!,"Z2/z/QyWmXc=")</f>
        <v>#REF!</v>
      </c>
      <c r="DQ143" t="e">
        <f>AND(#REF!,"Z2/z/QyWmXg=")</f>
        <v>#REF!</v>
      </c>
      <c r="DR143" t="e">
        <f>AND(#REF!,"Z2/z/QyWmXk=")</f>
        <v>#REF!</v>
      </c>
      <c r="DS143" t="e">
        <f>AND(#REF!,"Z2/z/QyWmXo=")</f>
        <v>#REF!</v>
      </c>
      <c r="DT143" t="e">
        <f>AND(#REF!,"Z2/z/QyWmXs=")</f>
        <v>#REF!</v>
      </c>
      <c r="DU143" t="e">
        <f>AND(#REF!,"Z2/z/QyWmXw=")</f>
        <v>#REF!</v>
      </c>
      <c r="DV143" t="e">
        <f>AND(#REF!,"Z2/z/QyWmX0=")</f>
        <v>#REF!</v>
      </c>
      <c r="DW143" t="e">
        <f>AND(#REF!,"Z2/z/QyWmX4=")</f>
        <v>#REF!</v>
      </c>
      <c r="DX143" t="e">
        <f>AND(#REF!,"Z2/z/QyWmX8=")</f>
        <v>#REF!</v>
      </c>
      <c r="DY143" t="e">
        <f>AND(#REF!,"Z2/z/QyWmYA=")</f>
        <v>#REF!</v>
      </c>
      <c r="DZ143" t="e">
        <f>AND(#REF!,"Z2/z/QyWmYE=")</f>
        <v>#REF!</v>
      </c>
      <c r="EA143" t="e">
        <f>IF(#REF!,"Z2/z/QyWmYI=",0)</f>
        <v>#REF!</v>
      </c>
      <c r="EB143" t="e">
        <f>AND(#REF!,"Z2/z/QyWmYM=")</f>
        <v>#REF!</v>
      </c>
      <c r="EC143" t="e">
        <f>AND(#REF!,"Z2/z/QyWmYQ=")</f>
        <v>#REF!</v>
      </c>
      <c r="ED143" t="e">
        <f>AND(#REF!,"Z2/z/QyWmYU=")</f>
        <v>#REF!</v>
      </c>
      <c r="EE143" t="e">
        <f>AND(#REF!,"Z2/z/QyWmYY=")</f>
        <v>#REF!</v>
      </c>
      <c r="EF143" t="e">
        <f>AND(#REF!,"Z2/z/QyWmYc=")</f>
        <v>#REF!</v>
      </c>
      <c r="EG143" t="e">
        <f>AND(#REF!,"Z2/z/QyWmYg=")</f>
        <v>#REF!</v>
      </c>
      <c r="EH143" t="e">
        <f>AND(#REF!,"Z2/z/QyWmYk=")</f>
        <v>#REF!</v>
      </c>
      <c r="EI143" t="e">
        <f>AND(#REF!,"Z2/z/QyWmYo=")</f>
        <v>#REF!</v>
      </c>
      <c r="EJ143" t="e">
        <f>AND(#REF!,"Z2/z/QyWmYs=")</f>
        <v>#REF!</v>
      </c>
      <c r="EK143" t="e">
        <f>AND(#REF!,"Z2/z/QyWmYw=")</f>
        <v>#REF!</v>
      </c>
      <c r="EL143" t="e">
        <f>AND(#REF!,"Z2/z/QyWmY0=")</f>
        <v>#REF!</v>
      </c>
      <c r="EM143" t="e">
        <f>AND(#REF!,"Z2/z/QyWmY4=")</f>
        <v>#REF!</v>
      </c>
      <c r="EN143" t="e">
        <f>AND(#REF!,"Z2/z/QyWmY8=")</f>
        <v>#REF!</v>
      </c>
      <c r="EO143" t="e">
        <f>AND(#REF!,"Z2/z/QyWmZA=")</f>
        <v>#REF!</v>
      </c>
      <c r="EP143" t="e">
        <f>AND(#REF!,"Z2/z/QyWmZE=")</f>
        <v>#REF!</v>
      </c>
      <c r="EQ143" t="e">
        <f>IF(#REF!,"Z2/z/QyWmZI=",0)</f>
        <v>#REF!</v>
      </c>
      <c r="ER143" t="e">
        <f>AND(#REF!,"Z2/z/QyWmZM=")</f>
        <v>#REF!</v>
      </c>
      <c r="ES143" t="e">
        <f>AND(#REF!,"Z2/z/QyWmZQ=")</f>
        <v>#REF!</v>
      </c>
      <c r="ET143" t="e">
        <f>AND(#REF!,"Z2/z/QyWmZU=")</f>
        <v>#REF!</v>
      </c>
      <c r="EU143" t="e">
        <f>AND(#REF!,"Z2/z/QyWmZY=")</f>
        <v>#REF!</v>
      </c>
      <c r="EV143" t="e">
        <f>AND(#REF!,"Z2/z/QyWmZc=")</f>
        <v>#REF!</v>
      </c>
      <c r="EW143" t="e">
        <f>AND(#REF!,"Z2/z/QyWmZg=")</f>
        <v>#REF!</v>
      </c>
      <c r="EX143" t="e">
        <f>AND(#REF!,"Z2/z/QyWmZk=")</f>
        <v>#REF!</v>
      </c>
      <c r="EY143" t="e">
        <f>AND(#REF!,"Z2/z/QyWmZo=")</f>
        <v>#REF!</v>
      </c>
      <c r="EZ143" t="e">
        <f>AND(#REF!,"Z2/z/QyWmZs=")</f>
        <v>#REF!</v>
      </c>
      <c r="FA143" t="e">
        <f>AND(#REF!,"Z2/z/QyWmZw=")</f>
        <v>#REF!</v>
      </c>
      <c r="FB143" t="e">
        <f>AND(#REF!,"Z2/z/QyWmZ0=")</f>
        <v>#REF!</v>
      </c>
      <c r="FC143" t="e">
        <f>AND(#REF!,"Z2/z/QyWmZ4=")</f>
        <v>#REF!</v>
      </c>
      <c r="FD143" t="e">
        <f>AND(#REF!,"Z2/z/QyWmZ8=")</f>
        <v>#REF!</v>
      </c>
      <c r="FE143" t="e">
        <f>AND(#REF!,"Z2/z/QyWmaA=")</f>
        <v>#REF!</v>
      </c>
      <c r="FF143" t="e">
        <f>AND(#REF!,"Z2/z/QyWmaE=")</f>
        <v>#REF!</v>
      </c>
      <c r="FG143" t="e">
        <f>IF(#REF!,"Z2/z/QyWmaI=",0)</f>
        <v>#REF!</v>
      </c>
      <c r="FH143" t="e">
        <f>AND(#REF!,"Z2/z/QyWmaM=")</f>
        <v>#REF!</v>
      </c>
      <c r="FI143" t="e">
        <f>AND(#REF!,"Z2/z/QyWmaQ=")</f>
        <v>#REF!</v>
      </c>
      <c r="FJ143" t="e">
        <f>AND(#REF!,"Z2/z/QyWmaU=")</f>
        <v>#REF!</v>
      </c>
      <c r="FK143" t="e">
        <f>AND(#REF!,"Z2/z/QyWmaY=")</f>
        <v>#REF!</v>
      </c>
      <c r="FL143" t="e">
        <f>AND(#REF!,"Z2/z/QyWmac=")</f>
        <v>#REF!</v>
      </c>
      <c r="FM143" t="e">
        <f>AND(#REF!,"Z2/z/QyWmag=")</f>
        <v>#REF!</v>
      </c>
      <c r="FN143" t="e">
        <f>AND(#REF!,"Z2/z/QyWmak=")</f>
        <v>#REF!</v>
      </c>
      <c r="FO143" t="e">
        <f>AND(#REF!,"Z2/z/QyWmao=")</f>
        <v>#REF!</v>
      </c>
      <c r="FP143" t="e">
        <f>AND(#REF!,"Z2/z/QyWmas=")</f>
        <v>#REF!</v>
      </c>
      <c r="FQ143" t="e">
        <f>AND(#REF!,"Z2/z/QyWmaw=")</f>
        <v>#REF!</v>
      </c>
      <c r="FR143" t="e">
        <f>AND(#REF!,"Z2/z/QyWma0=")</f>
        <v>#REF!</v>
      </c>
      <c r="FS143" t="e">
        <f>AND(#REF!,"Z2/z/QyWma4=")</f>
        <v>#REF!</v>
      </c>
      <c r="FT143" t="e">
        <f>AND(#REF!,"Z2/z/QyWma8=")</f>
        <v>#REF!</v>
      </c>
      <c r="FU143" t="e">
        <f>AND(#REF!,"Z2/z/QyWmbA=")</f>
        <v>#REF!</v>
      </c>
      <c r="FV143" t="e">
        <f>AND(#REF!,"Z2/z/QyWmbE=")</f>
        <v>#REF!</v>
      </c>
      <c r="FW143" t="e">
        <f>IF(#REF!,"Z2/z/QyWmbI=",0)</f>
        <v>#REF!</v>
      </c>
      <c r="FX143" t="e">
        <f>AND(#REF!,"Z2/z/QyWmbM=")</f>
        <v>#REF!</v>
      </c>
      <c r="FY143" t="e">
        <f>AND(#REF!,"Z2/z/QyWmbQ=")</f>
        <v>#REF!</v>
      </c>
      <c r="FZ143" t="e">
        <f>AND(#REF!,"Z2/z/QyWmbU=")</f>
        <v>#REF!</v>
      </c>
      <c r="GA143" t="e">
        <f>AND(#REF!,"Z2/z/QyWmbY=")</f>
        <v>#REF!</v>
      </c>
      <c r="GB143" t="e">
        <f>AND(#REF!,"Z2/z/QyWmbc=")</f>
        <v>#REF!</v>
      </c>
      <c r="GC143" t="e">
        <f>AND(#REF!,"Z2/z/QyWmbg=")</f>
        <v>#REF!</v>
      </c>
      <c r="GD143" t="e">
        <f>AND(#REF!,"Z2/z/QyWmbk=")</f>
        <v>#REF!</v>
      </c>
      <c r="GE143" t="e">
        <f>AND(#REF!,"Z2/z/QyWmbo=")</f>
        <v>#REF!</v>
      </c>
      <c r="GF143" t="e">
        <f>AND(#REF!,"Z2/z/QyWmbs=")</f>
        <v>#REF!</v>
      </c>
      <c r="GG143" t="e">
        <f>AND(#REF!,"Z2/z/QyWmbw=")</f>
        <v>#REF!</v>
      </c>
      <c r="GH143" t="e">
        <f>AND(#REF!,"Z2/z/QyWmb0=")</f>
        <v>#REF!</v>
      </c>
      <c r="GI143" t="e">
        <f>AND(#REF!,"Z2/z/QyWmb4=")</f>
        <v>#REF!</v>
      </c>
      <c r="GJ143" t="e">
        <f>AND(#REF!,"Z2/z/QyWmb8=")</f>
        <v>#REF!</v>
      </c>
      <c r="GK143" t="e">
        <f>AND(#REF!,"Z2/z/QyWmcA=")</f>
        <v>#REF!</v>
      </c>
      <c r="GL143" t="e">
        <f>AND(#REF!,"Z2/z/QyWmcE=")</f>
        <v>#REF!</v>
      </c>
      <c r="GM143" t="e">
        <f>IF(#REF!,"Z2/z/QyWmcI=",0)</f>
        <v>#REF!</v>
      </c>
      <c r="GN143" t="e">
        <f>AND(#REF!,"Z2/z/QyWmcM=")</f>
        <v>#REF!</v>
      </c>
      <c r="GO143" t="e">
        <f>AND(#REF!,"Z2/z/QyWmcQ=")</f>
        <v>#REF!</v>
      </c>
      <c r="GP143" t="e">
        <f>AND(#REF!,"Z2/z/QyWmcU=")</f>
        <v>#REF!</v>
      </c>
      <c r="GQ143" t="e">
        <f>AND(#REF!,"Z2/z/QyWmcY=")</f>
        <v>#REF!</v>
      </c>
      <c r="GR143" t="e">
        <f>AND(#REF!,"Z2/z/QyWmcc=")</f>
        <v>#REF!</v>
      </c>
      <c r="GS143" t="e">
        <f>AND(#REF!,"Z2/z/QyWmcg=")</f>
        <v>#REF!</v>
      </c>
      <c r="GT143" t="e">
        <f>AND(#REF!,"Z2/z/QyWmck=")</f>
        <v>#REF!</v>
      </c>
      <c r="GU143" t="e">
        <f>AND(#REF!,"Z2/z/QyWmco=")</f>
        <v>#REF!</v>
      </c>
      <c r="GV143" t="e">
        <f>AND(#REF!,"Z2/z/QyWmcs=")</f>
        <v>#REF!</v>
      </c>
      <c r="GW143" t="e">
        <f>AND(#REF!,"Z2/z/QyWmcw=")</f>
        <v>#REF!</v>
      </c>
      <c r="GX143" t="e">
        <f>AND(#REF!,"Z2/z/QyWmc0=")</f>
        <v>#REF!</v>
      </c>
      <c r="GY143" t="e">
        <f>AND(#REF!,"Z2/z/QyWmc4=")</f>
        <v>#REF!</v>
      </c>
      <c r="GZ143" t="e">
        <f>AND(#REF!,"Z2/z/QyWmc8=")</f>
        <v>#REF!</v>
      </c>
      <c r="HA143" t="e">
        <f>AND(#REF!,"Z2/z/QyWmdA=")</f>
        <v>#REF!</v>
      </c>
      <c r="HB143" t="e">
        <f>AND(#REF!,"Z2/z/QyWmdE=")</f>
        <v>#REF!</v>
      </c>
      <c r="HC143" t="e">
        <f>IF(#REF!,"Z2/z/QyWmdI=",0)</f>
        <v>#REF!</v>
      </c>
      <c r="HD143" t="e">
        <f>AND(#REF!,"Z2/z/QyWmdM=")</f>
        <v>#REF!</v>
      </c>
      <c r="HE143" t="e">
        <f>AND(#REF!,"Z2/z/QyWmdQ=")</f>
        <v>#REF!</v>
      </c>
      <c r="HF143" t="e">
        <f>AND(#REF!,"Z2/z/QyWmdU=")</f>
        <v>#REF!</v>
      </c>
      <c r="HG143" t="e">
        <f>AND(#REF!,"Z2/z/QyWmdY=")</f>
        <v>#REF!</v>
      </c>
      <c r="HH143" t="e">
        <f>AND(#REF!,"Z2/z/QyWmdc=")</f>
        <v>#REF!</v>
      </c>
      <c r="HI143" t="e">
        <f>AND(#REF!,"Z2/z/QyWmdg=")</f>
        <v>#REF!</v>
      </c>
      <c r="HJ143" t="e">
        <f>AND(#REF!,"Z2/z/QyWmdk=")</f>
        <v>#REF!</v>
      </c>
      <c r="HK143" t="e">
        <f>AND(#REF!,"Z2/z/QyWmdo=")</f>
        <v>#REF!</v>
      </c>
      <c r="HL143" t="e">
        <f>AND(#REF!,"Z2/z/QyWmds=")</f>
        <v>#REF!</v>
      </c>
      <c r="HM143" t="e">
        <f>AND(#REF!,"Z2/z/QyWmdw=")</f>
        <v>#REF!</v>
      </c>
      <c r="HN143" t="e">
        <f>AND(#REF!,"Z2/z/QyWmd0=")</f>
        <v>#REF!</v>
      </c>
      <c r="HO143" t="e">
        <f>AND(#REF!,"Z2/z/QyWmd4=")</f>
        <v>#REF!</v>
      </c>
      <c r="HP143" t="e">
        <f>AND(#REF!,"Z2/z/QyWmd8=")</f>
        <v>#REF!</v>
      </c>
      <c r="HQ143" t="e">
        <f>AND(#REF!,"Z2/z/QyWmeA=")</f>
        <v>#REF!</v>
      </c>
      <c r="HR143" t="e">
        <f>AND(#REF!,"Z2/z/QyWmeE=")</f>
        <v>#REF!</v>
      </c>
      <c r="HS143" t="e">
        <f>IF(#REF!,"Z2/z/QyWmeI=",0)</f>
        <v>#REF!</v>
      </c>
      <c r="HT143" t="e">
        <f>AND(#REF!,"Z2/z/QyWmeM=")</f>
        <v>#REF!</v>
      </c>
      <c r="HU143" t="e">
        <f>AND(#REF!,"Z2/z/QyWmeQ=")</f>
        <v>#REF!</v>
      </c>
      <c r="HV143" t="e">
        <f>AND(#REF!,"Z2/z/QyWmeU=")</f>
        <v>#REF!</v>
      </c>
      <c r="HW143" t="e">
        <f>AND(#REF!,"Z2/z/QyWmeY=")</f>
        <v>#REF!</v>
      </c>
      <c r="HX143" t="e">
        <f>AND(#REF!,"Z2/z/QyWmec=")</f>
        <v>#REF!</v>
      </c>
      <c r="HY143" t="e">
        <f>AND(#REF!,"Z2/z/QyWmeg=")</f>
        <v>#REF!</v>
      </c>
      <c r="HZ143" t="e">
        <f>AND(#REF!,"Z2/z/QyWmek=")</f>
        <v>#REF!</v>
      </c>
      <c r="IA143" t="e">
        <f>AND(#REF!,"Z2/z/QyWmeo=")</f>
        <v>#REF!</v>
      </c>
      <c r="IB143" t="e">
        <f>AND(#REF!,"Z2/z/QyWmes=")</f>
        <v>#REF!</v>
      </c>
      <c r="IC143" t="e">
        <f>AND(#REF!,"Z2/z/QyWmew=")</f>
        <v>#REF!</v>
      </c>
      <c r="ID143" t="e">
        <f>AND(#REF!,"Z2/z/QyWme0=")</f>
        <v>#REF!</v>
      </c>
      <c r="IE143" t="e">
        <f>AND(#REF!,"Z2/z/QyWme4=")</f>
        <v>#REF!</v>
      </c>
      <c r="IF143" t="e">
        <f>AND(#REF!,"Z2/z/QyWme8=")</f>
        <v>#REF!</v>
      </c>
      <c r="IG143" t="e">
        <f>AND(#REF!,"Z2/z/QyWmfA=")</f>
        <v>#REF!</v>
      </c>
      <c r="IH143" t="e">
        <f>AND(#REF!,"Z2/z/QyWmfE=")</f>
        <v>#REF!</v>
      </c>
      <c r="II143" t="e">
        <f>IF(#REF!,"Z2/z/QyWmfI=",0)</f>
        <v>#REF!</v>
      </c>
      <c r="IJ143" t="e">
        <f>AND(#REF!,"Z2/z/QyWmfM=")</f>
        <v>#REF!</v>
      </c>
      <c r="IK143" t="e">
        <f>AND(#REF!,"Z2/z/QyWmfQ=")</f>
        <v>#REF!</v>
      </c>
      <c r="IL143" t="e">
        <f>AND(#REF!,"Z2/z/QyWmfU=")</f>
        <v>#REF!</v>
      </c>
      <c r="IM143" t="e">
        <f>AND(#REF!,"Z2/z/QyWmfY=")</f>
        <v>#REF!</v>
      </c>
      <c r="IN143" t="e">
        <f>AND(#REF!,"Z2/z/QyWmfc=")</f>
        <v>#REF!</v>
      </c>
      <c r="IO143" t="e">
        <f>AND(#REF!,"Z2/z/QyWmfg=")</f>
        <v>#REF!</v>
      </c>
      <c r="IP143" t="e">
        <f>AND(#REF!,"Z2/z/QyWmfk=")</f>
        <v>#REF!</v>
      </c>
      <c r="IQ143" t="e">
        <f>AND(#REF!,"Z2/z/QyWmfo=")</f>
        <v>#REF!</v>
      </c>
      <c r="IR143" t="e">
        <f>AND(#REF!,"Z2/z/QyWmfs=")</f>
        <v>#REF!</v>
      </c>
      <c r="IS143" t="e">
        <f>AND(#REF!,"Z2/z/QyWmfw=")</f>
        <v>#REF!</v>
      </c>
      <c r="IT143" t="e">
        <f>AND(#REF!,"Z2/z/QyWmf0=")</f>
        <v>#REF!</v>
      </c>
      <c r="IU143" t="e">
        <f>AND(#REF!,"Z2/z/QyWmf4=")</f>
        <v>#REF!</v>
      </c>
      <c r="IV143" t="e">
        <f>AND(#REF!,"Z2/z/QyWmf8=")</f>
        <v>#REF!</v>
      </c>
    </row>
    <row r="144" spans="1:256" x14ac:dyDescent="0.2">
      <c r="A144" t="e">
        <f>AND(#REF!,"UqMdF0XLVgA=")</f>
        <v>#REF!</v>
      </c>
      <c r="B144" t="e">
        <f>AND(#REF!,"UqMdF0XLVgE=")</f>
        <v>#REF!</v>
      </c>
      <c r="C144" t="e">
        <f>IF(#REF!,"UqMdF0XLVgI=",0)</f>
        <v>#REF!</v>
      </c>
      <c r="D144" t="e">
        <f>AND(#REF!,"UqMdF0XLVgM=")</f>
        <v>#REF!</v>
      </c>
      <c r="E144" t="e">
        <f>AND(#REF!,"UqMdF0XLVgQ=")</f>
        <v>#REF!</v>
      </c>
      <c r="F144" t="e">
        <f>AND(#REF!,"UqMdF0XLVgU=")</f>
        <v>#REF!</v>
      </c>
      <c r="G144" t="e">
        <f>AND(#REF!,"UqMdF0XLVgY=")</f>
        <v>#REF!</v>
      </c>
      <c r="H144" t="e">
        <f>AND(#REF!,"UqMdF0XLVgc=")</f>
        <v>#REF!</v>
      </c>
      <c r="I144" t="e">
        <f>AND(#REF!,"UqMdF0XLVgg=")</f>
        <v>#REF!</v>
      </c>
      <c r="J144" t="e">
        <f>AND(#REF!,"UqMdF0XLVgk=")</f>
        <v>#REF!</v>
      </c>
      <c r="K144" t="e">
        <f>AND(#REF!,"UqMdF0XLVgo=")</f>
        <v>#REF!</v>
      </c>
      <c r="L144" t="e">
        <f>AND(#REF!,"UqMdF0XLVgs=")</f>
        <v>#REF!</v>
      </c>
      <c r="M144" t="e">
        <f>AND(#REF!,"UqMdF0XLVgw=")</f>
        <v>#REF!</v>
      </c>
      <c r="N144" t="e">
        <f>AND(#REF!,"UqMdF0XLVg0=")</f>
        <v>#REF!</v>
      </c>
      <c r="O144" t="e">
        <f>AND(#REF!,"UqMdF0XLVg4=")</f>
        <v>#REF!</v>
      </c>
      <c r="P144" t="e">
        <f>AND(#REF!,"UqMdF0XLVg8=")</f>
        <v>#REF!</v>
      </c>
      <c r="Q144" t="e">
        <f>AND(#REF!,"UqMdF0XLVhA=")</f>
        <v>#REF!</v>
      </c>
      <c r="R144" t="e">
        <f>AND(#REF!,"UqMdF0XLVhE=")</f>
        <v>#REF!</v>
      </c>
      <c r="S144" t="e">
        <f>IF(#REF!,"UqMdF0XLVhI=",0)</f>
        <v>#REF!</v>
      </c>
      <c r="T144" t="e">
        <f>AND(#REF!,"UqMdF0XLVhM=")</f>
        <v>#REF!</v>
      </c>
      <c r="U144" t="e">
        <f>AND(#REF!,"UqMdF0XLVhQ=")</f>
        <v>#REF!</v>
      </c>
      <c r="V144" t="e">
        <f>AND(#REF!,"UqMdF0XLVhU=")</f>
        <v>#REF!</v>
      </c>
      <c r="W144" t="e">
        <f>AND(#REF!,"UqMdF0XLVhY=")</f>
        <v>#REF!</v>
      </c>
      <c r="X144" t="e">
        <f>AND(#REF!,"UqMdF0XLVhc=")</f>
        <v>#REF!</v>
      </c>
      <c r="Y144" t="e">
        <f>AND(#REF!,"UqMdF0XLVhg=")</f>
        <v>#REF!</v>
      </c>
      <c r="Z144" t="e">
        <f>AND(#REF!,"UqMdF0XLVhk=")</f>
        <v>#REF!</v>
      </c>
      <c r="AA144" t="e">
        <f>AND(#REF!,"UqMdF0XLVho=")</f>
        <v>#REF!</v>
      </c>
      <c r="AB144" t="e">
        <f>AND(#REF!,"UqMdF0XLVhs=")</f>
        <v>#REF!</v>
      </c>
      <c r="AC144" t="e">
        <f>AND(#REF!,"UqMdF0XLVhw=")</f>
        <v>#REF!</v>
      </c>
      <c r="AD144" t="e">
        <f>AND(#REF!,"UqMdF0XLVh0=")</f>
        <v>#REF!</v>
      </c>
      <c r="AE144" t="e">
        <f>AND(#REF!,"UqMdF0XLVh4=")</f>
        <v>#REF!</v>
      </c>
      <c r="AF144" t="e">
        <f>AND(#REF!,"UqMdF0XLVh8=")</f>
        <v>#REF!</v>
      </c>
      <c r="AG144" t="e">
        <f>AND(#REF!,"UqMdF0XLViA=")</f>
        <v>#REF!</v>
      </c>
      <c r="AH144" t="e">
        <f>AND(#REF!,"UqMdF0XLViE=")</f>
        <v>#REF!</v>
      </c>
      <c r="AI144" t="e">
        <f>IF(#REF!,"UqMdF0XLViI=",0)</f>
        <v>#REF!</v>
      </c>
      <c r="AJ144" t="e">
        <f>AND(#REF!,"UqMdF0XLViM=")</f>
        <v>#REF!</v>
      </c>
      <c r="AK144" t="e">
        <f>AND(#REF!,"UqMdF0XLViQ=")</f>
        <v>#REF!</v>
      </c>
      <c r="AL144" t="e">
        <f>AND(#REF!,"UqMdF0XLViU=")</f>
        <v>#REF!</v>
      </c>
      <c r="AM144" t="e">
        <f>AND(#REF!,"UqMdF0XLViY=")</f>
        <v>#REF!</v>
      </c>
      <c r="AN144" t="e">
        <f>AND(#REF!,"UqMdF0XLVic=")</f>
        <v>#REF!</v>
      </c>
      <c r="AO144" t="e">
        <f>AND(#REF!,"UqMdF0XLVig=")</f>
        <v>#REF!</v>
      </c>
      <c r="AP144" t="e">
        <f>AND(#REF!,"UqMdF0XLVik=")</f>
        <v>#REF!</v>
      </c>
      <c r="AQ144" t="e">
        <f>AND(#REF!,"UqMdF0XLVio=")</f>
        <v>#REF!</v>
      </c>
      <c r="AR144" t="e">
        <f>AND(#REF!,"UqMdF0XLVis=")</f>
        <v>#REF!</v>
      </c>
      <c r="AS144" t="e">
        <f>AND(#REF!,"UqMdF0XLViw=")</f>
        <v>#REF!</v>
      </c>
      <c r="AT144" t="e">
        <f>AND(#REF!,"UqMdF0XLVi0=")</f>
        <v>#REF!</v>
      </c>
      <c r="AU144" t="e">
        <f>AND(#REF!,"UqMdF0XLVi4=")</f>
        <v>#REF!</v>
      </c>
      <c r="AV144" t="e">
        <f>AND(#REF!,"UqMdF0XLVi8=")</f>
        <v>#REF!</v>
      </c>
      <c r="AW144" t="e">
        <f>AND(#REF!,"UqMdF0XLVjA=")</f>
        <v>#REF!</v>
      </c>
      <c r="AX144" t="e">
        <f>AND(#REF!,"UqMdF0XLVjE=")</f>
        <v>#REF!</v>
      </c>
      <c r="AY144" t="e">
        <f>IF(#REF!,"UqMdF0XLVjI=",0)</f>
        <v>#REF!</v>
      </c>
      <c r="AZ144" t="e">
        <f>AND(#REF!,"UqMdF0XLVjM=")</f>
        <v>#REF!</v>
      </c>
      <c r="BA144" t="e">
        <f>AND(#REF!,"UqMdF0XLVjQ=")</f>
        <v>#REF!</v>
      </c>
      <c r="BB144" t="e">
        <f>AND(#REF!,"UqMdF0XLVjU=")</f>
        <v>#REF!</v>
      </c>
      <c r="BC144" t="e">
        <f>AND(#REF!,"UqMdF0XLVjY=")</f>
        <v>#REF!</v>
      </c>
      <c r="BD144" t="e">
        <f>AND(#REF!,"UqMdF0XLVjc=")</f>
        <v>#REF!</v>
      </c>
      <c r="BE144" t="e">
        <f>AND(#REF!,"UqMdF0XLVjg=")</f>
        <v>#REF!</v>
      </c>
      <c r="BF144" t="e">
        <f>AND(#REF!,"UqMdF0XLVjk=")</f>
        <v>#REF!</v>
      </c>
      <c r="BG144" t="e">
        <f>AND(#REF!,"UqMdF0XLVjo=")</f>
        <v>#REF!</v>
      </c>
      <c r="BH144" t="e">
        <f>AND(#REF!,"UqMdF0XLVjs=")</f>
        <v>#REF!</v>
      </c>
      <c r="BI144" t="e">
        <f>AND(#REF!,"UqMdF0XLVjw=")</f>
        <v>#REF!</v>
      </c>
      <c r="BJ144" t="e">
        <f>AND(#REF!,"UqMdF0XLVj0=")</f>
        <v>#REF!</v>
      </c>
      <c r="BK144" t="e">
        <f>AND(#REF!,"UqMdF0XLVj4=")</f>
        <v>#REF!</v>
      </c>
      <c r="BL144" t="e">
        <f>AND(#REF!,"UqMdF0XLVj8=")</f>
        <v>#REF!</v>
      </c>
      <c r="BM144" t="e">
        <f>AND(#REF!,"UqMdF0XLVkA=")</f>
        <v>#REF!</v>
      </c>
      <c r="BN144" t="e">
        <f>AND(#REF!,"UqMdF0XLVkE=")</f>
        <v>#REF!</v>
      </c>
      <c r="BO144" t="e">
        <f>IF(#REF!,"UqMdF0XLVkI=",0)</f>
        <v>#REF!</v>
      </c>
      <c r="BP144" t="e">
        <f>AND(#REF!,"UqMdF0XLVkM=")</f>
        <v>#REF!</v>
      </c>
      <c r="BQ144" t="e">
        <f>AND(#REF!,"UqMdF0XLVkQ=")</f>
        <v>#REF!</v>
      </c>
      <c r="BR144" t="e">
        <f>AND(#REF!,"UqMdF0XLVkU=")</f>
        <v>#REF!</v>
      </c>
      <c r="BS144" t="e">
        <f>AND(#REF!,"UqMdF0XLVkY=")</f>
        <v>#REF!</v>
      </c>
      <c r="BT144" t="e">
        <f>AND(#REF!,"UqMdF0XLVkc=")</f>
        <v>#REF!</v>
      </c>
      <c r="BU144" t="e">
        <f>AND(#REF!,"UqMdF0XLVkg=")</f>
        <v>#REF!</v>
      </c>
      <c r="BV144" t="e">
        <f>AND(#REF!,"UqMdF0XLVkk=")</f>
        <v>#REF!</v>
      </c>
      <c r="BW144" t="e">
        <f>AND(#REF!,"UqMdF0XLVko=")</f>
        <v>#REF!</v>
      </c>
      <c r="BX144" t="e">
        <f>AND(#REF!,"UqMdF0XLVks=")</f>
        <v>#REF!</v>
      </c>
      <c r="BY144" t="e">
        <f>AND(#REF!,"UqMdF0XLVkw=")</f>
        <v>#REF!</v>
      </c>
      <c r="BZ144" t="e">
        <f>AND(#REF!,"UqMdF0XLVk0=")</f>
        <v>#REF!</v>
      </c>
      <c r="CA144" t="e">
        <f>AND(#REF!,"UqMdF0XLVk4=")</f>
        <v>#REF!</v>
      </c>
      <c r="CB144" t="e">
        <f>AND(#REF!,"UqMdF0XLVk8=")</f>
        <v>#REF!</v>
      </c>
      <c r="CC144" t="e">
        <f>AND(#REF!,"UqMdF0XLVlA=")</f>
        <v>#REF!</v>
      </c>
      <c r="CD144" t="e">
        <f>AND(#REF!,"UqMdF0XLVlE=")</f>
        <v>#REF!</v>
      </c>
      <c r="CE144" t="e">
        <f>IF(#REF!,"UqMdF0XLVlI=",0)</f>
        <v>#REF!</v>
      </c>
      <c r="CF144" t="e">
        <f>AND(#REF!,"UqMdF0XLVlM=")</f>
        <v>#REF!</v>
      </c>
      <c r="CG144" t="e">
        <f>AND(#REF!,"UqMdF0XLVlQ=")</f>
        <v>#REF!</v>
      </c>
      <c r="CH144" t="e">
        <f>AND(#REF!,"UqMdF0XLVlU=")</f>
        <v>#REF!</v>
      </c>
      <c r="CI144" t="e">
        <f>AND(#REF!,"UqMdF0XLVlY=")</f>
        <v>#REF!</v>
      </c>
      <c r="CJ144" t="e">
        <f>AND(#REF!,"UqMdF0XLVlc=")</f>
        <v>#REF!</v>
      </c>
      <c r="CK144" t="e">
        <f>AND(#REF!,"UqMdF0XLVlg=")</f>
        <v>#REF!</v>
      </c>
      <c r="CL144" t="e">
        <f>AND(#REF!,"UqMdF0XLVlk=")</f>
        <v>#REF!</v>
      </c>
      <c r="CM144" t="e">
        <f>AND(#REF!,"UqMdF0XLVlo=")</f>
        <v>#REF!</v>
      </c>
      <c r="CN144" t="e">
        <f>AND(#REF!,"UqMdF0XLVls=")</f>
        <v>#REF!</v>
      </c>
      <c r="CO144" t="e">
        <f>AND(#REF!,"UqMdF0XLVlw=")</f>
        <v>#REF!</v>
      </c>
      <c r="CP144" t="e">
        <f>AND(#REF!,"UqMdF0XLVl0=")</f>
        <v>#REF!</v>
      </c>
      <c r="CQ144" t="e">
        <f>AND(#REF!,"UqMdF0XLVl4=")</f>
        <v>#REF!</v>
      </c>
      <c r="CR144" t="e">
        <f>AND(#REF!,"UqMdF0XLVl8=")</f>
        <v>#REF!</v>
      </c>
      <c r="CS144" t="e">
        <f>AND(#REF!,"UqMdF0XLVmA=")</f>
        <v>#REF!</v>
      </c>
      <c r="CT144" t="e">
        <f>AND(#REF!,"UqMdF0XLVmE=")</f>
        <v>#REF!</v>
      </c>
      <c r="CU144" t="e">
        <f>IF(#REF!,"UqMdF0XLVmI=",0)</f>
        <v>#REF!</v>
      </c>
      <c r="CV144" t="e">
        <f>AND(#REF!,"UqMdF0XLVmM=")</f>
        <v>#REF!</v>
      </c>
      <c r="CW144" t="e">
        <f>AND(#REF!,"UqMdF0XLVmQ=")</f>
        <v>#REF!</v>
      </c>
      <c r="CX144" t="e">
        <f>AND(#REF!,"UqMdF0XLVmU=")</f>
        <v>#REF!</v>
      </c>
      <c r="CY144" t="e">
        <f>AND(#REF!,"UqMdF0XLVmY=")</f>
        <v>#REF!</v>
      </c>
      <c r="CZ144" t="e">
        <f>AND(#REF!,"UqMdF0XLVmc=")</f>
        <v>#REF!</v>
      </c>
      <c r="DA144" t="e">
        <f>AND(#REF!,"UqMdF0XLVmg=")</f>
        <v>#REF!</v>
      </c>
      <c r="DB144" t="e">
        <f>AND(#REF!,"UqMdF0XLVmk=")</f>
        <v>#REF!</v>
      </c>
      <c r="DC144" t="e">
        <f>AND(#REF!,"UqMdF0XLVmo=")</f>
        <v>#REF!</v>
      </c>
      <c r="DD144" t="e">
        <f>AND(#REF!,"UqMdF0XLVms=")</f>
        <v>#REF!</v>
      </c>
      <c r="DE144" t="e">
        <f>AND(#REF!,"UqMdF0XLVmw=")</f>
        <v>#REF!</v>
      </c>
      <c r="DF144" t="e">
        <f>AND(#REF!,"UqMdF0XLVm0=")</f>
        <v>#REF!</v>
      </c>
      <c r="DG144" t="e">
        <f>AND(#REF!,"UqMdF0XLVm4=")</f>
        <v>#REF!</v>
      </c>
      <c r="DH144" t="e">
        <f>AND(#REF!,"UqMdF0XLVm8=")</f>
        <v>#REF!</v>
      </c>
      <c r="DI144" t="e">
        <f>AND(#REF!,"UqMdF0XLVnA=")</f>
        <v>#REF!</v>
      </c>
      <c r="DJ144" t="e">
        <f>AND(#REF!,"UqMdF0XLVnE=")</f>
        <v>#REF!</v>
      </c>
      <c r="DK144" t="e">
        <f>IF(#REF!,"UqMdF0XLVnI=",0)</f>
        <v>#REF!</v>
      </c>
      <c r="DL144" t="e">
        <f>AND(#REF!,"UqMdF0XLVnM=")</f>
        <v>#REF!</v>
      </c>
      <c r="DM144" t="e">
        <f>AND(#REF!,"UqMdF0XLVnQ=")</f>
        <v>#REF!</v>
      </c>
      <c r="DN144" t="e">
        <f>AND(#REF!,"UqMdF0XLVnU=")</f>
        <v>#REF!</v>
      </c>
      <c r="DO144" t="e">
        <f>AND(#REF!,"UqMdF0XLVnY=")</f>
        <v>#REF!</v>
      </c>
      <c r="DP144" t="e">
        <f>AND(#REF!,"UqMdF0XLVnc=")</f>
        <v>#REF!</v>
      </c>
      <c r="DQ144" t="e">
        <f>AND(#REF!,"UqMdF0XLVng=")</f>
        <v>#REF!</v>
      </c>
      <c r="DR144" t="e">
        <f>AND(#REF!,"UqMdF0XLVnk=")</f>
        <v>#REF!</v>
      </c>
      <c r="DS144" t="e">
        <f>AND(#REF!,"UqMdF0XLVno=")</f>
        <v>#REF!</v>
      </c>
      <c r="DT144" t="e">
        <f>AND(#REF!,"UqMdF0XLVns=")</f>
        <v>#REF!</v>
      </c>
      <c r="DU144" t="e">
        <f>AND(#REF!,"UqMdF0XLVnw=")</f>
        <v>#REF!</v>
      </c>
      <c r="DV144" t="e">
        <f>AND(#REF!,"UqMdF0XLVn0=")</f>
        <v>#REF!</v>
      </c>
      <c r="DW144" t="e">
        <f>AND(#REF!,"UqMdF0XLVn4=")</f>
        <v>#REF!</v>
      </c>
      <c r="DX144" t="e">
        <f>AND(#REF!,"UqMdF0XLVn8=")</f>
        <v>#REF!</v>
      </c>
      <c r="DY144" t="e">
        <f>AND(#REF!,"UqMdF0XLVoA=")</f>
        <v>#REF!</v>
      </c>
      <c r="DZ144" t="e">
        <f>AND(#REF!,"UqMdF0XLVoE=")</f>
        <v>#REF!</v>
      </c>
      <c r="EA144" t="e">
        <f>IF(#REF!,"UqMdF0XLVoI=",0)</f>
        <v>#REF!</v>
      </c>
      <c r="EB144" t="e">
        <f>AND(#REF!,"UqMdF0XLVoM=")</f>
        <v>#REF!</v>
      </c>
      <c r="EC144" t="e">
        <f>AND(#REF!,"UqMdF0XLVoQ=")</f>
        <v>#REF!</v>
      </c>
      <c r="ED144" t="e">
        <f>AND(#REF!,"UqMdF0XLVoU=")</f>
        <v>#REF!</v>
      </c>
      <c r="EE144" t="e">
        <f>AND(#REF!,"UqMdF0XLVoY=")</f>
        <v>#REF!</v>
      </c>
      <c r="EF144" t="e">
        <f>AND(#REF!,"UqMdF0XLVoc=")</f>
        <v>#REF!</v>
      </c>
      <c r="EG144" t="e">
        <f>AND(#REF!,"UqMdF0XLVog=")</f>
        <v>#REF!</v>
      </c>
      <c r="EH144" t="e">
        <f>AND(#REF!,"UqMdF0XLVok=")</f>
        <v>#REF!</v>
      </c>
      <c r="EI144" t="e">
        <f>AND(#REF!,"UqMdF0XLVoo=")</f>
        <v>#REF!</v>
      </c>
      <c r="EJ144" t="e">
        <f>AND(#REF!,"UqMdF0XLVos=")</f>
        <v>#REF!</v>
      </c>
      <c r="EK144" t="e">
        <f>AND(#REF!,"UqMdF0XLVow=")</f>
        <v>#REF!</v>
      </c>
      <c r="EL144" t="e">
        <f>AND(#REF!,"UqMdF0XLVo0=")</f>
        <v>#REF!</v>
      </c>
      <c r="EM144" t="e">
        <f>AND(#REF!,"UqMdF0XLVo4=")</f>
        <v>#REF!</v>
      </c>
      <c r="EN144" t="e">
        <f>AND(#REF!,"UqMdF0XLVo8=")</f>
        <v>#REF!</v>
      </c>
      <c r="EO144" t="e">
        <f>AND(#REF!,"UqMdF0XLVpA=")</f>
        <v>#REF!</v>
      </c>
      <c r="EP144" t="e">
        <f>AND(#REF!,"UqMdF0XLVpE=")</f>
        <v>#REF!</v>
      </c>
      <c r="EQ144" t="e">
        <f>IF(#REF!,"UqMdF0XLVpI=",0)</f>
        <v>#REF!</v>
      </c>
      <c r="ER144" t="e">
        <f>AND(#REF!,"UqMdF0XLVpM=")</f>
        <v>#REF!</v>
      </c>
      <c r="ES144" t="e">
        <f>AND(#REF!,"UqMdF0XLVpQ=")</f>
        <v>#REF!</v>
      </c>
      <c r="ET144" t="e">
        <f>AND(#REF!,"UqMdF0XLVpU=")</f>
        <v>#REF!</v>
      </c>
      <c r="EU144" t="e">
        <f>AND(#REF!,"UqMdF0XLVpY=")</f>
        <v>#REF!</v>
      </c>
      <c r="EV144" t="e">
        <f>AND(#REF!,"UqMdF0XLVpc=")</f>
        <v>#REF!</v>
      </c>
      <c r="EW144" t="e">
        <f>AND(#REF!,"UqMdF0XLVpg=")</f>
        <v>#REF!</v>
      </c>
      <c r="EX144" t="e">
        <f>AND(#REF!,"UqMdF0XLVpk=")</f>
        <v>#REF!</v>
      </c>
      <c r="EY144" t="e">
        <f>AND(#REF!,"UqMdF0XLVpo=")</f>
        <v>#REF!</v>
      </c>
      <c r="EZ144" t="e">
        <f>AND(#REF!,"UqMdF0XLVps=")</f>
        <v>#REF!</v>
      </c>
      <c r="FA144" t="e">
        <f>AND(#REF!,"UqMdF0XLVpw=")</f>
        <v>#REF!</v>
      </c>
      <c r="FB144" t="e">
        <f>AND(#REF!,"UqMdF0XLVp0=")</f>
        <v>#REF!</v>
      </c>
      <c r="FC144" t="e">
        <f>AND(#REF!,"UqMdF0XLVp4=")</f>
        <v>#REF!</v>
      </c>
      <c r="FD144" t="e">
        <f>AND(#REF!,"UqMdF0XLVp8=")</f>
        <v>#REF!</v>
      </c>
      <c r="FE144" t="e">
        <f>AND(#REF!,"UqMdF0XLVqA=")</f>
        <v>#REF!</v>
      </c>
      <c r="FF144" t="e">
        <f>AND(#REF!,"UqMdF0XLVqE=")</f>
        <v>#REF!</v>
      </c>
      <c r="FG144" t="e">
        <f>IF(#REF!,"UqMdF0XLVqI=",0)</f>
        <v>#REF!</v>
      </c>
      <c r="FH144" t="e">
        <f>AND(#REF!,"UqMdF0XLVqM=")</f>
        <v>#REF!</v>
      </c>
      <c r="FI144" t="e">
        <f>AND(#REF!,"UqMdF0XLVqQ=")</f>
        <v>#REF!</v>
      </c>
      <c r="FJ144" t="e">
        <f>AND(#REF!,"UqMdF0XLVqU=")</f>
        <v>#REF!</v>
      </c>
      <c r="FK144" t="e">
        <f>AND(#REF!,"UqMdF0XLVqY=")</f>
        <v>#REF!</v>
      </c>
      <c r="FL144" t="e">
        <f>AND(#REF!,"UqMdF0XLVqc=")</f>
        <v>#REF!</v>
      </c>
      <c r="FM144" t="e">
        <f>AND(#REF!,"UqMdF0XLVqg=")</f>
        <v>#REF!</v>
      </c>
      <c r="FN144" t="e">
        <f>AND(#REF!,"UqMdF0XLVqk=")</f>
        <v>#REF!</v>
      </c>
      <c r="FO144" t="e">
        <f>AND(#REF!,"UqMdF0XLVqo=")</f>
        <v>#REF!</v>
      </c>
      <c r="FP144" t="e">
        <f>AND(#REF!,"UqMdF0XLVqs=")</f>
        <v>#REF!</v>
      </c>
      <c r="FQ144" t="e">
        <f>AND(#REF!,"UqMdF0XLVqw=")</f>
        <v>#REF!</v>
      </c>
      <c r="FR144" t="e">
        <f>AND(#REF!,"UqMdF0XLVq0=")</f>
        <v>#REF!</v>
      </c>
      <c r="FS144" t="e">
        <f>AND(#REF!,"UqMdF0XLVq4=")</f>
        <v>#REF!</v>
      </c>
      <c r="FT144" t="e">
        <f>AND(#REF!,"UqMdF0XLVq8=")</f>
        <v>#REF!</v>
      </c>
      <c r="FU144" t="e">
        <f>AND(#REF!,"UqMdF0XLVrA=")</f>
        <v>#REF!</v>
      </c>
      <c r="FV144" t="e">
        <f>AND(#REF!,"UqMdF0XLVrE=")</f>
        <v>#REF!</v>
      </c>
      <c r="FW144" t="e">
        <f>IF(#REF!,"UqMdF0XLVrI=",0)</f>
        <v>#REF!</v>
      </c>
      <c r="FX144" t="e">
        <f>AND(#REF!,"UqMdF0XLVrM=")</f>
        <v>#REF!</v>
      </c>
      <c r="FY144" t="e">
        <f>AND(#REF!,"UqMdF0XLVrQ=")</f>
        <v>#REF!</v>
      </c>
      <c r="FZ144" t="e">
        <f>AND(#REF!,"UqMdF0XLVrU=")</f>
        <v>#REF!</v>
      </c>
      <c r="GA144" t="e">
        <f>AND(#REF!,"UqMdF0XLVrY=")</f>
        <v>#REF!</v>
      </c>
      <c r="GB144" t="e">
        <f>AND(#REF!,"UqMdF0XLVrc=")</f>
        <v>#REF!</v>
      </c>
      <c r="GC144" t="e">
        <f>AND(#REF!,"UqMdF0XLVrg=")</f>
        <v>#REF!</v>
      </c>
      <c r="GD144" t="e">
        <f>AND(#REF!,"UqMdF0XLVrk=")</f>
        <v>#REF!</v>
      </c>
      <c r="GE144" t="e">
        <f>AND(#REF!,"UqMdF0XLVro=")</f>
        <v>#REF!</v>
      </c>
      <c r="GF144" t="e">
        <f>AND(#REF!,"UqMdF0XLVrs=")</f>
        <v>#REF!</v>
      </c>
      <c r="GG144" t="e">
        <f>AND(#REF!,"UqMdF0XLVrw=")</f>
        <v>#REF!</v>
      </c>
      <c r="GH144" t="e">
        <f>AND(#REF!,"UqMdF0XLVr0=")</f>
        <v>#REF!</v>
      </c>
      <c r="GI144" t="e">
        <f>AND(#REF!,"UqMdF0XLVr4=")</f>
        <v>#REF!</v>
      </c>
      <c r="GJ144" t="e">
        <f>AND(#REF!,"UqMdF0XLVr8=")</f>
        <v>#REF!</v>
      </c>
      <c r="GK144" t="e">
        <f>AND(#REF!,"UqMdF0XLVsA=")</f>
        <v>#REF!</v>
      </c>
      <c r="GL144" t="e">
        <f>AND(#REF!,"UqMdF0XLVsE=")</f>
        <v>#REF!</v>
      </c>
      <c r="GM144" t="e">
        <f>IF(#REF!,"UqMdF0XLVsI=",0)</f>
        <v>#REF!</v>
      </c>
      <c r="GN144" t="e">
        <f>AND(#REF!,"UqMdF0XLVsM=")</f>
        <v>#REF!</v>
      </c>
      <c r="GO144" t="e">
        <f>AND(#REF!,"UqMdF0XLVsQ=")</f>
        <v>#REF!</v>
      </c>
      <c r="GP144" t="e">
        <f>AND(#REF!,"UqMdF0XLVsU=")</f>
        <v>#REF!</v>
      </c>
      <c r="GQ144" t="e">
        <f>AND(#REF!,"UqMdF0XLVsY=")</f>
        <v>#REF!</v>
      </c>
      <c r="GR144" t="e">
        <f>AND(#REF!,"UqMdF0XLVsc=")</f>
        <v>#REF!</v>
      </c>
      <c r="GS144" t="e">
        <f>AND(#REF!,"UqMdF0XLVsg=")</f>
        <v>#REF!</v>
      </c>
      <c r="GT144" t="e">
        <f>AND(#REF!,"UqMdF0XLVsk=")</f>
        <v>#REF!</v>
      </c>
      <c r="GU144" t="e">
        <f>AND(#REF!,"UqMdF0XLVso=")</f>
        <v>#REF!</v>
      </c>
      <c r="GV144" t="e">
        <f>AND(#REF!,"UqMdF0XLVss=")</f>
        <v>#REF!</v>
      </c>
      <c r="GW144" t="e">
        <f>AND(#REF!,"UqMdF0XLVsw=")</f>
        <v>#REF!</v>
      </c>
      <c r="GX144" t="e">
        <f>AND(#REF!,"UqMdF0XLVs0=")</f>
        <v>#REF!</v>
      </c>
      <c r="GY144" t="e">
        <f>AND(#REF!,"UqMdF0XLVs4=")</f>
        <v>#REF!</v>
      </c>
      <c r="GZ144" t="e">
        <f>AND(#REF!,"UqMdF0XLVs8=")</f>
        <v>#REF!</v>
      </c>
      <c r="HA144" t="e">
        <f>AND(#REF!,"UqMdF0XLVtA=")</f>
        <v>#REF!</v>
      </c>
      <c r="HB144" t="e">
        <f>AND(#REF!,"UqMdF0XLVtE=")</f>
        <v>#REF!</v>
      </c>
      <c r="HC144" t="e">
        <f>IF(#REF!,"UqMdF0XLVtI=",0)</f>
        <v>#REF!</v>
      </c>
      <c r="HD144" t="e">
        <f>AND(#REF!,"UqMdF0XLVtM=")</f>
        <v>#REF!</v>
      </c>
      <c r="HE144" t="e">
        <f>AND(#REF!,"UqMdF0XLVtQ=")</f>
        <v>#REF!</v>
      </c>
      <c r="HF144" t="e">
        <f>AND(#REF!,"UqMdF0XLVtU=")</f>
        <v>#REF!</v>
      </c>
      <c r="HG144" t="e">
        <f>AND(#REF!,"UqMdF0XLVtY=")</f>
        <v>#REF!</v>
      </c>
      <c r="HH144" t="e">
        <f>AND(#REF!,"UqMdF0XLVtc=")</f>
        <v>#REF!</v>
      </c>
      <c r="HI144" t="e">
        <f>AND(#REF!,"UqMdF0XLVtg=")</f>
        <v>#REF!</v>
      </c>
      <c r="HJ144" t="e">
        <f>AND(#REF!,"UqMdF0XLVtk=")</f>
        <v>#REF!</v>
      </c>
      <c r="HK144" t="e">
        <f>AND(#REF!,"UqMdF0XLVto=")</f>
        <v>#REF!</v>
      </c>
      <c r="HL144" t="e">
        <f>AND(#REF!,"UqMdF0XLVts=")</f>
        <v>#REF!</v>
      </c>
      <c r="HM144" t="e">
        <f>AND(#REF!,"UqMdF0XLVtw=")</f>
        <v>#REF!</v>
      </c>
      <c r="HN144" t="e">
        <f>AND(#REF!,"UqMdF0XLVt0=")</f>
        <v>#REF!</v>
      </c>
      <c r="HO144" t="e">
        <f>AND(#REF!,"UqMdF0XLVt4=")</f>
        <v>#REF!</v>
      </c>
      <c r="HP144" t="e">
        <f>AND(#REF!,"UqMdF0XLVt8=")</f>
        <v>#REF!</v>
      </c>
      <c r="HQ144" t="e">
        <f>AND(#REF!,"UqMdF0XLVuA=")</f>
        <v>#REF!</v>
      </c>
      <c r="HR144" t="e">
        <f>AND(#REF!,"UqMdF0XLVuE=")</f>
        <v>#REF!</v>
      </c>
      <c r="HS144" t="e">
        <f>IF(#REF!,"UqMdF0XLVuI=",0)</f>
        <v>#REF!</v>
      </c>
      <c r="HT144" t="e">
        <f>AND(#REF!,"UqMdF0XLVuM=")</f>
        <v>#REF!</v>
      </c>
      <c r="HU144" t="e">
        <f>AND(#REF!,"UqMdF0XLVuQ=")</f>
        <v>#REF!</v>
      </c>
      <c r="HV144" t="e">
        <f>AND(#REF!,"UqMdF0XLVuU=")</f>
        <v>#REF!</v>
      </c>
      <c r="HW144" t="e">
        <f>AND(#REF!,"UqMdF0XLVuY=")</f>
        <v>#REF!</v>
      </c>
      <c r="HX144" t="e">
        <f>AND(#REF!,"UqMdF0XLVuc=")</f>
        <v>#REF!</v>
      </c>
      <c r="HY144" t="e">
        <f>AND(#REF!,"UqMdF0XLVug=")</f>
        <v>#REF!</v>
      </c>
      <c r="HZ144" t="e">
        <f>AND(#REF!,"UqMdF0XLVuk=")</f>
        <v>#REF!</v>
      </c>
      <c r="IA144" t="e">
        <f>AND(#REF!,"UqMdF0XLVuo=")</f>
        <v>#REF!</v>
      </c>
      <c r="IB144" t="e">
        <f>AND(#REF!,"UqMdF0XLVus=")</f>
        <v>#REF!</v>
      </c>
      <c r="IC144" t="e">
        <f>AND(#REF!,"UqMdF0XLVuw=")</f>
        <v>#REF!</v>
      </c>
      <c r="ID144" t="e">
        <f>AND(#REF!,"UqMdF0XLVu0=")</f>
        <v>#REF!</v>
      </c>
      <c r="IE144" t="e">
        <f>AND(#REF!,"UqMdF0XLVu4=")</f>
        <v>#REF!</v>
      </c>
      <c r="IF144" t="e">
        <f>AND(#REF!,"UqMdF0XLVu8=")</f>
        <v>#REF!</v>
      </c>
      <c r="IG144" t="e">
        <f>AND(#REF!,"UqMdF0XLVvA=")</f>
        <v>#REF!</v>
      </c>
      <c r="IH144" t="e">
        <f>AND(#REF!,"UqMdF0XLVvE=")</f>
        <v>#REF!</v>
      </c>
      <c r="II144" t="e">
        <f>IF(#REF!,"UqMdF0XLVvI=",0)</f>
        <v>#REF!</v>
      </c>
      <c r="IJ144" t="e">
        <f>AND(#REF!,"UqMdF0XLVvM=")</f>
        <v>#REF!</v>
      </c>
      <c r="IK144" t="e">
        <f>AND(#REF!,"UqMdF0XLVvQ=")</f>
        <v>#REF!</v>
      </c>
      <c r="IL144" t="e">
        <f>AND(#REF!,"UqMdF0XLVvU=")</f>
        <v>#REF!</v>
      </c>
      <c r="IM144" t="e">
        <f>AND(#REF!,"UqMdF0XLVvY=")</f>
        <v>#REF!</v>
      </c>
      <c r="IN144" t="e">
        <f>AND(#REF!,"UqMdF0XLVvc=")</f>
        <v>#REF!</v>
      </c>
      <c r="IO144" t="e">
        <f>AND(#REF!,"UqMdF0XLVvg=")</f>
        <v>#REF!</v>
      </c>
      <c r="IP144" t="e">
        <f>AND(#REF!,"UqMdF0XLVvk=")</f>
        <v>#REF!</v>
      </c>
      <c r="IQ144" t="e">
        <f>AND(#REF!,"UqMdF0XLVvo=")</f>
        <v>#REF!</v>
      </c>
      <c r="IR144" t="e">
        <f>AND(#REF!,"UqMdF0XLVvs=")</f>
        <v>#REF!</v>
      </c>
      <c r="IS144" t="e">
        <f>AND(#REF!,"UqMdF0XLVvw=")</f>
        <v>#REF!</v>
      </c>
      <c r="IT144" t="e">
        <f>AND(#REF!,"UqMdF0XLVv0=")</f>
        <v>#REF!</v>
      </c>
      <c r="IU144" t="e">
        <f>AND(#REF!,"UqMdF0XLVv4=")</f>
        <v>#REF!</v>
      </c>
      <c r="IV144" t="e">
        <f>AND(#REF!,"UqMdF0XLVv8=")</f>
        <v>#REF!</v>
      </c>
    </row>
    <row r="145" spans="1:256" x14ac:dyDescent="0.2">
      <c r="A145" t="e">
        <f>AND(#REF!,"aAGjuBP4MQA=")</f>
        <v>#REF!</v>
      </c>
      <c r="B145" t="e">
        <f>AND(#REF!,"aAGjuBP4MQE=")</f>
        <v>#REF!</v>
      </c>
      <c r="C145" t="e">
        <f>IF(#REF!,"aAGjuBP4MQI=",0)</f>
        <v>#REF!</v>
      </c>
      <c r="D145" t="e">
        <f>AND(#REF!,"aAGjuBP4MQM=")</f>
        <v>#REF!</v>
      </c>
      <c r="E145" t="e">
        <f>AND(#REF!,"aAGjuBP4MQQ=")</f>
        <v>#REF!</v>
      </c>
      <c r="F145" t="e">
        <f>AND(#REF!,"aAGjuBP4MQU=")</f>
        <v>#REF!</v>
      </c>
      <c r="G145" t="e">
        <f>AND(#REF!,"aAGjuBP4MQY=")</f>
        <v>#REF!</v>
      </c>
      <c r="H145" t="e">
        <f>AND(#REF!,"aAGjuBP4MQc=")</f>
        <v>#REF!</v>
      </c>
      <c r="I145" t="e">
        <f>AND(#REF!,"aAGjuBP4MQg=")</f>
        <v>#REF!</v>
      </c>
      <c r="J145" t="e">
        <f>AND(#REF!,"aAGjuBP4MQk=")</f>
        <v>#REF!</v>
      </c>
      <c r="K145" t="e">
        <f>AND(#REF!,"aAGjuBP4MQo=")</f>
        <v>#REF!</v>
      </c>
      <c r="L145" t="e">
        <f>AND(#REF!,"aAGjuBP4MQs=")</f>
        <v>#REF!</v>
      </c>
      <c r="M145" t="e">
        <f>AND(#REF!,"aAGjuBP4MQw=")</f>
        <v>#REF!</v>
      </c>
      <c r="N145" t="e">
        <f>AND(#REF!,"aAGjuBP4MQ0=")</f>
        <v>#REF!</v>
      </c>
      <c r="O145" t="e">
        <f>AND(#REF!,"aAGjuBP4MQ4=")</f>
        <v>#REF!</v>
      </c>
      <c r="P145" t="e">
        <f>AND(#REF!,"aAGjuBP4MQ8=")</f>
        <v>#REF!</v>
      </c>
      <c r="Q145" t="e">
        <f>AND(#REF!,"aAGjuBP4MRA=")</f>
        <v>#REF!</v>
      </c>
      <c r="R145" t="e">
        <f>AND(#REF!,"aAGjuBP4MRE=")</f>
        <v>#REF!</v>
      </c>
      <c r="S145" t="e">
        <f>IF(#REF!,"aAGjuBP4MRI=",0)</f>
        <v>#REF!</v>
      </c>
      <c r="T145" t="e">
        <f>AND(#REF!,"aAGjuBP4MRM=")</f>
        <v>#REF!</v>
      </c>
      <c r="U145" t="e">
        <f>AND(#REF!,"aAGjuBP4MRQ=")</f>
        <v>#REF!</v>
      </c>
      <c r="V145" t="e">
        <f>AND(#REF!,"aAGjuBP4MRU=")</f>
        <v>#REF!</v>
      </c>
      <c r="W145" t="e">
        <f>AND(#REF!,"aAGjuBP4MRY=")</f>
        <v>#REF!</v>
      </c>
      <c r="X145" t="e">
        <f>AND(#REF!,"aAGjuBP4MRc=")</f>
        <v>#REF!</v>
      </c>
      <c r="Y145" t="e">
        <f>AND(#REF!,"aAGjuBP4MRg=")</f>
        <v>#REF!</v>
      </c>
      <c r="Z145" t="e">
        <f>AND(#REF!,"aAGjuBP4MRk=")</f>
        <v>#REF!</v>
      </c>
      <c r="AA145" t="e">
        <f>AND(#REF!,"aAGjuBP4MRo=")</f>
        <v>#REF!</v>
      </c>
      <c r="AB145" t="e">
        <f>AND(#REF!,"aAGjuBP4MRs=")</f>
        <v>#REF!</v>
      </c>
      <c r="AC145" t="e">
        <f>AND(#REF!,"aAGjuBP4MRw=")</f>
        <v>#REF!</v>
      </c>
      <c r="AD145" t="e">
        <f>AND(#REF!,"aAGjuBP4MR0=")</f>
        <v>#REF!</v>
      </c>
      <c r="AE145" t="e">
        <f>AND(#REF!,"aAGjuBP4MR4=")</f>
        <v>#REF!</v>
      </c>
      <c r="AF145" t="e">
        <f>AND(#REF!,"aAGjuBP4MR8=")</f>
        <v>#REF!</v>
      </c>
      <c r="AG145" t="e">
        <f>AND(#REF!,"aAGjuBP4MSA=")</f>
        <v>#REF!</v>
      </c>
      <c r="AH145" t="e">
        <f>AND(#REF!,"aAGjuBP4MSE=")</f>
        <v>#REF!</v>
      </c>
      <c r="AI145" t="e">
        <f>IF(#REF!,"aAGjuBP4MSI=",0)</f>
        <v>#REF!</v>
      </c>
      <c r="AJ145" t="e">
        <f>AND(#REF!,"aAGjuBP4MSM=")</f>
        <v>#REF!</v>
      </c>
      <c r="AK145" t="e">
        <f>AND(#REF!,"aAGjuBP4MSQ=")</f>
        <v>#REF!</v>
      </c>
      <c r="AL145" t="e">
        <f>AND(#REF!,"aAGjuBP4MSU=")</f>
        <v>#REF!</v>
      </c>
      <c r="AM145" t="e">
        <f>AND(#REF!,"aAGjuBP4MSY=")</f>
        <v>#REF!</v>
      </c>
      <c r="AN145" t="e">
        <f>AND(#REF!,"aAGjuBP4MSc=")</f>
        <v>#REF!</v>
      </c>
      <c r="AO145" t="e">
        <f>AND(#REF!,"aAGjuBP4MSg=")</f>
        <v>#REF!</v>
      </c>
      <c r="AP145" t="e">
        <f>AND(#REF!,"aAGjuBP4MSk=")</f>
        <v>#REF!</v>
      </c>
      <c r="AQ145" t="e">
        <f>AND(#REF!,"aAGjuBP4MSo=")</f>
        <v>#REF!</v>
      </c>
      <c r="AR145" t="e">
        <f>AND(#REF!,"aAGjuBP4MSs=")</f>
        <v>#REF!</v>
      </c>
      <c r="AS145" t="e">
        <f>AND(#REF!,"aAGjuBP4MSw=")</f>
        <v>#REF!</v>
      </c>
      <c r="AT145" t="e">
        <f>AND(#REF!,"aAGjuBP4MS0=")</f>
        <v>#REF!</v>
      </c>
      <c r="AU145" t="e">
        <f>AND(#REF!,"aAGjuBP4MS4=")</f>
        <v>#REF!</v>
      </c>
      <c r="AV145" t="e">
        <f>AND(#REF!,"aAGjuBP4MS8=")</f>
        <v>#REF!</v>
      </c>
      <c r="AW145" t="e">
        <f>AND(#REF!,"aAGjuBP4MTA=")</f>
        <v>#REF!</v>
      </c>
      <c r="AX145" t="e">
        <f>AND(#REF!,"aAGjuBP4MTE=")</f>
        <v>#REF!</v>
      </c>
      <c r="AY145" t="e">
        <f>IF(#REF!,"aAGjuBP4MTI=",0)</f>
        <v>#REF!</v>
      </c>
      <c r="AZ145" t="e">
        <f>AND(#REF!,"aAGjuBP4MTM=")</f>
        <v>#REF!</v>
      </c>
      <c r="BA145" t="e">
        <f>AND(#REF!,"aAGjuBP4MTQ=")</f>
        <v>#REF!</v>
      </c>
      <c r="BB145" t="e">
        <f>AND(#REF!,"aAGjuBP4MTU=")</f>
        <v>#REF!</v>
      </c>
      <c r="BC145" t="e">
        <f>AND(#REF!,"aAGjuBP4MTY=")</f>
        <v>#REF!</v>
      </c>
      <c r="BD145" t="e">
        <f>AND(#REF!,"aAGjuBP4MTc=")</f>
        <v>#REF!</v>
      </c>
      <c r="BE145" t="e">
        <f>AND(#REF!,"aAGjuBP4MTg=")</f>
        <v>#REF!</v>
      </c>
      <c r="BF145" t="e">
        <f>AND(#REF!,"aAGjuBP4MTk=")</f>
        <v>#REF!</v>
      </c>
      <c r="BG145" t="e">
        <f>AND(#REF!,"aAGjuBP4MTo=")</f>
        <v>#REF!</v>
      </c>
      <c r="BH145" t="e">
        <f>AND(#REF!,"aAGjuBP4MTs=")</f>
        <v>#REF!</v>
      </c>
      <c r="BI145" t="e">
        <f>AND(#REF!,"aAGjuBP4MTw=")</f>
        <v>#REF!</v>
      </c>
      <c r="BJ145" t="e">
        <f>AND(#REF!,"aAGjuBP4MT0=")</f>
        <v>#REF!</v>
      </c>
      <c r="BK145" t="e">
        <f>AND(#REF!,"aAGjuBP4MT4=")</f>
        <v>#REF!</v>
      </c>
      <c r="BL145" t="e">
        <f>AND(#REF!,"aAGjuBP4MT8=")</f>
        <v>#REF!</v>
      </c>
      <c r="BM145" t="e">
        <f>AND(#REF!,"aAGjuBP4MUA=")</f>
        <v>#REF!</v>
      </c>
      <c r="BN145" t="e">
        <f>AND(#REF!,"aAGjuBP4MUE=")</f>
        <v>#REF!</v>
      </c>
      <c r="BO145" t="e">
        <f>IF(#REF!,"aAGjuBP4MUI=",0)</f>
        <v>#REF!</v>
      </c>
      <c r="BP145" t="e">
        <f>AND(#REF!,"aAGjuBP4MUM=")</f>
        <v>#REF!</v>
      </c>
      <c r="BQ145" t="e">
        <f>AND(#REF!,"aAGjuBP4MUQ=")</f>
        <v>#REF!</v>
      </c>
      <c r="BR145" t="e">
        <f>AND(#REF!,"aAGjuBP4MUU=")</f>
        <v>#REF!</v>
      </c>
      <c r="BS145" t="e">
        <f>AND(#REF!,"aAGjuBP4MUY=")</f>
        <v>#REF!</v>
      </c>
      <c r="BT145" t="e">
        <f>AND(#REF!,"aAGjuBP4MUc=")</f>
        <v>#REF!</v>
      </c>
      <c r="BU145" t="e">
        <f>AND(#REF!,"aAGjuBP4MUg=")</f>
        <v>#REF!</v>
      </c>
      <c r="BV145" t="e">
        <f>AND(#REF!,"aAGjuBP4MUk=")</f>
        <v>#REF!</v>
      </c>
      <c r="BW145" t="e">
        <f>AND(#REF!,"aAGjuBP4MUo=")</f>
        <v>#REF!</v>
      </c>
      <c r="BX145" t="e">
        <f>AND(#REF!,"aAGjuBP4MUs=")</f>
        <v>#REF!</v>
      </c>
      <c r="BY145" t="e">
        <f>AND(#REF!,"aAGjuBP4MUw=")</f>
        <v>#REF!</v>
      </c>
      <c r="BZ145" t="e">
        <f>AND(#REF!,"aAGjuBP4MU0=")</f>
        <v>#REF!</v>
      </c>
      <c r="CA145" t="e">
        <f>AND(#REF!,"aAGjuBP4MU4=")</f>
        <v>#REF!</v>
      </c>
      <c r="CB145" t="e">
        <f>AND(#REF!,"aAGjuBP4MU8=")</f>
        <v>#REF!</v>
      </c>
      <c r="CC145" t="e">
        <f>AND(#REF!,"aAGjuBP4MVA=")</f>
        <v>#REF!</v>
      </c>
      <c r="CD145" t="e">
        <f>AND(#REF!,"aAGjuBP4MVE=")</f>
        <v>#REF!</v>
      </c>
      <c r="CE145" t="e">
        <f>IF(#REF!,"aAGjuBP4MVI=",0)</f>
        <v>#REF!</v>
      </c>
      <c r="CF145" t="e">
        <f>AND(#REF!,"aAGjuBP4MVM=")</f>
        <v>#REF!</v>
      </c>
      <c r="CG145" t="e">
        <f>AND(#REF!,"aAGjuBP4MVQ=")</f>
        <v>#REF!</v>
      </c>
      <c r="CH145" t="e">
        <f>AND(#REF!,"aAGjuBP4MVU=")</f>
        <v>#REF!</v>
      </c>
      <c r="CI145" t="e">
        <f>AND(#REF!,"aAGjuBP4MVY=")</f>
        <v>#REF!</v>
      </c>
      <c r="CJ145" t="e">
        <f>AND(#REF!,"aAGjuBP4MVc=")</f>
        <v>#REF!</v>
      </c>
      <c r="CK145" t="e">
        <f>AND(#REF!,"aAGjuBP4MVg=")</f>
        <v>#REF!</v>
      </c>
      <c r="CL145" t="e">
        <f>AND(#REF!,"aAGjuBP4MVk=")</f>
        <v>#REF!</v>
      </c>
      <c r="CM145" t="e">
        <f>AND(#REF!,"aAGjuBP4MVo=")</f>
        <v>#REF!</v>
      </c>
      <c r="CN145" t="e">
        <f>AND(#REF!,"aAGjuBP4MVs=")</f>
        <v>#REF!</v>
      </c>
      <c r="CO145" t="e">
        <f>AND(#REF!,"aAGjuBP4MVw=")</f>
        <v>#REF!</v>
      </c>
      <c r="CP145" t="e">
        <f>AND(#REF!,"aAGjuBP4MV0=")</f>
        <v>#REF!</v>
      </c>
      <c r="CQ145" t="e">
        <f>AND(#REF!,"aAGjuBP4MV4=")</f>
        <v>#REF!</v>
      </c>
      <c r="CR145" t="e">
        <f>AND(#REF!,"aAGjuBP4MV8=")</f>
        <v>#REF!</v>
      </c>
      <c r="CS145" t="e">
        <f>AND(#REF!,"aAGjuBP4MWA=")</f>
        <v>#REF!</v>
      </c>
      <c r="CT145" t="e">
        <f>AND(#REF!,"aAGjuBP4MWE=")</f>
        <v>#REF!</v>
      </c>
      <c r="CU145" t="e">
        <f>IF(#REF!,"aAGjuBP4MWI=",0)</f>
        <v>#REF!</v>
      </c>
      <c r="CV145" t="e">
        <f>AND(#REF!,"aAGjuBP4MWM=")</f>
        <v>#REF!</v>
      </c>
      <c r="CW145" t="e">
        <f>AND(#REF!,"aAGjuBP4MWQ=")</f>
        <v>#REF!</v>
      </c>
      <c r="CX145" t="e">
        <f>AND(#REF!,"aAGjuBP4MWU=")</f>
        <v>#REF!</v>
      </c>
      <c r="CY145" t="e">
        <f>AND(#REF!,"aAGjuBP4MWY=")</f>
        <v>#REF!</v>
      </c>
      <c r="CZ145" t="e">
        <f>AND(#REF!,"aAGjuBP4MWc=")</f>
        <v>#REF!</v>
      </c>
      <c r="DA145" t="e">
        <f>AND(#REF!,"aAGjuBP4MWg=")</f>
        <v>#REF!</v>
      </c>
      <c r="DB145" t="e">
        <f>AND(#REF!,"aAGjuBP4MWk=")</f>
        <v>#REF!</v>
      </c>
      <c r="DC145" t="e">
        <f>AND(#REF!,"aAGjuBP4MWo=")</f>
        <v>#REF!</v>
      </c>
      <c r="DD145" t="e">
        <f>AND(#REF!,"aAGjuBP4MWs=")</f>
        <v>#REF!</v>
      </c>
      <c r="DE145" t="e">
        <f>AND(#REF!,"aAGjuBP4MWw=")</f>
        <v>#REF!</v>
      </c>
      <c r="DF145" t="e">
        <f>AND(#REF!,"aAGjuBP4MW0=")</f>
        <v>#REF!</v>
      </c>
      <c r="DG145" t="e">
        <f>AND(#REF!,"aAGjuBP4MW4=")</f>
        <v>#REF!</v>
      </c>
      <c r="DH145" t="e">
        <f>AND(#REF!,"aAGjuBP4MW8=")</f>
        <v>#REF!</v>
      </c>
      <c r="DI145" t="e">
        <f>AND(#REF!,"aAGjuBP4MXA=")</f>
        <v>#REF!</v>
      </c>
      <c r="DJ145" t="e">
        <f>AND(#REF!,"aAGjuBP4MXE=")</f>
        <v>#REF!</v>
      </c>
      <c r="DK145" t="e">
        <f>IF(#REF!,"aAGjuBP4MXI=",0)</f>
        <v>#REF!</v>
      </c>
      <c r="DL145" t="e">
        <f>AND(#REF!,"aAGjuBP4MXM=")</f>
        <v>#REF!</v>
      </c>
      <c r="DM145" t="e">
        <f>AND(#REF!,"aAGjuBP4MXQ=")</f>
        <v>#REF!</v>
      </c>
      <c r="DN145" t="e">
        <f>AND(#REF!,"aAGjuBP4MXU=")</f>
        <v>#REF!</v>
      </c>
      <c r="DO145" t="e">
        <f>AND(#REF!,"aAGjuBP4MXY=")</f>
        <v>#REF!</v>
      </c>
      <c r="DP145" t="e">
        <f>AND(#REF!,"aAGjuBP4MXc=")</f>
        <v>#REF!</v>
      </c>
      <c r="DQ145" t="e">
        <f>AND(#REF!,"aAGjuBP4MXg=")</f>
        <v>#REF!</v>
      </c>
      <c r="DR145" t="e">
        <f>AND(#REF!,"aAGjuBP4MXk=")</f>
        <v>#REF!</v>
      </c>
      <c r="DS145" t="e">
        <f>AND(#REF!,"aAGjuBP4MXo=")</f>
        <v>#REF!</v>
      </c>
      <c r="DT145" t="e">
        <f>AND(#REF!,"aAGjuBP4MXs=")</f>
        <v>#REF!</v>
      </c>
      <c r="DU145" t="e">
        <f>AND(#REF!,"aAGjuBP4MXw=")</f>
        <v>#REF!</v>
      </c>
      <c r="DV145" t="e">
        <f>AND(#REF!,"aAGjuBP4MX0=")</f>
        <v>#REF!</v>
      </c>
      <c r="DW145" t="e">
        <f>AND(#REF!,"aAGjuBP4MX4=")</f>
        <v>#REF!</v>
      </c>
      <c r="DX145" t="e">
        <f>AND(#REF!,"aAGjuBP4MX8=")</f>
        <v>#REF!</v>
      </c>
      <c r="DY145" t="e">
        <f>AND(#REF!,"aAGjuBP4MYA=")</f>
        <v>#REF!</v>
      </c>
      <c r="DZ145" t="e">
        <f>AND(#REF!,"aAGjuBP4MYE=")</f>
        <v>#REF!</v>
      </c>
      <c r="EA145" t="e">
        <f>IF(#REF!,"aAGjuBP4MYI=",0)</f>
        <v>#REF!</v>
      </c>
      <c r="EB145" t="e">
        <f>AND(#REF!,"aAGjuBP4MYM=")</f>
        <v>#REF!</v>
      </c>
      <c r="EC145" t="e">
        <f>AND(#REF!,"aAGjuBP4MYQ=")</f>
        <v>#REF!</v>
      </c>
      <c r="ED145" t="e">
        <f>AND(#REF!,"aAGjuBP4MYU=")</f>
        <v>#REF!</v>
      </c>
      <c r="EE145" t="e">
        <f>AND(#REF!,"aAGjuBP4MYY=")</f>
        <v>#REF!</v>
      </c>
      <c r="EF145" t="e">
        <f>AND(#REF!,"aAGjuBP4MYc=")</f>
        <v>#REF!</v>
      </c>
      <c r="EG145" t="e">
        <f>AND(#REF!,"aAGjuBP4MYg=")</f>
        <v>#REF!</v>
      </c>
      <c r="EH145" t="e">
        <f>AND(#REF!,"aAGjuBP4MYk=")</f>
        <v>#REF!</v>
      </c>
      <c r="EI145" t="e">
        <f>AND(#REF!,"aAGjuBP4MYo=")</f>
        <v>#REF!</v>
      </c>
      <c r="EJ145" t="e">
        <f>AND(#REF!,"aAGjuBP4MYs=")</f>
        <v>#REF!</v>
      </c>
      <c r="EK145" t="e">
        <f>AND(#REF!,"aAGjuBP4MYw=")</f>
        <v>#REF!</v>
      </c>
      <c r="EL145" t="e">
        <f>AND(#REF!,"aAGjuBP4MY0=")</f>
        <v>#REF!</v>
      </c>
      <c r="EM145" t="e">
        <f>AND(#REF!,"aAGjuBP4MY4=")</f>
        <v>#REF!</v>
      </c>
      <c r="EN145" t="e">
        <f>AND(#REF!,"aAGjuBP4MY8=")</f>
        <v>#REF!</v>
      </c>
      <c r="EO145" t="e">
        <f>AND(#REF!,"aAGjuBP4MZA=")</f>
        <v>#REF!</v>
      </c>
      <c r="EP145" t="e">
        <f>AND(#REF!,"aAGjuBP4MZE=")</f>
        <v>#REF!</v>
      </c>
      <c r="EQ145" t="e">
        <f>IF(#REF!,"aAGjuBP4MZI=",0)</f>
        <v>#REF!</v>
      </c>
      <c r="ER145" t="e">
        <f>AND(#REF!,"aAGjuBP4MZM=")</f>
        <v>#REF!</v>
      </c>
      <c r="ES145" t="e">
        <f>AND(#REF!,"aAGjuBP4MZQ=")</f>
        <v>#REF!</v>
      </c>
      <c r="ET145" t="e">
        <f>AND(#REF!,"aAGjuBP4MZU=")</f>
        <v>#REF!</v>
      </c>
      <c r="EU145" t="e">
        <f>AND(#REF!,"aAGjuBP4MZY=")</f>
        <v>#REF!</v>
      </c>
      <c r="EV145" t="e">
        <f>AND(#REF!,"aAGjuBP4MZc=")</f>
        <v>#REF!</v>
      </c>
      <c r="EW145" t="e">
        <f>AND(#REF!,"aAGjuBP4MZg=")</f>
        <v>#REF!</v>
      </c>
      <c r="EX145" t="e">
        <f>AND(#REF!,"aAGjuBP4MZk=")</f>
        <v>#REF!</v>
      </c>
      <c r="EY145" t="e">
        <f>AND(#REF!,"aAGjuBP4MZo=")</f>
        <v>#REF!</v>
      </c>
      <c r="EZ145" t="e">
        <f>AND(#REF!,"aAGjuBP4MZs=")</f>
        <v>#REF!</v>
      </c>
      <c r="FA145" t="e">
        <f>AND(#REF!,"aAGjuBP4MZw=")</f>
        <v>#REF!</v>
      </c>
      <c r="FB145" t="e">
        <f>AND(#REF!,"aAGjuBP4MZ0=")</f>
        <v>#REF!</v>
      </c>
      <c r="FC145" t="e">
        <f>AND(#REF!,"aAGjuBP4MZ4=")</f>
        <v>#REF!</v>
      </c>
      <c r="FD145" t="e">
        <f>AND(#REF!,"aAGjuBP4MZ8=")</f>
        <v>#REF!</v>
      </c>
      <c r="FE145" t="e">
        <f>AND(#REF!,"aAGjuBP4MaA=")</f>
        <v>#REF!</v>
      </c>
      <c r="FF145" t="e">
        <f>AND(#REF!,"aAGjuBP4MaE=")</f>
        <v>#REF!</v>
      </c>
      <c r="FG145" t="e">
        <f>IF(#REF!,"aAGjuBP4MaI=",0)</f>
        <v>#REF!</v>
      </c>
      <c r="FH145" t="e">
        <f>AND(#REF!,"aAGjuBP4MaM=")</f>
        <v>#REF!</v>
      </c>
      <c r="FI145" t="e">
        <f>AND(#REF!,"aAGjuBP4MaQ=")</f>
        <v>#REF!</v>
      </c>
      <c r="FJ145" t="e">
        <f>AND(#REF!,"aAGjuBP4MaU=")</f>
        <v>#REF!</v>
      </c>
      <c r="FK145" t="e">
        <f>AND(#REF!,"aAGjuBP4MaY=")</f>
        <v>#REF!</v>
      </c>
      <c r="FL145" t="e">
        <f>AND(#REF!,"aAGjuBP4Mac=")</f>
        <v>#REF!</v>
      </c>
      <c r="FM145" t="e">
        <f>AND(#REF!,"aAGjuBP4Mag=")</f>
        <v>#REF!</v>
      </c>
      <c r="FN145" t="e">
        <f>AND(#REF!,"aAGjuBP4Mak=")</f>
        <v>#REF!</v>
      </c>
      <c r="FO145" t="e">
        <f>AND(#REF!,"aAGjuBP4Mao=")</f>
        <v>#REF!</v>
      </c>
      <c r="FP145" t="e">
        <f>AND(#REF!,"aAGjuBP4Mas=")</f>
        <v>#REF!</v>
      </c>
      <c r="FQ145" t="e">
        <f>AND(#REF!,"aAGjuBP4Maw=")</f>
        <v>#REF!</v>
      </c>
      <c r="FR145" t="e">
        <f>AND(#REF!,"aAGjuBP4Ma0=")</f>
        <v>#REF!</v>
      </c>
      <c r="FS145" t="e">
        <f>AND(#REF!,"aAGjuBP4Ma4=")</f>
        <v>#REF!</v>
      </c>
      <c r="FT145" t="e">
        <f>AND(#REF!,"aAGjuBP4Ma8=")</f>
        <v>#REF!</v>
      </c>
      <c r="FU145" t="e">
        <f>AND(#REF!,"aAGjuBP4MbA=")</f>
        <v>#REF!</v>
      </c>
      <c r="FV145" t="e">
        <f>AND(#REF!,"aAGjuBP4MbE=")</f>
        <v>#REF!</v>
      </c>
      <c r="FW145" t="e">
        <f>IF(#REF!,"aAGjuBP4MbI=",0)</f>
        <v>#REF!</v>
      </c>
      <c r="FX145" t="e">
        <f>AND(#REF!,"aAGjuBP4MbM=")</f>
        <v>#REF!</v>
      </c>
      <c r="FY145" t="e">
        <f>AND(#REF!,"aAGjuBP4MbQ=")</f>
        <v>#REF!</v>
      </c>
      <c r="FZ145" t="e">
        <f>AND(#REF!,"aAGjuBP4MbU=")</f>
        <v>#REF!</v>
      </c>
      <c r="GA145" t="e">
        <f>AND(#REF!,"aAGjuBP4MbY=")</f>
        <v>#REF!</v>
      </c>
      <c r="GB145" t="e">
        <f>AND(#REF!,"aAGjuBP4Mbc=")</f>
        <v>#REF!</v>
      </c>
      <c r="GC145" t="e">
        <f>AND(#REF!,"aAGjuBP4Mbg=")</f>
        <v>#REF!</v>
      </c>
      <c r="GD145" t="e">
        <f>AND(#REF!,"aAGjuBP4Mbk=")</f>
        <v>#REF!</v>
      </c>
      <c r="GE145" t="e">
        <f>AND(#REF!,"aAGjuBP4Mbo=")</f>
        <v>#REF!</v>
      </c>
      <c r="GF145" t="e">
        <f>AND(#REF!,"aAGjuBP4Mbs=")</f>
        <v>#REF!</v>
      </c>
      <c r="GG145" t="e">
        <f>AND(#REF!,"aAGjuBP4Mbw=")</f>
        <v>#REF!</v>
      </c>
      <c r="GH145" t="e">
        <f>AND(#REF!,"aAGjuBP4Mb0=")</f>
        <v>#REF!</v>
      </c>
      <c r="GI145" t="e">
        <f>AND(#REF!,"aAGjuBP4Mb4=")</f>
        <v>#REF!</v>
      </c>
      <c r="GJ145" t="e">
        <f>AND(#REF!,"aAGjuBP4Mb8=")</f>
        <v>#REF!</v>
      </c>
      <c r="GK145" t="e">
        <f>AND(#REF!,"aAGjuBP4McA=")</f>
        <v>#REF!</v>
      </c>
      <c r="GL145" t="e">
        <f>AND(#REF!,"aAGjuBP4McE=")</f>
        <v>#REF!</v>
      </c>
      <c r="GM145" t="e">
        <f>IF(#REF!,"aAGjuBP4McI=",0)</f>
        <v>#REF!</v>
      </c>
      <c r="GN145" t="e">
        <f>AND(#REF!,"aAGjuBP4McM=")</f>
        <v>#REF!</v>
      </c>
      <c r="GO145" t="e">
        <f>AND(#REF!,"aAGjuBP4McQ=")</f>
        <v>#REF!</v>
      </c>
      <c r="GP145" t="e">
        <f>AND(#REF!,"aAGjuBP4McU=")</f>
        <v>#REF!</v>
      </c>
      <c r="GQ145" t="e">
        <f>AND(#REF!,"aAGjuBP4McY=")</f>
        <v>#REF!</v>
      </c>
      <c r="GR145" t="e">
        <f>AND(#REF!,"aAGjuBP4Mcc=")</f>
        <v>#REF!</v>
      </c>
      <c r="GS145" t="e">
        <f>AND(#REF!,"aAGjuBP4Mcg=")</f>
        <v>#REF!</v>
      </c>
      <c r="GT145" t="e">
        <f>AND(#REF!,"aAGjuBP4Mck=")</f>
        <v>#REF!</v>
      </c>
      <c r="GU145" t="e">
        <f>AND(#REF!,"aAGjuBP4Mco=")</f>
        <v>#REF!</v>
      </c>
      <c r="GV145" t="e">
        <f>AND(#REF!,"aAGjuBP4Mcs=")</f>
        <v>#REF!</v>
      </c>
      <c r="GW145" t="e">
        <f>AND(#REF!,"aAGjuBP4Mcw=")</f>
        <v>#REF!</v>
      </c>
      <c r="GX145" t="e">
        <f>AND(#REF!,"aAGjuBP4Mc0=")</f>
        <v>#REF!</v>
      </c>
      <c r="GY145" t="e">
        <f>AND(#REF!,"aAGjuBP4Mc4=")</f>
        <v>#REF!</v>
      </c>
      <c r="GZ145" t="e">
        <f>AND(#REF!,"aAGjuBP4Mc8=")</f>
        <v>#REF!</v>
      </c>
      <c r="HA145" t="e">
        <f>AND(#REF!,"aAGjuBP4MdA=")</f>
        <v>#REF!</v>
      </c>
      <c r="HB145" t="e">
        <f>AND(#REF!,"aAGjuBP4MdE=")</f>
        <v>#REF!</v>
      </c>
      <c r="HC145" t="e">
        <f>IF(#REF!,"aAGjuBP4MdI=",0)</f>
        <v>#REF!</v>
      </c>
      <c r="HD145" t="e">
        <f>AND(#REF!,"aAGjuBP4MdM=")</f>
        <v>#REF!</v>
      </c>
      <c r="HE145" t="e">
        <f>AND(#REF!,"aAGjuBP4MdQ=")</f>
        <v>#REF!</v>
      </c>
      <c r="HF145" t="e">
        <f>AND(#REF!,"aAGjuBP4MdU=")</f>
        <v>#REF!</v>
      </c>
      <c r="HG145" t="e">
        <f>AND(#REF!,"aAGjuBP4MdY=")</f>
        <v>#REF!</v>
      </c>
      <c r="HH145" t="e">
        <f>AND(#REF!,"aAGjuBP4Mdc=")</f>
        <v>#REF!</v>
      </c>
      <c r="HI145" t="e">
        <f>AND(#REF!,"aAGjuBP4Mdg=")</f>
        <v>#REF!</v>
      </c>
      <c r="HJ145" t="e">
        <f>AND(#REF!,"aAGjuBP4Mdk=")</f>
        <v>#REF!</v>
      </c>
      <c r="HK145" t="e">
        <f>AND(#REF!,"aAGjuBP4Mdo=")</f>
        <v>#REF!</v>
      </c>
      <c r="HL145" t="e">
        <f>AND(#REF!,"aAGjuBP4Mds=")</f>
        <v>#REF!</v>
      </c>
      <c r="HM145" t="e">
        <f>AND(#REF!,"aAGjuBP4Mdw=")</f>
        <v>#REF!</v>
      </c>
      <c r="HN145" t="e">
        <f>AND(#REF!,"aAGjuBP4Md0=")</f>
        <v>#REF!</v>
      </c>
      <c r="HO145" t="e">
        <f>AND(#REF!,"aAGjuBP4Md4=")</f>
        <v>#REF!</v>
      </c>
      <c r="HP145" t="e">
        <f>AND(#REF!,"aAGjuBP4Md8=")</f>
        <v>#REF!</v>
      </c>
      <c r="HQ145" t="e">
        <f>AND(#REF!,"aAGjuBP4MeA=")</f>
        <v>#REF!</v>
      </c>
      <c r="HR145" t="e">
        <f>AND(#REF!,"aAGjuBP4MeE=")</f>
        <v>#REF!</v>
      </c>
      <c r="HS145" t="e">
        <f>IF(#REF!,"aAGjuBP4MeI=",0)</f>
        <v>#REF!</v>
      </c>
      <c r="HT145" t="e">
        <f>AND(#REF!,"aAGjuBP4MeM=")</f>
        <v>#REF!</v>
      </c>
      <c r="HU145" t="e">
        <f>AND(#REF!,"aAGjuBP4MeQ=")</f>
        <v>#REF!</v>
      </c>
      <c r="HV145" t="e">
        <f>AND(#REF!,"aAGjuBP4MeU=")</f>
        <v>#REF!</v>
      </c>
      <c r="HW145" t="e">
        <f>AND(#REF!,"aAGjuBP4MeY=")</f>
        <v>#REF!</v>
      </c>
      <c r="HX145" t="e">
        <f>AND(#REF!,"aAGjuBP4Mec=")</f>
        <v>#REF!</v>
      </c>
      <c r="HY145" t="e">
        <f>AND(#REF!,"aAGjuBP4Meg=")</f>
        <v>#REF!</v>
      </c>
      <c r="HZ145" t="e">
        <f>AND(#REF!,"aAGjuBP4Mek=")</f>
        <v>#REF!</v>
      </c>
      <c r="IA145" t="e">
        <f>AND(#REF!,"aAGjuBP4Meo=")</f>
        <v>#REF!</v>
      </c>
      <c r="IB145" t="e">
        <f>AND(#REF!,"aAGjuBP4Mes=")</f>
        <v>#REF!</v>
      </c>
      <c r="IC145" t="e">
        <f>AND(#REF!,"aAGjuBP4Mew=")</f>
        <v>#REF!</v>
      </c>
      <c r="ID145" t="e">
        <f>AND(#REF!,"aAGjuBP4Me0=")</f>
        <v>#REF!</v>
      </c>
      <c r="IE145" t="e">
        <f>AND(#REF!,"aAGjuBP4Me4=")</f>
        <v>#REF!</v>
      </c>
      <c r="IF145" t="e">
        <f>AND(#REF!,"aAGjuBP4Me8=")</f>
        <v>#REF!</v>
      </c>
      <c r="IG145" t="e">
        <f>AND(#REF!,"aAGjuBP4MfA=")</f>
        <v>#REF!</v>
      </c>
      <c r="IH145" t="e">
        <f>AND(#REF!,"aAGjuBP4MfE=")</f>
        <v>#REF!</v>
      </c>
      <c r="II145" t="e">
        <f>IF(#REF!,"aAGjuBP4MfI=",0)</f>
        <v>#REF!</v>
      </c>
      <c r="IJ145" t="e">
        <f>AND(#REF!,"aAGjuBP4MfM=")</f>
        <v>#REF!</v>
      </c>
      <c r="IK145" t="e">
        <f>AND(#REF!,"aAGjuBP4MfQ=")</f>
        <v>#REF!</v>
      </c>
      <c r="IL145" t="e">
        <f>AND(#REF!,"aAGjuBP4MfU=")</f>
        <v>#REF!</v>
      </c>
      <c r="IM145" t="e">
        <f>AND(#REF!,"aAGjuBP4MfY=")</f>
        <v>#REF!</v>
      </c>
      <c r="IN145" t="e">
        <f>AND(#REF!,"aAGjuBP4Mfc=")</f>
        <v>#REF!</v>
      </c>
      <c r="IO145" t="e">
        <f>AND(#REF!,"aAGjuBP4Mfg=")</f>
        <v>#REF!</v>
      </c>
      <c r="IP145" t="e">
        <f>AND(#REF!,"aAGjuBP4Mfk=")</f>
        <v>#REF!</v>
      </c>
      <c r="IQ145" t="e">
        <f>AND(#REF!,"aAGjuBP4Mfo=")</f>
        <v>#REF!</v>
      </c>
      <c r="IR145" t="e">
        <f>AND(#REF!,"aAGjuBP4Mfs=")</f>
        <v>#REF!</v>
      </c>
      <c r="IS145" t="e">
        <f>AND(#REF!,"aAGjuBP4Mfw=")</f>
        <v>#REF!</v>
      </c>
      <c r="IT145" t="e">
        <f>AND(#REF!,"aAGjuBP4Mf0=")</f>
        <v>#REF!</v>
      </c>
      <c r="IU145" t="e">
        <f>AND(#REF!,"aAGjuBP4Mf4=")</f>
        <v>#REF!</v>
      </c>
      <c r="IV145" t="e">
        <f>AND(#REF!,"aAGjuBP4Mf8=")</f>
        <v>#REF!</v>
      </c>
    </row>
    <row r="146" spans="1:256" x14ac:dyDescent="0.2">
      <c r="A146" t="e">
        <f>AND(#REF!,"PJrDyWLbQwA=")</f>
        <v>#REF!</v>
      </c>
      <c r="B146" t="e">
        <f>AND(#REF!,"PJrDyWLbQwE=")</f>
        <v>#REF!</v>
      </c>
      <c r="C146" t="e">
        <f>IF(#REF!,"PJrDyWLbQwI=",0)</f>
        <v>#REF!</v>
      </c>
      <c r="D146" t="e">
        <f>AND(#REF!,"PJrDyWLbQwM=")</f>
        <v>#REF!</v>
      </c>
      <c r="E146" t="e">
        <f>AND(#REF!,"PJrDyWLbQwQ=")</f>
        <v>#REF!</v>
      </c>
      <c r="F146" t="e">
        <f>AND(#REF!,"PJrDyWLbQwU=")</f>
        <v>#REF!</v>
      </c>
      <c r="G146" t="e">
        <f>AND(#REF!,"PJrDyWLbQwY=")</f>
        <v>#REF!</v>
      </c>
      <c r="H146" t="e">
        <f>AND(#REF!,"PJrDyWLbQwc=")</f>
        <v>#REF!</v>
      </c>
      <c r="I146" t="e">
        <f>AND(#REF!,"PJrDyWLbQwg=")</f>
        <v>#REF!</v>
      </c>
      <c r="J146" t="e">
        <f>AND(#REF!,"PJrDyWLbQwk=")</f>
        <v>#REF!</v>
      </c>
      <c r="K146" t="e">
        <f>AND(#REF!,"PJrDyWLbQwo=")</f>
        <v>#REF!</v>
      </c>
      <c r="L146" t="e">
        <f>AND(#REF!,"PJrDyWLbQws=")</f>
        <v>#REF!</v>
      </c>
      <c r="M146" t="e">
        <f>AND(#REF!,"PJrDyWLbQww=")</f>
        <v>#REF!</v>
      </c>
      <c r="N146" t="e">
        <f>AND(#REF!,"PJrDyWLbQw0=")</f>
        <v>#REF!</v>
      </c>
      <c r="O146" t="e">
        <f>AND(#REF!,"PJrDyWLbQw4=")</f>
        <v>#REF!</v>
      </c>
      <c r="P146" t="e">
        <f>AND(#REF!,"PJrDyWLbQw8=")</f>
        <v>#REF!</v>
      </c>
      <c r="Q146" t="e">
        <f>AND(#REF!,"PJrDyWLbQxA=")</f>
        <v>#REF!</v>
      </c>
      <c r="R146" t="e">
        <f>AND(#REF!,"PJrDyWLbQxE=")</f>
        <v>#REF!</v>
      </c>
      <c r="S146" t="e">
        <f>IF(#REF!,"PJrDyWLbQxI=",0)</f>
        <v>#REF!</v>
      </c>
      <c r="T146" t="e">
        <f>AND(#REF!,"PJrDyWLbQxM=")</f>
        <v>#REF!</v>
      </c>
      <c r="U146" t="e">
        <f>AND(#REF!,"PJrDyWLbQxQ=")</f>
        <v>#REF!</v>
      </c>
      <c r="V146" t="e">
        <f>AND(#REF!,"PJrDyWLbQxU=")</f>
        <v>#REF!</v>
      </c>
      <c r="W146" t="e">
        <f>AND(#REF!,"PJrDyWLbQxY=")</f>
        <v>#REF!</v>
      </c>
      <c r="X146" t="e">
        <f>AND(#REF!,"PJrDyWLbQxc=")</f>
        <v>#REF!</v>
      </c>
      <c r="Y146" t="e">
        <f>AND(#REF!,"PJrDyWLbQxg=")</f>
        <v>#REF!</v>
      </c>
      <c r="Z146" t="e">
        <f>AND(#REF!,"PJrDyWLbQxk=")</f>
        <v>#REF!</v>
      </c>
      <c r="AA146" t="e">
        <f>AND(#REF!,"PJrDyWLbQxo=")</f>
        <v>#REF!</v>
      </c>
      <c r="AB146" t="e">
        <f>AND(#REF!,"PJrDyWLbQxs=")</f>
        <v>#REF!</v>
      </c>
      <c r="AC146" t="e">
        <f>AND(#REF!,"PJrDyWLbQxw=")</f>
        <v>#REF!</v>
      </c>
      <c r="AD146" t="e">
        <f>AND(#REF!,"PJrDyWLbQx0=")</f>
        <v>#REF!</v>
      </c>
      <c r="AE146" t="e">
        <f>AND(#REF!,"PJrDyWLbQx4=")</f>
        <v>#REF!</v>
      </c>
      <c r="AF146" t="e">
        <f>AND(#REF!,"PJrDyWLbQx8=")</f>
        <v>#REF!</v>
      </c>
      <c r="AG146" t="e">
        <f>AND(#REF!,"PJrDyWLbQyA=")</f>
        <v>#REF!</v>
      </c>
      <c r="AH146" t="e">
        <f>AND(#REF!,"PJrDyWLbQyE=")</f>
        <v>#REF!</v>
      </c>
      <c r="AI146" t="e">
        <f>IF(#REF!,"PJrDyWLbQyI=",0)</f>
        <v>#REF!</v>
      </c>
      <c r="AJ146" t="e">
        <f>AND(#REF!,"PJrDyWLbQyM=")</f>
        <v>#REF!</v>
      </c>
      <c r="AK146" t="e">
        <f>AND(#REF!,"PJrDyWLbQyQ=")</f>
        <v>#REF!</v>
      </c>
      <c r="AL146" t="e">
        <f>AND(#REF!,"PJrDyWLbQyU=")</f>
        <v>#REF!</v>
      </c>
      <c r="AM146" t="e">
        <f>AND(#REF!,"PJrDyWLbQyY=")</f>
        <v>#REF!</v>
      </c>
      <c r="AN146" t="e">
        <f>AND(#REF!,"PJrDyWLbQyc=")</f>
        <v>#REF!</v>
      </c>
      <c r="AO146" t="e">
        <f>AND(#REF!,"PJrDyWLbQyg=")</f>
        <v>#REF!</v>
      </c>
      <c r="AP146" t="e">
        <f>AND(#REF!,"PJrDyWLbQyk=")</f>
        <v>#REF!</v>
      </c>
      <c r="AQ146" t="e">
        <f>AND(#REF!,"PJrDyWLbQyo=")</f>
        <v>#REF!</v>
      </c>
      <c r="AR146" t="e">
        <f>AND(#REF!,"PJrDyWLbQys=")</f>
        <v>#REF!</v>
      </c>
      <c r="AS146" t="e">
        <f>AND(#REF!,"PJrDyWLbQyw=")</f>
        <v>#REF!</v>
      </c>
      <c r="AT146" t="e">
        <f>AND(#REF!,"PJrDyWLbQy0=")</f>
        <v>#REF!</v>
      </c>
      <c r="AU146" t="e">
        <f>AND(#REF!,"PJrDyWLbQy4=")</f>
        <v>#REF!</v>
      </c>
      <c r="AV146" t="e">
        <f>AND(#REF!,"PJrDyWLbQy8=")</f>
        <v>#REF!</v>
      </c>
      <c r="AW146" t="e">
        <f>AND(#REF!,"PJrDyWLbQzA=")</f>
        <v>#REF!</v>
      </c>
      <c r="AX146" t="e">
        <f>AND(#REF!,"PJrDyWLbQzE=")</f>
        <v>#REF!</v>
      </c>
      <c r="AY146" t="e">
        <f>IF(#REF!,"PJrDyWLbQzI=",0)</f>
        <v>#REF!</v>
      </c>
      <c r="AZ146" t="e">
        <f>AND(#REF!,"PJrDyWLbQzM=")</f>
        <v>#REF!</v>
      </c>
      <c r="BA146" t="e">
        <f>AND(#REF!,"PJrDyWLbQzQ=")</f>
        <v>#REF!</v>
      </c>
      <c r="BB146" t="e">
        <f>AND(#REF!,"PJrDyWLbQzU=")</f>
        <v>#REF!</v>
      </c>
      <c r="BC146" t="e">
        <f>AND(#REF!,"PJrDyWLbQzY=")</f>
        <v>#REF!</v>
      </c>
      <c r="BD146" t="e">
        <f>AND(#REF!,"PJrDyWLbQzc=")</f>
        <v>#REF!</v>
      </c>
      <c r="BE146" t="e">
        <f>AND(#REF!,"PJrDyWLbQzg=")</f>
        <v>#REF!</v>
      </c>
      <c r="BF146" t="e">
        <f>AND(#REF!,"PJrDyWLbQzk=")</f>
        <v>#REF!</v>
      </c>
      <c r="BG146" t="e">
        <f>AND(#REF!,"PJrDyWLbQzo=")</f>
        <v>#REF!</v>
      </c>
      <c r="BH146" t="e">
        <f>AND(#REF!,"PJrDyWLbQzs=")</f>
        <v>#REF!</v>
      </c>
      <c r="BI146" t="e">
        <f>AND(#REF!,"PJrDyWLbQzw=")</f>
        <v>#REF!</v>
      </c>
      <c r="BJ146" t="e">
        <f>AND(#REF!,"PJrDyWLbQz0=")</f>
        <v>#REF!</v>
      </c>
      <c r="BK146" t="e">
        <f>AND(#REF!,"PJrDyWLbQz4=")</f>
        <v>#REF!</v>
      </c>
      <c r="BL146" t="e">
        <f>AND(#REF!,"PJrDyWLbQz8=")</f>
        <v>#REF!</v>
      </c>
      <c r="BM146" t="e">
        <f>AND(#REF!,"PJrDyWLbQ0A=")</f>
        <v>#REF!</v>
      </c>
      <c r="BN146" t="e">
        <f>AND(#REF!,"PJrDyWLbQ0E=")</f>
        <v>#REF!</v>
      </c>
      <c r="BO146" t="e">
        <f>IF(#REF!,"PJrDyWLbQ0I=",0)</f>
        <v>#REF!</v>
      </c>
      <c r="BP146" t="e">
        <f>AND(#REF!,"PJrDyWLbQ0M=")</f>
        <v>#REF!</v>
      </c>
      <c r="BQ146" t="e">
        <f>AND(#REF!,"PJrDyWLbQ0Q=")</f>
        <v>#REF!</v>
      </c>
      <c r="BR146" t="e">
        <f>AND(#REF!,"PJrDyWLbQ0U=")</f>
        <v>#REF!</v>
      </c>
      <c r="BS146" t="e">
        <f>AND(#REF!,"PJrDyWLbQ0Y=")</f>
        <v>#REF!</v>
      </c>
      <c r="BT146" t="e">
        <f>AND(#REF!,"PJrDyWLbQ0c=")</f>
        <v>#REF!</v>
      </c>
      <c r="BU146" t="e">
        <f>AND(#REF!,"PJrDyWLbQ0g=")</f>
        <v>#REF!</v>
      </c>
      <c r="BV146" t="e">
        <f>AND(#REF!,"PJrDyWLbQ0k=")</f>
        <v>#REF!</v>
      </c>
      <c r="BW146" t="e">
        <f>AND(#REF!,"PJrDyWLbQ0o=")</f>
        <v>#REF!</v>
      </c>
      <c r="BX146" t="e">
        <f>AND(#REF!,"PJrDyWLbQ0s=")</f>
        <v>#REF!</v>
      </c>
      <c r="BY146" t="e">
        <f>AND(#REF!,"PJrDyWLbQ0w=")</f>
        <v>#REF!</v>
      </c>
      <c r="BZ146" t="e">
        <f>AND(#REF!,"PJrDyWLbQ00=")</f>
        <v>#REF!</v>
      </c>
      <c r="CA146" t="e">
        <f>AND(#REF!,"PJrDyWLbQ04=")</f>
        <v>#REF!</v>
      </c>
      <c r="CB146" t="e">
        <f>AND(#REF!,"PJrDyWLbQ08=")</f>
        <v>#REF!</v>
      </c>
      <c r="CC146" t="e">
        <f>AND(#REF!,"PJrDyWLbQ1A=")</f>
        <v>#REF!</v>
      </c>
      <c r="CD146" t="e">
        <f>AND(#REF!,"PJrDyWLbQ1E=")</f>
        <v>#REF!</v>
      </c>
      <c r="CE146" t="e">
        <f>IF(#REF!,"PJrDyWLbQ1I=",0)</f>
        <v>#REF!</v>
      </c>
      <c r="CF146" t="e">
        <f>AND(#REF!,"PJrDyWLbQ1M=")</f>
        <v>#REF!</v>
      </c>
      <c r="CG146" t="e">
        <f>AND(#REF!,"PJrDyWLbQ1Q=")</f>
        <v>#REF!</v>
      </c>
      <c r="CH146" t="e">
        <f>AND(#REF!,"PJrDyWLbQ1U=")</f>
        <v>#REF!</v>
      </c>
      <c r="CI146" t="e">
        <f>AND(#REF!,"PJrDyWLbQ1Y=")</f>
        <v>#REF!</v>
      </c>
      <c r="CJ146" t="e">
        <f>AND(#REF!,"PJrDyWLbQ1c=")</f>
        <v>#REF!</v>
      </c>
      <c r="CK146" t="e">
        <f>AND(#REF!,"PJrDyWLbQ1g=")</f>
        <v>#REF!</v>
      </c>
      <c r="CL146" t="e">
        <f>AND(#REF!,"PJrDyWLbQ1k=")</f>
        <v>#REF!</v>
      </c>
      <c r="CM146" t="e">
        <f>AND(#REF!,"PJrDyWLbQ1o=")</f>
        <v>#REF!</v>
      </c>
      <c r="CN146" t="e">
        <f>AND(#REF!,"PJrDyWLbQ1s=")</f>
        <v>#REF!</v>
      </c>
      <c r="CO146" t="e">
        <f>AND(#REF!,"PJrDyWLbQ1w=")</f>
        <v>#REF!</v>
      </c>
      <c r="CP146" t="e">
        <f>AND(#REF!,"PJrDyWLbQ10=")</f>
        <v>#REF!</v>
      </c>
      <c r="CQ146" t="e">
        <f>AND(#REF!,"PJrDyWLbQ14=")</f>
        <v>#REF!</v>
      </c>
      <c r="CR146" t="e">
        <f>AND(#REF!,"PJrDyWLbQ18=")</f>
        <v>#REF!</v>
      </c>
      <c r="CS146" t="e">
        <f>AND(#REF!,"PJrDyWLbQ2A=")</f>
        <v>#REF!</v>
      </c>
      <c r="CT146" t="e">
        <f>AND(#REF!,"PJrDyWLbQ2E=")</f>
        <v>#REF!</v>
      </c>
      <c r="CU146" t="e">
        <f>IF(#REF!,"PJrDyWLbQ2I=",0)</f>
        <v>#REF!</v>
      </c>
      <c r="CV146" t="e">
        <f>AND(#REF!,"PJrDyWLbQ2M=")</f>
        <v>#REF!</v>
      </c>
      <c r="CW146" t="e">
        <f>AND(#REF!,"PJrDyWLbQ2Q=")</f>
        <v>#REF!</v>
      </c>
      <c r="CX146" t="e">
        <f>AND(#REF!,"PJrDyWLbQ2U=")</f>
        <v>#REF!</v>
      </c>
      <c r="CY146" t="e">
        <f>AND(#REF!,"PJrDyWLbQ2Y=")</f>
        <v>#REF!</v>
      </c>
      <c r="CZ146" t="e">
        <f>AND(#REF!,"PJrDyWLbQ2c=")</f>
        <v>#REF!</v>
      </c>
      <c r="DA146" t="e">
        <f>AND(#REF!,"PJrDyWLbQ2g=")</f>
        <v>#REF!</v>
      </c>
      <c r="DB146" t="e">
        <f>AND(#REF!,"PJrDyWLbQ2k=")</f>
        <v>#REF!</v>
      </c>
      <c r="DC146" t="e">
        <f>AND(#REF!,"PJrDyWLbQ2o=")</f>
        <v>#REF!</v>
      </c>
      <c r="DD146" t="e">
        <f>AND(#REF!,"PJrDyWLbQ2s=")</f>
        <v>#REF!</v>
      </c>
      <c r="DE146" t="e">
        <f>AND(#REF!,"PJrDyWLbQ2w=")</f>
        <v>#REF!</v>
      </c>
      <c r="DF146" t="e">
        <f>AND(#REF!,"PJrDyWLbQ20=")</f>
        <v>#REF!</v>
      </c>
      <c r="DG146" t="e">
        <f>AND(#REF!,"PJrDyWLbQ24=")</f>
        <v>#REF!</v>
      </c>
      <c r="DH146" t="e">
        <f>AND(#REF!,"PJrDyWLbQ28=")</f>
        <v>#REF!</v>
      </c>
      <c r="DI146" t="e">
        <f>AND(#REF!,"PJrDyWLbQ3A=")</f>
        <v>#REF!</v>
      </c>
      <c r="DJ146" t="e">
        <f>AND(#REF!,"PJrDyWLbQ3E=")</f>
        <v>#REF!</v>
      </c>
      <c r="DK146" t="e">
        <f>IF(#REF!,"PJrDyWLbQ3I=",0)</f>
        <v>#REF!</v>
      </c>
      <c r="DL146" t="e">
        <f>AND(#REF!,"PJrDyWLbQ3M=")</f>
        <v>#REF!</v>
      </c>
      <c r="DM146" t="e">
        <f>AND(#REF!,"PJrDyWLbQ3Q=")</f>
        <v>#REF!</v>
      </c>
      <c r="DN146" t="e">
        <f>AND(#REF!,"PJrDyWLbQ3U=")</f>
        <v>#REF!</v>
      </c>
      <c r="DO146" t="e">
        <f>AND(#REF!,"PJrDyWLbQ3Y=")</f>
        <v>#REF!</v>
      </c>
      <c r="DP146" t="e">
        <f>AND(#REF!,"PJrDyWLbQ3c=")</f>
        <v>#REF!</v>
      </c>
      <c r="DQ146" t="e">
        <f>AND(#REF!,"PJrDyWLbQ3g=")</f>
        <v>#REF!</v>
      </c>
      <c r="DR146" t="e">
        <f>AND(#REF!,"PJrDyWLbQ3k=")</f>
        <v>#REF!</v>
      </c>
      <c r="DS146" t="e">
        <f>AND(#REF!,"PJrDyWLbQ3o=")</f>
        <v>#REF!</v>
      </c>
      <c r="DT146" t="e">
        <f>AND(#REF!,"PJrDyWLbQ3s=")</f>
        <v>#REF!</v>
      </c>
      <c r="DU146" t="e">
        <f>AND(#REF!,"PJrDyWLbQ3w=")</f>
        <v>#REF!</v>
      </c>
      <c r="DV146" t="e">
        <f>AND(#REF!,"PJrDyWLbQ30=")</f>
        <v>#REF!</v>
      </c>
      <c r="DW146" t="e">
        <f>AND(#REF!,"PJrDyWLbQ34=")</f>
        <v>#REF!</v>
      </c>
      <c r="DX146" t="e">
        <f>AND(#REF!,"PJrDyWLbQ38=")</f>
        <v>#REF!</v>
      </c>
      <c r="DY146" t="e">
        <f>AND(#REF!,"PJrDyWLbQ4A=")</f>
        <v>#REF!</v>
      </c>
      <c r="DZ146" t="e">
        <f>AND(#REF!,"PJrDyWLbQ4E=")</f>
        <v>#REF!</v>
      </c>
      <c r="EA146" t="e">
        <f>IF(#REF!,"PJrDyWLbQ4I=",0)</f>
        <v>#REF!</v>
      </c>
      <c r="EB146" t="e">
        <f>AND(#REF!,"PJrDyWLbQ4M=")</f>
        <v>#REF!</v>
      </c>
      <c r="EC146" t="e">
        <f>AND(#REF!,"PJrDyWLbQ4Q=")</f>
        <v>#REF!</v>
      </c>
      <c r="ED146" t="e">
        <f>AND(#REF!,"PJrDyWLbQ4U=")</f>
        <v>#REF!</v>
      </c>
      <c r="EE146" t="e">
        <f>AND(#REF!,"PJrDyWLbQ4Y=")</f>
        <v>#REF!</v>
      </c>
      <c r="EF146" t="e">
        <f>AND(#REF!,"PJrDyWLbQ4c=")</f>
        <v>#REF!</v>
      </c>
      <c r="EG146" t="e">
        <f>AND(#REF!,"PJrDyWLbQ4g=")</f>
        <v>#REF!</v>
      </c>
      <c r="EH146" t="e">
        <f>AND(#REF!,"PJrDyWLbQ4k=")</f>
        <v>#REF!</v>
      </c>
      <c r="EI146" t="e">
        <f>AND(#REF!,"PJrDyWLbQ4o=")</f>
        <v>#REF!</v>
      </c>
      <c r="EJ146" t="e">
        <f>AND(#REF!,"PJrDyWLbQ4s=")</f>
        <v>#REF!</v>
      </c>
      <c r="EK146" t="e">
        <f>AND(#REF!,"PJrDyWLbQ4w=")</f>
        <v>#REF!</v>
      </c>
      <c r="EL146" t="e">
        <f>AND(#REF!,"PJrDyWLbQ40=")</f>
        <v>#REF!</v>
      </c>
      <c r="EM146" t="e">
        <f>AND(#REF!,"PJrDyWLbQ44=")</f>
        <v>#REF!</v>
      </c>
      <c r="EN146" t="e">
        <f>AND(#REF!,"PJrDyWLbQ48=")</f>
        <v>#REF!</v>
      </c>
      <c r="EO146" t="e">
        <f>AND(#REF!,"PJrDyWLbQ5A=")</f>
        <v>#REF!</v>
      </c>
      <c r="EP146" t="e">
        <f>AND(#REF!,"PJrDyWLbQ5E=")</f>
        <v>#REF!</v>
      </c>
      <c r="EQ146" t="e">
        <f>IF(#REF!,"PJrDyWLbQ5I=",0)</f>
        <v>#REF!</v>
      </c>
      <c r="ER146" t="e">
        <f>AND(#REF!,"PJrDyWLbQ5M=")</f>
        <v>#REF!</v>
      </c>
      <c r="ES146" t="e">
        <f>AND(#REF!,"PJrDyWLbQ5Q=")</f>
        <v>#REF!</v>
      </c>
      <c r="ET146" t="e">
        <f>AND(#REF!,"PJrDyWLbQ5U=")</f>
        <v>#REF!</v>
      </c>
      <c r="EU146" t="e">
        <f>AND(#REF!,"PJrDyWLbQ5Y=")</f>
        <v>#REF!</v>
      </c>
      <c r="EV146" t="e">
        <f>AND(#REF!,"PJrDyWLbQ5c=")</f>
        <v>#REF!</v>
      </c>
      <c r="EW146" t="e">
        <f>AND(#REF!,"PJrDyWLbQ5g=")</f>
        <v>#REF!</v>
      </c>
      <c r="EX146" t="e">
        <f>AND(#REF!,"PJrDyWLbQ5k=")</f>
        <v>#REF!</v>
      </c>
      <c r="EY146" t="e">
        <f>AND(#REF!,"PJrDyWLbQ5o=")</f>
        <v>#REF!</v>
      </c>
      <c r="EZ146" t="e">
        <f>AND(#REF!,"PJrDyWLbQ5s=")</f>
        <v>#REF!</v>
      </c>
      <c r="FA146" t="e">
        <f>AND(#REF!,"PJrDyWLbQ5w=")</f>
        <v>#REF!</v>
      </c>
      <c r="FB146" t="e">
        <f>AND(#REF!,"PJrDyWLbQ50=")</f>
        <v>#REF!</v>
      </c>
      <c r="FC146" t="e">
        <f>AND(#REF!,"PJrDyWLbQ54=")</f>
        <v>#REF!</v>
      </c>
      <c r="FD146" t="e">
        <f>AND(#REF!,"PJrDyWLbQ58=")</f>
        <v>#REF!</v>
      </c>
      <c r="FE146" t="e">
        <f>AND(#REF!,"PJrDyWLbQ6A=")</f>
        <v>#REF!</v>
      </c>
      <c r="FF146" t="e">
        <f>AND(#REF!,"PJrDyWLbQ6E=")</f>
        <v>#REF!</v>
      </c>
      <c r="FG146" t="e">
        <f>IF(#REF!,"PJrDyWLbQ6I=",0)</f>
        <v>#REF!</v>
      </c>
      <c r="FH146" t="e">
        <f>AND(#REF!,"PJrDyWLbQ6M=")</f>
        <v>#REF!</v>
      </c>
      <c r="FI146" t="e">
        <f>AND(#REF!,"PJrDyWLbQ6Q=")</f>
        <v>#REF!</v>
      </c>
      <c r="FJ146" t="e">
        <f>AND(#REF!,"PJrDyWLbQ6U=")</f>
        <v>#REF!</v>
      </c>
      <c r="FK146" t="e">
        <f>AND(#REF!,"PJrDyWLbQ6Y=")</f>
        <v>#REF!</v>
      </c>
      <c r="FL146" t="e">
        <f>AND(#REF!,"PJrDyWLbQ6c=")</f>
        <v>#REF!</v>
      </c>
      <c r="FM146" t="e">
        <f>AND(#REF!,"PJrDyWLbQ6g=")</f>
        <v>#REF!</v>
      </c>
      <c r="FN146" t="e">
        <f>AND(#REF!,"PJrDyWLbQ6k=")</f>
        <v>#REF!</v>
      </c>
      <c r="FO146" t="e">
        <f>AND(#REF!,"PJrDyWLbQ6o=")</f>
        <v>#REF!</v>
      </c>
      <c r="FP146" t="e">
        <f>AND(#REF!,"PJrDyWLbQ6s=")</f>
        <v>#REF!</v>
      </c>
      <c r="FQ146" t="e">
        <f>AND(#REF!,"PJrDyWLbQ6w=")</f>
        <v>#REF!</v>
      </c>
      <c r="FR146" t="e">
        <f>AND(#REF!,"PJrDyWLbQ60=")</f>
        <v>#REF!</v>
      </c>
      <c r="FS146" t="e">
        <f>AND(#REF!,"PJrDyWLbQ64=")</f>
        <v>#REF!</v>
      </c>
      <c r="FT146" t="e">
        <f>AND(#REF!,"PJrDyWLbQ68=")</f>
        <v>#REF!</v>
      </c>
      <c r="FU146" t="e">
        <f>AND(#REF!,"PJrDyWLbQ7A=")</f>
        <v>#REF!</v>
      </c>
      <c r="FV146" t="e">
        <f>AND(#REF!,"PJrDyWLbQ7E=")</f>
        <v>#REF!</v>
      </c>
      <c r="FW146" t="e">
        <f>IF(#REF!,"PJrDyWLbQ7I=",0)</f>
        <v>#REF!</v>
      </c>
      <c r="FX146" t="e">
        <f>AND(#REF!,"PJrDyWLbQ7M=")</f>
        <v>#REF!</v>
      </c>
      <c r="FY146" t="e">
        <f>AND(#REF!,"PJrDyWLbQ7Q=")</f>
        <v>#REF!</v>
      </c>
      <c r="FZ146" t="e">
        <f>AND(#REF!,"PJrDyWLbQ7U=")</f>
        <v>#REF!</v>
      </c>
      <c r="GA146" t="e">
        <f>AND(#REF!,"PJrDyWLbQ7Y=")</f>
        <v>#REF!</v>
      </c>
      <c r="GB146" t="e">
        <f>AND(#REF!,"PJrDyWLbQ7c=")</f>
        <v>#REF!</v>
      </c>
      <c r="GC146" t="e">
        <f>AND(#REF!,"PJrDyWLbQ7g=")</f>
        <v>#REF!</v>
      </c>
      <c r="GD146" t="e">
        <f>AND(#REF!,"PJrDyWLbQ7k=")</f>
        <v>#REF!</v>
      </c>
      <c r="GE146" t="e">
        <f>AND(#REF!,"PJrDyWLbQ7o=")</f>
        <v>#REF!</v>
      </c>
      <c r="GF146" t="e">
        <f>AND(#REF!,"PJrDyWLbQ7s=")</f>
        <v>#REF!</v>
      </c>
      <c r="GG146" t="e">
        <f>AND(#REF!,"PJrDyWLbQ7w=")</f>
        <v>#REF!</v>
      </c>
      <c r="GH146" t="e">
        <f>AND(#REF!,"PJrDyWLbQ70=")</f>
        <v>#REF!</v>
      </c>
      <c r="GI146" t="e">
        <f>AND(#REF!,"PJrDyWLbQ74=")</f>
        <v>#REF!</v>
      </c>
      <c r="GJ146" t="e">
        <f>AND(#REF!,"PJrDyWLbQ78=")</f>
        <v>#REF!</v>
      </c>
      <c r="GK146" t="e">
        <f>AND(#REF!,"PJrDyWLbQ8A=")</f>
        <v>#REF!</v>
      </c>
      <c r="GL146" t="e">
        <f>AND(#REF!,"PJrDyWLbQ8E=")</f>
        <v>#REF!</v>
      </c>
      <c r="GM146" t="e">
        <f>IF(#REF!,"PJrDyWLbQ8I=",0)</f>
        <v>#REF!</v>
      </c>
      <c r="GN146" t="e">
        <f>AND(#REF!,"PJrDyWLbQ8M=")</f>
        <v>#REF!</v>
      </c>
      <c r="GO146" t="e">
        <f>AND(#REF!,"PJrDyWLbQ8Q=")</f>
        <v>#REF!</v>
      </c>
      <c r="GP146" t="e">
        <f>AND(#REF!,"PJrDyWLbQ8U=")</f>
        <v>#REF!</v>
      </c>
      <c r="GQ146" t="e">
        <f>AND(#REF!,"PJrDyWLbQ8Y=")</f>
        <v>#REF!</v>
      </c>
      <c r="GR146" t="e">
        <f>AND(#REF!,"PJrDyWLbQ8c=")</f>
        <v>#REF!</v>
      </c>
      <c r="GS146" t="e">
        <f>AND(#REF!,"PJrDyWLbQ8g=")</f>
        <v>#REF!</v>
      </c>
      <c r="GT146" t="e">
        <f>AND(#REF!,"PJrDyWLbQ8k=")</f>
        <v>#REF!</v>
      </c>
      <c r="GU146" t="e">
        <f>AND(#REF!,"PJrDyWLbQ8o=")</f>
        <v>#REF!</v>
      </c>
      <c r="GV146" t="e">
        <f>AND(#REF!,"PJrDyWLbQ8s=")</f>
        <v>#REF!</v>
      </c>
      <c r="GW146" t="e">
        <f>AND(#REF!,"PJrDyWLbQ8w=")</f>
        <v>#REF!</v>
      </c>
      <c r="GX146" t="e">
        <f>AND(#REF!,"PJrDyWLbQ80=")</f>
        <v>#REF!</v>
      </c>
      <c r="GY146" t="e">
        <f>AND(#REF!,"PJrDyWLbQ84=")</f>
        <v>#REF!</v>
      </c>
      <c r="GZ146" t="e">
        <f>AND(#REF!,"PJrDyWLbQ88=")</f>
        <v>#REF!</v>
      </c>
      <c r="HA146" t="e">
        <f>AND(#REF!,"PJrDyWLbQ9A=")</f>
        <v>#REF!</v>
      </c>
      <c r="HB146" t="e">
        <f>AND(#REF!,"PJrDyWLbQ9E=")</f>
        <v>#REF!</v>
      </c>
      <c r="HC146" t="e">
        <f>IF(#REF!,"PJrDyWLbQ9I=",0)</f>
        <v>#REF!</v>
      </c>
      <c r="HD146" t="e">
        <f>AND(#REF!,"PJrDyWLbQ9M=")</f>
        <v>#REF!</v>
      </c>
      <c r="HE146" t="e">
        <f>AND(#REF!,"PJrDyWLbQ9Q=")</f>
        <v>#REF!</v>
      </c>
      <c r="HF146" t="e">
        <f>AND(#REF!,"PJrDyWLbQ9U=")</f>
        <v>#REF!</v>
      </c>
      <c r="HG146" t="e">
        <f>AND(#REF!,"PJrDyWLbQ9Y=")</f>
        <v>#REF!</v>
      </c>
      <c r="HH146" t="e">
        <f>AND(#REF!,"PJrDyWLbQ9c=")</f>
        <v>#REF!</v>
      </c>
      <c r="HI146" t="e">
        <f>AND(#REF!,"PJrDyWLbQ9g=")</f>
        <v>#REF!</v>
      </c>
      <c r="HJ146" t="e">
        <f>AND(#REF!,"PJrDyWLbQ9k=")</f>
        <v>#REF!</v>
      </c>
      <c r="HK146" t="e">
        <f>AND(#REF!,"PJrDyWLbQ9o=")</f>
        <v>#REF!</v>
      </c>
      <c r="HL146" t="e">
        <f>AND(#REF!,"PJrDyWLbQ9s=")</f>
        <v>#REF!</v>
      </c>
      <c r="HM146" t="e">
        <f>AND(#REF!,"PJrDyWLbQ9w=")</f>
        <v>#REF!</v>
      </c>
      <c r="HN146" t="e">
        <f>AND(#REF!,"PJrDyWLbQ90=")</f>
        <v>#REF!</v>
      </c>
      <c r="HO146" t="e">
        <f>AND(#REF!,"PJrDyWLbQ94=")</f>
        <v>#REF!</v>
      </c>
      <c r="HP146" t="e">
        <f>AND(#REF!,"PJrDyWLbQ98=")</f>
        <v>#REF!</v>
      </c>
      <c r="HQ146" t="e">
        <f>AND(#REF!,"PJrDyWLbQ+A=")</f>
        <v>#REF!</v>
      </c>
      <c r="HR146" t="e">
        <f>AND(#REF!,"PJrDyWLbQ+E=")</f>
        <v>#REF!</v>
      </c>
      <c r="HS146" t="e">
        <f>IF(#REF!,"PJrDyWLbQ+I=",0)</f>
        <v>#REF!</v>
      </c>
      <c r="HT146" t="e">
        <f>AND(#REF!,"PJrDyWLbQ+M=")</f>
        <v>#REF!</v>
      </c>
      <c r="HU146" t="e">
        <f>AND(#REF!,"PJrDyWLbQ+Q=")</f>
        <v>#REF!</v>
      </c>
      <c r="HV146" t="e">
        <f>AND(#REF!,"PJrDyWLbQ+U=")</f>
        <v>#REF!</v>
      </c>
      <c r="HW146" t="e">
        <f>AND(#REF!,"PJrDyWLbQ+Y=")</f>
        <v>#REF!</v>
      </c>
      <c r="HX146" t="e">
        <f>AND(#REF!,"PJrDyWLbQ+c=")</f>
        <v>#REF!</v>
      </c>
      <c r="HY146" t="e">
        <f>AND(#REF!,"PJrDyWLbQ+g=")</f>
        <v>#REF!</v>
      </c>
      <c r="HZ146" t="e">
        <f>AND(#REF!,"PJrDyWLbQ+k=")</f>
        <v>#REF!</v>
      </c>
      <c r="IA146" t="e">
        <f>AND(#REF!,"PJrDyWLbQ+o=")</f>
        <v>#REF!</v>
      </c>
      <c r="IB146" t="e">
        <f>AND(#REF!,"PJrDyWLbQ+s=")</f>
        <v>#REF!</v>
      </c>
      <c r="IC146" t="e">
        <f>AND(#REF!,"PJrDyWLbQ+w=")</f>
        <v>#REF!</v>
      </c>
      <c r="ID146" t="e">
        <f>AND(#REF!,"PJrDyWLbQ+0=")</f>
        <v>#REF!</v>
      </c>
      <c r="IE146" t="e">
        <f>AND(#REF!,"PJrDyWLbQ+4=")</f>
        <v>#REF!</v>
      </c>
      <c r="IF146" t="e">
        <f>AND(#REF!,"PJrDyWLbQ+8=")</f>
        <v>#REF!</v>
      </c>
      <c r="IG146" t="e">
        <f>AND(#REF!,"PJrDyWLbQ/A=")</f>
        <v>#REF!</v>
      </c>
      <c r="IH146" t="e">
        <f>AND(#REF!,"PJrDyWLbQ/E=")</f>
        <v>#REF!</v>
      </c>
      <c r="II146" t="e">
        <f>IF(#REF!,"PJrDyWLbQ/I=",0)</f>
        <v>#REF!</v>
      </c>
      <c r="IJ146" t="e">
        <f>AND(#REF!,"PJrDyWLbQ/M=")</f>
        <v>#REF!</v>
      </c>
      <c r="IK146" t="e">
        <f>AND(#REF!,"PJrDyWLbQ/Q=")</f>
        <v>#REF!</v>
      </c>
      <c r="IL146" t="e">
        <f>AND(#REF!,"PJrDyWLbQ/U=")</f>
        <v>#REF!</v>
      </c>
      <c r="IM146" t="e">
        <f>AND(#REF!,"PJrDyWLbQ/Y=")</f>
        <v>#REF!</v>
      </c>
      <c r="IN146" t="e">
        <f>AND(#REF!,"PJrDyWLbQ/c=")</f>
        <v>#REF!</v>
      </c>
      <c r="IO146" t="e">
        <f>AND(#REF!,"PJrDyWLbQ/g=")</f>
        <v>#REF!</v>
      </c>
      <c r="IP146" t="e">
        <f>AND(#REF!,"PJrDyWLbQ/k=")</f>
        <v>#REF!</v>
      </c>
      <c r="IQ146" t="e">
        <f>AND(#REF!,"PJrDyWLbQ/o=")</f>
        <v>#REF!</v>
      </c>
      <c r="IR146" t="e">
        <f>AND(#REF!,"PJrDyWLbQ/s=")</f>
        <v>#REF!</v>
      </c>
      <c r="IS146" t="e">
        <f>AND(#REF!,"PJrDyWLbQ/w=")</f>
        <v>#REF!</v>
      </c>
      <c r="IT146" t="e">
        <f>AND(#REF!,"PJrDyWLbQ/0=")</f>
        <v>#REF!</v>
      </c>
      <c r="IU146" t="e">
        <f>AND(#REF!,"PJrDyWLbQ/4=")</f>
        <v>#REF!</v>
      </c>
      <c r="IV146" t="e">
        <f>AND(#REF!,"PJrDyWLbQ/8=")</f>
        <v>#REF!</v>
      </c>
    </row>
    <row r="147" spans="1:256" x14ac:dyDescent="0.2">
      <c r="A147" t="e">
        <f>AND(#REF!,"MsM49kLPPQA=")</f>
        <v>#REF!</v>
      </c>
      <c r="B147" t="e">
        <f>AND(#REF!,"MsM49kLPPQE=")</f>
        <v>#REF!</v>
      </c>
      <c r="C147" t="e">
        <f>IF(#REF!,"MsM49kLPPQI=",0)</f>
        <v>#REF!</v>
      </c>
      <c r="D147" t="e">
        <f>AND(#REF!,"MsM49kLPPQM=")</f>
        <v>#REF!</v>
      </c>
      <c r="E147" t="e">
        <f>AND(#REF!,"MsM49kLPPQQ=")</f>
        <v>#REF!</v>
      </c>
      <c r="F147" t="e">
        <f>AND(#REF!,"MsM49kLPPQU=")</f>
        <v>#REF!</v>
      </c>
      <c r="G147" t="e">
        <f>AND(#REF!,"MsM49kLPPQY=")</f>
        <v>#REF!</v>
      </c>
      <c r="H147" t="e">
        <f>AND(#REF!,"MsM49kLPPQc=")</f>
        <v>#REF!</v>
      </c>
      <c r="I147" t="e">
        <f>AND(#REF!,"MsM49kLPPQg=")</f>
        <v>#REF!</v>
      </c>
      <c r="J147" t="e">
        <f>AND(#REF!,"MsM49kLPPQk=")</f>
        <v>#REF!</v>
      </c>
      <c r="K147" t="e">
        <f>AND(#REF!,"MsM49kLPPQo=")</f>
        <v>#REF!</v>
      </c>
      <c r="L147" t="e">
        <f>AND(#REF!,"MsM49kLPPQs=")</f>
        <v>#REF!</v>
      </c>
      <c r="M147" t="e">
        <f>AND(#REF!,"MsM49kLPPQw=")</f>
        <v>#REF!</v>
      </c>
      <c r="N147" t="e">
        <f>AND(#REF!,"MsM49kLPPQ0=")</f>
        <v>#REF!</v>
      </c>
      <c r="O147" t="e">
        <f>AND(#REF!,"MsM49kLPPQ4=")</f>
        <v>#REF!</v>
      </c>
      <c r="P147" t="e">
        <f>AND(#REF!,"MsM49kLPPQ8=")</f>
        <v>#REF!</v>
      </c>
      <c r="Q147" t="e">
        <f>AND(#REF!,"MsM49kLPPRA=")</f>
        <v>#REF!</v>
      </c>
      <c r="R147" t="e">
        <f>AND(#REF!,"MsM49kLPPRE=")</f>
        <v>#REF!</v>
      </c>
      <c r="S147" t="e">
        <f>IF(#REF!,"MsM49kLPPRI=",0)</f>
        <v>#REF!</v>
      </c>
      <c r="T147" t="e">
        <f>AND(#REF!,"MsM49kLPPRM=")</f>
        <v>#REF!</v>
      </c>
      <c r="U147" t="e">
        <f>AND(#REF!,"MsM49kLPPRQ=")</f>
        <v>#REF!</v>
      </c>
      <c r="V147" t="e">
        <f>AND(#REF!,"MsM49kLPPRU=")</f>
        <v>#REF!</v>
      </c>
      <c r="W147" t="e">
        <f>AND(#REF!,"MsM49kLPPRY=")</f>
        <v>#REF!</v>
      </c>
      <c r="X147" t="e">
        <f>AND(#REF!,"MsM49kLPPRc=")</f>
        <v>#REF!</v>
      </c>
      <c r="Y147" t="e">
        <f>AND(#REF!,"MsM49kLPPRg=")</f>
        <v>#REF!</v>
      </c>
      <c r="Z147" t="e">
        <f>AND(#REF!,"MsM49kLPPRk=")</f>
        <v>#REF!</v>
      </c>
      <c r="AA147" t="e">
        <f>AND(#REF!,"MsM49kLPPRo=")</f>
        <v>#REF!</v>
      </c>
      <c r="AB147" t="e">
        <f>AND(#REF!,"MsM49kLPPRs=")</f>
        <v>#REF!</v>
      </c>
      <c r="AC147" t="e">
        <f>AND(#REF!,"MsM49kLPPRw=")</f>
        <v>#REF!</v>
      </c>
      <c r="AD147" t="e">
        <f>AND(#REF!,"MsM49kLPPR0=")</f>
        <v>#REF!</v>
      </c>
      <c r="AE147" t="e">
        <f>AND(#REF!,"MsM49kLPPR4=")</f>
        <v>#REF!</v>
      </c>
      <c r="AF147" t="e">
        <f>AND(#REF!,"MsM49kLPPR8=")</f>
        <v>#REF!</v>
      </c>
      <c r="AG147" t="e">
        <f>AND(#REF!,"MsM49kLPPSA=")</f>
        <v>#REF!</v>
      </c>
      <c r="AH147" t="e">
        <f>AND(#REF!,"MsM49kLPPSE=")</f>
        <v>#REF!</v>
      </c>
      <c r="AI147" t="e">
        <f>IF(#REF!,"MsM49kLPPSI=",0)</f>
        <v>#REF!</v>
      </c>
      <c r="AJ147" t="e">
        <f>AND(#REF!,"MsM49kLPPSM=")</f>
        <v>#REF!</v>
      </c>
      <c r="AK147" t="e">
        <f>AND(#REF!,"MsM49kLPPSQ=")</f>
        <v>#REF!</v>
      </c>
      <c r="AL147" t="e">
        <f>AND(#REF!,"MsM49kLPPSU=")</f>
        <v>#REF!</v>
      </c>
      <c r="AM147" t="e">
        <f>AND(#REF!,"MsM49kLPPSY=")</f>
        <v>#REF!</v>
      </c>
      <c r="AN147" t="e">
        <f>AND(#REF!,"MsM49kLPPSc=")</f>
        <v>#REF!</v>
      </c>
      <c r="AO147" t="e">
        <f>AND(#REF!,"MsM49kLPPSg=")</f>
        <v>#REF!</v>
      </c>
      <c r="AP147" t="e">
        <f>AND(#REF!,"MsM49kLPPSk=")</f>
        <v>#REF!</v>
      </c>
      <c r="AQ147" t="e">
        <f>AND(#REF!,"MsM49kLPPSo=")</f>
        <v>#REF!</v>
      </c>
      <c r="AR147" t="e">
        <f>AND(#REF!,"MsM49kLPPSs=")</f>
        <v>#REF!</v>
      </c>
      <c r="AS147" t="e">
        <f>AND(#REF!,"MsM49kLPPSw=")</f>
        <v>#REF!</v>
      </c>
      <c r="AT147" t="e">
        <f>AND(#REF!,"MsM49kLPPS0=")</f>
        <v>#REF!</v>
      </c>
      <c r="AU147" t="e">
        <f>AND(#REF!,"MsM49kLPPS4=")</f>
        <v>#REF!</v>
      </c>
      <c r="AV147" t="e">
        <f>AND(#REF!,"MsM49kLPPS8=")</f>
        <v>#REF!</v>
      </c>
      <c r="AW147" t="e">
        <f>AND(#REF!,"MsM49kLPPTA=")</f>
        <v>#REF!</v>
      </c>
      <c r="AX147" t="e">
        <f>AND(#REF!,"MsM49kLPPTE=")</f>
        <v>#REF!</v>
      </c>
      <c r="AY147" t="e">
        <f>IF(#REF!,"MsM49kLPPTI=",0)</f>
        <v>#REF!</v>
      </c>
      <c r="AZ147" t="e">
        <f>AND(#REF!,"MsM49kLPPTM=")</f>
        <v>#REF!</v>
      </c>
      <c r="BA147" t="e">
        <f>AND(#REF!,"MsM49kLPPTQ=")</f>
        <v>#REF!</v>
      </c>
      <c r="BB147" t="e">
        <f>AND(#REF!,"MsM49kLPPTU=")</f>
        <v>#REF!</v>
      </c>
      <c r="BC147" t="e">
        <f>AND(#REF!,"MsM49kLPPTY=")</f>
        <v>#REF!</v>
      </c>
      <c r="BD147" t="e">
        <f>AND(#REF!,"MsM49kLPPTc=")</f>
        <v>#REF!</v>
      </c>
      <c r="BE147" t="e">
        <f>AND(#REF!,"MsM49kLPPTg=")</f>
        <v>#REF!</v>
      </c>
      <c r="BF147" t="e">
        <f>AND(#REF!,"MsM49kLPPTk=")</f>
        <v>#REF!</v>
      </c>
      <c r="BG147" t="e">
        <f>AND(#REF!,"MsM49kLPPTo=")</f>
        <v>#REF!</v>
      </c>
      <c r="BH147" t="e">
        <f>AND(#REF!,"MsM49kLPPTs=")</f>
        <v>#REF!</v>
      </c>
      <c r="BI147" t="e">
        <f>AND(#REF!,"MsM49kLPPTw=")</f>
        <v>#REF!</v>
      </c>
      <c r="BJ147" t="e">
        <f>AND(#REF!,"MsM49kLPPT0=")</f>
        <v>#REF!</v>
      </c>
      <c r="BK147" t="e">
        <f>AND(#REF!,"MsM49kLPPT4=")</f>
        <v>#REF!</v>
      </c>
      <c r="BL147" t="e">
        <f>AND(#REF!,"MsM49kLPPT8=")</f>
        <v>#REF!</v>
      </c>
      <c r="BM147" t="e">
        <f>AND(#REF!,"MsM49kLPPUA=")</f>
        <v>#REF!</v>
      </c>
      <c r="BN147" t="e">
        <f>AND(#REF!,"MsM49kLPPUE=")</f>
        <v>#REF!</v>
      </c>
      <c r="BO147" t="e">
        <f>IF(#REF!,"MsM49kLPPUI=",0)</f>
        <v>#REF!</v>
      </c>
      <c r="BP147" t="e">
        <f>AND(#REF!,"MsM49kLPPUM=")</f>
        <v>#REF!</v>
      </c>
      <c r="BQ147" t="e">
        <f>AND(#REF!,"MsM49kLPPUQ=")</f>
        <v>#REF!</v>
      </c>
      <c r="BR147" t="e">
        <f>AND(#REF!,"MsM49kLPPUU=")</f>
        <v>#REF!</v>
      </c>
      <c r="BS147" t="e">
        <f>AND(#REF!,"MsM49kLPPUY=")</f>
        <v>#REF!</v>
      </c>
      <c r="BT147" t="e">
        <f>AND(#REF!,"MsM49kLPPUc=")</f>
        <v>#REF!</v>
      </c>
      <c r="BU147" t="e">
        <f>AND(#REF!,"MsM49kLPPUg=")</f>
        <v>#REF!</v>
      </c>
      <c r="BV147" t="e">
        <f>AND(#REF!,"MsM49kLPPUk=")</f>
        <v>#REF!</v>
      </c>
      <c r="BW147" t="e">
        <f>AND(#REF!,"MsM49kLPPUo=")</f>
        <v>#REF!</v>
      </c>
      <c r="BX147" t="e">
        <f>AND(#REF!,"MsM49kLPPUs=")</f>
        <v>#REF!</v>
      </c>
      <c r="BY147" t="e">
        <f>AND(#REF!,"MsM49kLPPUw=")</f>
        <v>#REF!</v>
      </c>
      <c r="BZ147" t="e">
        <f>AND(#REF!,"MsM49kLPPU0=")</f>
        <v>#REF!</v>
      </c>
      <c r="CA147" t="e">
        <f>AND(#REF!,"MsM49kLPPU4=")</f>
        <v>#REF!</v>
      </c>
      <c r="CB147" t="e">
        <f>AND(#REF!,"MsM49kLPPU8=")</f>
        <v>#REF!</v>
      </c>
      <c r="CC147" t="e">
        <f>AND(#REF!,"MsM49kLPPVA=")</f>
        <v>#REF!</v>
      </c>
      <c r="CD147" t="e">
        <f>AND(#REF!,"MsM49kLPPVE=")</f>
        <v>#REF!</v>
      </c>
      <c r="CE147" t="e">
        <f>IF(#REF!,"MsM49kLPPVI=",0)</f>
        <v>#REF!</v>
      </c>
      <c r="CF147" t="e">
        <f>AND(#REF!,"MsM49kLPPVM=")</f>
        <v>#REF!</v>
      </c>
      <c r="CG147" t="e">
        <f>AND(#REF!,"MsM49kLPPVQ=")</f>
        <v>#REF!</v>
      </c>
      <c r="CH147" t="e">
        <f>AND(#REF!,"MsM49kLPPVU=")</f>
        <v>#REF!</v>
      </c>
      <c r="CI147" t="e">
        <f>AND(#REF!,"MsM49kLPPVY=")</f>
        <v>#REF!</v>
      </c>
      <c r="CJ147" t="e">
        <f>AND(#REF!,"MsM49kLPPVc=")</f>
        <v>#REF!</v>
      </c>
      <c r="CK147" t="e">
        <f>AND(#REF!,"MsM49kLPPVg=")</f>
        <v>#REF!</v>
      </c>
      <c r="CL147" t="e">
        <f>AND(#REF!,"MsM49kLPPVk=")</f>
        <v>#REF!</v>
      </c>
      <c r="CM147" t="e">
        <f>AND(#REF!,"MsM49kLPPVo=")</f>
        <v>#REF!</v>
      </c>
      <c r="CN147" t="e">
        <f>AND(#REF!,"MsM49kLPPVs=")</f>
        <v>#REF!</v>
      </c>
      <c r="CO147" t="e">
        <f>AND(#REF!,"MsM49kLPPVw=")</f>
        <v>#REF!</v>
      </c>
      <c r="CP147" t="e">
        <f>AND(#REF!,"MsM49kLPPV0=")</f>
        <v>#REF!</v>
      </c>
      <c r="CQ147" t="e">
        <f>AND(#REF!,"MsM49kLPPV4=")</f>
        <v>#REF!</v>
      </c>
      <c r="CR147" t="e">
        <f>AND(#REF!,"MsM49kLPPV8=")</f>
        <v>#REF!</v>
      </c>
      <c r="CS147" t="e">
        <f>AND(#REF!,"MsM49kLPPWA=")</f>
        <v>#REF!</v>
      </c>
      <c r="CT147" t="e">
        <f>AND(#REF!,"MsM49kLPPWE=")</f>
        <v>#REF!</v>
      </c>
      <c r="CU147" t="e">
        <f>IF(#REF!,"MsM49kLPPWI=",0)</f>
        <v>#REF!</v>
      </c>
      <c r="CV147" t="e">
        <f>AND(#REF!,"MsM49kLPPWM=")</f>
        <v>#REF!</v>
      </c>
      <c r="CW147" t="e">
        <f>AND(#REF!,"MsM49kLPPWQ=")</f>
        <v>#REF!</v>
      </c>
      <c r="CX147" t="e">
        <f>AND(#REF!,"MsM49kLPPWU=")</f>
        <v>#REF!</v>
      </c>
      <c r="CY147" t="e">
        <f>AND(#REF!,"MsM49kLPPWY=")</f>
        <v>#REF!</v>
      </c>
      <c r="CZ147" t="e">
        <f>AND(#REF!,"MsM49kLPPWc=")</f>
        <v>#REF!</v>
      </c>
      <c r="DA147" t="e">
        <f>AND(#REF!,"MsM49kLPPWg=")</f>
        <v>#REF!</v>
      </c>
      <c r="DB147" t="e">
        <f>AND(#REF!,"MsM49kLPPWk=")</f>
        <v>#REF!</v>
      </c>
      <c r="DC147" t="e">
        <f>AND(#REF!,"MsM49kLPPWo=")</f>
        <v>#REF!</v>
      </c>
      <c r="DD147" t="e">
        <f>AND(#REF!,"MsM49kLPPWs=")</f>
        <v>#REF!</v>
      </c>
      <c r="DE147" t="e">
        <f>AND(#REF!,"MsM49kLPPWw=")</f>
        <v>#REF!</v>
      </c>
      <c r="DF147" t="e">
        <f>AND(#REF!,"MsM49kLPPW0=")</f>
        <v>#REF!</v>
      </c>
      <c r="DG147" t="e">
        <f>AND(#REF!,"MsM49kLPPW4=")</f>
        <v>#REF!</v>
      </c>
      <c r="DH147" t="e">
        <f>AND(#REF!,"MsM49kLPPW8=")</f>
        <v>#REF!</v>
      </c>
      <c r="DI147" t="e">
        <f>AND(#REF!,"MsM49kLPPXA=")</f>
        <v>#REF!</v>
      </c>
      <c r="DJ147" t="e">
        <f>AND(#REF!,"MsM49kLPPXE=")</f>
        <v>#REF!</v>
      </c>
      <c r="DK147" t="e">
        <f>IF(#REF!,"MsM49kLPPXI=",0)</f>
        <v>#REF!</v>
      </c>
      <c r="DL147" t="e">
        <f>AND(#REF!,"MsM49kLPPXM=")</f>
        <v>#REF!</v>
      </c>
      <c r="DM147" t="e">
        <f>AND(#REF!,"MsM49kLPPXQ=")</f>
        <v>#REF!</v>
      </c>
      <c r="DN147" t="e">
        <f>AND(#REF!,"MsM49kLPPXU=")</f>
        <v>#REF!</v>
      </c>
      <c r="DO147" t="e">
        <f>AND(#REF!,"MsM49kLPPXY=")</f>
        <v>#REF!</v>
      </c>
      <c r="DP147" t="e">
        <f>AND(#REF!,"MsM49kLPPXc=")</f>
        <v>#REF!</v>
      </c>
      <c r="DQ147" t="e">
        <f>AND(#REF!,"MsM49kLPPXg=")</f>
        <v>#REF!</v>
      </c>
      <c r="DR147" t="e">
        <f>AND(#REF!,"MsM49kLPPXk=")</f>
        <v>#REF!</v>
      </c>
      <c r="DS147" t="e">
        <f>AND(#REF!,"MsM49kLPPXo=")</f>
        <v>#REF!</v>
      </c>
      <c r="DT147" t="e">
        <f>AND(#REF!,"MsM49kLPPXs=")</f>
        <v>#REF!</v>
      </c>
      <c r="DU147" t="e">
        <f>AND(#REF!,"MsM49kLPPXw=")</f>
        <v>#REF!</v>
      </c>
      <c r="DV147" t="e">
        <f>AND(#REF!,"MsM49kLPPX0=")</f>
        <v>#REF!</v>
      </c>
      <c r="DW147" t="e">
        <f>AND(#REF!,"MsM49kLPPX4=")</f>
        <v>#REF!</v>
      </c>
      <c r="DX147" t="e">
        <f>AND(#REF!,"MsM49kLPPX8=")</f>
        <v>#REF!</v>
      </c>
      <c r="DY147" t="e">
        <f>AND(#REF!,"MsM49kLPPYA=")</f>
        <v>#REF!</v>
      </c>
      <c r="DZ147" t="e">
        <f>AND(#REF!,"MsM49kLPPYE=")</f>
        <v>#REF!</v>
      </c>
      <c r="EA147" t="e">
        <f>IF(#REF!,"MsM49kLPPYI=",0)</f>
        <v>#REF!</v>
      </c>
      <c r="EB147" t="e">
        <f>AND(#REF!,"MsM49kLPPYM=")</f>
        <v>#REF!</v>
      </c>
      <c r="EC147" t="e">
        <f>AND(#REF!,"MsM49kLPPYQ=")</f>
        <v>#REF!</v>
      </c>
      <c r="ED147" t="e">
        <f>AND(#REF!,"MsM49kLPPYU=")</f>
        <v>#REF!</v>
      </c>
      <c r="EE147" t="e">
        <f>AND(#REF!,"MsM49kLPPYY=")</f>
        <v>#REF!</v>
      </c>
      <c r="EF147" t="e">
        <f>AND(#REF!,"MsM49kLPPYc=")</f>
        <v>#REF!</v>
      </c>
      <c r="EG147" t="e">
        <f>AND(#REF!,"MsM49kLPPYg=")</f>
        <v>#REF!</v>
      </c>
      <c r="EH147" t="e">
        <f>AND(#REF!,"MsM49kLPPYk=")</f>
        <v>#REF!</v>
      </c>
      <c r="EI147" t="e">
        <f>AND(#REF!,"MsM49kLPPYo=")</f>
        <v>#REF!</v>
      </c>
      <c r="EJ147" t="e">
        <f>AND(#REF!,"MsM49kLPPYs=")</f>
        <v>#REF!</v>
      </c>
      <c r="EK147" t="e">
        <f>AND(#REF!,"MsM49kLPPYw=")</f>
        <v>#REF!</v>
      </c>
      <c r="EL147" t="e">
        <f>AND(#REF!,"MsM49kLPPY0=")</f>
        <v>#REF!</v>
      </c>
      <c r="EM147" t="e">
        <f>AND(#REF!,"MsM49kLPPY4=")</f>
        <v>#REF!</v>
      </c>
      <c r="EN147" t="e">
        <f>AND(#REF!,"MsM49kLPPY8=")</f>
        <v>#REF!</v>
      </c>
      <c r="EO147" t="e">
        <f>AND(#REF!,"MsM49kLPPZA=")</f>
        <v>#REF!</v>
      </c>
      <c r="EP147" t="e">
        <f>AND(#REF!,"MsM49kLPPZE=")</f>
        <v>#REF!</v>
      </c>
      <c r="EQ147" t="e">
        <f>IF(#REF!,"MsM49kLPPZI=",0)</f>
        <v>#REF!</v>
      </c>
      <c r="ER147" t="e">
        <f>AND(#REF!,"MsM49kLPPZM=")</f>
        <v>#REF!</v>
      </c>
      <c r="ES147" t="e">
        <f>AND(#REF!,"MsM49kLPPZQ=")</f>
        <v>#REF!</v>
      </c>
      <c r="ET147" t="e">
        <f>AND(#REF!,"MsM49kLPPZU=")</f>
        <v>#REF!</v>
      </c>
      <c r="EU147" t="e">
        <f>AND(#REF!,"MsM49kLPPZY=")</f>
        <v>#REF!</v>
      </c>
      <c r="EV147" t="e">
        <f>AND(#REF!,"MsM49kLPPZc=")</f>
        <v>#REF!</v>
      </c>
      <c r="EW147" t="e">
        <f>AND(#REF!,"MsM49kLPPZg=")</f>
        <v>#REF!</v>
      </c>
      <c r="EX147" t="e">
        <f>AND(#REF!,"MsM49kLPPZk=")</f>
        <v>#REF!</v>
      </c>
      <c r="EY147" t="e">
        <f>AND(#REF!,"MsM49kLPPZo=")</f>
        <v>#REF!</v>
      </c>
      <c r="EZ147" t="e">
        <f>AND(#REF!,"MsM49kLPPZs=")</f>
        <v>#REF!</v>
      </c>
      <c r="FA147" t="e">
        <f>AND(#REF!,"MsM49kLPPZw=")</f>
        <v>#REF!</v>
      </c>
      <c r="FB147" t="e">
        <f>AND(#REF!,"MsM49kLPPZ0=")</f>
        <v>#REF!</v>
      </c>
      <c r="FC147" t="e">
        <f>AND(#REF!,"MsM49kLPPZ4=")</f>
        <v>#REF!</v>
      </c>
      <c r="FD147" t="e">
        <f>AND(#REF!,"MsM49kLPPZ8=")</f>
        <v>#REF!</v>
      </c>
      <c r="FE147" t="e">
        <f>AND(#REF!,"MsM49kLPPaA=")</f>
        <v>#REF!</v>
      </c>
      <c r="FF147" t="e">
        <f>AND(#REF!,"MsM49kLPPaE=")</f>
        <v>#REF!</v>
      </c>
      <c r="FG147" t="e">
        <f>IF(#REF!,"MsM49kLPPaI=",0)</f>
        <v>#REF!</v>
      </c>
      <c r="FH147" t="e">
        <f>AND(#REF!,"MsM49kLPPaM=")</f>
        <v>#REF!</v>
      </c>
      <c r="FI147" t="e">
        <f>AND(#REF!,"MsM49kLPPaQ=")</f>
        <v>#REF!</v>
      </c>
      <c r="FJ147" t="e">
        <f>AND(#REF!,"MsM49kLPPaU=")</f>
        <v>#REF!</v>
      </c>
      <c r="FK147" t="e">
        <f>AND(#REF!,"MsM49kLPPaY=")</f>
        <v>#REF!</v>
      </c>
      <c r="FL147" t="e">
        <f>AND(#REF!,"MsM49kLPPac=")</f>
        <v>#REF!</v>
      </c>
      <c r="FM147" t="e">
        <f>AND(#REF!,"MsM49kLPPag=")</f>
        <v>#REF!</v>
      </c>
      <c r="FN147" t="e">
        <f>AND(#REF!,"MsM49kLPPak=")</f>
        <v>#REF!</v>
      </c>
      <c r="FO147" t="e">
        <f>AND(#REF!,"MsM49kLPPao=")</f>
        <v>#REF!</v>
      </c>
      <c r="FP147" t="e">
        <f>AND(#REF!,"MsM49kLPPas=")</f>
        <v>#REF!</v>
      </c>
      <c r="FQ147" t="e">
        <f>AND(#REF!,"MsM49kLPPaw=")</f>
        <v>#REF!</v>
      </c>
      <c r="FR147" t="e">
        <f>AND(#REF!,"MsM49kLPPa0=")</f>
        <v>#REF!</v>
      </c>
      <c r="FS147" t="e">
        <f>AND(#REF!,"MsM49kLPPa4=")</f>
        <v>#REF!</v>
      </c>
      <c r="FT147" t="e">
        <f>AND(#REF!,"MsM49kLPPa8=")</f>
        <v>#REF!</v>
      </c>
      <c r="FU147" t="e">
        <f>AND(#REF!,"MsM49kLPPbA=")</f>
        <v>#REF!</v>
      </c>
      <c r="FV147" t="e">
        <f>AND(#REF!,"MsM49kLPPbE=")</f>
        <v>#REF!</v>
      </c>
      <c r="FW147" t="e">
        <f>IF(#REF!,"MsM49kLPPbI=",0)</f>
        <v>#REF!</v>
      </c>
      <c r="FX147" t="e">
        <f>AND(#REF!,"MsM49kLPPbM=")</f>
        <v>#REF!</v>
      </c>
      <c r="FY147" t="e">
        <f>AND(#REF!,"MsM49kLPPbQ=")</f>
        <v>#REF!</v>
      </c>
      <c r="FZ147" t="e">
        <f>AND(#REF!,"MsM49kLPPbU=")</f>
        <v>#REF!</v>
      </c>
      <c r="GA147" t="e">
        <f>AND(#REF!,"MsM49kLPPbY=")</f>
        <v>#REF!</v>
      </c>
      <c r="GB147" t="e">
        <f>AND(#REF!,"MsM49kLPPbc=")</f>
        <v>#REF!</v>
      </c>
      <c r="GC147" t="e">
        <f>AND(#REF!,"MsM49kLPPbg=")</f>
        <v>#REF!</v>
      </c>
      <c r="GD147" t="e">
        <f>AND(#REF!,"MsM49kLPPbk=")</f>
        <v>#REF!</v>
      </c>
      <c r="GE147" t="e">
        <f>AND(#REF!,"MsM49kLPPbo=")</f>
        <v>#REF!</v>
      </c>
      <c r="GF147" t="e">
        <f>AND(#REF!,"MsM49kLPPbs=")</f>
        <v>#REF!</v>
      </c>
      <c r="GG147" t="e">
        <f>AND(#REF!,"MsM49kLPPbw=")</f>
        <v>#REF!</v>
      </c>
      <c r="GH147" t="e">
        <f>AND(#REF!,"MsM49kLPPb0=")</f>
        <v>#REF!</v>
      </c>
      <c r="GI147" t="e">
        <f>AND(#REF!,"MsM49kLPPb4=")</f>
        <v>#REF!</v>
      </c>
      <c r="GJ147" t="e">
        <f>AND(#REF!,"MsM49kLPPb8=")</f>
        <v>#REF!</v>
      </c>
      <c r="GK147" t="e">
        <f>AND(#REF!,"MsM49kLPPcA=")</f>
        <v>#REF!</v>
      </c>
      <c r="GL147" t="e">
        <f>AND(#REF!,"MsM49kLPPcE=")</f>
        <v>#REF!</v>
      </c>
      <c r="GM147" t="e">
        <f>IF(#REF!,"MsM49kLPPcI=",0)</f>
        <v>#REF!</v>
      </c>
      <c r="GN147" t="e">
        <f>AND(#REF!,"MsM49kLPPcM=")</f>
        <v>#REF!</v>
      </c>
      <c r="GO147" t="e">
        <f>AND(#REF!,"MsM49kLPPcQ=")</f>
        <v>#REF!</v>
      </c>
      <c r="GP147" t="e">
        <f>AND(#REF!,"MsM49kLPPcU=")</f>
        <v>#REF!</v>
      </c>
      <c r="GQ147" t="e">
        <f>AND(#REF!,"MsM49kLPPcY=")</f>
        <v>#REF!</v>
      </c>
      <c r="GR147" t="e">
        <f>AND(#REF!,"MsM49kLPPcc=")</f>
        <v>#REF!</v>
      </c>
      <c r="GS147" t="e">
        <f>AND(#REF!,"MsM49kLPPcg=")</f>
        <v>#REF!</v>
      </c>
      <c r="GT147" t="e">
        <f>AND(#REF!,"MsM49kLPPck=")</f>
        <v>#REF!</v>
      </c>
      <c r="GU147" t="e">
        <f>AND(#REF!,"MsM49kLPPco=")</f>
        <v>#REF!</v>
      </c>
      <c r="GV147" t="e">
        <f>AND(#REF!,"MsM49kLPPcs=")</f>
        <v>#REF!</v>
      </c>
      <c r="GW147" t="e">
        <f>AND(#REF!,"MsM49kLPPcw=")</f>
        <v>#REF!</v>
      </c>
      <c r="GX147" t="e">
        <f>AND(#REF!,"MsM49kLPPc0=")</f>
        <v>#REF!</v>
      </c>
      <c r="GY147" t="e">
        <f>AND(#REF!,"MsM49kLPPc4=")</f>
        <v>#REF!</v>
      </c>
      <c r="GZ147" t="e">
        <f>AND(#REF!,"MsM49kLPPc8=")</f>
        <v>#REF!</v>
      </c>
      <c r="HA147" t="e">
        <f>AND(#REF!,"MsM49kLPPdA=")</f>
        <v>#REF!</v>
      </c>
      <c r="HB147" t="e">
        <f>AND(#REF!,"MsM49kLPPdE=")</f>
        <v>#REF!</v>
      </c>
      <c r="HC147" t="e">
        <f>IF(#REF!,"MsM49kLPPdI=",0)</f>
        <v>#REF!</v>
      </c>
      <c r="HD147" t="e">
        <f>AND(#REF!,"MsM49kLPPdM=")</f>
        <v>#REF!</v>
      </c>
      <c r="HE147" t="e">
        <f>AND(#REF!,"MsM49kLPPdQ=")</f>
        <v>#REF!</v>
      </c>
      <c r="HF147" t="e">
        <f>AND(#REF!,"MsM49kLPPdU=")</f>
        <v>#REF!</v>
      </c>
      <c r="HG147" t="e">
        <f>AND(#REF!,"MsM49kLPPdY=")</f>
        <v>#REF!</v>
      </c>
      <c r="HH147" t="e">
        <f>AND(#REF!,"MsM49kLPPdc=")</f>
        <v>#REF!</v>
      </c>
      <c r="HI147" t="e">
        <f>AND(#REF!,"MsM49kLPPdg=")</f>
        <v>#REF!</v>
      </c>
      <c r="HJ147" t="e">
        <f>AND(#REF!,"MsM49kLPPdk=")</f>
        <v>#REF!</v>
      </c>
      <c r="HK147" t="e">
        <f>AND(#REF!,"MsM49kLPPdo=")</f>
        <v>#REF!</v>
      </c>
      <c r="HL147" t="e">
        <f>AND(#REF!,"MsM49kLPPds=")</f>
        <v>#REF!</v>
      </c>
      <c r="HM147" t="e">
        <f>AND(#REF!,"MsM49kLPPdw=")</f>
        <v>#REF!</v>
      </c>
      <c r="HN147" t="e">
        <f>AND(#REF!,"MsM49kLPPd0=")</f>
        <v>#REF!</v>
      </c>
      <c r="HO147" t="e">
        <f>AND(#REF!,"MsM49kLPPd4=")</f>
        <v>#REF!</v>
      </c>
      <c r="HP147" t="e">
        <f>AND(#REF!,"MsM49kLPPd8=")</f>
        <v>#REF!</v>
      </c>
      <c r="HQ147" t="e">
        <f>AND(#REF!,"MsM49kLPPeA=")</f>
        <v>#REF!</v>
      </c>
      <c r="HR147" t="e">
        <f>AND(#REF!,"MsM49kLPPeE=")</f>
        <v>#REF!</v>
      </c>
      <c r="HS147" t="e">
        <f>IF(#REF!,"MsM49kLPPeI=",0)</f>
        <v>#REF!</v>
      </c>
      <c r="HT147" t="e">
        <f>AND(#REF!,"MsM49kLPPeM=")</f>
        <v>#REF!</v>
      </c>
      <c r="HU147" t="e">
        <f>AND(#REF!,"MsM49kLPPeQ=")</f>
        <v>#REF!</v>
      </c>
      <c r="HV147" t="e">
        <f>AND(#REF!,"MsM49kLPPeU=")</f>
        <v>#REF!</v>
      </c>
      <c r="HW147" t="e">
        <f>AND(#REF!,"MsM49kLPPeY=")</f>
        <v>#REF!</v>
      </c>
      <c r="HX147" t="e">
        <f>AND(#REF!,"MsM49kLPPec=")</f>
        <v>#REF!</v>
      </c>
      <c r="HY147" t="e">
        <f>AND(#REF!,"MsM49kLPPeg=")</f>
        <v>#REF!</v>
      </c>
      <c r="HZ147" t="e">
        <f>AND(#REF!,"MsM49kLPPek=")</f>
        <v>#REF!</v>
      </c>
      <c r="IA147" t="e">
        <f>AND(#REF!,"MsM49kLPPeo=")</f>
        <v>#REF!</v>
      </c>
      <c r="IB147" t="e">
        <f>AND(#REF!,"MsM49kLPPes=")</f>
        <v>#REF!</v>
      </c>
      <c r="IC147" t="e">
        <f>AND(#REF!,"MsM49kLPPew=")</f>
        <v>#REF!</v>
      </c>
      <c r="ID147" t="e">
        <f>AND(#REF!,"MsM49kLPPe0=")</f>
        <v>#REF!</v>
      </c>
      <c r="IE147" t="e">
        <f>AND(#REF!,"MsM49kLPPe4=")</f>
        <v>#REF!</v>
      </c>
      <c r="IF147" t="e">
        <f>AND(#REF!,"MsM49kLPPe8=")</f>
        <v>#REF!</v>
      </c>
      <c r="IG147" t="e">
        <f>AND(#REF!,"MsM49kLPPfA=")</f>
        <v>#REF!</v>
      </c>
      <c r="IH147" t="e">
        <f>AND(#REF!,"MsM49kLPPfE=")</f>
        <v>#REF!</v>
      </c>
      <c r="II147" t="e">
        <f>IF(#REF!,"MsM49kLPPfI=",0)</f>
        <v>#REF!</v>
      </c>
      <c r="IJ147" t="e">
        <f>AND(#REF!,"MsM49kLPPfM=")</f>
        <v>#REF!</v>
      </c>
      <c r="IK147" t="e">
        <f>AND(#REF!,"MsM49kLPPfQ=")</f>
        <v>#REF!</v>
      </c>
      <c r="IL147" t="e">
        <f>AND(#REF!,"MsM49kLPPfU=")</f>
        <v>#REF!</v>
      </c>
      <c r="IM147" t="e">
        <f>AND(#REF!,"MsM49kLPPfY=")</f>
        <v>#REF!</v>
      </c>
      <c r="IN147" t="e">
        <f>AND(#REF!,"MsM49kLPPfc=")</f>
        <v>#REF!</v>
      </c>
      <c r="IO147" t="e">
        <f>AND(#REF!,"MsM49kLPPfg=")</f>
        <v>#REF!</v>
      </c>
      <c r="IP147" t="e">
        <f>AND(#REF!,"MsM49kLPPfk=")</f>
        <v>#REF!</v>
      </c>
      <c r="IQ147" t="e">
        <f>AND(#REF!,"MsM49kLPPfo=")</f>
        <v>#REF!</v>
      </c>
      <c r="IR147" t="e">
        <f>AND(#REF!,"MsM49kLPPfs=")</f>
        <v>#REF!</v>
      </c>
      <c r="IS147" t="e">
        <f>AND(#REF!,"MsM49kLPPfw=")</f>
        <v>#REF!</v>
      </c>
      <c r="IT147" t="e">
        <f>AND(#REF!,"MsM49kLPPf0=")</f>
        <v>#REF!</v>
      </c>
      <c r="IU147" t="e">
        <f>AND(#REF!,"MsM49kLPPf4=")</f>
        <v>#REF!</v>
      </c>
      <c r="IV147" t="e">
        <f>AND(#REF!,"MsM49kLPPf8=")</f>
        <v>#REF!</v>
      </c>
    </row>
    <row r="148" spans="1:256" x14ac:dyDescent="0.2">
      <c r="A148" t="e">
        <f>AND(#REF!,"QdDaGQk4zwA=")</f>
        <v>#REF!</v>
      </c>
      <c r="B148" t="e">
        <f>AND(#REF!,"QdDaGQk4zwE=")</f>
        <v>#REF!</v>
      </c>
      <c r="C148" t="e">
        <f>IF(#REF!,"QdDaGQk4zwI=",0)</f>
        <v>#REF!</v>
      </c>
      <c r="D148" t="e">
        <f>AND(#REF!,"QdDaGQk4zwM=")</f>
        <v>#REF!</v>
      </c>
      <c r="E148" t="e">
        <f>AND(#REF!,"QdDaGQk4zwQ=")</f>
        <v>#REF!</v>
      </c>
      <c r="F148" t="e">
        <f>AND(#REF!,"QdDaGQk4zwU=")</f>
        <v>#REF!</v>
      </c>
      <c r="G148" t="e">
        <f>AND(#REF!,"QdDaGQk4zwY=")</f>
        <v>#REF!</v>
      </c>
      <c r="H148" t="e">
        <f>AND(#REF!,"QdDaGQk4zwc=")</f>
        <v>#REF!</v>
      </c>
      <c r="I148" t="e">
        <f>AND(#REF!,"QdDaGQk4zwg=")</f>
        <v>#REF!</v>
      </c>
      <c r="J148" t="e">
        <f>AND(#REF!,"QdDaGQk4zwk=")</f>
        <v>#REF!</v>
      </c>
      <c r="K148" t="e">
        <f>AND(#REF!,"QdDaGQk4zwo=")</f>
        <v>#REF!</v>
      </c>
      <c r="L148" t="e">
        <f>AND(#REF!,"QdDaGQk4zws=")</f>
        <v>#REF!</v>
      </c>
      <c r="M148" t="e">
        <f>AND(#REF!,"QdDaGQk4zww=")</f>
        <v>#REF!</v>
      </c>
      <c r="N148" t="e">
        <f>AND(#REF!,"QdDaGQk4zw0=")</f>
        <v>#REF!</v>
      </c>
      <c r="O148" t="e">
        <f>AND(#REF!,"QdDaGQk4zw4=")</f>
        <v>#REF!</v>
      </c>
      <c r="P148" t="e">
        <f>AND(#REF!,"QdDaGQk4zw8=")</f>
        <v>#REF!</v>
      </c>
      <c r="Q148" t="e">
        <f>AND(#REF!,"QdDaGQk4zxA=")</f>
        <v>#REF!</v>
      </c>
      <c r="R148" t="e">
        <f>AND(#REF!,"QdDaGQk4zxE=")</f>
        <v>#REF!</v>
      </c>
      <c r="S148" t="e">
        <f>IF(#REF!,"QdDaGQk4zxI=",0)</f>
        <v>#REF!</v>
      </c>
      <c r="T148" t="e">
        <f>AND(#REF!,"QdDaGQk4zxM=")</f>
        <v>#REF!</v>
      </c>
      <c r="U148" t="e">
        <f>AND(#REF!,"QdDaGQk4zxQ=")</f>
        <v>#REF!</v>
      </c>
      <c r="V148" t="e">
        <f>AND(#REF!,"QdDaGQk4zxU=")</f>
        <v>#REF!</v>
      </c>
      <c r="W148" t="e">
        <f>AND(#REF!,"QdDaGQk4zxY=")</f>
        <v>#REF!</v>
      </c>
      <c r="X148" t="e">
        <f>AND(#REF!,"QdDaGQk4zxc=")</f>
        <v>#REF!</v>
      </c>
      <c r="Y148" t="e">
        <f>AND(#REF!,"QdDaGQk4zxg=")</f>
        <v>#REF!</v>
      </c>
      <c r="Z148" t="e">
        <f>AND(#REF!,"QdDaGQk4zxk=")</f>
        <v>#REF!</v>
      </c>
      <c r="AA148" t="e">
        <f>AND(#REF!,"QdDaGQk4zxo=")</f>
        <v>#REF!</v>
      </c>
      <c r="AB148" t="e">
        <f>AND(#REF!,"QdDaGQk4zxs=")</f>
        <v>#REF!</v>
      </c>
      <c r="AC148" t="e">
        <f>AND(#REF!,"QdDaGQk4zxw=")</f>
        <v>#REF!</v>
      </c>
      <c r="AD148" t="e">
        <f>AND(#REF!,"QdDaGQk4zx0=")</f>
        <v>#REF!</v>
      </c>
      <c r="AE148" t="e">
        <f>AND(#REF!,"QdDaGQk4zx4=")</f>
        <v>#REF!</v>
      </c>
      <c r="AF148" t="e">
        <f>AND(#REF!,"QdDaGQk4zx8=")</f>
        <v>#REF!</v>
      </c>
      <c r="AG148" t="e">
        <f>AND(#REF!,"QdDaGQk4zyA=")</f>
        <v>#REF!</v>
      </c>
      <c r="AH148" t="e">
        <f>AND(#REF!,"QdDaGQk4zyE=")</f>
        <v>#REF!</v>
      </c>
      <c r="AI148" t="e">
        <f>IF(#REF!,"QdDaGQk4zyI=",0)</f>
        <v>#REF!</v>
      </c>
      <c r="AJ148" t="e">
        <f>AND(#REF!,"QdDaGQk4zyM=")</f>
        <v>#REF!</v>
      </c>
      <c r="AK148" t="e">
        <f>AND(#REF!,"QdDaGQk4zyQ=")</f>
        <v>#REF!</v>
      </c>
      <c r="AL148" t="e">
        <f>AND(#REF!,"QdDaGQk4zyU=")</f>
        <v>#REF!</v>
      </c>
      <c r="AM148" t="e">
        <f>AND(#REF!,"QdDaGQk4zyY=")</f>
        <v>#REF!</v>
      </c>
      <c r="AN148" t="e">
        <f>AND(#REF!,"QdDaGQk4zyc=")</f>
        <v>#REF!</v>
      </c>
      <c r="AO148" t="e">
        <f>AND(#REF!,"QdDaGQk4zyg=")</f>
        <v>#REF!</v>
      </c>
      <c r="AP148" t="e">
        <f>AND(#REF!,"QdDaGQk4zyk=")</f>
        <v>#REF!</v>
      </c>
      <c r="AQ148" t="e">
        <f>AND(#REF!,"QdDaGQk4zyo=")</f>
        <v>#REF!</v>
      </c>
      <c r="AR148" t="e">
        <f>AND(#REF!,"QdDaGQk4zys=")</f>
        <v>#REF!</v>
      </c>
      <c r="AS148" t="e">
        <f>AND(#REF!,"QdDaGQk4zyw=")</f>
        <v>#REF!</v>
      </c>
      <c r="AT148" t="e">
        <f>AND(#REF!,"QdDaGQk4zy0=")</f>
        <v>#REF!</v>
      </c>
      <c r="AU148" t="e">
        <f>AND(#REF!,"QdDaGQk4zy4=")</f>
        <v>#REF!</v>
      </c>
      <c r="AV148" t="e">
        <f>AND(#REF!,"QdDaGQk4zy8=")</f>
        <v>#REF!</v>
      </c>
      <c r="AW148" t="e">
        <f>AND(#REF!,"QdDaGQk4zzA=")</f>
        <v>#REF!</v>
      </c>
      <c r="AX148" t="e">
        <f>AND(#REF!,"QdDaGQk4zzE=")</f>
        <v>#REF!</v>
      </c>
      <c r="AY148" t="e">
        <f>IF(#REF!,"QdDaGQk4zzI=",0)</f>
        <v>#REF!</v>
      </c>
      <c r="AZ148" t="e">
        <f>AND(#REF!,"QdDaGQk4zzM=")</f>
        <v>#REF!</v>
      </c>
      <c r="BA148" t="e">
        <f>AND(#REF!,"QdDaGQk4zzQ=")</f>
        <v>#REF!</v>
      </c>
      <c r="BB148" t="e">
        <f>AND(#REF!,"QdDaGQk4zzU=")</f>
        <v>#REF!</v>
      </c>
      <c r="BC148" t="e">
        <f>AND(#REF!,"QdDaGQk4zzY=")</f>
        <v>#REF!</v>
      </c>
      <c r="BD148" t="e">
        <f>AND(#REF!,"QdDaGQk4zzc=")</f>
        <v>#REF!</v>
      </c>
      <c r="BE148" t="e">
        <f>AND(#REF!,"QdDaGQk4zzg=")</f>
        <v>#REF!</v>
      </c>
      <c r="BF148" t="e">
        <f>AND(#REF!,"QdDaGQk4zzk=")</f>
        <v>#REF!</v>
      </c>
      <c r="BG148" t="e">
        <f>AND(#REF!,"QdDaGQk4zzo=")</f>
        <v>#REF!</v>
      </c>
      <c r="BH148" t="e">
        <f>AND(#REF!,"QdDaGQk4zzs=")</f>
        <v>#REF!</v>
      </c>
      <c r="BI148" t="e">
        <f>AND(#REF!,"QdDaGQk4zzw=")</f>
        <v>#REF!</v>
      </c>
      <c r="BJ148" t="e">
        <f>AND(#REF!,"QdDaGQk4zz0=")</f>
        <v>#REF!</v>
      </c>
      <c r="BK148" t="e">
        <f>AND(#REF!,"QdDaGQk4zz4=")</f>
        <v>#REF!</v>
      </c>
      <c r="BL148" t="e">
        <f>AND(#REF!,"QdDaGQk4zz8=")</f>
        <v>#REF!</v>
      </c>
      <c r="BM148" t="e">
        <f>AND(#REF!,"QdDaGQk4z0A=")</f>
        <v>#REF!</v>
      </c>
      <c r="BN148" t="e">
        <f>AND(#REF!,"QdDaGQk4z0E=")</f>
        <v>#REF!</v>
      </c>
      <c r="BO148" t="e">
        <f>IF(#REF!,"QdDaGQk4z0I=",0)</f>
        <v>#REF!</v>
      </c>
      <c r="BP148" t="e">
        <f>AND(#REF!,"QdDaGQk4z0M=")</f>
        <v>#REF!</v>
      </c>
      <c r="BQ148" t="e">
        <f>AND(#REF!,"QdDaGQk4z0Q=")</f>
        <v>#REF!</v>
      </c>
      <c r="BR148" t="e">
        <f>AND(#REF!,"QdDaGQk4z0U=")</f>
        <v>#REF!</v>
      </c>
      <c r="BS148" t="e">
        <f>AND(#REF!,"QdDaGQk4z0Y=")</f>
        <v>#REF!</v>
      </c>
      <c r="BT148" t="e">
        <f>AND(#REF!,"QdDaGQk4z0c=")</f>
        <v>#REF!</v>
      </c>
      <c r="BU148" t="e">
        <f>AND(#REF!,"QdDaGQk4z0g=")</f>
        <v>#REF!</v>
      </c>
      <c r="BV148" t="e">
        <f>AND(#REF!,"QdDaGQk4z0k=")</f>
        <v>#REF!</v>
      </c>
      <c r="BW148" t="e">
        <f>AND(#REF!,"QdDaGQk4z0o=")</f>
        <v>#REF!</v>
      </c>
      <c r="BX148" t="e">
        <f>AND(#REF!,"QdDaGQk4z0s=")</f>
        <v>#REF!</v>
      </c>
      <c r="BY148" t="e">
        <f>AND(#REF!,"QdDaGQk4z0w=")</f>
        <v>#REF!</v>
      </c>
      <c r="BZ148" t="e">
        <f>AND(#REF!,"QdDaGQk4z00=")</f>
        <v>#REF!</v>
      </c>
      <c r="CA148" t="e">
        <f>AND(#REF!,"QdDaGQk4z04=")</f>
        <v>#REF!</v>
      </c>
      <c r="CB148" t="e">
        <f>AND(#REF!,"QdDaGQk4z08=")</f>
        <v>#REF!</v>
      </c>
      <c r="CC148" t="e">
        <f>AND(#REF!,"QdDaGQk4z1A=")</f>
        <v>#REF!</v>
      </c>
      <c r="CD148" t="e">
        <f>AND(#REF!,"QdDaGQk4z1E=")</f>
        <v>#REF!</v>
      </c>
      <c r="CE148" t="e">
        <f>IF(#REF!,"QdDaGQk4z1I=",0)</f>
        <v>#REF!</v>
      </c>
      <c r="CF148" t="e">
        <f>AND(#REF!,"QdDaGQk4z1M=")</f>
        <v>#REF!</v>
      </c>
      <c r="CG148" t="e">
        <f>AND(#REF!,"QdDaGQk4z1Q=")</f>
        <v>#REF!</v>
      </c>
      <c r="CH148" t="e">
        <f>AND(#REF!,"QdDaGQk4z1U=")</f>
        <v>#REF!</v>
      </c>
      <c r="CI148" t="e">
        <f>AND(#REF!,"QdDaGQk4z1Y=")</f>
        <v>#REF!</v>
      </c>
      <c r="CJ148" t="e">
        <f>AND(#REF!,"QdDaGQk4z1c=")</f>
        <v>#REF!</v>
      </c>
      <c r="CK148" t="e">
        <f>AND(#REF!,"QdDaGQk4z1g=")</f>
        <v>#REF!</v>
      </c>
      <c r="CL148" t="e">
        <f>AND(#REF!,"QdDaGQk4z1k=")</f>
        <v>#REF!</v>
      </c>
      <c r="CM148" t="e">
        <f>AND(#REF!,"QdDaGQk4z1o=")</f>
        <v>#REF!</v>
      </c>
      <c r="CN148" t="e">
        <f>AND(#REF!,"QdDaGQk4z1s=")</f>
        <v>#REF!</v>
      </c>
      <c r="CO148" t="e">
        <f>AND(#REF!,"QdDaGQk4z1w=")</f>
        <v>#REF!</v>
      </c>
      <c r="CP148" t="e">
        <f>AND(#REF!,"QdDaGQk4z10=")</f>
        <v>#REF!</v>
      </c>
      <c r="CQ148" t="e">
        <f>AND(#REF!,"QdDaGQk4z14=")</f>
        <v>#REF!</v>
      </c>
      <c r="CR148" t="e">
        <f>AND(#REF!,"QdDaGQk4z18=")</f>
        <v>#REF!</v>
      </c>
      <c r="CS148" t="e">
        <f>AND(#REF!,"QdDaGQk4z2A=")</f>
        <v>#REF!</v>
      </c>
      <c r="CT148" t="e">
        <f>AND(#REF!,"QdDaGQk4z2E=")</f>
        <v>#REF!</v>
      </c>
      <c r="CU148" t="e">
        <f>IF(#REF!,"QdDaGQk4z2I=",0)</f>
        <v>#REF!</v>
      </c>
      <c r="CV148" t="e">
        <f>AND(#REF!,"QdDaGQk4z2M=")</f>
        <v>#REF!</v>
      </c>
      <c r="CW148" t="e">
        <f>AND(#REF!,"QdDaGQk4z2Q=")</f>
        <v>#REF!</v>
      </c>
      <c r="CX148" t="e">
        <f>AND(#REF!,"QdDaGQk4z2U=")</f>
        <v>#REF!</v>
      </c>
      <c r="CY148" t="e">
        <f>AND(#REF!,"QdDaGQk4z2Y=")</f>
        <v>#REF!</v>
      </c>
      <c r="CZ148" t="e">
        <f>AND(#REF!,"QdDaGQk4z2c=")</f>
        <v>#REF!</v>
      </c>
      <c r="DA148" t="e">
        <f>AND(#REF!,"QdDaGQk4z2g=")</f>
        <v>#REF!</v>
      </c>
      <c r="DB148" t="e">
        <f>AND(#REF!,"QdDaGQk4z2k=")</f>
        <v>#REF!</v>
      </c>
      <c r="DC148" t="e">
        <f>AND(#REF!,"QdDaGQk4z2o=")</f>
        <v>#REF!</v>
      </c>
      <c r="DD148" t="e">
        <f>AND(#REF!,"QdDaGQk4z2s=")</f>
        <v>#REF!</v>
      </c>
      <c r="DE148" t="e">
        <f>AND(#REF!,"QdDaGQk4z2w=")</f>
        <v>#REF!</v>
      </c>
      <c r="DF148" t="e">
        <f>AND(#REF!,"QdDaGQk4z20=")</f>
        <v>#REF!</v>
      </c>
      <c r="DG148" t="e">
        <f>AND(#REF!,"QdDaGQk4z24=")</f>
        <v>#REF!</v>
      </c>
      <c r="DH148" t="e">
        <f>AND(#REF!,"QdDaGQk4z28=")</f>
        <v>#REF!</v>
      </c>
      <c r="DI148" t="e">
        <f>AND(#REF!,"QdDaGQk4z3A=")</f>
        <v>#REF!</v>
      </c>
      <c r="DJ148" t="e">
        <f>AND(#REF!,"QdDaGQk4z3E=")</f>
        <v>#REF!</v>
      </c>
      <c r="DK148" t="e">
        <f>IF(#REF!,"QdDaGQk4z3I=",0)</f>
        <v>#REF!</v>
      </c>
      <c r="DL148" t="e">
        <f>AND(#REF!,"QdDaGQk4z3M=")</f>
        <v>#REF!</v>
      </c>
      <c r="DM148" t="e">
        <f>AND(#REF!,"QdDaGQk4z3Q=")</f>
        <v>#REF!</v>
      </c>
      <c r="DN148" t="e">
        <f>AND(#REF!,"QdDaGQk4z3U=")</f>
        <v>#REF!</v>
      </c>
      <c r="DO148" t="e">
        <f>AND(#REF!,"QdDaGQk4z3Y=")</f>
        <v>#REF!</v>
      </c>
      <c r="DP148" t="e">
        <f>AND(#REF!,"QdDaGQk4z3c=")</f>
        <v>#REF!</v>
      </c>
      <c r="DQ148" t="e">
        <f>AND(#REF!,"QdDaGQk4z3g=")</f>
        <v>#REF!</v>
      </c>
      <c r="DR148" t="e">
        <f>AND(#REF!,"QdDaGQk4z3k=")</f>
        <v>#REF!</v>
      </c>
      <c r="DS148" t="e">
        <f>AND(#REF!,"QdDaGQk4z3o=")</f>
        <v>#REF!</v>
      </c>
      <c r="DT148" t="e">
        <f>AND(#REF!,"QdDaGQk4z3s=")</f>
        <v>#REF!</v>
      </c>
      <c r="DU148" t="e">
        <f>AND(#REF!,"QdDaGQk4z3w=")</f>
        <v>#REF!</v>
      </c>
      <c r="DV148" t="e">
        <f>AND(#REF!,"QdDaGQk4z30=")</f>
        <v>#REF!</v>
      </c>
      <c r="DW148" t="e">
        <f>AND(#REF!,"QdDaGQk4z34=")</f>
        <v>#REF!</v>
      </c>
      <c r="DX148" t="e">
        <f>AND(#REF!,"QdDaGQk4z38=")</f>
        <v>#REF!</v>
      </c>
      <c r="DY148" t="e">
        <f>AND(#REF!,"QdDaGQk4z4A=")</f>
        <v>#REF!</v>
      </c>
      <c r="DZ148" t="e">
        <f>AND(#REF!,"QdDaGQk4z4E=")</f>
        <v>#REF!</v>
      </c>
      <c r="EA148" t="e">
        <f>IF(#REF!,"QdDaGQk4z4I=",0)</f>
        <v>#REF!</v>
      </c>
      <c r="EB148" t="e">
        <f>AND(#REF!,"QdDaGQk4z4M=")</f>
        <v>#REF!</v>
      </c>
      <c r="EC148" t="e">
        <f>AND(#REF!,"QdDaGQk4z4Q=")</f>
        <v>#REF!</v>
      </c>
      <c r="ED148" t="e">
        <f>AND(#REF!,"QdDaGQk4z4U=")</f>
        <v>#REF!</v>
      </c>
      <c r="EE148" t="e">
        <f>AND(#REF!,"QdDaGQk4z4Y=")</f>
        <v>#REF!</v>
      </c>
      <c r="EF148" t="e">
        <f>AND(#REF!,"QdDaGQk4z4c=")</f>
        <v>#REF!</v>
      </c>
      <c r="EG148" t="e">
        <f>AND(#REF!,"QdDaGQk4z4g=")</f>
        <v>#REF!</v>
      </c>
      <c r="EH148" t="e">
        <f>AND(#REF!,"QdDaGQk4z4k=")</f>
        <v>#REF!</v>
      </c>
      <c r="EI148" t="e">
        <f>AND(#REF!,"QdDaGQk4z4o=")</f>
        <v>#REF!</v>
      </c>
      <c r="EJ148" t="e">
        <f>AND(#REF!,"QdDaGQk4z4s=")</f>
        <v>#REF!</v>
      </c>
      <c r="EK148" t="e">
        <f>AND(#REF!,"QdDaGQk4z4w=")</f>
        <v>#REF!</v>
      </c>
      <c r="EL148" t="e">
        <f>AND(#REF!,"QdDaGQk4z40=")</f>
        <v>#REF!</v>
      </c>
      <c r="EM148" t="e">
        <f>AND(#REF!,"QdDaGQk4z44=")</f>
        <v>#REF!</v>
      </c>
      <c r="EN148" t="e">
        <f>AND(#REF!,"QdDaGQk4z48=")</f>
        <v>#REF!</v>
      </c>
      <c r="EO148" t="e">
        <f>AND(#REF!,"QdDaGQk4z5A=")</f>
        <v>#REF!</v>
      </c>
      <c r="EP148" t="e">
        <f>AND(#REF!,"QdDaGQk4z5E=")</f>
        <v>#REF!</v>
      </c>
      <c r="EQ148" t="e">
        <f>IF(#REF!,"QdDaGQk4z5I=",0)</f>
        <v>#REF!</v>
      </c>
      <c r="ER148" t="e">
        <f>AND(#REF!,"QdDaGQk4z5M=")</f>
        <v>#REF!</v>
      </c>
      <c r="ES148" t="e">
        <f>AND(#REF!,"QdDaGQk4z5Q=")</f>
        <v>#REF!</v>
      </c>
      <c r="ET148" t="e">
        <f>AND(#REF!,"QdDaGQk4z5U=")</f>
        <v>#REF!</v>
      </c>
      <c r="EU148" t="e">
        <f>AND(#REF!,"QdDaGQk4z5Y=")</f>
        <v>#REF!</v>
      </c>
      <c r="EV148" t="e">
        <f>AND(#REF!,"QdDaGQk4z5c=")</f>
        <v>#REF!</v>
      </c>
      <c r="EW148" t="e">
        <f>AND(#REF!,"QdDaGQk4z5g=")</f>
        <v>#REF!</v>
      </c>
      <c r="EX148" t="e">
        <f>AND(#REF!,"QdDaGQk4z5k=")</f>
        <v>#REF!</v>
      </c>
      <c r="EY148" t="e">
        <f>AND(#REF!,"QdDaGQk4z5o=")</f>
        <v>#REF!</v>
      </c>
      <c r="EZ148" t="e">
        <f>AND(#REF!,"QdDaGQk4z5s=")</f>
        <v>#REF!</v>
      </c>
      <c r="FA148" t="e">
        <f>AND(#REF!,"QdDaGQk4z5w=")</f>
        <v>#REF!</v>
      </c>
      <c r="FB148" t="e">
        <f>AND(#REF!,"QdDaGQk4z50=")</f>
        <v>#REF!</v>
      </c>
      <c r="FC148" t="e">
        <f>AND(#REF!,"QdDaGQk4z54=")</f>
        <v>#REF!</v>
      </c>
      <c r="FD148" t="e">
        <f>AND(#REF!,"QdDaGQk4z58=")</f>
        <v>#REF!</v>
      </c>
      <c r="FE148" t="e">
        <f>AND(#REF!,"QdDaGQk4z6A=")</f>
        <v>#REF!</v>
      </c>
      <c r="FF148" t="e">
        <f>AND(#REF!,"QdDaGQk4z6E=")</f>
        <v>#REF!</v>
      </c>
      <c r="FG148" t="e">
        <f>IF(#REF!,"QdDaGQk4z6I=",0)</f>
        <v>#REF!</v>
      </c>
      <c r="FH148" t="e">
        <f>AND(#REF!,"QdDaGQk4z6M=")</f>
        <v>#REF!</v>
      </c>
      <c r="FI148" t="e">
        <f>AND(#REF!,"QdDaGQk4z6Q=")</f>
        <v>#REF!</v>
      </c>
      <c r="FJ148" t="e">
        <f>AND(#REF!,"QdDaGQk4z6U=")</f>
        <v>#REF!</v>
      </c>
      <c r="FK148" t="e">
        <f>AND(#REF!,"QdDaGQk4z6Y=")</f>
        <v>#REF!</v>
      </c>
      <c r="FL148" t="e">
        <f>AND(#REF!,"QdDaGQk4z6c=")</f>
        <v>#REF!</v>
      </c>
      <c r="FM148" t="e">
        <f>AND(#REF!,"QdDaGQk4z6g=")</f>
        <v>#REF!</v>
      </c>
      <c r="FN148" t="e">
        <f>AND(#REF!,"QdDaGQk4z6k=")</f>
        <v>#REF!</v>
      </c>
      <c r="FO148" t="e">
        <f>AND(#REF!,"QdDaGQk4z6o=")</f>
        <v>#REF!</v>
      </c>
      <c r="FP148" t="e">
        <f>AND(#REF!,"QdDaGQk4z6s=")</f>
        <v>#REF!</v>
      </c>
      <c r="FQ148" t="e">
        <f>AND(#REF!,"QdDaGQk4z6w=")</f>
        <v>#REF!</v>
      </c>
      <c r="FR148" t="e">
        <f>AND(#REF!,"QdDaGQk4z60=")</f>
        <v>#REF!</v>
      </c>
      <c r="FS148" t="e">
        <f>AND(#REF!,"QdDaGQk4z64=")</f>
        <v>#REF!</v>
      </c>
      <c r="FT148" t="e">
        <f>AND(#REF!,"QdDaGQk4z68=")</f>
        <v>#REF!</v>
      </c>
      <c r="FU148" t="e">
        <f>AND(#REF!,"QdDaGQk4z7A=")</f>
        <v>#REF!</v>
      </c>
      <c r="FV148" t="e">
        <f>AND(#REF!,"QdDaGQk4z7E=")</f>
        <v>#REF!</v>
      </c>
      <c r="FW148" t="e">
        <f>IF(#REF!,"QdDaGQk4z7I=",0)</f>
        <v>#REF!</v>
      </c>
      <c r="FX148" t="e">
        <f>AND(#REF!,"QdDaGQk4z7M=")</f>
        <v>#REF!</v>
      </c>
      <c r="FY148" t="e">
        <f>AND(#REF!,"QdDaGQk4z7Q=")</f>
        <v>#REF!</v>
      </c>
      <c r="FZ148" t="e">
        <f>AND(#REF!,"QdDaGQk4z7U=")</f>
        <v>#REF!</v>
      </c>
      <c r="GA148" t="e">
        <f>AND(#REF!,"QdDaGQk4z7Y=")</f>
        <v>#REF!</v>
      </c>
      <c r="GB148" t="e">
        <f>AND(#REF!,"QdDaGQk4z7c=")</f>
        <v>#REF!</v>
      </c>
      <c r="GC148" t="e">
        <f>AND(#REF!,"QdDaGQk4z7g=")</f>
        <v>#REF!</v>
      </c>
      <c r="GD148" t="e">
        <f>AND(#REF!,"QdDaGQk4z7k=")</f>
        <v>#REF!</v>
      </c>
      <c r="GE148" t="e">
        <f>AND(#REF!,"QdDaGQk4z7o=")</f>
        <v>#REF!</v>
      </c>
      <c r="GF148" t="e">
        <f>AND(#REF!,"QdDaGQk4z7s=")</f>
        <v>#REF!</v>
      </c>
      <c r="GG148" t="e">
        <f>AND(#REF!,"QdDaGQk4z7w=")</f>
        <v>#REF!</v>
      </c>
      <c r="GH148" t="e">
        <f>AND(#REF!,"QdDaGQk4z70=")</f>
        <v>#REF!</v>
      </c>
      <c r="GI148" t="e">
        <f>AND(#REF!,"QdDaGQk4z74=")</f>
        <v>#REF!</v>
      </c>
      <c r="GJ148" t="e">
        <f>AND(#REF!,"QdDaGQk4z78=")</f>
        <v>#REF!</v>
      </c>
      <c r="GK148" t="e">
        <f>AND(#REF!,"QdDaGQk4z8A=")</f>
        <v>#REF!</v>
      </c>
      <c r="GL148" t="e">
        <f>AND(#REF!,"QdDaGQk4z8E=")</f>
        <v>#REF!</v>
      </c>
      <c r="GM148" t="e">
        <f>IF(#REF!,"QdDaGQk4z8I=",0)</f>
        <v>#REF!</v>
      </c>
      <c r="GN148" t="e">
        <f>AND(#REF!,"QdDaGQk4z8M=")</f>
        <v>#REF!</v>
      </c>
      <c r="GO148" t="e">
        <f>AND(#REF!,"QdDaGQk4z8Q=")</f>
        <v>#REF!</v>
      </c>
      <c r="GP148" t="e">
        <f>AND(#REF!,"QdDaGQk4z8U=")</f>
        <v>#REF!</v>
      </c>
      <c r="GQ148" t="e">
        <f>AND(#REF!,"QdDaGQk4z8Y=")</f>
        <v>#REF!</v>
      </c>
      <c r="GR148" t="e">
        <f>AND(#REF!,"QdDaGQk4z8c=")</f>
        <v>#REF!</v>
      </c>
      <c r="GS148" t="e">
        <f>AND(#REF!,"QdDaGQk4z8g=")</f>
        <v>#REF!</v>
      </c>
      <c r="GT148" t="e">
        <f>AND(#REF!,"QdDaGQk4z8k=")</f>
        <v>#REF!</v>
      </c>
      <c r="GU148" t="e">
        <f>AND(#REF!,"QdDaGQk4z8o=")</f>
        <v>#REF!</v>
      </c>
      <c r="GV148" t="e">
        <f>AND(#REF!,"QdDaGQk4z8s=")</f>
        <v>#REF!</v>
      </c>
      <c r="GW148" t="e">
        <f>AND(#REF!,"QdDaGQk4z8w=")</f>
        <v>#REF!</v>
      </c>
      <c r="GX148" t="e">
        <f>AND(#REF!,"QdDaGQk4z80=")</f>
        <v>#REF!</v>
      </c>
      <c r="GY148" t="e">
        <f>AND(#REF!,"QdDaGQk4z84=")</f>
        <v>#REF!</v>
      </c>
      <c r="GZ148" t="e">
        <f>AND(#REF!,"QdDaGQk4z88=")</f>
        <v>#REF!</v>
      </c>
      <c r="HA148" t="e">
        <f>AND(#REF!,"QdDaGQk4z9A=")</f>
        <v>#REF!</v>
      </c>
      <c r="HB148" t="e">
        <f>AND(#REF!,"QdDaGQk4z9E=")</f>
        <v>#REF!</v>
      </c>
      <c r="HC148" t="e">
        <f>IF(#REF!,"QdDaGQk4z9I=",0)</f>
        <v>#REF!</v>
      </c>
      <c r="HD148" t="e">
        <f>AND(#REF!,"QdDaGQk4z9M=")</f>
        <v>#REF!</v>
      </c>
      <c r="HE148" t="e">
        <f>AND(#REF!,"QdDaGQk4z9Q=")</f>
        <v>#REF!</v>
      </c>
      <c r="HF148" t="e">
        <f>AND(#REF!,"QdDaGQk4z9U=")</f>
        <v>#REF!</v>
      </c>
      <c r="HG148" t="e">
        <f>AND(#REF!,"QdDaGQk4z9Y=")</f>
        <v>#REF!</v>
      </c>
      <c r="HH148" t="e">
        <f>AND(#REF!,"QdDaGQk4z9c=")</f>
        <v>#REF!</v>
      </c>
      <c r="HI148" t="e">
        <f>AND(#REF!,"QdDaGQk4z9g=")</f>
        <v>#REF!</v>
      </c>
      <c r="HJ148" t="e">
        <f>AND(#REF!,"QdDaGQk4z9k=")</f>
        <v>#REF!</v>
      </c>
      <c r="HK148" t="e">
        <f>AND(#REF!,"QdDaGQk4z9o=")</f>
        <v>#REF!</v>
      </c>
      <c r="HL148" t="e">
        <f>AND(#REF!,"QdDaGQk4z9s=")</f>
        <v>#REF!</v>
      </c>
      <c r="HM148" t="e">
        <f>AND(#REF!,"QdDaGQk4z9w=")</f>
        <v>#REF!</v>
      </c>
      <c r="HN148" t="e">
        <f>AND(#REF!,"QdDaGQk4z90=")</f>
        <v>#REF!</v>
      </c>
      <c r="HO148" t="e">
        <f>AND(#REF!,"QdDaGQk4z94=")</f>
        <v>#REF!</v>
      </c>
      <c r="HP148" t="e">
        <f>AND(#REF!,"QdDaGQk4z98=")</f>
        <v>#REF!</v>
      </c>
      <c r="HQ148" t="e">
        <f>AND(#REF!,"QdDaGQk4z+A=")</f>
        <v>#REF!</v>
      </c>
      <c r="HR148" t="e">
        <f>AND(#REF!,"QdDaGQk4z+E=")</f>
        <v>#REF!</v>
      </c>
      <c r="HS148" t="e">
        <f>IF(#REF!,"QdDaGQk4z+I=",0)</f>
        <v>#REF!</v>
      </c>
      <c r="HT148" t="e">
        <f>AND(#REF!,"QdDaGQk4z+M=")</f>
        <v>#REF!</v>
      </c>
      <c r="HU148" t="e">
        <f>AND(#REF!,"QdDaGQk4z+Q=")</f>
        <v>#REF!</v>
      </c>
      <c r="HV148" t="e">
        <f>AND(#REF!,"QdDaGQk4z+U=")</f>
        <v>#REF!</v>
      </c>
      <c r="HW148" t="e">
        <f>AND(#REF!,"QdDaGQk4z+Y=")</f>
        <v>#REF!</v>
      </c>
      <c r="HX148" t="e">
        <f>AND(#REF!,"QdDaGQk4z+c=")</f>
        <v>#REF!</v>
      </c>
      <c r="HY148" t="e">
        <f>AND(#REF!,"QdDaGQk4z+g=")</f>
        <v>#REF!</v>
      </c>
      <c r="HZ148" t="e">
        <f>AND(#REF!,"QdDaGQk4z+k=")</f>
        <v>#REF!</v>
      </c>
      <c r="IA148" t="e">
        <f>AND(#REF!,"QdDaGQk4z+o=")</f>
        <v>#REF!</v>
      </c>
      <c r="IB148" t="e">
        <f>AND(#REF!,"QdDaGQk4z+s=")</f>
        <v>#REF!</v>
      </c>
      <c r="IC148" t="e">
        <f>AND(#REF!,"QdDaGQk4z+w=")</f>
        <v>#REF!</v>
      </c>
      <c r="ID148" t="e">
        <f>AND(#REF!,"QdDaGQk4z+0=")</f>
        <v>#REF!</v>
      </c>
      <c r="IE148" t="e">
        <f>AND(#REF!,"QdDaGQk4z+4=")</f>
        <v>#REF!</v>
      </c>
      <c r="IF148" t="e">
        <f>AND(#REF!,"QdDaGQk4z+8=")</f>
        <v>#REF!</v>
      </c>
      <c r="IG148" t="e">
        <f>AND(#REF!,"QdDaGQk4z/A=")</f>
        <v>#REF!</v>
      </c>
      <c r="IH148" t="e">
        <f>AND(#REF!,"QdDaGQk4z/E=")</f>
        <v>#REF!</v>
      </c>
      <c r="II148" t="e">
        <f>IF(#REF!,"QdDaGQk4z/I=",0)</f>
        <v>#REF!</v>
      </c>
      <c r="IJ148" t="e">
        <f>AND(#REF!,"QdDaGQk4z/M=")</f>
        <v>#REF!</v>
      </c>
      <c r="IK148" t="e">
        <f>AND(#REF!,"QdDaGQk4z/Q=")</f>
        <v>#REF!</v>
      </c>
      <c r="IL148" t="e">
        <f>AND(#REF!,"QdDaGQk4z/U=")</f>
        <v>#REF!</v>
      </c>
      <c r="IM148" t="e">
        <f>AND(#REF!,"QdDaGQk4z/Y=")</f>
        <v>#REF!</v>
      </c>
      <c r="IN148" t="e">
        <f>AND(#REF!,"QdDaGQk4z/c=")</f>
        <v>#REF!</v>
      </c>
      <c r="IO148" t="e">
        <f>AND(#REF!,"QdDaGQk4z/g=")</f>
        <v>#REF!</v>
      </c>
      <c r="IP148" t="e">
        <f>AND(#REF!,"QdDaGQk4z/k=")</f>
        <v>#REF!</v>
      </c>
      <c r="IQ148" t="e">
        <f>AND(#REF!,"QdDaGQk4z/o=")</f>
        <v>#REF!</v>
      </c>
      <c r="IR148" t="e">
        <f>AND(#REF!,"QdDaGQk4z/s=")</f>
        <v>#REF!</v>
      </c>
      <c r="IS148" t="e">
        <f>AND(#REF!,"QdDaGQk4z/w=")</f>
        <v>#REF!</v>
      </c>
      <c r="IT148" t="e">
        <f>AND(#REF!,"QdDaGQk4z/0=")</f>
        <v>#REF!</v>
      </c>
      <c r="IU148" t="e">
        <f>AND(#REF!,"QdDaGQk4z/4=")</f>
        <v>#REF!</v>
      </c>
      <c r="IV148" t="e">
        <f>AND(#REF!,"QdDaGQk4z/8=")</f>
        <v>#REF!</v>
      </c>
    </row>
    <row r="149" spans="1:256" x14ac:dyDescent="0.2">
      <c r="A149" t="e">
        <f>AND(#REF!,"dN3+IWn1swA=")</f>
        <v>#REF!</v>
      </c>
      <c r="B149" t="e">
        <f>AND(#REF!,"dN3+IWn1swE=")</f>
        <v>#REF!</v>
      </c>
      <c r="C149" t="e">
        <f>IF(#REF!,"dN3+IWn1swI=",0)</f>
        <v>#REF!</v>
      </c>
      <c r="D149" t="e">
        <f>AND(#REF!,"dN3+IWn1swM=")</f>
        <v>#REF!</v>
      </c>
      <c r="E149" t="e">
        <f>AND(#REF!,"dN3+IWn1swQ=")</f>
        <v>#REF!</v>
      </c>
      <c r="F149" t="e">
        <f>AND(#REF!,"dN3+IWn1swU=")</f>
        <v>#REF!</v>
      </c>
      <c r="G149" t="e">
        <f>AND(#REF!,"dN3+IWn1swY=")</f>
        <v>#REF!</v>
      </c>
      <c r="H149" t="e">
        <f>AND(#REF!,"dN3+IWn1swc=")</f>
        <v>#REF!</v>
      </c>
      <c r="I149" t="e">
        <f>AND(#REF!,"dN3+IWn1swg=")</f>
        <v>#REF!</v>
      </c>
      <c r="J149" t="e">
        <f>AND(#REF!,"dN3+IWn1swk=")</f>
        <v>#REF!</v>
      </c>
      <c r="K149" t="e">
        <f>AND(#REF!,"dN3+IWn1swo=")</f>
        <v>#REF!</v>
      </c>
      <c r="L149" t="e">
        <f>AND(#REF!,"dN3+IWn1sws=")</f>
        <v>#REF!</v>
      </c>
      <c r="M149" t="e">
        <f>AND(#REF!,"dN3+IWn1sww=")</f>
        <v>#REF!</v>
      </c>
      <c r="N149" t="e">
        <f>AND(#REF!,"dN3+IWn1sw0=")</f>
        <v>#REF!</v>
      </c>
      <c r="O149" t="e">
        <f>AND(#REF!,"dN3+IWn1sw4=")</f>
        <v>#REF!</v>
      </c>
      <c r="P149" t="e">
        <f>AND(#REF!,"dN3+IWn1sw8=")</f>
        <v>#REF!</v>
      </c>
      <c r="Q149" t="e">
        <f>AND(#REF!,"dN3+IWn1sxA=")</f>
        <v>#REF!</v>
      </c>
      <c r="R149" t="e">
        <f>AND(#REF!,"dN3+IWn1sxE=")</f>
        <v>#REF!</v>
      </c>
      <c r="S149" t="e">
        <f>IF(#REF!,"dN3+IWn1sxI=",0)</f>
        <v>#REF!</v>
      </c>
      <c r="T149" t="e">
        <f>AND(#REF!,"dN3+IWn1sxM=")</f>
        <v>#REF!</v>
      </c>
      <c r="U149" t="e">
        <f>AND(#REF!,"dN3+IWn1sxQ=")</f>
        <v>#REF!</v>
      </c>
      <c r="V149" t="e">
        <f>AND(#REF!,"dN3+IWn1sxU=")</f>
        <v>#REF!</v>
      </c>
      <c r="W149" t="e">
        <f>AND(#REF!,"dN3+IWn1sxY=")</f>
        <v>#REF!</v>
      </c>
      <c r="X149" t="e">
        <f>AND(#REF!,"dN3+IWn1sxc=")</f>
        <v>#REF!</v>
      </c>
      <c r="Y149" t="e">
        <f>AND(#REF!,"dN3+IWn1sxg=")</f>
        <v>#REF!</v>
      </c>
      <c r="Z149" t="e">
        <f>AND(#REF!,"dN3+IWn1sxk=")</f>
        <v>#REF!</v>
      </c>
      <c r="AA149" t="e">
        <f>AND(#REF!,"dN3+IWn1sxo=")</f>
        <v>#REF!</v>
      </c>
      <c r="AB149" t="e">
        <f>AND(#REF!,"dN3+IWn1sxs=")</f>
        <v>#REF!</v>
      </c>
      <c r="AC149" t="e">
        <f>AND(#REF!,"dN3+IWn1sxw=")</f>
        <v>#REF!</v>
      </c>
      <c r="AD149" t="e">
        <f>AND(#REF!,"dN3+IWn1sx0=")</f>
        <v>#REF!</v>
      </c>
      <c r="AE149" t="e">
        <f>AND(#REF!,"dN3+IWn1sx4=")</f>
        <v>#REF!</v>
      </c>
      <c r="AF149" t="e">
        <f>AND(#REF!,"dN3+IWn1sx8=")</f>
        <v>#REF!</v>
      </c>
      <c r="AG149" t="e">
        <f>AND(#REF!,"dN3+IWn1syA=")</f>
        <v>#REF!</v>
      </c>
      <c r="AH149" t="e">
        <f>AND(#REF!,"dN3+IWn1syE=")</f>
        <v>#REF!</v>
      </c>
      <c r="AI149" t="e">
        <f>IF(#REF!,"dN3+IWn1syI=",0)</f>
        <v>#REF!</v>
      </c>
      <c r="AJ149" t="e">
        <f>AND(#REF!,"dN3+IWn1syM=")</f>
        <v>#REF!</v>
      </c>
      <c r="AK149" t="e">
        <f>AND(#REF!,"dN3+IWn1syQ=")</f>
        <v>#REF!</v>
      </c>
      <c r="AL149" t="e">
        <f>AND(#REF!,"dN3+IWn1syU=")</f>
        <v>#REF!</v>
      </c>
      <c r="AM149" t="e">
        <f>AND(#REF!,"dN3+IWn1syY=")</f>
        <v>#REF!</v>
      </c>
      <c r="AN149" t="e">
        <f>AND(#REF!,"dN3+IWn1syc=")</f>
        <v>#REF!</v>
      </c>
      <c r="AO149" t="e">
        <f>AND(#REF!,"dN3+IWn1syg=")</f>
        <v>#REF!</v>
      </c>
      <c r="AP149" t="e">
        <f>AND(#REF!,"dN3+IWn1syk=")</f>
        <v>#REF!</v>
      </c>
      <c r="AQ149" t="e">
        <f>AND(#REF!,"dN3+IWn1syo=")</f>
        <v>#REF!</v>
      </c>
      <c r="AR149" t="e">
        <f>AND(#REF!,"dN3+IWn1sys=")</f>
        <v>#REF!</v>
      </c>
      <c r="AS149" t="e">
        <f>AND(#REF!,"dN3+IWn1syw=")</f>
        <v>#REF!</v>
      </c>
      <c r="AT149" t="e">
        <f>AND(#REF!,"dN3+IWn1sy0=")</f>
        <v>#REF!</v>
      </c>
      <c r="AU149" t="e">
        <f>AND(#REF!,"dN3+IWn1sy4=")</f>
        <v>#REF!</v>
      </c>
      <c r="AV149" t="e">
        <f>AND(#REF!,"dN3+IWn1sy8=")</f>
        <v>#REF!</v>
      </c>
      <c r="AW149" t="e">
        <f>AND(#REF!,"dN3+IWn1szA=")</f>
        <v>#REF!</v>
      </c>
      <c r="AX149" t="e">
        <f>AND(#REF!,"dN3+IWn1szE=")</f>
        <v>#REF!</v>
      </c>
      <c r="AY149" t="e">
        <f>IF(#REF!,"dN3+IWn1szI=",0)</f>
        <v>#REF!</v>
      </c>
      <c r="AZ149" t="e">
        <f>AND(#REF!,"dN3+IWn1szM=")</f>
        <v>#REF!</v>
      </c>
      <c r="BA149" t="e">
        <f>AND(#REF!,"dN3+IWn1szQ=")</f>
        <v>#REF!</v>
      </c>
      <c r="BB149" t="e">
        <f>AND(#REF!,"dN3+IWn1szU=")</f>
        <v>#REF!</v>
      </c>
      <c r="BC149" t="e">
        <f>AND(#REF!,"dN3+IWn1szY=")</f>
        <v>#REF!</v>
      </c>
      <c r="BD149" t="e">
        <f>AND(#REF!,"dN3+IWn1szc=")</f>
        <v>#REF!</v>
      </c>
      <c r="BE149" t="e">
        <f>AND(#REF!,"dN3+IWn1szg=")</f>
        <v>#REF!</v>
      </c>
      <c r="BF149" t="e">
        <f>AND(#REF!,"dN3+IWn1szk=")</f>
        <v>#REF!</v>
      </c>
      <c r="BG149" t="e">
        <f>AND(#REF!,"dN3+IWn1szo=")</f>
        <v>#REF!</v>
      </c>
      <c r="BH149" t="e">
        <f>AND(#REF!,"dN3+IWn1szs=")</f>
        <v>#REF!</v>
      </c>
      <c r="BI149" t="e">
        <f>AND(#REF!,"dN3+IWn1szw=")</f>
        <v>#REF!</v>
      </c>
      <c r="BJ149" t="e">
        <f>AND(#REF!,"dN3+IWn1sz0=")</f>
        <v>#REF!</v>
      </c>
      <c r="BK149" t="e">
        <f>AND(#REF!,"dN3+IWn1sz4=")</f>
        <v>#REF!</v>
      </c>
      <c r="BL149" t="e">
        <f>AND(#REF!,"dN3+IWn1sz8=")</f>
        <v>#REF!</v>
      </c>
      <c r="BM149" t="e">
        <f>AND(#REF!,"dN3+IWn1s0A=")</f>
        <v>#REF!</v>
      </c>
      <c r="BN149" t="e">
        <f>AND(#REF!,"dN3+IWn1s0E=")</f>
        <v>#REF!</v>
      </c>
      <c r="BO149" t="e">
        <f>IF(#REF!,"dN3+IWn1s0I=",0)</f>
        <v>#REF!</v>
      </c>
      <c r="BP149" t="e">
        <f>AND(#REF!,"dN3+IWn1s0M=")</f>
        <v>#REF!</v>
      </c>
      <c r="BQ149" t="e">
        <f>AND(#REF!,"dN3+IWn1s0Q=")</f>
        <v>#REF!</v>
      </c>
      <c r="BR149" t="e">
        <f>AND(#REF!,"dN3+IWn1s0U=")</f>
        <v>#REF!</v>
      </c>
      <c r="BS149" t="e">
        <f>AND(#REF!,"dN3+IWn1s0Y=")</f>
        <v>#REF!</v>
      </c>
      <c r="BT149" t="e">
        <f>AND(#REF!,"dN3+IWn1s0c=")</f>
        <v>#REF!</v>
      </c>
      <c r="BU149" t="e">
        <f>AND(#REF!,"dN3+IWn1s0g=")</f>
        <v>#REF!</v>
      </c>
      <c r="BV149" t="e">
        <f>AND(#REF!,"dN3+IWn1s0k=")</f>
        <v>#REF!</v>
      </c>
      <c r="BW149" t="e">
        <f>AND(#REF!,"dN3+IWn1s0o=")</f>
        <v>#REF!</v>
      </c>
      <c r="BX149" t="e">
        <f>AND(#REF!,"dN3+IWn1s0s=")</f>
        <v>#REF!</v>
      </c>
      <c r="BY149" t="e">
        <f>AND(#REF!,"dN3+IWn1s0w=")</f>
        <v>#REF!</v>
      </c>
      <c r="BZ149" t="e">
        <f>AND(#REF!,"dN3+IWn1s00=")</f>
        <v>#REF!</v>
      </c>
      <c r="CA149" t="e">
        <f>AND(#REF!,"dN3+IWn1s04=")</f>
        <v>#REF!</v>
      </c>
      <c r="CB149" t="e">
        <f>AND(#REF!,"dN3+IWn1s08=")</f>
        <v>#REF!</v>
      </c>
      <c r="CC149" t="e">
        <f>AND(#REF!,"dN3+IWn1s1A=")</f>
        <v>#REF!</v>
      </c>
      <c r="CD149" t="e">
        <f>AND(#REF!,"dN3+IWn1s1E=")</f>
        <v>#REF!</v>
      </c>
      <c r="CE149" t="e">
        <f>IF(#REF!,"dN3+IWn1s1I=",0)</f>
        <v>#REF!</v>
      </c>
      <c r="CF149" t="e">
        <f>AND(#REF!,"dN3+IWn1s1M=")</f>
        <v>#REF!</v>
      </c>
      <c r="CG149" t="e">
        <f>AND(#REF!,"dN3+IWn1s1Q=")</f>
        <v>#REF!</v>
      </c>
      <c r="CH149" t="e">
        <f>AND(#REF!,"dN3+IWn1s1U=")</f>
        <v>#REF!</v>
      </c>
      <c r="CI149" t="e">
        <f>AND(#REF!,"dN3+IWn1s1Y=")</f>
        <v>#REF!</v>
      </c>
      <c r="CJ149" t="e">
        <f>AND(#REF!,"dN3+IWn1s1c=")</f>
        <v>#REF!</v>
      </c>
      <c r="CK149" t="e">
        <f>AND(#REF!,"dN3+IWn1s1g=")</f>
        <v>#REF!</v>
      </c>
      <c r="CL149" t="e">
        <f>AND(#REF!,"dN3+IWn1s1k=")</f>
        <v>#REF!</v>
      </c>
      <c r="CM149" t="e">
        <f>AND(#REF!,"dN3+IWn1s1o=")</f>
        <v>#REF!</v>
      </c>
      <c r="CN149" t="e">
        <f>AND(#REF!,"dN3+IWn1s1s=")</f>
        <v>#REF!</v>
      </c>
      <c r="CO149" t="e">
        <f>AND(#REF!,"dN3+IWn1s1w=")</f>
        <v>#REF!</v>
      </c>
      <c r="CP149" t="e">
        <f>AND(#REF!,"dN3+IWn1s10=")</f>
        <v>#REF!</v>
      </c>
      <c r="CQ149" t="e">
        <f>AND(#REF!,"dN3+IWn1s14=")</f>
        <v>#REF!</v>
      </c>
      <c r="CR149" t="e">
        <f>AND(#REF!,"dN3+IWn1s18=")</f>
        <v>#REF!</v>
      </c>
      <c r="CS149" t="e">
        <f>AND(#REF!,"dN3+IWn1s2A=")</f>
        <v>#REF!</v>
      </c>
      <c r="CT149" t="e">
        <f>AND(#REF!,"dN3+IWn1s2E=")</f>
        <v>#REF!</v>
      </c>
      <c r="CU149" t="e">
        <f>IF(#REF!,"dN3+IWn1s2I=",0)</f>
        <v>#REF!</v>
      </c>
      <c r="CV149" t="e">
        <f>AND(#REF!,"dN3+IWn1s2M=")</f>
        <v>#REF!</v>
      </c>
      <c r="CW149" t="e">
        <f>AND(#REF!,"dN3+IWn1s2Q=")</f>
        <v>#REF!</v>
      </c>
      <c r="CX149" t="e">
        <f>AND(#REF!,"dN3+IWn1s2U=")</f>
        <v>#REF!</v>
      </c>
      <c r="CY149" t="e">
        <f>AND(#REF!,"dN3+IWn1s2Y=")</f>
        <v>#REF!</v>
      </c>
      <c r="CZ149" t="e">
        <f>AND(#REF!,"dN3+IWn1s2c=")</f>
        <v>#REF!</v>
      </c>
      <c r="DA149" t="e">
        <f>AND(#REF!,"dN3+IWn1s2g=")</f>
        <v>#REF!</v>
      </c>
      <c r="DB149" t="e">
        <f>AND(#REF!,"dN3+IWn1s2k=")</f>
        <v>#REF!</v>
      </c>
      <c r="DC149" t="e">
        <f>AND(#REF!,"dN3+IWn1s2o=")</f>
        <v>#REF!</v>
      </c>
      <c r="DD149" t="e">
        <f>AND(#REF!,"dN3+IWn1s2s=")</f>
        <v>#REF!</v>
      </c>
      <c r="DE149" t="e">
        <f>AND(#REF!,"dN3+IWn1s2w=")</f>
        <v>#REF!</v>
      </c>
      <c r="DF149" t="e">
        <f>AND(#REF!,"dN3+IWn1s20=")</f>
        <v>#REF!</v>
      </c>
      <c r="DG149" t="e">
        <f>AND(#REF!,"dN3+IWn1s24=")</f>
        <v>#REF!</v>
      </c>
      <c r="DH149" t="e">
        <f>AND(#REF!,"dN3+IWn1s28=")</f>
        <v>#REF!</v>
      </c>
      <c r="DI149" t="e">
        <f>AND(#REF!,"dN3+IWn1s3A=")</f>
        <v>#REF!</v>
      </c>
      <c r="DJ149" t="e">
        <f>AND(#REF!,"dN3+IWn1s3E=")</f>
        <v>#REF!</v>
      </c>
      <c r="DK149" t="e">
        <f>IF(#REF!,"dN3+IWn1s3I=",0)</f>
        <v>#REF!</v>
      </c>
      <c r="DL149" t="e">
        <f>AND(#REF!,"dN3+IWn1s3M=")</f>
        <v>#REF!</v>
      </c>
      <c r="DM149" t="e">
        <f>AND(#REF!,"dN3+IWn1s3Q=")</f>
        <v>#REF!</v>
      </c>
      <c r="DN149" t="e">
        <f>AND(#REF!,"dN3+IWn1s3U=")</f>
        <v>#REF!</v>
      </c>
      <c r="DO149" t="e">
        <f>AND(#REF!,"dN3+IWn1s3Y=")</f>
        <v>#REF!</v>
      </c>
      <c r="DP149" t="e">
        <f>AND(#REF!,"dN3+IWn1s3c=")</f>
        <v>#REF!</v>
      </c>
      <c r="DQ149" t="e">
        <f>AND(#REF!,"dN3+IWn1s3g=")</f>
        <v>#REF!</v>
      </c>
      <c r="DR149" t="e">
        <f>AND(#REF!,"dN3+IWn1s3k=")</f>
        <v>#REF!</v>
      </c>
      <c r="DS149" t="e">
        <f>AND(#REF!,"dN3+IWn1s3o=")</f>
        <v>#REF!</v>
      </c>
      <c r="DT149" t="e">
        <f>AND(#REF!,"dN3+IWn1s3s=")</f>
        <v>#REF!</v>
      </c>
      <c r="DU149" t="e">
        <f>AND(#REF!,"dN3+IWn1s3w=")</f>
        <v>#REF!</v>
      </c>
      <c r="DV149" t="e">
        <f>AND(#REF!,"dN3+IWn1s30=")</f>
        <v>#REF!</v>
      </c>
      <c r="DW149" t="e">
        <f>AND(#REF!,"dN3+IWn1s34=")</f>
        <v>#REF!</v>
      </c>
      <c r="DX149" t="e">
        <f>AND(#REF!,"dN3+IWn1s38=")</f>
        <v>#REF!</v>
      </c>
      <c r="DY149" t="e">
        <f>AND(#REF!,"dN3+IWn1s4A=")</f>
        <v>#REF!</v>
      </c>
      <c r="DZ149" t="e">
        <f>AND(#REF!,"dN3+IWn1s4E=")</f>
        <v>#REF!</v>
      </c>
      <c r="EA149" t="e">
        <f>IF(#REF!,"dN3+IWn1s4I=",0)</f>
        <v>#REF!</v>
      </c>
      <c r="EB149" t="e">
        <f>AND(#REF!,"dN3+IWn1s4M=")</f>
        <v>#REF!</v>
      </c>
      <c r="EC149" t="e">
        <f>AND(#REF!,"dN3+IWn1s4Q=")</f>
        <v>#REF!</v>
      </c>
      <c r="ED149" t="e">
        <f>AND(#REF!,"dN3+IWn1s4U=")</f>
        <v>#REF!</v>
      </c>
      <c r="EE149" t="e">
        <f>AND(#REF!,"dN3+IWn1s4Y=")</f>
        <v>#REF!</v>
      </c>
      <c r="EF149" t="e">
        <f>AND(#REF!,"dN3+IWn1s4c=")</f>
        <v>#REF!</v>
      </c>
      <c r="EG149" t="e">
        <f>AND(#REF!,"dN3+IWn1s4g=")</f>
        <v>#REF!</v>
      </c>
      <c r="EH149" t="e">
        <f>AND(#REF!,"dN3+IWn1s4k=")</f>
        <v>#REF!</v>
      </c>
      <c r="EI149" t="e">
        <f>AND(#REF!,"dN3+IWn1s4o=")</f>
        <v>#REF!</v>
      </c>
      <c r="EJ149" t="e">
        <f>AND(#REF!,"dN3+IWn1s4s=")</f>
        <v>#REF!</v>
      </c>
      <c r="EK149" t="e">
        <f>AND(#REF!,"dN3+IWn1s4w=")</f>
        <v>#REF!</v>
      </c>
      <c r="EL149" t="e">
        <f>AND(#REF!,"dN3+IWn1s40=")</f>
        <v>#REF!</v>
      </c>
      <c r="EM149" t="e">
        <f>AND(#REF!,"dN3+IWn1s44=")</f>
        <v>#REF!</v>
      </c>
      <c r="EN149" t="e">
        <f>AND(#REF!,"dN3+IWn1s48=")</f>
        <v>#REF!</v>
      </c>
      <c r="EO149" t="e">
        <f>AND(#REF!,"dN3+IWn1s5A=")</f>
        <v>#REF!</v>
      </c>
      <c r="EP149" t="e">
        <f>AND(#REF!,"dN3+IWn1s5E=")</f>
        <v>#REF!</v>
      </c>
      <c r="EQ149" t="e">
        <f>IF(#REF!,"dN3+IWn1s5I=",0)</f>
        <v>#REF!</v>
      </c>
      <c r="ER149" t="e">
        <f>AND(#REF!,"dN3+IWn1s5M=")</f>
        <v>#REF!</v>
      </c>
      <c r="ES149" t="e">
        <f>AND(#REF!,"dN3+IWn1s5Q=")</f>
        <v>#REF!</v>
      </c>
      <c r="ET149" t="e">
        <f>AND(#REF!,"dN3+IWn1s5U=")</f>
        <v>#REF!</v>
      </c>
      <c r="EU149" t="e">
        <f>AND(#REF!,"dN3+IWn1s5Y=")</f>
        <v>#REF!</v>
      </c>
      <c r="EV149" t="e">
        <f>AND(#REF!,"dN3+IWn1s5c=")</f>
        <v>#REF!</v>
      </c>
      <c r="EW149" t="e">
        <f>AND(#REF!,"dN3+IWn1s5g=")</f>
        <v>#REF!</v>
      </c>
      <c r="EX149" t="e">
        <f>AND(#REF!,"dN3+IWn1s5k=")</f>
        <v>#REF!</v>
      </c>
      <c r="EY149" t="e">
        <f>AND(#REF!,"dN3+IWn1s5o=")</f>
        <v>#REF!</v>
      </c>
      <c r="EZ149" t="e">
        <f>AND(#REF!,"dN3+IWn1s5s=")</f>
        <v>#REF!</v>
      </c>
      <c r="FA149" t="e">
        <f>AND(#REF!,"dN3+IWn1s5w=")</f>
        <v>#REF!</v>
      </c>
      <c r="FB149" t="e">
        <f>AND(#REF!,"dN3+IWn1s50=")</f>
        <v>#REF!</v>
      </c>
      <c r="FC149" t="e">
        <f>AND(#REF!,"dN3+IWn1s54=")</f>
        <v>#REF!</v>
      </c>
      <c r="FD149" t="e">
        <f>AND(#REF!,"dN3+IWn1s58=")</f>
        <v>#REF!</v>
      </c>
      <c r="FE149" t="e">
        <f>AND(#REF!,"dN3+IWn1s6A=")</f>
        <v>#REF!</v>
      </c>
      <c r="FF149" t="e">
        <f>AND(#REF!,"dN3+IWn1s6E=")</f>
        <v>#REF!</v>
      </c>
      <c r="FG149" t="e">
        <f>IF(#REF!,"dN3+IWn1s6I=",0)</f>
        <v>#REF!</v>
      </c>
      <c r="FH149" t="e">
        <f>AND(#REF!,"dN3+IWn1s6M=")</f>
        <v>#REF!</v>
      </c>
      <c r="FI149" t="e">
        <f>AND(#REF!,"dN3+IWn1s6Q=")</f>
        <v>#REF!</v>
      </c>
      <c r="FJ149" t="e">
        <f>AND(#REF!,"dN3+IWn1s6U=")</f>
        <v>#REF!</v>
      </c>
      <c r="FK149" t="e">
        <f>AND(#REF!,"dN3+IWn1s6Y=")</f>
        <v>#REF!</v>
      </c>
      <c r="FL149" t="e">
        <f>AND(#REF!,"dN3+IWn1s6c=")</f>
        <v>#REF!</v>
      </c>
      <c r="FM149" t="e">
        <f>AND(#REF!,"dN3+IWn1s6g=")</f>
        <v>#REF!</v>
      </c>
      <c r="FN149" t="e">
        <f>AND(#REF!,"dN3+IWn1s6k=")</f>
        <v>#REF!</v>
      </c>
      <c r="FO149" t="e">
        <f>AND(#REF!,"dN3+IWn1s6o=")</f>
        <v>#REF!</v>
      </c>
      <c r="FP149" t="e">
        <f>AND(#REF!,"dN3+IWn1s6s=")</f>
        <v>#REF!</v>
      </c>
      <c r="FQ149" t="e">
        <f>AND(#REF!,"dN3+IWn1s6w=")</f>
        <v>#REF!</v>
      </c>
      <c r="FR149" t="e">
        <f>AND(#REF!,"dN3+IWn1s60=")</f>
        <v>#REF!</v>
      </c>
      <c r="FS149" t="e">
        <f>AND(#REF!,"dN3+IWn1s64=")</f>
        <v>#REF!</v>
      </c>
      <c r="FT149" t="e">
        <f>AND(#REF!,"dN3+IWn1s68=")</f>
        <v>#REF!</v>
      </c>
      <c r="FU149" t="e">
        <f>AND(#REF!,"dN3+IWn1s7A=")</f>
        <v>#REF!</v>
      </c>
      <c r="FV149" t="e">
        <f>AND(#REF!,"dN3+IWn1s7E=")</f>
        <v>#REF!</v>
      </c>
      <c r="FW149" t="e">
        <f>IF(#REF!,"dN3+IWn1s7I=",0)</f>
        <v>#REF!</v>
      </c>
      <c r="FX149" t="e">
        <f>AND(#REF!,"dN3+IWn1s7M=")</f>
        <v>#REF!</v>
      </c>
      <c r="FY149" t="e">
        <f>AND(#REF!,"dN3+IWn1s7Q=")</f>
        <v>#REF!</v>
      </c>
      <c r="FZ149" t="e">
        <f>AND(#REF!,"dN3+IWn1s7U=")</f>
        <v>#REF!</v>
      </c>
      <c r="GA149" t="e">
        <f>AND(#REF!,"dN3+IWn1s7Y=")</f>
        <v>#REF!</v>
      </c>
      <c r="GB149" t="e">
        <f>AND(#REF!,"dN3+IWn1s7c=")</f>
        <v>#REF!</v>
      </c>
      <c r="GC149" t="e">
        <f>AND(#REF!,"dN3+IWn1s7g=")</f>
        <v>#REF!</v>
      </c>
      <c r="GD149" t="e">
        <f>AND(#REF!,"dN3+IWn1s7k=")</f>
        <v>#REF!</v>
      </c>
      <c r="GE149" t="e">
        <f>AND(#REF!,"dN3+IWn1s7o=")</f>
        <v>#REF!</v>
      </c>
      <c r="GF149" t="e">
        <f>AND(#REF!,"dN3+IWn1s7s=")</f>
        <v>#REF!</v>
      </c>
      <c r="GG149" t="e">
        <f>AND(#REF!,"dN3+IWn1s7w=")</f>
        <v>#REF!</v>
      </c>
      <c r="GH149" t="e">
        <f>AND(#REF!,"dN3+IWn1s70=")</f>
        <v>#REF!</v>
      </c>
      <c r="GI149" t="e">
        <f>AND(#REF!,"dN3+IWn1s74=")</f>
        <v>#REF!</v>
      </c>
      <c r="GJ149" t="e">
        <f>AND(#REF!,"dN3+IWn1s78=")</f>
        <v>#REF!</v>
      </c>
      <c r="GK149" t="e">
        <f>AND(#REF!,"dN3+IWn1s8A=")</f>
        <v>#REF!</v>
      </c>
      <c r="GL149" t="e">
        <f>AND(#REF!,"dN3+IWn1s8E=")</f>
        <v>#REF!</v>
      </c>
      <c r="GM149" t="e">
        <f>IF(#REF!,"dN3+IWn1s8I=",0)</f>
        <v>#REF!</v>
      </c>
      <c r="GN149" t="e">
        <f>AND(#REF!,"dN3+IWn1s8M=")</f>
        <v>#REF!</v>
      </c>
      <c r="GO149" t="e">
        <f>AND(#REF!,"dN3+IWn1s8Q=")</f>
        <v>#REF!</v>
      </c>
      <c r="GP149" t="e">
        <f>AND(#REF!,"dN3+IWn1s8U=")</f>
        <v>#REF!</v>
      </c>
      <c r="GQ149" t="e">
        <f>AND(#REF!,"dN3+IWn1s8Y=")</f>
        <v>#REF!</v>
      </c>
      <c r="GR149" t="e">
        <f>AND(#REF!,"dN3+IWn1s8c=")</f>
        <v>#REF!</v>
      </c>
      <c r="GS149" t="e">
        <f>AND(#REF!,"dN3+IWn1s8g=")</f>
        <v>#REF!</v>
      </c>
      <c r="GT149" t="e">
        <f>AND(#REF!,"dN3+IWn1s8k=")</f>
        <v>#REF!</v>
      </c>
      <c r="GU149" t="e">
        <f>AND(#REF!,"dN3+IWn1s8o=")</f>
        <v>#REF!</v>
      </c>
      <c r="GV149" t="e">
        <f>AND(#REF!,"dN3+IWn1s8s=")</f>
        <v>#REF!</v>
      </c>
      <c r="GW149" t="e">
        <f>AND(#REF!,"dN3+IWn1s8w=")</f>
        <v>#REF!</v>
      </c>
      <c r="GX149" t="e">
        <f>AND(#REF!,"dN3+IWn1s80=")</f>
        <v>#REF!</v>
      </c>
      <c r="GY149" t="e">
        <f>AND(#REF!,"dN3+IWn1s84=")</f>
        <v>#REF!</v>
      </c>
      <c r="GZ149" t="e">
        <f>AND(#REF!,"dN3+IWn1s88=")</f>
        <v>#REF!</v>
      </c>
      <c r="HA149" t="e">
        <f>AND(#REF!,"dN3+IWn1s9A=")</f>
        <v>#REF!</v>
      </c>
      <c r="HB149" t="e">
        <f>AND(#REF!,"dN3+IWn1s9E=")</f>
        <v>#REF!</v>
      </c>
      <c r="HC149" t="e">
        <f>IF(#REF!,"dN3+IWn1s9I=",0)</f>
        <v>#REF!</v>
      </c>
      <c r="HD149" t="e">
        <f>AND(#REF!,"dN3+IWn1s9M=")</f>
        <v>#REF!</v>
      </c>
      <c r="HE149" t="e">
        <f>AND(#REF!,"dN3+IWn1s9Q=")</f>
        <v>#REF!</v>
      </c>
      <c r="HF149" t="e">
        <f>AND(#REF!,"dN3+IWn1s9U=")</f>
        <v>#REF!</v>
      </c>
      <c r="HG149" t="e">
        <f>AND(#REF!,"dN3+IWn1s9Y=")</f>
        <v>#REF!</v>
      </c>
      <c r="HH149" t="e">
        <f>AND(#REF!,"dN3+IWn1s9c=")</f>
        <v>#REF!</v>
      </c>
      <c r="HI149" t="e">
        <f>AND(#REF!,"dN3+IWn1s9g=")</f>
        <v>#REF!</v>
      </c>
      <c r="HJ149" t="e">
        <f>AND(#REF!,"dN3+IWn1s9k=")</f>
        <v>#REF!</v>
      </c>
      <c r="HK149" t="e">
        <f>AND(#REF!,"dN3+IWn1s9o=")</f>
        <v>#REF!</v>
      </c>
      <c r="HL149" t="e">
        <f>AND(#REF!,"dN3+IWn1s9s=")</f>
        <v>#REF!</v>
      </c>
      <c r="HM149" t="e">
        <f>AND(#REF!,"dN3+IWn1s9w=")</f>
        <v>#REF!</v>
      </c>
      <c r="HN149" t="e">
        <f>AND(#REF!,"dN3+IWn1s90=")</f>
        <v>#REF!</v>
      </c>
      <c r="HO149" t="e">
        <f>AND(#REF!,"dN3+IWn1s94=")</f>
        <v>#REF!</v>
      </c>
      <c r="HP149" t="e">
        <f>AND(#REF!,"dN3+IWn1s98=")</f>
        <v>#REF!</v>
      </c>
      <c r="HQ149" t="e">
        <f>AND(#REF!,"dN3+IWn1s+A=")</f>
        <v>#REF!</v>
      </c>
      <c r="HR149" t="e">
        <f>AND(#REF!,"dN3+IWn1s+E=")</f>
        <v>#REF!</v>
      </c>
      <c r="HS149" t="e">
        <f>IF(#REF!,"dN3+IWn1s+I=",0)</f>
        <v>#REF!</v>
      </c>
      <c r="HT149" t="e">
        <f>AND(#REF!,"dN3+IWn1s+M=")</f>
        <v>#REF!</v>
      </c>
      <c r="HU149" t="e">
        <f>AND(#REF!,"dN3+IWn1s+Q=")</f>
        <v>#REF!</v>
      </c>
      <c r="HV149" t="e">
        <f>AND(#REF!,"dN3+IWn1s+U=")</f>
        <v>#REF!</v>
      </c>
      <c r="HW149" t="e">
        <f>AND(#REF!,"dN3+IWn1s+Y=")</f>
        <v>#REF!</v>
      </c>
      <c r="HX149" t="e">
        <f>AND(#REF!,"dN3+IWn1s+c=")</f>
        <v>#REF!</v>
      </c>
      <c r="HY149" t="e">
        <f>AND(#REF!,"dN3+IWn1s+g=")</f>
        <v>#REF!</v>
      </c>
      <c r="HZ149" t="e">
        <f>AND(#REF!,"dN3+IWn1s+k=")</f>
        <v>#REF!</v>
      </c>
      <c r="IA149" t="e">
        <f>AND(#REF!,"dN3+IWn1s+o=")</f>
        <v>#REF!</v>
      </c>
      <c r="IB149" t="e">
        <f>AND(#REF!,"dN3+IWn1s+s=")</f>
        <v>#REF!</v>
      </c>
      <c r="IC149" t="e">
        <f>AND(#REF!,"dN3+IWn1s+w=")</f>
        <v>#REF!</v>
      </c>
      <c r="ID149" t="e">
        <f>AND(#REF!,"dN3+IWn1s+0=")</f>
        <v>#REF!</v>
      </c>
      <c r="IE149" t="e">
        <f>AND(#REF!,"dN3+IWn1s+4=")</f>
        <v>#REF!</v>
      </c>
      <c r="IF149" t="e">
        <f>AND(#REF!,"dN3+IWn1s+8=")</f>
        <v>#REF!</v>
      </c>
      <c r="IG149" t="e">
        <f>AND(#REF!,"dN3+IWn1s/A=")</f>
        <v>#REF!</v>
      </c>
      <c r="IH149" t="e">
        <f>AND(#REF!,"dN3+IWn1s/E=")</f>
        <v>#REF!</v>
      </c>
      <c r="II149" t="e">
        <f>IF(#REF!,"dN3+IWn1s/I=",0)</f>
        <v>#REF!</v>
      </c>
      <c r="IJ149" t="e">
        <f>AND(#REF!,"dN3+IWn1s/M=")</f>
        <v>#REF!</v>
      </c>
      <c r="IK149" t="e">
        <f>AND(#REF!,"dN3+IWn1s/Q=")</f>
        <v>#REF!</v>
      </c>
      <c r="IL149" t="e">
        <f>AND(#REF!,"dN3+IWn1s/U=")</f>
        <v>#REF!</v>
      </c>
      <c r="IM149" t="e">
        <f>AND(#REF!,"dN3+IWn1s/Y=")</f>
        <v>#REF!</v>
      </c>
      <c r="IN149" t="e">
        <f>AND(#REF!,"dN3+IWn1s/c=")</f>
        <v>#REF!</v>
      </c>
      <c r="IO149" t="e">
        <f>AND(#REF!,"dN3+IWn1s/g=")</f>
        <v>#REF!</v>
      </c>
      <c r="IP149" t="e">
        <f>AND(#REF!,"dN3+IWn1s/k=")</f>
        <v>#REF!</v>
      </c>
      <c r="IQ149" t="e">
        <f>AND(#REF!,"dN3+IWn1s/o=")</f>
        <v>#REF!</v>
      </c>
      <c r="IR149" t="e">
        <f>AND(#REF!,"dN3+IWn1s/s=")</f>
        <v>#REF!</v>
      </c>
      <c r="IS149" t="e">
        <f>AND(#REF!,"dN3+IWn1s/w=")</f>
        <v>#REF!</v>
      </c>
      <c r="IT149" t="e">
        <f>AND(#REF!,"dN3+IWn1s/0=")</f>
        <v>#REF!</v>
      </c>
      <c r="IU149" t="e">
        <f>AND(#REF!,"dN3+IWn1s/4=")</f>
        <v>#REF!</v>
      </c>
      <c r="IV149" t="e">
        <f>AND(#REF!,"dN3+IWn1s/8=")</f>
        <v>#REF!</v>
      </c>
    </row>
    <row r="150" spans="1:256" x14ac:dyDescent="0.2">
      <c r="A150" t="e">
        <f>AND(#REF!,"CsdxsA7+xAA=")</f>
        <v>#REF!</v>
      </c>
      <c r="B150" t="e">
        <f>AND(#REF!,"CsdxsA7+xAE=")</f>
        <v>#REF!</v>
      </c>
      <c r="C150" t="e">
        <f>IF(#REF!,"CsdxsA7+xAI=",0)</f>
        <v>#REF!</v>
      </c>
      <c r="D150" t="e">
        <f>AND(#REF!,"CsdxsA7+xAM=")</f>
        <v>#REF!</v>
      </c>
      <c r="E150" t="e">
        <f>AND(#REF!,"CsdxsA7+xAQ=")</f>
        <v>#REF!</v>
      </c>
      <c r="F150" t="e">
        <f>AND(#REF!,"CsdxsA7+xAU=")</f>
        <v>#REF!</v>
      </c>
      <c r="G150" t="e">
        <f>AND(#REF!,"CsdxsA7+xAY=")</f>
        <v>#REF!</v>
      </c>
      <c r="H150" t="e">
        <f>AND(#REF!,"CsdxsA7+xAc=")</f>
        <v>#REF!</v>
      </c>
      <c r="I150" t="e">
        <f>AND(#REF!,"CsdxsA7+xAg=")</f>
        <v>#REF!</v>
      </c>
      <c r="J150" t="e">
        <f>AND(#REF!,"CsdxsA7+xAk=")</f>
        <v>#REF!</v>
      </c>
      <c r="K150" t="e">
        <f>AND(#REF!,"CsdxsA7+xAo=")</f>
        <v>#REF!</v>
      </c>
      <c r="L150" t="e">
        <f>AND(#REF!,"CsdxsA7+xAs=")</f>
        <v>#REF!</v>
      </c>
      <c r="M150" t="e">
        <f>AND(#REF!,"CsdxsA7+xAw=")</f>
        <v>#REF!</v>
      </c>
      <c r="N150" t="e">
        <f>AND(#REF!,"CsdxsA7+xA0=")</f>
        <v>#REF!</v>
      </c>
      <c r="O150" t="e">
        <f>AND(#REF!,"CsdxsA7+xA4=")</f>
        <v>#REF!</v>
      </c>
      <c r="P150" t="e">
        <f>AND(#REF!,"CsdxsA7+xA8=")</f>
        <v>#REF!</v>
      </c>
      <c r="Q150" t="e">
        <f>AND(#REF!,"CsdxsA7+xBA=")</f>
        <v>#REF!</v>
      </c>
      <c r="R150" t="e">
        <f>AND(#REF!,"CsdxsA7+xBE=")</f>
        <v>#REF!</v>
      </c>
      <c r="S150" t="e">
        <f>IF(#REF!,"CsdxsA7+xBI=",0)</f>
        <v>#REF!</v>
      </c>
      <c r="T150" t="e">
        <f>AND(#REF!,"CsdxsA7+xBM=")</f>
        <v>#REF!</v>
      </c>
      <c r="U150" t="e">
        <f>AND(#REF!,"CsdxsA7+xBQ=")</f>
        <v>#REF!</v>
      </c>
      <c r="V150" t="e">
        <f>AND(#REF!,"CsdxsA7+xBU=")</f>
        <v>#REF!</v>
      </c>
      <c r="W150" t="e">
        <f>AND(#REF!,"CsdxsA7+xBY=")</f>
        <v>#REF!</v>
      </c>
      <c r="X150" t="e">
        <f>AND(#REF!,"CsdxsA7+xBc=")</f>
        <v>#REF!</v>
      </c>
      <c r="Y150" t="e">
        <f>AND(#REF!,"CsdxsA7+xBg=")</f>
        <v>#REF!</v>
      </c>
      <c r="Z150" t="e">
        <f>AND(#REF!,"CsdxsA7+xBk=")</f>
        <v>#REF!</v>
      </c>
      <c r="AA150" t="e">
        <f>AND(#REF!,"CsdxsA7+xBo=")</f>
        <v>#REF!</v>
      </c>
      <c r="AB150" t="e">
        <f>AND(#REF!,"CsdxsA7+xBs=")</f>
        <v>#REF!</v>
      </c>
      <c r="AC150" t="e">
        <f>AND(#REF!,"CsdxsA7+xBw=")</f>
        <v>#REF!</v>
      </c>
      <c r="AD150" t="e">
        <f>AND(#REF!,"CsdxsA7+xB0=")</f>
        <v>#REF!</v>
      </c>
      <c r="AE150" t="e">
        <f>AND(#REF!,"CsdxsA7+xB4=")</f>
        <v>#REF!</v>
      </c>
      <c r="AF150" t="e">
        <f>AND(#REF!,"CsdxsA7+xB8=")</f>
        <v>#REF!</v>
      </c>
      <c r="AG150" t="e">
        <f>AND(#REF!,"CsdxsA7+xCA=")</f>
        <v>#REF!</v>
      </c>
      <c r="AH150" t="e">
        <f>AND(#REF!,"CsdxsA7+xCE=")</f>
        <v>#REF!</v>
      </c>
      <c r="AI150" t="e">
        <f>IF(#REF!,"CsdxsA7+xCI=",0)</f>
        <v>#REF!</v>
      </c>
      <c r="AJ150" t="e">
        <f>AND(#REF!,"CsdxsA7+xCM=")</f>
        <v>#REF!</v>
      </c>
      <c r="AK150" t="e">
        <f>AND(#REF!,"CsdxsA7+xCQ=")</f>
        <v>#REF!</v>
      </c>
      <c r="AL150" t="e">
        <f>AND(#REF!,"CsdxsA7+xCU=")</f>
        <v>#REF!</v>
      </c>
      <c r="AM150" t="e">
        <f>AND(#REF!,"CsdxsA7+xCY=")</f>
        <v>#REF!</v>
      </c>
      <c r="AN150" t="e">
        <f>AND(#REF!,"CsdxsA7+xCc=")</f>
        <v>#REF!</v>
      </c>
      <c r="AO150" t="e">
        <f>AND(#REF!,"CsdxsA7+xCg=")</f>
        <v>#REF!</v>
      </c>
      <c r="AP150" t="e">
        <f>AND(#REF!,"CsdxsA7+xCk=")</f>
        <v>#REF!</v>
      </c>
      <c r="AQ150" t="e">
        <f>AND(#REF!,"CsdxsA7+xCo=")</f>
        <v>#REF!</v>
      </c>
      <c r="AR150" t="e">
        <f>AND(#REF!,"CsdxsA7+xCs=")</f>
        <v>#REF!</v>
      </c>
      <c r="AS150" t="e">
        <f>AND(#REF!,"CsdxsA7+xCw=")</f>
        <v>#REF!</v>
      </c>
      <c r="AT150" t="e">
        <f>AND(#REF!,"CsdxsA7+xC0=")</f>
        <v>#REF!</v>
      </c>
      <c r="AU150" t="e">
        <f>AND(#REF!,"CsdxsA7+xC4=")</f>
        <v>#REF!</v>
      </c>
      <c r="AV150" t="e">
        <f>AND(#REF!,"CsdxsA7+xC8=")</f>
        <v>#REF!</v>
      </c>
      <c r="AW150" t="e">
        <f>AND(#REF!,"CsdxsA7+xDA=")</f>
        <v>#REF!</v>
      </c>
      <c r="AX150" t="e">
        <f>AND(#REF!,"CsdxsA7+xDE=")</f>
        <v>#REF!</v>
      </c>
      <c r="AY150" t="e">
        <f>IF(#REF!,"CsdxsA7+xDI=",0)</f>
        <v>#REF!</v>
      </c>
      <c r="AZ150" t="e">
        <f>AND(#REF!,"CsdxsA7+xDM=")</f>
        <v>#REF!</v>
      </c>
      <c r="BA150" t="e">
        <f>AND(#REF!,"CsdxsA7+xDQ=")</f>
        <v>#REF!</v>
      </c>
      <c r="BB150" t="e">
        <f>AND(#REF!,"CsdxsA7+xDU=")</f>
        <v>#REF!</v>
      </c>
      <c r="BC150" t="e">
        <f>AND(#REF!,"CsdxsA7+xDY=")</f>
        <v>#REF!</v>
      </c>
      <c r="BD150" t="e">
        <f>AND(#REF!,"CsdxsA7+xDc=")</f>
        <v>#REF!</v>
      </c>
      <c r="BE150" t="e">
        <f>AND(#REF!,"CsdxsA7+xDg=")</f>
        <v>#REF!</v>
      </c>
      <c r="BF150" t="e">
        <f>AND(#REF!,"CsdxsA7+xDk=")</f>
        <v>#REF!</v>
      </c>
      <c r="BG150" t="e">
        <f>AND(#REF!,"CsdxsA7+xDo=")</f>
        <v>#REF!</v>
      </c>
      <c r="BH150" t="e">
        <f>AND(#REF!,"CsdxsA7+xDs=")</f>
        <v>#REF!</v>
      </c>
      <c r="BI150" t="e">
        <f>AND(#REF!,"CsdxsA7+xDw=")</f>
        <v>#REF!</v>
      </c>
      <c r="BJ150" t="e">
        <f>AND(#REF!,"CsdxsA7+xD0=")</f>
        <v>#REF!</v>
      </c>
      <c r="BK150" t="e">
        <f>AND(#REF!,"CsdxsA7+xD4=")</f>
        <v>#REF!</v>
      </c>
      <c r="BL150" t="e">
        <f>AND(#REF!,"CsdxsA7+xD8=")</f>
        <v>#REF!</v>
      </c>
      <c r="BM150" t="e">
        <f>AND(#REF!,"CsdxsA7+xEA=")</f>
        <v>#REF!</v>
      </c>
      <c r="BN150" t="e">
        <f>AND(#REF!,"CsdxsA7+xEE=")</f>
        <v>#REF!</v>
      </c>
      <c r="BO150" t="e">
        <f>IF(#REF!,"CsdxsA7+xEI=",0)</f>
        <v>#REF!</v>
      </c>
      <c r="BP150" t="e">
        <f>AND(#REF!,"CsdxsA7+xEM=")</f>
        <v>#REF!</v>
      </c>
      <c r="BQ150" t="e">
        <f>AND(#REF!,"CsdxsA7+xEQ=")</f>
        <v>#REF!</v>
      </c>
      <c r="BR150" t="e">
        <f>AND(#REF!,"CsdxsA7+xEU=")</f>
        <v>#REF!</v>
      </c>
      <c r="BS150" t="e">
        <f>AND(#REF!,"CsdxsA7+xEY=")</f>
        <v>#REF!</v>
      </c>
      <c r="BT150" t="e">
        <f>AND(#REF!,"CsdxsA7+xEc=")</f>
        <v>#REF!</v>
      </c>
      <c r="BU150" t="e">
        <f>AND(#REF!,"CsdxsA7+xEg=")</f>
        <v>#REF!</v>
      </c>
      <c r="BV150" t="e">
        <f>AND(#REF!,"CsdxsA7+xEk=")</f>
        <v>#REF!</v>
      </c>
      <c r="BW150" t="e">
        <f>AND(#REF!,"CsdxsA7+xEo=")</f>
        <v>#REF!</v>
      </c>
      <c r="BX150" t="e">
        <f>AND(#REF!,"CsdxsA7+xEs=")</f>
        <v>#REF!</v>
      </c>
      <c r="BY150" t="e">
        <f>AND(#REF!,"CsdxsA7+xEw=")</f>
        <v>#REF!</v>
      </c>
      <c r="BZ150" t="e">
        <f>AND(#REF!,"CsdxsA7+xE0=")</f>
        <v>#REF!</v>
      </c>
      <c r="CA150" t="e">
        <f>AND(#REF!,"CsdxsA7+xE4=")</f>
        <v>#REF!</v>
      </c>
      <c r="CB150" t="e">
        <f>AND(#REF!,"CsdxsA7+xE8=")</f>
        <v>#REF!</v>
      </c>
      <c r="CC150" t="e">
        <f>AND(#REF!,"CsdxsA7+xFA=")</f>
        <v>#REF!</v>
      </c>
      <c r="CD150" t="e">
        <f>AND(#REF!,"CsdxsA7+xFE=")</f>
        <v>#REF!</v>
      </c>
      <c r="CE150" t="e">
        <f>IF(#REF!,"CsdxsA7+xFI=",0)</f>
        <v>#REF!</v>
      </c>
      <c r="CF150" t="e">
        <f>AND(#REF!,"CsdxsA7+xFM=")</f>
        <v>#REF!</v>
      </c>
      <c r="CG150" t="e">
        <f>AND(#REF!,"CsdxsA7+xFQ=")</f>
        <v>#REF!</v>
      </c>
      <c r="CH150" t="e">
        <f>AND(#REF!,"CsdxsA7+xFU=")</f>
        <v>#REF!</v>
      </c>
      <c r="CI150" t="e">
        <f>AND(#REF!,"CsdxsA7+xFY=")</f>
        <v>#REF!</v>
      </c>
      <c r="CJ150" t="e">
        <f>AND(#REF!,"CsdxsA7+xFc=")</f>
        <v>#REF!</v>
      </c>
      <c r="CK150" t="e">
        <f>AND(#REF!,"CsdxsA7+xFg=")</f>
        <v>#REF!</v>
      </c>
      <c r="CL150" t="e">
        <f>AND(#REF!,"CsdxsA7+xFk=")</f>
        <v>#REF!</v>
      </c>
      <c r="CM150" t="e">
        <f>AND(#REF!,"CsdxsA7+xFo=")</f>
        <v>#REF!</v>
      </c>
      <c r="CN150" t="e">
        <f>AND(#REF!,"CsdxsA7+xFs=")</f>
        <v>#REF!</v>
      </c>
      <c r="CO150" t="e">
        <f>AND(#REF!,"CsdxsA7+xFw=")</f>
        <v>#REF!</v>
      </c>
      <c r="CP150" t="e">
        <f>AND(#REF!,"CsdxsA7+xF0=")</f>
        <v>#REF!</v>
      </c>
      <c r="CQ150" t="e">
        <f>AND(#REF!,"CsdxsA7+xF4=")</f>
        <v>#REF!</v>
      </c>
      <c r="CR150" t="e">
        <f>AND(#REF!,"CsdxsA7+xF8=")</f>
        <v>#REF!</v>
      </c>
      <c r="CS150" t="e">
        <f>AND(#REF!,"CsdxsA7+xGA=")</f>
        <v>#REF!</v>
      </c>
      <c r="CT150" t="e">
        <f>AND(#REF!,"CsdxsA7+xGE=")</f>
        <v>#REF!</v>
      </c>
      <c r="CU150" t="e">
        <f>IF(#REF!,"CsdxsA7+xGI=",0)</f>
        <v>#REF!</v>
      </c>
      <c r="CV150" t="e">
        <f>AND(#REF!,"CsdxsA7+xGM=")</f>
        <v>#REF!</v>
      </c>
      <c r="CW150" t="e">
        <f>AND(#REF!,"CsdxsA7+xGQ=")</f>
        <v>#REF!</v>
      </c>
      <c r="CX150" t="e">
        <f>AND(#REF!,"CsdxsA7+xGU=")</f>
        <v>#REF!</v>
      </c>
      <c r="CY150" t="e">
        <f>AND(#REF!,"CsdxsA7+xGY=")</f>
        <v>#REF!</v>
      </c>
      <c r="CZ150" t="e">
        <f>AND(#REF!,"CsdxsA7+xGc=")</f>
        <v>#REF!</v>
      </c>
      <c r="DA150" t="e">
        <f>AND(#REF!,"CsdxsA7+xGg=")</f>
        <v>#REF!</v>
      </c>
      <c r="DB150" t="e">
        <f>AND(#REF!,"CsdxsA7+xGk=")</f>
        <v>#REF!</v>
      </c>
      <c r="DC150" t="e">
        <f>AND(#REF!,"CsdxsA7+xGo=")</f>
        <v>#REF!</v>
      </c>
      <c r="DD150" t="e">
        <f>AND(#REF!,"CsdxsA7+xGs=")</f>
        <v>#REF!</v>
      </c>
      <c r="DE150" t="e">
        <f>AND(#REF!,"CsdxsA7+xGw=")</f>
        <v>#REF!</v>
      </c>
      <c r="DF150" t="e">
        <f>AND(#REF!,"CsdxsA7+xG0=")</f>
        <v>#REF!</v>
      </c>
      <c r="DG150" t="e">
        <f>AND(#REF!,"CsdxsA7+xG4=")</f>
        <v>#REF!</v>
      </c>
      <c r="DH150" t="e">
        <f>AND(#REF!,"CsdxsA7+xG8=")</f>
        <v>#REF!</v>
      </c>
      <c r="DI150" t="e">
        <f>AND(#REF!,"CsdxsA7+xHA=")</f>
        <v>#REF!</v>
      </c>
      <c r="DJ150" t="e">
        <f>AND(#REF!,"CsdxsA7+xHE=")</f>
        <v>#REF!</v>
      </c>
      <c r="DK150" t="e">
        <f>IF(#REF!,"CsdxsA7+xHI=",0)</f>
        <v>#REF!</v>
      </c>
      <c r="DL150" t="e">
        <f>AND(#REF!,"CsdxsA7+xHM=")</f>
        <v>#REF!</v>
      </c>
      <c r="DM150" t="e">
        <f>AND(#REF!,"CsdxsA7+xHQ=")</f>
        <v>#REF!</v>
      </c>
      <c r="DN150" t="e">
        <f>AND(#REF!,"CsdxsA7+xHU=")</f>
        <v>#REF!</v>
      </c>
      <c r="DO150" t="e">
        <f>AND(#REF!,"CsdxsA7+xHY=")</f>
        <v>#REF!</v>
      </c>
      <c r="DP150" t="e">
        <f>AND(#REF!,"CsdxsA7+xHc=")</f>
        <v>#REF!</v>
      </c>
      <c r="DQ150" t="e">
        <f>AND(#REF!,"CsdxsA7+xHg=")</f>
        <v>#REF!</v>
      </c>
      <c r="DR150" t="e">
        <f>AND(#REF!,"CsdxsA7+xHk=")</f>
        <v>#REF!</v>
      </c>
      <c r="DS150" t="e">
        <f>AND(#REF!,"CsdxsA7+xHo=")</f>
        <v>#REF!</v>
      </c>
      <c r="DT150" t="e">
        <f>AND(#REF!,"CsdxsA7+xHs=")</f>
        <v>#REF!</v>
      </c>
      <c r="DU150" t="e">
        <f>AND(#REF!,"CsdxsA7+xHw=")</f>
        <v>#REF!</v>
      </c>
      <c r="DV150" t="e">
        <f>AND(#REF!,"CsdxsA7+xH0=")</f>
        <v>#REF!</v>
      </c>
      <c r="DW150" t="e">
        <f>AND(#REF!,"CsdxsA7+xH4=")</f>
        <v>#REF!</v>
      </c>
      <c r="DX150" t="e">
        <f>AND(#REF!,"CsdxsA7+xH8=")</f>
        <v>#REF!</v>
      </c>
      <c r="DY150" t="e">
        <f>AND(#REF!,"CsdxsA7+xIA=")</f>
        <v>#REF!</v>
      </c>
      <c r="DZ150" t="e">
        <f>AND(#REF!,"CsdxsA7+xIE=")</f>
        <v>#REF!</v>
      </c>
      <c r="EA150" t="e">
        <f>IF(#REF!,"CsdxsA7+xII=",0)</f>
        <v>#REF!</v>
      </c>
      <c r="EB150" t="e">
        <f>AND(#REF!,"CsdxsA7+xIM=")</f>
        <v>#REF!</v>
      </c>
      <c r="EC150" t="e">
        <f>AND(#REF!,"CsdxsA7+xIQ=")</f>
        <v>#REF!</v>
      </c>
      <c r="ED150" t="e">
        <f>AND(#REF!,"CsdxsA7+xIU=")</f>
        <v>#REF!</v>
      </c>
      <c r="EE150" t="e">
        <f>AND(#REF!,"CsdxsA7+xIY=")</f>
        <v>#REF!</v>
      </c>
      <c r="EF150" t="e">
        <f>AND(#REF!,"CsdxsA7+xIc=")</f>
        <v>#REF!</v>
      </c>
      <c r="EG150" t="e">
        <f>AND(#REF!,"CsdxsA7+xIg=")</f>
        <v>#REF!</v>
      </c>
      <c r="EH150" t="e">
        <f>AND(#REF!,"CsdxsA7+xIk=")</f>
        <v>#REF!</v>
      </c>
      <c r="EI150" t="e">
        <f>AND(#REF!,"CsdxsA7+xIo=")</f>
        <v>#REF!</v>
      </c>
      <c r="EJ150" t="e">
        <f>AND(#REF!,"CsdxsA7+xIs=")</f>
        <v>#REF!</v>
      </c>
      <c r="EK150" t="e">
        <f>AND(#REF!,"CsdxsA7+xIw=")</f>
        <v>#REF!</v>
      </c>
      <c r="EL150" t="e">
        <f>AND(#REF!,"CsdxsA7+xI0=")</f>
        <v>#REF!</v>
      </c>
      <c r="EM150" t="e">
        <f>AND(#REF!,"CsdxsA7+xI4=")</f>
        <v>#REF!</v>
      </c>
      <c r="EN150" t="e">
        <f>AND(#REF!,"CsdxsA7+xI8=")</f>
        <v>#REF!</v>
      </c>
      <c r="EO150" t="e">
        <f>AND(#REF!,"CsdxsA7+xJA=")</f>
        <v>#REF!</v>
      </c>
      <c r="EP150" t="e">
        <f>AND(#REF!,"CsdxsA7+xJE=")</f>
        <v>#REF!</v>
      </c>
      <c r="EQ150" t="e">
        <f>IF(#REF!,"CsdxsA7+xJI=",0)</f>
        <v>#REF!</v>
      </c>
      <c r="ER150" t="e">
        <f>AND(#REF!,"CsdxsA7+xJM=")</f>
        <v>#REF!</v>
      </c>
      <c r="ES150" t="e">
        <f>AND(#REF!,"CsdxsA7+xJQ=")</f>
        <v>#REF!</v>
      </c>
      <c r="ET150" t="e">
        <f>AND(#REF!,"CsdxsA7+xJU=")</f>
        <v>#REF!</v>
      </c>
      <c r="EU150" t="e">
        <f>AND(#REF!,"CsdxsA7+xJY=")</f>
        <v>#REF!</v>
      </c>
      <c r="EV150" t="e">
        <f>AND(#REF!,"CsdxsA7+xJc=")</f>
        <v>#REF!</v>
      </c>
      <c r="EW150" t="e">
        <f>AND(#REF!,"CsdxsA7+xJg=")</f>
        <v>#REF!</v>
      </c>
      <c r="EX150" t="e">
        <f>AND(#REF!,"CsdxsA7+xJk=")</f>
        <v>#REF!</v>
      </c>
      <c r="EY150" t="e">
        <f>AND(#REF!,"CsdxsA7+xJo=")</f>
        <v>#REF!</v>
      </c>
      <c r="EZ150" t="e">
        <f>AND(#REF!,"CsdxsA7+xJs=")</f>
        <v>#REF!</v>
      </c>
      <c r="FA150" t="e">
        <f>AND(#REF!,"CsdxsA7+xJw=")</f>
        <v>#REF!</v>
      </c>
      <c r="FB150" t="e">
        <f>AND(#REF!,"CsdxsA7+xJ0=")</f>
        <v>#REF!</v>
      </c>
      <c r="FC150" t="e">
        <f>AND(#REF!,"CsdxsA7+xJ4=")</f>
        <v>#REF!</v>
      </c>
      <c r="FD150" t="e">
        <f>AND(#REF!,"CsdxsA7+xJ8=")</f>
        <v>#REF!</v>
      </c>
      <c r="FE150" t="e">
        <f>AND(#REF!,"CsdxsA7+xKA=")</f>
        <v>#REF!</v>
      </c>
      <c r="FF150" t="e">
        <f>AND(#REF!,"CsdxsA7+xKE=")</f>
        <v>#REF!</v>
      </c>
      <c r="FG150" t="e">
        <f>IF(#REF!,"CsdxsA7+xKI=",0)</f>
        <v>#REF!</v>
      </c>
      <c r="FH150" t="e">
        <f>AND(#REF!,"CsdxsA7+xKM=")</f>
        <v>#REF!</v>
      </c>
      <c r="FI150" t="e">
        <f>AND(#REF!,"CsdxsA7+xKQ=")</f>
        <v>#REF!</v>
      </c>
      <c r="FJ150" t="e">
        <f>AND(#REF!,"CsdxsA7+xKU=")</f>
        <v>#REF!</v>
      </c>
      <c r="FK150" t="e">
        <f>AND(#REF!,"CsdxsA7+xKY=")</f>
        <v>#REF!</v>
      </c>
      <c r="FL150" t="e">
        <f>AND(#REF!,"CsdxsA7+xKc=")</f>
        <v>#REF!</v>
      </c>
      <c r="FM150" t="e">
        <f>AND(#REF!,"CsdxsA7+xKg=")</f>
        <v>#REF!</v>
      </c>
      <c r="FN150" t="e">
        <f>AND(#REF!,"CsdxsA7+xKk=")</f>
        <v>#REF!</v>
      </c>
      <c r="FO150" t="e">
        <f>AND(#REF!,"CsdxsA7+xKo=")</f>
        <v>#REF!</v>
      </c>
      <c r="FP150" t="e">
        <f>AND(#REF!,"CsdxsA7+xKs=")</f>
        <v>#REF!</v>
      </c>
      <c r="FQ150" t="e">
        <f>AND(#REF!,"CsdxsA7+xKw=")</f>
        <v>#REF!</v>
      </c>
      <c r="FR150" t="e">
        <f>AND(#REF!,"CsdxsA7+xK0=")</f>
        <v>#REF!</v>
      </c>
      <c r="FS150" t="e">
        <f>AND(#REF!,"CsdxsA7+xK4=")</f>
        <v>#REF!</v>
      </c>
      <c r="FT150" t="e">
        <f>AND(#REF!,"CsdxsA7+xK8=")</f>
        <v>#REF!</v>
      </c>
      <c r="FU150" t="e">
        <f>AND(#REF!,"CsdxsA7+xLA=")</f>
        <v>#REF!</v>
      </c>
      <c r="FV150" t="e">
        <f>AND(#REF!,"CsdxsA7+xLE=")</f>
        <v>#REF!</v>
      </c>
      <c r="FW150" t="e">
        <f>IF(#REF!,"CsdxsA7+xLI=",0)</f>
        <v>#REF!</v>
      </c>
      <c r="FX150" t="e">
        <f>AND(#REF!,"CsdxsA7+xLM=")</f>
        <v>#REF!</v>
      </c>
      <c r="FY150" t="e">
        <f>AND(#REF!,"CsdxsA7+xLQ=")</f>
        <v>#REF!</v>
      </c>
      <c r="FZ150" t="e">
        <f>AND(#REF!,"CsdxsA7+xLU=")</f>
        <v>#REF!</v>
      </c>
      <c r="GA150" t="e">
        <f>AND(#REF!,"CsdxsA7+xLY=")</f>
        <v>#REF!</v>
      </c>
      <c r="GB150" t="e">
        <f>AND(#REF!,"CsdxsA7+xLc=")</f>
        <v>#REF!</v>
      </c>
      <c r="GC150" t="e">
        <f>AND(#REF!,"CsdxsA7+xLg=")</f>
        <v>#REF!</v>
      </c>
      <c r="GD150" t="e">
        <f>AND(#REF!,"CsdxsA7+xLk=")</f>
        <v>#REF!</v>
      </c>
      <c r="GE150" t="e">
        <f>AND(#REF!,"CsdxsA7+xLo=")</f>
        <v>#REF!</v>
      </c>
      <c r="GF150" t="e">
        <f>AND(#REF!,"CsdxsA7+xLs=")</f>
        <v>#REF!</v>
      </c>
      <c r="GG150" t="e">
        <f>AND(#REF!,"CsdxsA7+xLw=")</f>
        <v>#REF!</v>
      </c>
      <c r="GH150" t="e">
        <f>AND(#REF!,"CsdxsA7+xL0=")</f>
        <v>#REF!</v>
      </c>
      <c r="GI150" t="e">
        <f>AND(#REF!,"CsdxsA7+xL4=")</f>
        <v>#REF!</v>
      </c>
      <c r="GJ150" t="e">
        <f>AND(#REF!,"CsdxsA7+xL8=")</f>
        <v>#REF!</v>
      </c>
      <c r="GK150" t="e">
        <f>AND(#REF!,"CsdxsA7+xMA=")</f>
        <v>#REF!</v>
      </c>
      <c r="GL150" t="e">
        <f>AND(#REF!,"CsdxsA7+xME=")</f>
        <v>#REF!</v>
      </c>
      <c r="GM150" t="e">
        <f>IF(#REF!,"CsdxsA7+xMI=",0)</f>
        <v>#REF!</v>
      </c>
      <c r="GN150" t="e">
        <f>AND(#REF!,"CsdxsA7+xMM=")</f>
        <v>#REF!</v>
      </c>
      <c r="GO150" t="e">
        <f>AND(#REF!,"CsdxsA7+xMQ=")</f>
        <v>#REF!</v>
      </c>
      <c r="GP150" t="e">
        <f>AND(#REF!,"CsdxsA7+xMU=")</f>
        <v>#REF!</v>
      </c>
      <c r="GQ150" t="e">
        <f>AND(#REF!,"CsdxsA7+xMY=")</f>
        <v>#REF!</v>
      </c>
      <c r="GR150" t="e">
        <f>AND(#REF!,"CsdxsA7+xMc=")</f>
        <v>#REF!</v>
      </c>
      <c r="GS150" t="e">
        <f>AND(#REF!,"CsdxsA7+xMg=")</f>
        <v>#REF!</v>
      </c>
      <c r="GT150" t="e">
        <f>AND(#REF!,"CsdxsA7+xMk=")</f>
        <v>#REF!</v>
      </c>
      <c r="GU150" t="e">
        <f>AND(#REF!,"CsdxsA7+xMo=")</f>
        <v>#REF!</v>
      </c>
      <c r="GV150" t="e">
        <f>AND(#REF!,"CsdxsA7+xMs=")</f>
        <v>#REF!</v>
      </c>
      <c r="GW150" t="e">
        <f>AND(#REF!,"CsdxsA7+xMw=")</f>
        <v>#REF!</v>
      </c>
      <c r="GX150" t="e">
        <f>AND(#REF!,"CsdxsA7+xM0=")</f>
        <v>#REF!</v>
      </c>
      <c r="GY150" t="e">
        <f>AND(#REF!,"CsdxsA7+xM4=")</f>
        <v>#REF!</v>
      </c>
      <c r="GZ150" t="e">
        <f>AND(#REF!,"CsdxsA7+xM8=")</f>
        <v>#REF!</v>
      </c>
      <c r="HA150" t="e">
        <f>AND(#REF!,"CsdxsA7+xNA=")</f>
        <v>#REF!</v>
      </c>
      <c r="HB150" t="e">
        <f>AND(#REF!,"CsdxsA7+xNE=")</f>
        <v>#REF!</v>
      </c>
      <c r="HC150" t="e">
        <f>IF(#REF!,"CsdxsA7+xNI=",0)</f>
        <v>#REF!</v>
      </c>
      <c r="HD150" t="e">
        <f>AND(#REF!,"CsdxsA7+xNM=")</f>
        <v>#REF!</v>
      </c>
      <c r="HE150" t="e">
        <f>AND(#REF!,"CsdxsA7+xNQ=")</f>
        <v>#REF!</v>
      </c>
      <c r="HF150" t="e">
        <f>AND(#REF!,"CsdxsA7+xNU=")</f>
        <v>#REF!</v>
      </c>
      <c r="HG150" t="e">
        <f>AND(#REF!,"CsdxsA7+xNY=")</f>
        <v>#REF!</v>
      </c>
      <c r="HH150" t="e">
        <f>AND(#REF!,"CsdxsA7+xNc=")</f>
        <v>#REF!</v>
      </c>
      <c r="HI150" t="e">
        <f>AND(#REF!,"CsdxsA7+xNg=")</f>
        <v>#REF!</v>
      </c>
      <c r="HJ150" t="e">
        <f>AND(#REF!,"CsdxsA7+xNk=")</f>
        <v>#REF!</v>
      </c>
      <c r="HK150" t="e">
        <f>AND(#REF!,"CsdxsA7+xNo=")</f>
        <v>#REF!</v>
      </c>
      <c r="HL150" t="e">
        <f>AND(#REF!,"CsdxsA7+xNs=")</f>
        <v>#REF!</v>
      </c>
      <c r="HM150" t="e">
        <f>AND(#REF!,"CsdxsA7+xNw=")</f>
        <v>#REF!</v>
      </c>
      <c r="HN150" t="e">
        <f>AND(#REF!,"CsdxsA7+xN0=")</f>
        <v>#REF!</v>
      </c>
      <c r="HO150" t="e">
        <f>AND(#REF!,"CsdxsA7+xN4=")</f>
        <v>#REF!</v>
      </c>
      <c r="HP150" t="e">
        <f>AND(#REF!,"CsdxsA7+xN8=")</f>
        <v>#REF!</v>
      </c>
      <c r="HQ150" t="e">
        <f>AND(#REF!,"CsdxsA7+xOA=")</f>
        <v>#REF!</v>
      </c>
      <c r="HR150" t="e">
        <f>AND(#REF!,"CsdxsA7+xOE=")</f>
        <v>#REF!</v>
      </c>
      <c r="HS150" t="e">
        <f>IF(#REF!,"CsdxsA7+xOI=",0)</f>
        <v>#REF!</v>
      </c>
      <c r="HT150" t="e">
        <f>AND(#REF!,"CsdxsA7+xOM=")</f>
        <v>#REF!</v>
      </c>
      <c r="HU150" t="e">
        <f>AND(#REF!,"CsdxsA7+xOQ=")</f>
        <v>#REF!</v>
      </c>
      <c r="HV150" t="e">
        <f>AND(#REF!,"CsdxsA7+xOU=")</f>
        <v>#REF!</v>
      </c>
      <c r="HW150" t="e">
        <f>AND(#REF!,"CsdxsA7+xOY=")</f>
        <v>#REF!</v>
      </c>
      <c r="HX150" t="e">
        <f>AND(#REF!,"CsdxsA7+xOc=")</f>
        <v>#REF!</v>
      </c>
      <c r="HY150" t="e">
        <f>AND(#REF!,"CsdxsA7+xOg=")</f>
        <v>#REF!</v>
      </c>
      <c r="HZ150" t="e">
        <f>AND(#REF!,"CsdxsA7+xOk=")</f>
        <v>#REF!</v>
      </c>
      <c r="IA150" t="e">
        <f>AND(#REF!,"CsdxsA7+xOo=")</f>
        <v>#REF!</v>
      </c>
      <c r="IB150" t="e">
        <f>AND(#REF!,"CsdxsA7+xOs=")</f>
        <v>#REF!</v>
      </c>
      <c r="IC150" t="e">
        <f>AND(#REF!,"CsdxsA7+xOw=")</f>
        <v>#REF!</v>
      </c>
      <c r="ID150" t="e">
        <f>AND(#REF!,"CsdxsA7+xO0=")</f>
        <v>#REF!</v>
      </c>
      <c r="IE150" t="e">
        <f>AND(#REF!,"CsdxsA7+xO4=")</f>
        <v>#REF!</v>
      </c>
      <c r="IF150" t="e">
        <f>AND(#REF!,"CsdxsA7+xO8=")</f>
        <v>#REF!</v>
      </c>
      <c r="IG150" t="e">
        <f>AND(#REF!,"CsdxsA7+xPA=")</f>
        <v>#REF!</v>
      </c>
      <c r="IH150" t="e">
        <f>AND(#REF!,"CsdxsA7+xPE=")</f>
        <v>#REF!</v>
      </c>
      <c r="II150" t="e">
        <f>IF(#REF!,"CsdxsA7+xPI=",0)</f>
        <v>#REF!</v>
      </c>
      <c r="IJ150" t="e">
        <f>AND(#REF!,"CsdxsA7+xPM=")</f>
        <v>#REF!</v>
      </c>
      <c r="IK150" t="e">
        <f>AND(#REF!,"CsdxsA7+xPQ=")</f>
        <v>#REF!</v>
      </c>
      <c r="IL150" t="e">
        <f>AND(#REF!,"CsdxsA7+xPU=")</f>
        <v>#REF!</v>
      </c>
      <c r="IM150" t="e">
        <f>AND(#REF!,"CsdxsA7+xPY=")</f>
        <v>#REF!</v>
      </c>
      <c r="IN150" t="e">
        <f>AND(#REF!,"CsdxsA7+xPc=")</f>
        <v>#REF!</v>
      </c>
      <c r="IO150" t="e">
        <f>AND(#REF!,"CsdxsA7+xPg=")</f>
        <v>#REF!</v>
      </c>
      <c r="IP150" t="e">
        <f>AND(#REF!,"CsdxsA7+xPk=")</f>
        <v>#REF!</v>
      </c>
      <c r="IQ150" t="e">
        <f>AND(#REF!,"CsdxsA7+xPo=")</f>
        <v>#REF!</v>
      </c>
      <c r="IR150" t="e">
        <f>AND(#REF!,"CsdxsA7+xPs=")</f>
        <v>#REF!</v>
      </c>
      <c r="IS150" t="e">
        <f>AND(#REF!,"CsdxsA7+xPw=")</f>
        <v>#REF!</v>
      </c>
      <c r="IT150" t="e">
        <f>AND(#REF!,"CsdxsA7+xP0=")</f>
        <v>#REF!</v>
      </c>
      <c r="IU150" t="e">
        <f>AND(#REF!,"CsdxsA7+xP4=")</f>
        <v>#REF!</v>
      </c>
      <c r="IV150" t="e">
        <f>AND(#REF!,"CsdxsA7+xP8=")</f>
        <v>#REF!</v>
      </c>
    </row>
    <row r="151" spans="1:256" x14ac:dyDescent="0.2">
      <c r="A151" t="e">
        <f>AND(#REF!,"c/iAazZ96AA=")</f>
        <v>#REF!</v>
      </c>
      <c r="B151" t="e">
        <f>AND(#REF!,"c/iAazZ96AE=")</f>
        <v>#REF!</v>
      </c>
      <c r="C151" t="e">
        <f>IF(#REF!,"c/iAazZ96AI=",0)</f>
        <v>#REF!</v>
      </c>
      <c r="D151" t="e">
        <f>AND(#REF!,"c/iAazZ96AM=")</f>
        <v>#REF!</v>
      </c>
      <c r="E151" t="e">
        <f>AND(#REF!,"c/iAazZ96AQ=")</f>
        <v>#REF!</v>
      </c>
      <c r="F151" t="e">
        <f>AND(#REF!,"c/iAazZ96AU=")</f>
        <v>#REF!</v>
      </c>
      <c r="G151" t="e">
        <f>AND(#REF!,"c/iAazZ96AY=")</f>
        <v>#REF!</v>
      </c>
      <c r="H151" t="e">
        <f>AND(#REF!,"c/iAazZ96Ac=")</f>
        <v>#REF!</v>
      </c>
      <c r="I151" t="e">
        <f>AND(#REF!,"c/iAazZ96Ag=")</f>
        <v>#REF!</v>
      </c>
      <c r="J151" t="e">
        <f>AND(#REF!,"c/iAazZ96Ak=")</f>
        <v>#REF!</v>
      </c>
      <c r="K151" t="e">
        <f>AND(#REF!,"c/iAazZ96Ao=")</f>
        <v>#REF!</v>
      </c>
      <c r="L151" t="e">
        <f>AND(#REF!,"c/iAazZ96As=")</f>
        <v>#REF!</v>
      </c>
      <c r="M151" t="e">
        <f>AND(#REF!,"c/iAazZ96Aw=")</f>
        <v>#REF!</v>
      </c>
      <c r="N151" t="e">
        <f>AND(#REF!,"c/iAazZ96A0=")</f>
        <v>#REF!</v>
      </c>
      <c r="O151" t="e">
        <f>AND(#REF!,"c/iAazZ96A4=")</f>
        <v>#REF!</v>
      </c>
      <c r="P151" t="e">
        <f>AND(#REF!,"c/iAazZ96A8=")</f>
        <v>#REF!</v>
      </c>
      <c r="Q151" t="e">
        <f>AND(#REF!,"c/iAazZ96BA=")</f>
        <v>#REF!</v>
      </c>
      <c r="R151" t="e">
        <f>AND(#REF!,"c/iAazZ96BE=")</f>
        <v>#REF!</v>
      </c>
      <c r="S151" t="e">
        <f>IF(#REF!,"c/iAazZ96BI=",0)</f>
        <v>#REF!</v>
      </c>
      <c r="T151" t="e">
        <f>IF(#REF!,"c/iAazZ96BM=",0)</f>
        <v>#REF!</v>
      </c>
      <c r="U151" t="e">
        <f>IF(#REF!,"c/iAazZ96BQ=",0)</f>
        <v>#REF!</v>
      </c>
      <c r="V151" t="e">
        <f>IF(#REF!,"c/iAazZ96BU=",0)</f>
        <v>#REF!</v>
      </c>
      <c r="W151" t="e">
        <f>IF(#REF!,"c/iAazZ96BY=",0)</f>
        <v>#REF!</v>
      </c>
      <c r="X151" t="e">
        <f>IF(#REF!,"c/iAazZ96Bc=",0)</f>
        <v>#REF!</v>
      </c>
      <c r="Y151" t="e">
        <f>IF(#REF!,"c/iAazZ96Bg=",0)</f>
        <v>#REF!</v>
      </c>
      <c r="Z151" t="e">
        <f>IF(#REF!,"c/iAazZ96Bk=",0)</f>
        <v>#REF!</v>
      </c>
      <c r="AA151" t="e">
        <f>IF(#REF!,"c/iAazZ96Bo=",0)</f>
        <v>#REF!</v>
      </c>
      <c r="AB151" t="e">
        <f>IF(#REF!,"c/iAazZ96Bs=",0)</f>
        <v>#REF!</v>
      </c>
      <c r="AC151" t="e">
        <f>IF(#REF!,"c/iAazZ96Bw=",0)</f>
        <v>#REF!</v>
      </c>
      <c r="AD151" t="e">
        <f>IF(#REF!,"c/iAazZ96B0=",0)</f>
        <v>#REF!</v>
      </c>
      <c r="AE151" t="e">
        <f>IF(#REF!,"c/iAazZ96B4=",0)</f>
        <v>#REF!</v>
      </c>
      <c r="AF151" t="e">
        <f>IF(#REF!,"c/iAazZ96B8=",0)</f>
        <v>#REF!</v>
      </c>
      <c r="AG151" t="e">
        <f>IF(#REF!,"c/iAazZ96CA=",0)</f>
        <v>#REF!</v>
      </c>
      <c r="AH151" t="e">
        <f>IF(#REF!,"c/iAazZ96CE=",0)</f>
        <v>#REF!</v>
      </c>
      <c r="AI151" t="e">
        <f>AND(#REF!,"c/iAazZ96CI=")</f>
        <v>#REF!</v>
      </c>
      <c r="AJ151" t="e">
        <f>AND(#REF!,"c/iAazZ96CM=")</f>
        <v>#REF!</v>
      </c>
      <c r="AK151" t="e">
        <f>AND(#REF!,"c/iAazZ96CQ=")</f>
        <v>#REF!</v>
      </c>
      <c r="AL151" t="e">
        <f>AND(#REF!,"c/iAazZ96CU=")</f>
        <v>#REF!</v>
      </c>
      <c r="AM151" t="e">
        <f>AND(#REF!,"c/iAazZ96CY=")</f>
        <v>#REF!</v>
      </c>
      <c r="AN151" t="e">
        <f>AND(#REF!,"c/iAazZ96Cc=")</f>
        <v>#REF!</v>
      </c>
      <c r="AO151" t="e">
        <f>AND(#REF!,"c/iAazZ96Cg=")</f>
        <v>#REF!</v>
      </c>
      <c r="AP151" t="e">
        <f>AND(#REF!,"c/iAazZ96Ck=")</f>
        <v>#REF!</v>
      </c>
      <c r="AQ151" t="e">
        <f>AND(#REF!,"c/iAazZ96Co=")</f>
        <v>#REF!</v>
      </c>
      <c r="AR151" t="e">
        <f>AND(#REF!,"c/iAazZ96Cs=")</f>
        <v>#REF!</v>
      </c>
      <c r="AS151" t="e">
        <f>AND(#REF!,"c/iAazZ96Cw=")</f>
        <v>#REF!</v>
      </c>
      <c r="AT151" t="e">
        <f>AND(#REF!,"c/iAazZ96C0=")</f>
        <v>#REF!</v>
      </c>
      <c r="AU151" t="e">
        <f>AND(#REF!,"c/iAazZ96C4=")</f>
        <v>#REF!</v>
      </c>
      <c r="AV151" t="e">
        <f>AND(#REF!,"c/iAazZ96C8=")</f>
        <v>#REF!</v>
      </c>
      <c r="AW151" t="e">
        <f>AND(#REF!,"c/iAazZ96DA=")</f>
        <v>#REF!</v>
      </c>
      <c r="AX151" t="e">
        <f>AND(#REF!,"c/iAazZ96DE=")</f>
        <v>#REF!</v>
      </c>
      <c r="AY151" t="e">
        <f>AND(#REF!,"c/iAazZ96DI=")</f>
        <v>#REF!</v>
      </c>
      <c r="AZ151" t="e">
        <f>AND(#REF!,"c/iAazZ96DM=")</f>
        <v>#REF!</v>
      </c>
      <c r="BA151" t="e">
        <f>AND(#REF!,"c/iAazZ96DQ=")</f>
        <v>#REF!</v>
      </c>
      <c r="BB151" t="e">
        <f>IF(#REF!,"c/iAazZ96DU=",0)</f>
        <v>#REF!</v>
      </c>
      <c r="BC151" t="e">
        <f>AND(#REF!,"c/iAazZ96DY=")</f>
        <v>#REF!</v>
      </c>
      <c r="BD151" t="e">
        <f>AND(#REF!,"c/iAazZ96Dc=")</f>
        <v>#REF!</v>
      </c>
      <c r="BE151" t="e">
        <f>AND(#REF!,"c/iAazZ96Dg=")</f>
        <v>#REF!</v>
      </c>
      <c r="BF151" t="e">
        <f>AND(#REF!,"c/iAazZ96Dk=")</f>
        <v>#REF!</v>
      </c>
      <c r="BG151" t="e">
        <f>AND(#REF!,"c/iAazZ96Do=")</f>
        <v>#REF!</v>
      </c>
      <c r="BH151" t="e">
        <f>AND(#REF!,"c/iAazZ96Ds=")</f>
        <v>#REF!</v>
      </c>
      <c r="BI151" t="e">
        <f>AND(#REF!,"c/iAazZ96Dw=")</f>
        <v>#REF!</v>
      </c>
      <c r="BJ151" t="e">
        <f>AND(#REF!,"c/iAazZ96D0=")</f>
        <v>#REF!</v>
      </c>
      <c r="BK151" t="e">
        <f>AND(#REF!,"c/iAazZ96D4=")</f>
        <v>#REF!</v>
      </c>
      <c r="BL151" t="e">
        <f>AND(#REF!,"c/iAazZ96D8=")</f>
        <v>#REF!</v>
      </c>
      <c r="BM151" t="e">
        <f>AND(#REF!,"c/iAazZ96EA=")</f>
        <v>#REF!</v>
      </c>
      <c r="BN151" t="e">
        <f>AND(#REF!,"c/iAazZ96EE=")</f>
        <v>#REF!</v>
      </c>
      <c r="BO151" t="e">
        <f>AND(#REF!,"c/iAazZ96EI=")</f>
        <v>#REF!</v>
      </c>
      <c r="BP151" t="e">
        <f>AND(#REF!,"c/iAazZ96EM=")</f>
        <v>#REF!</v>
      </c>
      <c r="BQ151" t="e">
        <f>AND(#REF!,"c/iAazZ96EQ=")</f>
        <v>#REF!</v>
      </c>
      <c r="BR151" t="e">
        <f>AND(#REF!,"c/iAazZ96EU=")</f>
        <v>#REF!</v>
      </c>
      <c r="BS151" t="e">
        <f>AND(#REF!,"c/iAazZ96EY=")</f>
        <v>#REF!</v>
      </c>
      <c r="BT151" t="e">
        <f>AND(#REF!,"c/iAazZ96Ec=")</f>
        <v>#REF!</v>
      </c>
      <c r="BU151" t="e">
        <f>AND(#REF!,"c/iAazZ96Eg=")</f>
        <v>#REF!</v>
      </c>
      <c r="BV151" t="e">
        <f>IF(#REF!,"c/iAazZ96Ek=",0)</f>
        <v>#REF!</v>
      </c>
      <c r="BW151" t="e">
        <f>AND(#REF!,"c/iAazZ96Eo=")</f>
        <v>#REF!</v>
      </c>
      <c r="BX151" t="e">
        <f>AND(#REF!,"c/iAazZ96Es=")</f>
        <v>#REF!</v>
      </c>
      <c r="BY151" t="e">
        <f>AND(#REF!,"c/iAazZ96Ew=")</f>
        <v>#REF!</v>
      </c>
      <c r="BZ151" t="e">
        <f>AND(#REF!,"c/iAazZ96E0=")</f>
        <v>#REF!</v>
      </c>
      <c r="CA151" t="e">
        <f>AND(#REF!,"c/iAazZ96E4=")</f>
        <v>#REF!</v>
      </c>
      <c r="CB151" t="e">
        <f>AND(#REF!,"c/iAazZ96E8=")</f>
        <v>#REF!</v>
      </c>
      <c r="CC151" t="e">
        <f>AND(#REF!,"c/iAazZ96FA=")</f>
        <v>#REF!</v>
      </c>
      <c r="CD151" t="e">
        <f>AND(#REF!,"c/iAazZ96FE=")</f>
        <v>#REF!</v>
      </c>
      <c r="CE151" t="e">
        <f>AND(#REF!,"c/iAazZ96FI=")</f>
        <v>#REF!</v>
      </c>
      <c r="CF151" t="e">
        <f>AND(#REF!,"c/iAazZ96FM=")</f>
        <v>#REF!</v>
      </c>
      <c r="CG151" t="e">
        <f>AND(#REF!,"c/iAazZ96FQ=")</f>
        <v>#REF!</v>
      </c>
      <c r="CH151" t="e">
        <f>AND(#REF!,"c/iAazZ96FU=")</f>
        <v>#REF!</v>
      </c>
      <c r="CI151" t="e">
        <f>AND(#REF!,"c/iAazZ96FY=")</f>
        <v>#REF!</v>
      </c>
      <c r="CJ151" t="e">
        <f>AND(#REF!,"c/iAazZ96Fc=")</f>
        <v>#REF!</v>
      </c>
      <c r="CK151" t="e">
        <f>AND(#REF!,"c/iAazZ96Fg=")</f>
        <v>#REF!</v>
      </c>
      <c r="CL151" t="e">
        <f>AND(#REF!,"c/iAazZ96Fk=")</f>
        <v>#REF!</v>
      </c>
      <c r="CM151" t="e">
        <f>AND(#REF!,"c/iAazZ96Fo=")</f>
        <v>#REF!</v>
      </c>
      <c r="CN151" t="e">
        <f>AND(#REF!,"c/iAazZ96Fs=")</f>
        <v>#REF!</v>
      </c>
      <c r="CO151" t="e">
        <f>AND(#REF!,"c/iAazZ96Fw=")</f>
        <v>#REF!</v>
      </c>
      <c r="CP151" t="e">
        <f>IF(#REF!,"c/iAazZ96F0=",0)</f>
        <v>#REF!</v>
      </c>
      <c r="CQ151" t="e">
        <f>AND(#REF!,"c/iAazZ96F4=")</f>
        <v>#REF!</v>
      </c>
      <c r="CR151" t="e">
        <f>AND(#REF!,"c/iAazZ96F8=")</f>
        <v>#REF!</v>
      </c>
      <c r="CS151" t="e">
        <f>AND(#REF!,"c/iAazZ96GA=")</f>
        <v>#REF!</v>
      </c>
      <c r="CT151" t="e">
        <f>AND(#REF!,"c/iAazZ96GE=")</f>
        <v>#REF!</v>
      </c>
      <c r="CU151" t="e">
        <f>AND(#REF!,"c/iAazZ96GI=")</f>
        <v>#REF!</v>
      </c>
      <c r="CV151" t="e">
        <f>AND(#REF!,"c/iAazZ96GM=")</f>
        <v>#REF!</v>
      </c>
      <c r="CW151" t="e">
        <f>AND(#REF!,"c/iAazZ96GQ=")</f>
        <v>#REF!</v>
      </c>
      <c r="CX151" t="e">
        <f>AND(#REF!,"c/iAazZ96GU=")</f>
        <v>#REF!</v>
      </c>
      <c r="CY151" t="e">
        <f>AND(#REF!,"c/iAazZ96GY=")</f>
        <v>#REF!</v>
      </c>
      <c r="CZ151" t="e">
        <f>AND(#REF!,"c/iAazZ96Gc=")</f>
        <v>#REF!</v>
      </c>
      <c r="DA151" t="e">
        <f>AND(#REF!,"c/iAazZ96Gg=")</f>
        <v>#REF!</v>
      </c>
      <c r="DB151" t="e">
        <f>AND(#REF!,"c/iAazZ96Gk=")</f>
        <v>#REF!</v>
      </c>
      <c r="DC151" t="e">
        <f>AND(#REF!,"c/iAazZ96Go=")</f>
        <v>#REF!</v>
      </c>
      <c r="DD151" t="e">
        <f>AND(#REF!,"c/iAazZ96Gs=")</f>
        <v>#REF!</v>
      </c>
      <c r="DE151" t="e">
        <f>AND(#REF!,"c/iAazZ96Gw=")</f>
        <v>#REF!</v>
      </c>
      <c r="DF151" t="e">
        <f>AND(#REF!,"c/iAazZ96G0=")</f>
        <v>#REF!</v>
      </c>
      <c r="DG151" t="e">
        <f>AND(#REF!,"c/iAazZ96G4=")</f>
        <v>#REF!</v>
      </c>
      <c r="DH151" t="e">
        <f>AND(#REF!,"c/iAazZ96G8=")</f>
        <v>#REF!</v>
      </c>
      <c r="DI151" t="e">
        <f>AND(#REF!,"c/iAazZ96HA=")</f>
        <v>#REF!</v>
      </c>
      <c r="DJ151" t="e">
        <f>IF(#REF!,"c/iAazZ96HE=",0)</f>
        <v>#REF!</v>
      </c>
      <c r="DK151" t="e">
        <f>AND(#REF!,"c/iAazZ96HI=")</f>
        <v>#REF!</v>
      </c>
      <c r="DL151" t="e">
        <f>AND(#REF!,"c/iAazZ96HM=")</f>
        <v>#REF!</v>
      </c>
      <c r="DM151" t="e">
        <f>AND(#REF!,"c/iAazZ96HQ=")</f>
        <v>#REF!</v>
      </c>
      <c r="DN151" t="e">
        <f>AND(#REF!,"c/iAazZ96HU=")</f>
        <v>#REF!</v>
      </c>
      <c r="DO151" t="e">
        <f>AND(#REF!,"c/iAazZ96HY=")</f>
        <v>#REF!</v>
      </c>
      <c r="DP151" t="e">
        <f>AND(#REF!,"c/iAazZ96Hc=")</f>
        <v>#REF!</v>
      </c>
      <c r="DQ151" t="e">
        <f>AND(#REF!,"c/iAazZ96Hg=")</f>
        <v>#REF!</v>
      </c>
      <c r="DR151" t="e">
        <f>AND(#REF!,"c/iAazZ96Hk=")</f>
        <v>#REF!</v>
      </c>
      <c r="DS151" t="e">
        <f>AND(#REF!,"c/iAazZ96Ho=")</f>
        <v>#REF!</v>
      </c>
      <c r="DT151" t="e">
        <f>AND(#REF!,"c/iAazZ96Hs=")</f>
        <v>#REF!</v>
      </c>
      <c r="DU151" t="e">
        <f>AND(#REF!,"c/iAazZ96Hw=")</f>
        <v>#REF!</v>
      </c>
      <c r="DV151" t="e">
        <f>AND(#REF!,"c/iAazZ96H0=")</f>
        <v>#REF!</v>
      </c>
      <c r="DW151" t="e">
        <f>AND(#REF!,"c/iAazZ96H4=")</f>
        <v>#REF!</v>
      </c>
      <c r="DX151" t="e">
        <f>AND(#REF!,"c/iAazZ96H8=")</f>
        <v>#REF!</v>
      </c>
      <c r="DY151" t="e">
        <f>AND(#REF!,"c/iAazZ96IA=")</f>
        <v>#REF!</v>
      </c>
      <c r="DZ151" t="e">
        <f>AND(#REF!,"c/iAazZ96IE=")</f>
        <v>#REF!</v>
      </c>
      <c r="EA151" t="e">
        <f>AND(#REF!,"c/iAazZ96II=")</f>
        <v>#REF!</v>
      </c>
      <c r="EB151" t="e">
        <f>AND(#REF!,"c/iAazZ96IM=")</f>
        <v>#REF!</v>
      </c>
      <c r="EC151" t="e">
        <f>AND(#REF!,"c/iAazZ96IQ=")</f>
        <v>#REF!</v>
      </c>
      <c r="ED151" t="e">
        <f>IF(#REF!,"c/iAazZ96IU=",0)</f>
        <v>#REF!</v>
      </c>
      <c r="EE151" t="e">
        <f>AND(#REF!,"c/iAazZ96IY=")</f>
        <v>#REF!</v>
      </c>
      <c r="EF151" t="e">
        <f>AND(#REF!,"c/iAazZ96Ic=")</f>
        <v>#REF!</v>
      </c>
      <c r="EG151" t="e">
        <f>AND(#REF!,"c/iAazZ96Ig=")</f>
        <v>#REF!</v>
      </c>
      <c r="EH151" t="e">
        <f>AND(#REF!,"c/iAazZ96Ik=")</f>
        <v>#REF!</v>
      </c>
      <c r="EI151" t="e">
        <f>AND(#REF!,"c/iAazZ96Io=")</f>
        <v>#REF!</v>
      </c>
      <c r="EJ151" t="e">
        <f>AND(#REF!,"c/iAazZ96Is=")</f>
        <v>#REF!</v>
      </c>
      <c r="EK151" t="e">
        <f>AND(#REF!,"c/iAazZ96Iw=")</f>
        <v>#REF!</v>
      </c>
      <c r="EL151" t="e">
        <f>AND(#REF!,"c/iAazZ96I0=")</f>
        <v>#REF!</v>
      </c>
      <c r="EM151" t="e">
        <f>AND(#REF!,"c/iAazZ96I4=")</f>
        <v>#REF!</v>
      </c>
      <c r="EN151" t="e">
        <f>AND(#REF!,"c/iAazZ96I8=")</f>
        <v>#REF!</v>
      </c>
      <c r="EO151" t="e">
        <f>AND(#REF!,"c/iAazZ96JA=")</f>
        <v>#REF!</v>
      </c>
      <c r="EP151" t="e">
        <f>AND(#REF!,"c/iAazZ96JE=")</f>
        <v>#REF!</v>
      </c>
      <c r="EQ151" t="e">
        <f>AND(#REF!,"c/iAazZ96JI=")</f>
        <v>#REF!</v>
      </c>
      <c r="ER151" t="e">
        <f>AND(#REF!,"c/iAazZ96JM=")</f>
        <v>#REF!</v>
      </c>
      <c r="ES151" t="e">
        <f>AND(#REF!,"c/iAazZ96JQ=")</f>
        <v>#REF!</v>
      </c>
      <c r="ET151" t="e">
        <f>AND(#REF!,"c/iAazZ96JU=")</f>
        <v>#REF!</v>
      </c>
      <c r="EU151" t="e">
        <f>AND(#REF!,"c/iAazZ96JY=")</f>
        <v>#REF!</v>
      </c>
      <c r="EV151" t="e">
        <f>AND(#REF!,"c/iAazZ96Jc=")</f>
        <v>#REF!</v>
      </c>
      <c r="EW151" t="e">
        <f>AND(#REF!,"c/iAazZ96Jg=")</f>
        <v>#REF!</v>
      </c>
      <c r="EX151" t="e">
        <f>IF(#REF!,"c/iAazZ96Jk=",0)</f>
        <v>#REF!</v>
      </c>
      <c r="EY151" t="e">
        <f>AND(#REF!,"c/iAazZ96Jo=")</f>
        <v>#REF!</v>
      </c>
      <c r="EZ151" t="e">
        <f>AND(#REF!,"c/iAazZ96Js=")</f>
        <v>#REF!</v>
      </c>
      <c r="FA151" t="e">
        <f>AND(#REF!,"c/iAazZ96Jw=")</f>
        <v>#REF!</v>
      </c>
      <c r="FB151" t="e">
        <f>AND(#REF!,"c/iAazZ96J0=")</f>
        <v>#REF!</v>
      </c>
      <c r="FC151" t="e">
        <f>AND(#REF!,"c/iAazZ96J4=")</f>
        <v>#REF!</v>
      </c>
      <c r="FD151" t="e">
        <f>AND(#REF!,"c/iAazZ96J8=")</f>
        <v>#REF!</v>
      </c>
      <c r="FE151" t="e">
        <f>AND(#REF!,"c/iAazZ96KA=")</f>
        <v>#REF!</v>
      </c>
      <c r="FF151" t="e">
        <f>AND(#REF!,"c/iAazZ96KE=")</f>
        <v>#REF!</v>
      </c>
      <c r="FG151" t="e">
        <f>AND(#REF!,"c/iAazZ96KI=")</f>
        <v>#REF!</v>
      </c>
      <c r="FH151" t="e">
        <f>AND(#REF!,"c/iAazZ96KM=")</f>
        <v>#REF!</v>
      </c>
      <c r="FI151" t="e">
        <f>AND(#REF!,"c/iAazZ96KQ=")</f>
        <v>#REF!</v>
      </c>
      <c r="FJ151" t="e">
        <f>AND(#REF!,"c/iAazZ96KU=")</f>
        <v>#REF!</v>
      </c>
      <c r="FK151" t="e">
        <f>AND(#REF!,"c/iAazZ96KY=")</f>
        <v>#REF!</v>
      </c>
      <c r="FL151" t="e">
        <f>AND(#REF!,"c/iAazZ96Kc=")</f>
        <v>#REF!</v>
      </c>
      <c r="FM151" t="e">
        <f>AND(#REF!,"c/iAazZ96Kg=")</f>
        <v>#REF!</v>
      </c>
      <c r="FN151" t="e">
        <f>AND(#REF!,"c/iAazZ96Kk=")</f>
        <v>#REF!</v>
      </c>
      <c r="FO151" t="e">
        <f>AND(#REF!,"c/iAazZ96Ko=")</f>
        <v>#REF!</v>
      </c>
      <c r="FP151" t="e">
        <f>AND(#REF!,"c/iAazZ96Ks=")</f>
        <v>#REF!</v>
      </c>
      <c r="FQ151" t="e">
        <f>AND(#REF!,"c/iAazZ96Kw=")</f>
        <v>#REF!</v>
      </c>
      <c r="FR151" t="e">
        <f>IF(#REF!,"c/iAazZ96K0=",0)</f>
        <v>#REF!</v>
      </c>
      <c r="FS151" t="e">
        <f>AND(#REF!,"c/iAazZ96K4=")</f>
        <v>#REF!</v>
      </c>
      <c r="FT151" t="e">
        <f>AND(#REF!,"c/iAazZ96K8=")</f>
        <v>#REF!</v>
      </c>
      <c r="FU151" t="e">
        <f>AND(#REF!,"c/iAazZ96LA=")</f>
        <v>#REF!</v>
      </c>
      <c r="FV151" t="e">
        <f>AND(#REF!,"c/iAazZ96LE=")</f>
        <v>#REF!</v>
      </c>
      <c r="FW151" t="e">
        <f>AND(#REF!,"c/iAazZ96LI=")</f>
        <v>#REF!</v>
      </c>
      <c r="FX151" t="e">
        <f>AND(#REF!,"c/iAazZ96LM=")</f>
        <v>#REF!</v>
      </c>
      <c r="FY151" t="e">
        <f>AND(#REF!,"c/iAazZ96LQ=")</f>
        <v>#REF!</v>
      </c>
      <c r="FZ151" t="e">
        <f>AND(#REF!,"c/iAazZ96LU=")</f>
        <v>#REF!</v>
      </c>
      <c r="GA151" t="e">
        <f>AND(#REF!,"c/iAazZ96LY=")</f>
        <v>#REF!</v>
      </c>
      <c r="GB151" t="e">
        <f>AND(#REF!,"c/iAazZ96Lc=")</f>
        <v>#REF!</v>
      </c>
      <c r="GC151" t="e">
        <f>AND(#REF!,"c/iAazZ96Lg=")</f>
        <v>#REF!</v>
      </c>
      <c r="GD151" t="e">
        <f>AND(#REF!,"c/iAazZ96Lk=")</f>
        <v>#REF!</v>
      </c>
      <c r="GE151" t="e">
        <f>AND(#REF!,"c/iAazZ96Lo=")</f>
        <v>#REF!</v>
      </c>
      <c r="GF151" t="e">
        <f>AND(#REF!,"c/iAazZ96Ls=")</f>
        <v>#REF!</v>
      </c>
      <c r="GG151" t="e">
        <f>AND(#REF!,"c/iAazZ96Lw=")</f>
        <v>#REF!</v>
      </c>
      <c r="GH151" t="e">
        <f>AND(#REF!,"c/iAazZ96L0=")</f>
        <v>#REF!</v>
      </c>
      <c r="GI151" t="e">
        <f>AND(#REF!,"c/iAazZ96L4=")</f>
        <v>#REF!</v>
      </c>
      <c r="GJ151" t="e">
        <f>AND(#REF!,"c/iAazZ96L8=")</f>
        <v>#REF!</v>
      </c>
      <c r="GK151" t="e">
        <f>AND(#REF!,"c/iAazZ96MA=")</f>
        <v>#REF!</v>
      </c>
      <c r="GL151" t="e">
        <f>IF(#REF!,"c/iAazZ96ME=",0)</f>
        <v>#REF!</v>
      </c>
      <c r="GM151" t="e">
        <f>AND(#REF!,"c/iAazZ96MI=")</f>
        <v>#REF!</v>
      </c>
      <c r="GN151" t="e">
        <f>AND(#REF!,"c/iAazZ96MM=")</f>
        <v>#REF!</v>
      </c>
      <c r="GO151" t="e">
        <f>AND(#REF!,"c/iAazZ96MQ=")</f>
        <v>#REF!</v>
      </c>
      <c r="GP151" t="e">
        <f>AND(#REF!,"c/iAazZ96MU=")</f>
        <v>#REF!</v>
      </c>
      <c r="GQ151" t="e">
        <f>AND(#REF!,"c/iAazZ96MY=")</f>
        <v>#REF!</v>
      </c>
      <c r="GR151" t="e">
        <f>AND(#REF!,"c/iAazZ96Mc=")</f>
        <v>#REF!</v>
      </c>
      <c r="GS151" t="e">
        <f>AND(#REF!,"c/iAazZ96Mg=")</f>
        <v>#REF!</v>
      </c>
      <c r="GT151" t="e">
        <f>AND(#REF!,"c/iAazZ96Mk=")</f>
        <v>#REF!</v>
      </c>
      <c r="GU151" t="e">
        <f>AND(#REF!,"c/iAazZ96Mo=")</f>
        <v>#REF!</v>
      </c>
      <c r="GV151" t="e">
        <f>AND(#REF!,"c/iAazZ96Ms=")</f>
        <v>#REF!</v>
      </c>
      <c r="GW151" t="e">
        <f>AND(#REF!,"c/iAazZ96Mw=")</f>
        <v>#REF!</v>
      </c>
      <c r="GX151" t="e">
        <f>AND(#REF!,"c/iAazZ96M0=")</f>
        <v>#REF!</v>
      </c>
      <c r="GY151" t="e">
        <f>AND(#REF!,"c/iAazZ96M4=")</f>
        <v>#REF!</v>
      </c>
      <c r="GZ151" t="e">
        <f>AND(#REF!,"c/iAazZ96M8=")</f>
        <v>#REF!</v>
      </c>
      <c r="HA151" t="e">
        <f>AND(#REF!,"c/iAazZ96NA=")</f>
        <v>#REF!</v>
      </c>
      <c r="HB151" t="e">
        <f>AND(#REF!,"c/iAazZ96NE=")</f>
        <v>#REF!</v>
      </c>
      <c r="HC151" t="e">
        <f>AND(#REF!,"c/iAazZ96NI=")</f>
        <v>#REF!</v>
      </c>
      <c r="HD151" t="e">
        <f>AND(#REF!,"c/iAazZ96NM=")</f>
        <v>#REF!</v>
      </c>
      <c r="HE151" t="e">
        <f>AND(#REF!,"c/iAazZ96NQ=")</f>
        <v>#REF!</v>
      </c>
      <c r="HF151" t="e">
        <f>IF(#REF!,"c/iAazZ96NU=",0)</f>
        <v>#REF!</v>
      </c>
      <c r="HG151" t="e">
        <f>AND(#REF!,"c/iAazZ96NY=")</f>
        <v>#REF!</v>
      </c>
      <c r="HH151" t="e">
        <f>AND(#REF!,"c/iAazZ96Nc=")</f>
        <v>#REF!</v>
      </c>
      <c r="HI151" t="e">
        <f>AND(#REF!,"c/iAazZ96Ng=")</f>
        <v>#REF!</v>
      </c>
      <c r="HJ151" t="e">
        <f>AND(#REF!,"c/iAazZ96Nk=")</f>
        <v>#REF!</v>
      </c>
      <c r="HK151" t="e">
        <f>AND(#REF!,"c/iAazZ96No=")</f>
        <v>#REF!</v>
      </c>
      <c r="HL151" t="e">
        <f>AND(#REF!,"c/iAazZ96Ns=")</f>
        <v>#REF!</v>
      </c>
      <c r="HM151" t="e">
        <f>AND(#REF!,"c/iAazZ96Nw=")</f>
        <v>#REF!</v>
      </c>
      <c r="HN151" t="e">
        <f>AND(#REF!,"c/iAazZ96N0=")</f>
        <v>#REF!</v>
      </c>
      <c r="HO151" t="e">
        <f>AND(#REF!,"c/iAazZ96N4=")</f>
        <v>#REF!</v>
      </c>
      <c r="HP151" t="e">
        <f>AND(#REF!,"c/iAazZ96N8=")</f>
        <v>#REF!</v>
      </c>
      <c r="HQ151" t="e">
        <f>AND(#REF!,"c/iAazZ96OA=")</f>
        <v>#REF!</v>
      </c>
      <c r="HR151" t="e">
        <f>AND(#REF!,"c/iAazZ96OE=")</f>
        <v>#REF!</v>
      </c>
      <c r="HS151" t="e">
        <f>AND(#REF!,"c/iAazZ96OI=")</f>
        <v>#REF!</v>
      </c>
      <c r="HT151" t="e">
        <f>AND(#REF!,"c/iAazZ96OM=")</f>
        <v>#REF!</v>
      </c>
      <c r="HU151" t="e">
        <f>AND(#REF!,"c/iAazZ96OQ=")</f>
        <v>#REF!</v>
      </c>
      <c r="HV151" t="e">
        <f>AND(#REF!,"c/iAazZ96OU=")</f>
        <v>#REF!</v>
      </c>
      <c r="HW151" t="e">
        <f>AND(#REF!,"c/iAazZ96OY=")</f>
        <v>#REF!</v>
      </c>
      <c r="HX151" t="e">
        <f>AND(#REF!,"c/iAazZ96Oc=")</f>
        <v>#REF!</v>
      </c>
      <c r="HY151" t="e">
        <f>AND(#REF!,"c/iAazZ96Og=")</f>
        <v>#REF!</v>
      </c>
      <c r="HZ151" t="e">
        <f>IF(#REF!,"c/iAazZ96Ok=",0)</f>
        <v>#REF!</v>
      </c>
      <c r="IA151" t="e">
        <f>AND(#REF!,"c/iAazZ96Oo=")</f>
        <v>#REF!</v>
      </c>
      <c r="IB151" t="e">
        <f>AND(#REF!,"c/iAazZ96Os=")</f>
        <v>#REF!</v>
      </c>
      <c r="IC151" t="e">
        <f>AND(#REF!,"c/iAazZ96Ow=")</f>
        <v>#REF!</v>
      </c>
      <c r="ID151" t="e">
        <f>AND(#REF!,"c/iAazZ96O0=")</f>
        <v>#REF!</v>
      </c>
      <c r="IE151" t="e">
        <f>AND(#REF!,"c/iAazZ96O4=")</f>
        <v>#REF!</v>
      </c>
      <c r="IF151" t="e">
        <f>AND(#REF!,"c/iAazZ96O8=")</f>
        <v>#REF!</v>
      </c>
      <c r="IG151" t="e">
        <f>AND(#REF!,"c/iAazZ96PA=")</f>
        <v>#REF!</v>
      </c>
      <c r="IH151" t="e">
        <f>AND(#REF!,"c/iAazZ96PE=")</f>
        <v>#REF!</v>
      </c>
      <c r="II151" t="e">
        <f>AND(#REF!,"c/iAazZ96PI=")</f>
        <v>#REF!</v>
      </c>
      <c r="IJ151" t="e">
        <f>AND(#REF!,"c/iAazZ96PM=")</f>
        <v>#REF!</v>
      </c>
      <c r="IK151" t="e">
        <f>AND(#REF!,"c/iAazZ96PQ=")</f>
        <v>#REF!</v>
      </c>
      <c r="IL151" t="e">
        <f>AND(#REF!,"c/iAazZ96PU=")</f>
        <v>#REF!</v>
      </c>
      <c r="IM151" t="e">
        <f>AND(#REF!,"c/iAazZ96PY=")</f>
        <v>#REF!</v>
      </c>
      <c r="IN151" t="e">
        <f>AND(#REF!,"c/iAazZ96Pc=")</f>
        <v>#REF!</v>
      </c>
      <c r="IO151" t="e">
        <f>AND(#REF!,"c/iAazZ96Pg=")</f>
        <v>#REF!</v>
      </c>
      <c r="IP151" t="e">
        <f>AND(#REF!,"c/iAazZ96Pk=")</f>
        <v>#REF!</v>
      </c>
      <c r="IQ151" t="e">
        <f>AND(#REF!,"c/iAazZ96Po=")</f>
        <v>#REF!</v>
      </c>
      <c r="IR151" t="e">
        <f>AND(#REF!,"c/iAazZ96Ps=")</f>
        <v>#REF!</v>
      </c>
      <c r="IS151" t="e">
        <f>AND(#REF!,"c/iAazZ96Pw=")</f>
        <v>#REF!</v>
      </c>
      <c r="IT151" t="e">
        <f>IF(#REF!,"c/iAazZ96P0=",0)</f>
        <v>#REF!</v>
      </c>
      <c r="IU151" t="e">
        <f>AND(#REF!,"c/iAazZ96P4=")</f>
        <v>#REF!</v>
      </c>
      <c r="IV151" t="e">
        <f>AND(#REF!,"c/iAazZ96P8=")</f>
        <v>#REF!</v>
      </c>
    </row>
    <row r="152" spans="1:256" x14ac:dyDescent="0.2">
      <c r="A152" t="e">
        <f>AND(#REF!,"a5uFbCgOcwA=")</f>
        <v>#REF!</v>
      </c>
      <c r="B152" t="e">
        <f>AND(#REF!,"a5uFbCgOcwE=")</f>
        <v>#REF!</v>
      </c>
      <c r="C152" t="e">
        <f>AND(#REF!,"a5uFbCgOcwI=")</f>
        <v>#REF!</v>
      </c>
      <c r="D152" t="e">
        <f>AND(#REF!,"a5uFbCgOcwM=")</f>
        <v>#REF!</v>
      </c>
      <c r="E152" t="e">
        <f>AND(#REF!,"a5uFbCgOcwQ=")</f>
        <v>#REF!</v>
      </c>
      <c r="F152" t="e">
        <f>AND(#REF!,"a5uFbCgOcwU=")</f>
        <v>#REF!</v>
      </c>
      <c r="G152" t="e">
        <f>AND(#REF!,"a5uFbCgOcwY=")</f>
        <v>#REF!</v>
      </c>
      <c r="H152" t="e">
        <f>AND(#REF!,"a5uFbCgOcwc=")</f>
        <v>#REF!</v>
      </c>
      <c r="I152" t="e">
        <f>AND(#REF!,"a5uFbCgOcwg=")</f>
        <v>#REF!</v>
      </c>
      <c r="J152" t="e">
        <f>AND(#REF!,"a5uFbCgOcwk=")</f>
        <v>#REF!</v>
      </c>
      <c r="K152" t="e">
        <f>AND(#REF!,"a5uFbCgOcwo=")</f>
        <v>#REF!</v>
      </c>
      <c r="L152" t="e">
        <f>AND(#REF!,"a5uFbCgOcws=")</f>
        <v>#REF!</v>
      </c>
      <c r="M152" t="e">
        <f>AND(#REF!,"a5uFbCgOcww=")</f>
        <v>#REF!</v>
      </c>
      <c r="N152" t="e">
        <f>AND(#REF!,"a5uFbCgOcw0=")</f>
        <v>#REF!</v>
      </c>
      <c r="O152" t="e">
        <f>AND(#REF!,"a5uFbCgOcw4=")</f>
        <v>#REF!</v>
      </c>
      <c r="P152" t="e">
        <f>AND(#REF!,"a5uFbCgOcw8=")</f>
        <v>#REF!</v>
      </c>
      <c r="Q152" t="e">
        <f>AND(#REF!,"a5uFbCgOcxA=")</f>
        <v>#REF!</v>
      </c>
      <c r="R152" t="e">
        <f>IF(#REF!,"a5uFbCgOcxE=",0)</f>
        <v>#REF!</v>
      </c>
      <c r="S152" t="e">
        <f>AND(#REF!,"a5uFbCgOcxI=")</f>
        <v>#REF!</v>
      </c>
      <c r="T152" t="e">
        <f>AND(#REF!,"a5uFbCgOcxM=")</f>
        <v>#REF!</v>
      </c>
      <c r="U152" t="e">
        <f>AND(#REF!,"a5uFbCgOcxQ=")</f>
        <v>#REF!</v>
      </c>
      <c r="V152" t="e">
        <f>AND(#REF!,"a5uFbCgOcxU=")</f>
        <v>#REF!</v>
      </c>
      <c r="W152" t="e">
        <f>AND(#REF!,"a5uFbCgOcxY=")</f>
        <v>#REF!</v>
      </c>
      <c r="X152" t="e">
        <f>AND(#REF!,"a5uFbCgOcxc=")</f>
        <v>#REF!</v>
      </c>
      <c r="Y152" t="e">
        <f>AND(#REF!,"a5uFbCgOcxg=")</f>
        <v>#REF!</v>
      </c>
      <c r="Z152" t="e">
        <f>AND(#REF!,"a5uFbCgOcxk=")</f>
        <v>#REF!</v>
      </c>
      <c r="AA152" t="e">
        <f>AND(#REF!,"a5uFbCgOcxo=")</f>
        <v>#REF!</v>
      </c>
      <c r="AB152" t="e">
        <f>AND(#REF!,"a5uFbCgOcxs=")</f>
        <v>#REF!</v>
      </c>
      <c r="AC152" t="e">
        <f>AND(#REF!,"a5uFbCgOcxw=")</f>
        <v>#REF!</v>
      </c>
      <c r="AD152" t="e">
        <f>AND(#REF!,"a5uFbCgOcx0=")</f>
        <v>#REF!</v>
      </c>
      <c r="AE152" t="e">
        <f>AND(#REF!,"a5uFbCgOcx4=")</f>
        <v>#REF!</v>
      </c>
      <c r="AF152" t="e">
        <f>AND(#REF!,"a5uFbCgOcx8=")</f>
        <v>#REF!</v>
      </c>
      <c r="AG152" t="e">
        <f>AND(#REF!,"a5uFbCgOcyA=")</f>
        <v>#REF!</v>
      </c>
      <c r="AH152" t="e">
        <f>AND(#REF!,"a5uFbCgOcyE=")</f>
        <v>#REF!</v>
      </c>
      <c r="AI152" t="e">
        <f>AND(#REF!,"a5uFbCgOcyI=")</f>
        <v>#REF!</v>
      </c>
      <c r="AJ152" t="e">
        <f>AND(#REF!,"a5uFbCgOcyM=")</f>
        <v>#REF!</v>
      </c>
      <c r="AK152" t="e">
        <f>AND(#REF!,"a5uFbCgOcyQ=")</f>
        <v>#REF!</v>
      </c>
      <c r="AL152" t="e">
        <f>IF(#REF!,"a5uFbCgOcyU=",0)</f>
        <v>#REF!</v>
      </c>
      <c r="AM152" t="e">
        <f>AND(#REF!,"a5uFbCgOcyY=")</f>
        <v>#REF!</v>
      </c>
      <c r="AN152" t="e">
        <f>AND(#REF!,"a5uFbCgOcyc=")</f>
        <v>#REF!</v>
      </c>
      <c r="AO152" t="e">
        <f>AND(#REF!,"a5uFbCgOcyg=")</f>
        <v>#REF!</v>
      </c>
      <c r="AP152" t="e">
        <f>AND(#REF!,"a5uFbCgOcyk=")</f>
        <v>#REF!</v>
      </c>
      <c r="AQ152" t="e">
        <f>AND(#REF!,"a5uFbCgOcyo=")</f>
        <v>#REF!</v>
      </c>
      <c r="AR152" t="e">
        <f>AND(#REF!,"a5uFbCgOcys=")</f>
        <v>#REF!</v>
      </c>
      <c r="AS152" t="e">
        <f>AND(#REF!,"a5uFbCgOcyw=")</f>
        <v>#REF!</v>
      </c>
      <c r="AT152" t="e">
        <f>AND(#REF!,"a5uFbCgOcy0=")</f>
        <v>#REF!</v>
      </c>
      <c r="AU152" t="e">
        <f>AND(#REF!,"a5uFbCgOcy4=")</f>
        <v>#REF!</v>
      </c>
      <c r="AV152" t="e">
        <f>AND(#REF!,"a5uFbCgOcy8=")</f>
        <v>#REF!</v>
      </c>
      <c r="AW152" t="e">
        <f>AND(#REF!,"a5uFbCgOczA=")</f>
        <v>#REF!</v>
      </c>
      <c r="AX152" t="e">
        <f>AND(#REF!,"a5uFbCgOczE=")</f>
        <v>#REF!</v>
      </c>
      <c r="AY152" t="e">
        <f>AND(#REF!,"a5uFbCgOczI=")</f>
        <v>#REF!</v>
      </c>
      <c r="AZ152" t="e">
        <f>AND(#REF!,"a5uFbCgOczM=")</f>
        <v>#REF!</v>
      </c>
      <c r="BA152" t="e">
        <f>AND(#REF!,"a5uFbCgOczQ=")</f>
        <v>#REF!</v>
      </c>
      <c r="BB152" t="e">
        <f>AND(#REF!,"a5uFbCgOczU=")</f>
        <v>#REF!</v>
      </c>
      <c r="BC152" t="e">
        <f>AND(#REF!,"a5uFbCgOczY=")</f>
        <v>#REF!</v>
      </c>
      <c r="BD152" t="e">
        <f>AND(#REF!,"a5uFbCgOczc=")</f>
        <v>#REF!</v>
      </c>
      <c r="BE152" t="e">
        <f>AND(#REF!,"a5uFbCgOczg=")</f>
        <v>#REF!</v>
      </c>
      <c r="BF152" t="e">
        <f>IF(#REF!,"a5uFbCgOczk=",0)</f>
        <v>#REF!</v>
      </c>
      <c r="BG152" t="e">
        <f>AND(#REF!,"a5uFbCgOczo=")</f>
        <v>#REF!</v>
      </c>
      <c r="BH152" t="e">
        <f>AND(#REF!,"a5uFbCgOczs=")</f>
        <v>#REF!</v>
      </c>
      <c r="BI152" t="e">
        <f>AND(#REF!,"a5uFbCgOczw=")</f>
        <v>#REF!</v>
      </c>
      <c r="BJ152" t="e">
        <f>AND(#REF!,"a5uFbCgOcz0=")</f>
        <v>#REF!</v>
      </c>
      <c r="BK152" t="e">
        <f>AND(#REF!,"a5uFbCgOcz4=")</f>
        <v>#REF!</v>
      </c>
      <c r="BL152" t="e">
        <f>AND(#REF!,"a5uFbCgOcz8=")</f>
        <v>#REF!</v>
      </c>
      <c r="BM152" t="e">
        <f>AND(#REF!,"a5uFbCgOc0A=")</f>
        <v>#REF!</v>
      </c>
      <c r="BN152" t="e">
        <f>AND(#REF!,"a5uFbCgOc0E=")</f>
        <v>#REF!</v>
      </c>
      <c r="BO152" t="e">
        <f>AND(#REF!,"a5uFbCgOc0I=")</f>
        <v>#REF!</v>
      </c>
      <c r="BP152" t="e">
        <f>AND(#REF!,"a5uFbCgOc0M=")</f>
        <v>#REF!</v>
      </c>
      <c r="BQ152" t="e">
        <f>AND(#REF!,"a5uFbCgOc0Q=")</f>
        <v>#REF!</v>
      </c>
      <c r="BR152" t="e">
        <f>AND(#REF!,"a5uFbCgOc0U=")</f>
        <v>#REF!</v>
      </c>
      <c r="BS152" t="e">
        <f>AND(#REF!,"a5uFbCgOc0Y=")</f>
        <v>#REF!</v>
      </c>
      <c r="BT152" t="e">
        <f>AND(#REF!,"a5uFbCgOc0c=")</f>
        <v>#REF!</v>
      </c>
      <c r="BU152" t="e">
        <f>AND(#REF!,"a5uFbCgOc0g=")</f>
        <v>#REF!</v>
      </c>
      <c r="BV152" t="e">
        <f>AND(#REF!,"a5uFbCgOc0k=")</f>
        <v>#REF!</v>
      </c>
      <c r="BW152" t="e">
        <f>AND(#REF!,"a5uFbCgOc0o=")</f>
        <v>#REF!</v>
      </c>
      <c r="BX152" t="e">
        <f>AND(#REF!,"a5uFbCgOc0s=")</f>
        <v>#REF!</v>
      </c>
      <c r="BY152" t="e">
        <f>AND(#REF!,"a5uFbCgOc0w=")</f>
        <v>#REF!</v>
      </c>
      <c r="BZ152" t="e">
        <f>IF(#REF!,"a5uFbCgOc00=",0)</f>
        <v>#REF!</v>
      </c>
      <c r="CA152" t="e">
        <f>AND(#REF!,"a5uFbCgOc04=")</f>
        <v>#REF!</v>
      </c>
      <c r="CB152" t="e">
        <f>AND(#REF!,"a5uFbCgOc08=")</f>
        <v>#REF!</v>
      </c>
      <c r="CC152" t="e">
        <f>AND(#REF!,"a5uFbCgOc1A=")</f>
        <v>#REF!</v>
      </c>
      <c r="CD152" t="e">
        <f>AND(#REF!,"a5uFbCgOc1E=")</f>
        <v>#REF!</v>
      </c>
      <c r="CE152" t="e">
        <f>AND(#REF!,"a5uFbCgOc1I=")</f>
        <v>#REF!</v>
      </c>
      <c r="CF152" t="e">
        <f>AND(#REF!,"a5uFbCgOc1M=")</f>
        <v>#REF!</v>
      </c>
      <c r="CG152" t="e">
        <f>AND(#REF!,"a5uFbCgOc1Q=")</f>
        <v>#REF!</v>
      </c>
      <c r="CH152" t="e">
        <f>AND(#REF!,"a5uFbCgOc1U=")</f>
        <v>#REF!</v>
      </c>
      <c r="CI152" t="e">
        <f>AND(#REF!,"a5uFbCgOc1Y=")</f>
        <v>#REF!</v>
      </c>
      <c r="CJ152" t="e">
        <f>AND(#REF!,"a5uFbCgOc1c=")</f>
        <v>#REF!</v>
      </c>
      <c r="CK152" t="e">
        <f>AND(#REF!,"a5uFbCgOc1g=")</f>
        <v>#REF!</v>
      </c>
      <c r="CL152" t="e">
        <f>AND(#REF!,"a5uFbCgOc1k=")</f>
        <v>#REF!</v>
      </c>
      <c r="CM152" t="e">
        <f>AND(#REF!,"a5uFbCgOc1o=")</f>
        <v>#REF!</v>
      </c>
      <c r="CN152" t="e">
        <f>AND(#REF!,"a5uFbCgOc1s=")</f>
        <v>#REF!</v>
      </c>
      <c r="CO152" t="e">
        <f>AND(#REF!,"a5uFbCgOc1w=")</f>
        <v>#REF!</v>
      </c>
      <c r="CP152" t="e">
        <f>AND(#REF!,"a5uFbCgOc10=")</f>
        <v>#REF!</v>
      </c>
      <c r="CQ152" t="e">
        <f>AND(#REF!,"a5uFbCgOc14=")</f>
        <v>#REF!</v>
      </c>
      <c r="CR152" t="e">
        <f>AND(#REF!,"a5uFbCgOc18=")</f>
        <v>#REF!</v>
      </c>
      <c r="CS152" t="e">
        <f>AND(#REF!,"a5uFbCgOc2A=")</f>
        <v>#REF!</v>
      </c>
      <c r="CT152" t="e">
        <f>IF(#REF!,"a5uFbCgOc2E=",0)</f>
        <v>#REF!</v>
      </c>
      <c r="CU152" t="e">
        <f>AND(#REF!,"a5uFbCgOc2I=")</f>
        <v>#REF!</v>
      </c>
      <c r="CV152" t="e">
        <f>AND(#REF!,"a5uFbCgOc2M=")</f>
        <v>#REF!</v>
      </c>
      <c r="CW152" t="e">
        <f>AND(#REF!,"a5uFbCgOc2Q=")</f>
        <v>#REF!</v>
      </c>
      <c r="CX152" t="e">
        <f>AND(#REF!,"a5uFbCgOc2U=")</f>
        <v>#REF!</v>
      </c>
      <c r="CY152" t="e">
        <f>AND(#REF!,"a5uFbCgOc2Y=")</f>
        <v>#REF!</v>
      </c>
      <c r="CZ152" t="e">
        <f>AND(#REF!,"a5uFbCgOc2c=")</f>
        <v>#REF!</v>
      </c>
      <c r="DA152" t="e">
        <f>AND(#REF!,"a5uFbCgOc2g=")</f>
        <v>#REF!</v>
      </c>
      <c r="DB152" t="e">
        <f>AND(#REF!,"a5uFbCgOc2k=")</f>
        <v>#REF!</v>
      </c>
      <c r="DC152" t="e">
        <f>AND(#REF!,"a5uFbCgOc2o=")</f>
        <v>#REF!</v>
      </c>
      <c r="DD152" t="e">
        <f>AND(#REF!,"a5uFbCgOc2s=")</f>
        <v>#REF!</v>
      </c>
      <c r="DE152" t="e">
        <f>AND(#REF!,"a5uFbCgOc2w=")</f>
        <v>#REF!</v>
      </c>
      <c r="DF152" t="e">
        <f>AND(#REF!,"a5uFbCgOc20=")</f>
        <v>#REF!</v>
      </c>
      <c r="DG152" t="e">
        <f>AND(#REF!,"a5uFbCgOc24=")</f>
        <v>#REF!</v>
      </c>
      <c r="DH152" t="e">
        <f>AND(#REF!,"a5uFbCgOc28=")</f>
        <v>#REF!</v>
      </c>
      <c r="DI152" t="e">
        <f>AND(#REF!,"a5uFbCgOc3A=")</f>
        <v>#REF!</v>
      </c>
      <c r="DJ152" t="e">
        <f>AND(#REF!,"a5uFbCgOc3E=")</f>
        <v>#REF!</v>
      </c>
      <c r="DK152" t="e">
        <f>AND(#REF!,"a5uFbCgOc3I=")</f>
        <v>#REF!</v>
      </c>
      <c r="DL152" t="e">
        <f>AND(#REF!,"a5uFbCgOc3M=")</f>
        <v>#REF!</v>
      </c>
      <c r="DM152" t="e">
        <f>AND(#REF!,"a5uFbCgOc3Q=")</f>
        <v>#REF!</v>
      </c>
      <c r="DN152" t="e">
        <f>IF(#REF!,"a5uFbCgOc3U=",0)</f>
        <v>#REF!</v>
      </c>
      <c r="DO152" t="e">
        <f>AND(#REF!,"a5uFbCgOc3Y=")</f>
        <v>#REF!</v>
      </c>
      <c r="DP152" t="e">
        <f>AND(#REF!,"a5uFbCgOc3c=")</f>
        <v>#REF!</v>
      </c>
      <c r="DQ152" t="e">
        <f>AND(#REF!,"a5uFbCgOc3g=")</f>
        <v>#REF!</v>
      </c>
      <c r="DR152" t="e">
        <f>AND(#REF!,"a5uFbCgOc3k=")</f>
        <v>#REF!</v>
      </c>
      <c r="DS152" t="e">
        <f>AND(#REF!,"a5uFbCgOc3o=")</f>
        <v>#REF!</v>
      </c>
      <c r="DT152" t="e">
        <f>AND(#REF!,"a5uFbCgOc3s=")</f>
        <v>#REF!</v>
      </c>
      <c r="DU152" t="e">
        <f>AND(#REF!,"a5uFbCgOc3w=")</f>
        <v>#REF!</v>
      </c>
      <c r="DV152" t="e">
        <f>AND(#REF!,"a5uFbCgOc30=")</f>
        <v>#REF!</v>
      </c>
      <c r="DW152" t="e">
        <f>AND(#REF!,"a5uFbCgOc34=")</f>
        <v>#REF!</v>
      </c>
      <c r="DX152" t="e">
        <f>AND(#REF!,"a5uFbCgOc38=")</f>
        <v>#REF!</v>
      </c>
      <c r="DY152" t="e">
        <f>AND(#REF!,"a5uFbCgOc4A=")</f>
        <v>#REF!</v>
      </c>
      <c r="DZ152" t="e">
        <f>AND(#REF!,"a5uFbCgOc4E=")</f>
        <v>#REF!</v>
      </c>
      <c r="EA152" t="e">
        <f>AND(#REF!,"a5uFbCgOc4I=")</f>
        <v>#REF!</v>
      </c>
      <c r="EB152" t="e">
        <f>AND(#REF!,"a5uFbCgOc4M=")</f>
        <v>#REF!</v>
      </c>
      <c r="EC152" t="e">
        <f>AND(#REF!,"a5uFbCgOc4Q=")</f>
        <v>#REF!</v>
      </c>
      <c r="ED152" t="e">
        <f>AND(#REF!,"a5uFbCgOc4U=")</f>
        <v>#REF!</v>
      </c>
      <c r="EE152" t="e">
        <f>AND(#REF!,"a5uFbCgOc4Y=")</f>
        <v>#REF!</v>
      </c>
      <c r="EF152" t="e">
        <f>AND(#REF!,"a5uFbCgOc4c=")</f>
        <v>#REF!</v>
      </c>
      <c r="EG152" t="e">
        <f>AND(#REF!,"a5uFbCgOc4g=")</f>
        <v>#REF!</v>
      </c>
      <c r="EH152" t="e">
        <f>IF(#REF!,"a5uFbCgOc4k=",0)</f>
        <v>#REF!</v>
      </c>
      <c r="EI152" t="e">
        <f>AND(#REF!,"a5uFbCgOc4o=")</f>
        <v>#REF!</v>
      </c>
      <c r="EJ152" t="e">
        <f>AND(#REF!,"a5uFbCgOc4s=")</f>
        <v>#REF!</v>
      </c>
      <c r="EK152" t="e">
        <f>AND(#REF!,"a5uFbCgOc4w=")</f>
        <v>#REF!</v>
      </c>
      <c r="EL152" t="e">
        <f>AND(#REF!,"a5uFbCgOc40=")</f>
        <v>#REF!</v>
      </c>
      <c r="EM152" t="e">
        <f>AND(#REF!,"a5uFbCgOc44=")</f>
        <v>#REF!</v>
      </c>
      <c r="EN152" t="e">
        <f>AND(#REF!,"a5uFbCgOc48=")</f>
        <v>#REF!</v>
      </c>
      <c r="EO152" t="e">
        <f>AND(#REF!,"a5uFbCgOc5A=")</f>
        <v>#REF!</v>
      </c>
      <c r="EP152" t="e">
        <f>AND(#REF!,"a5uFbCgOc5E=")</f>
        <v>#REF!</v>
      </c>
      <c r="EQ152" t="e">
        <f>AND(#REF!,"a5uFbCgOc5I=")</f>
        <v>#REF!</v>
      </c>
      <c r="ER152" t="e">
        <f>AND(#REF!,"a5uFbCgOc5M=")</f>
        <v>#REF!</v>
      </c>
      <c r="ES152" t="e">
        <f>AND(#REF!,"a5uFbCgOc5Q=")</f>
        <v>#REF!</v>
      </c>
      <c r="ET152" t="e">
        <f>AND(#REF!,"a5uFbCgOc5U=")</f>
        <v>#REF!</v>
      </c>
      <c r="EU152" t="e">
        <f>AND(#REF!,"a5uFbCgOc5Y=")</f>
        <v>#REF!</v>
      </c>
      <c r="EV152" t="e">
        <f>AND(#REF!,"a5uFbCgOc5c=")</f>
        <v>#REF!</v>
      </c>
      <c r="EW152" t="e">
        <f>AND(#REF!,"a5uFbCgOc5g=")</f>
        <v>#REF!</v>
      </c>
      <c r="EX152" t="e">
        <f>AND(#REF!,"a5uFbCgOc5k=")</f>
        <v>#REF!</v>
      </c>
      <c r="EY152" t="e">
        <f>AND(#REF!,"a5uFbCgOc5o=")</f>
        <v>#REF!</v>
      </c>
      <c r="EZ152" t="e">
        <f>AND(#REF!,"a5uFbCgOc5s=")</f>
        <v>#REF!</v>
      </c>
      <c r="FA152" t="e">
        <f>AND(#REF!,"a5uFbCgOc5w=")</f>
        <v>#REF!</v>
      </c>
      <c r="FB152" t="e">
        <f>IF(#REF!,"a5uFbCgOc50=",0)</f>
        <v>#REF!</v>
      </c>
      <c r="FC152" t="e">
        <f>AND(#REF!,"a5uFbCgOc54=")</f>
        <v>#REF!</v>
      </c>
      <c r="FD152" t="e">
        <f>AND(#REF!,"a5uFbCgOc58=")</f>
        <v>#REF!</v>
      </c>
      <c r="FE152" t="e">
        <f>AND(#REF!,"a5uFbCgOc6A=")</f>
        <v>#REF!</v>
      </c>
      <c r="FF152" t="e">
        <f>AND(#REF!,"a5uFbCgOc6E=")</f>
        <v>#REF!</v>
      </c>
      <c r="FG152" t="e">
        <f>AND(#REF!,"a5uFbCgOc6I=")</f>
        <v>#REF!</v>
      </c>
      <c r="FH152" t="e">
        <f>AND(#REF!,"a5uFbCgOc6M=")</f>
        <v>#REF!</v>
      </c>
      <c r="FI152" t="e">
        <f>AND(#REF!,"a5uFbCgOc6Q=")</f>
        <v>#REF!</v>
      </c>
      <c r="FJ152" t="e">
        <f>AND(#REF!,"a5uFbCgOc6U=")</f>
        <v>#REF!</v>
      </c>
      <c r="FK152" t="e">
        <f>AND(#REF!,"a5uFbCgOc6Y=")</f>
        <v>#REF!</v>
      </c>
      <c r="FL152" t="e">
        <f>AND(#REF!,"a5uFbCgOc6c=")</f>
        <v>#REF!</v>
      </c>
      <c r="FM152" t="e">
        <f>AND(#REF!,"a5uFbCgOc6g=")</f>
        <v>#REF!</v>
      </c>
      <c r="FN152" t="e">
        <f>AND(#REF!,"a5uFbCgOc6k=")</f>
        <v>#REF!</v>
      </c>
      <c r="FO152" t="e">
        <f>AND(#REF!,"a5uFbCgOc6o=")</f>
        <v>#REF!</v>
      </c>
      <c r="FP152" t="e">
        <f>AND(#REF!,"a5uFbCgOc6s=")</f>
        <v>#REF!</v>
      </c>
      <c r="FQ152" t="e">
        <f>AND(#REF!,"a5uFbCgOc6w=")</f>
        <v>#REF!</v>
      </c>
      <c r="FR152" t="e">
        <f>AND(#REF!,"a5uFbCgOc60=")</f>
        <v>#REF!</v>
      </c>
      <c r="FS152" t="e">
        <f>AND(#REF!,"a5uFbCgOc64=")</f>
        <v>#REF!</v>
      </c>
      <c r="FT152" t="e">
        <f>AND(#REF!,"a5uFbCgOc68=")</f>
        <v>#REF!</v>
      </c>
      <c r="FU152" t="e">
        <f>AND(#REF!,"a5uFbCgOc7A=")</f>
        <v>#REF!</v>
      </c>
      <c r="FV152" t="e">
        <f>IF(#REF!,"a5uFbCgOc7E=",0)</f>
        <v>#REF!</v>
      </c>
      <c r="FW152" t="e">
        <f>AND(#REF!,"a5uFbCgOc7I=")</f>
        <v>#REF!</v>
      </c>
      <c r="FX152" t="e">
        <f>AND(#REF!,"a5uFbCgOc7M=")</f>
        <v>#REF!</v>
      </c>
      <c r="FY152" t="e">
        <f>AND(#REF!,"a5uFbCgOc7Q=")</f>
        <v>#REF!</v>
      </c>
      <c r="FZ152" t="e">
        <f>AND(#REF!,"a5uFbCgOc7U=")</f>
        <v>#REF!</v>
      </c>
      <c r="GA152" t="e">
        <f>AND(#REF!,"a5uFbCgOc7Y=")</f>
        <v>#REF!</v>
      </c>
      <c r="GB152" t="e">
        <f>AND(#REF!,"a5uFbCgOc7c=")</f>
        <v>#REF!</v>
      </c>
      <c r="GC152" t="e">
        <f>AND(#REF!,"a5uFbCgOc7g=")</f>
        <v>#REF!</v>
      </c>
      <c r="GD152" t="e">
        <f>AND(#REF!,"a5uFbCgOc7k=")</f>
        <v>#REF!</v>
      </c>
      <c r="GE152" t="e">
        <f>AND(#REF!,"a5uFbCgOc7o=")</f>
        <v>#REF!</v>
      </c>
      <c r="GF152" t="e">
        <f>AND(#REF!,"a5uFbCgOc7s=")</f>
        <v>#REF!</v>
      </c>
      <c r="GG152" t="e">
        <f>AND(#REF!,"a5uFbCgOc7w=")</f>
        <v>#REF!</v>
      </c>
      <c r="GH152" t="e">
        <f>AND(#REF!,"a5uFbCgOc70=")</f>
        <v>#REF!</v>
      </c>
      <c r="GI152" t="e">
        <f>AND(#REF!,"a5uFbCgOc74=")</f>
        <v>#REF!</v>
      </c>
      <c r="GJ152" t="e">
        <f>AND(#REF!,"a5uFbCgOc78=")</f>
        <v>#REF!</v>
      </c>
      <c r="GK152" t="e">
        <f>AND(#REF!,"a5uFbCgOc8A=")</f>
        <v>#REF!</v>
      </c>
      <c r="GL152" t="e">
        <f>AND(#REF!,"a5uFbCgOc8E=")</f>
        <v>#REF!</v>
      </c>
      <c r="GM152" t="e">
        <f>AND(#REF!,"a5uFbCgOc8I=")</f>
        <v>#REF!</v>
      </c>
      <c r="GN152" t="e">
        <f>AND(#REF!,"a5uFbCgOc8M=")</f>
        <v>#REF!</v>
      </c>
      <c r="GO152" t="e">
        <f>AND(#REF!,"a5uFbCgOc8Q=")</f>
        <v>#REF!</v>
      </c>
      <c r="GP152" t="e">
        <f>IF(#REF!,"a5uFbCgOc8U=",0)</f>
        <v>#REF!</v>
      </c>
      <c r="GQ152" t="e">
        <f>AND(#REF!,"a5uFbCgOc8Y=")</f>
        <v>#REF!</v>
      </c>
      <c r="GR152" t="e">
        <f>AND(#REF!,"a5uFbCgOc8c=")</f>
        <v>#REF!</v>
      </c>
      <c r="GS152" t="e">
        <f>AND(#REF!,"a5uFbCgOc8g=")</f>
        <v>#REF!</v>
      </c>
      <c r="GT152" t="e">
        <f>AND(#REF!,"a5uFbCgOc8k=")</f>
        <v>#REF!</v>
      </c>
      <c r="GU152" t="e">
        <f>AND(#REF!,"a5uFbCgOc8o=")</f>
        <v>#REF!</v>
      </c>
      <c r="GV152" t="e">
        <f>AND(#REF!,"a5uFbCgOc8s=")</f>
        <v>#REF!</v>
      </c>
      <c r="GW152" t="e">
        <f>AND(#REF!,"a5uFbCgOc8w=")</f>
        <v>#REF!</v>
      </c>
      <c r="GX152" t="e">
        <f>AND(#REF!,"a5uFbCgOc80=")</f>
        <v>#REF!</v>
      </c>
      <c r="GY152" t="e">
        <f>AND(#REF!,"a5uFbCgOc84=")</f>
        <v>#REF!</v>
      </c>
      <c r="GZ152" t="e">
        <f>AND(#REF!,"a5uFbCgOc88=")</f>
        <v>#REF!</v>
      </c>
      <c r="HA152" t="e">
        <f>AND(#REF!,"a5uFbCgOc9A=")</f>
        <v>#REF!</v>
      </c>
      <c r="HB152" t="e">
        <f>AND(#REF!,"a5uFbCgOc9E=")</f>
        <v>#REF!</v>
      </c>
      <c r="HC152" t="e">
        <f>AND(#REF!,"a5uFbCgOc9I=")</f>
        <v>#REF!</v>
      </c>
      <c r="HD152" t="e">
        <f>AND(#REF!,"a5uFbCgOc9M=")</f>
        <v>#REF!</v>
      </c>
      <c r="HE152" t="e">
        <f>AND(#REF!,"a5uFbCgOc9Q=")</f>
        <v>#REF!</v>
      </c>
      <c r="HF152" t="e">
        <f>AND(#REF!,"a5uFbCgOc9U=")</f>
        <v>#REF!</v>
      </c>
      <c r="HG152" t="e">
        <f>AND(#REF!,"a5uFbCgOc9Y=")</f>
        <v>#REF!</v>
      </c>
      <c r="HH152" t="e">
        <f>AND(#REF!,"a5uFbCgOc9c=")</f>
        <v>#REF!</v>
      </c>
      <c r="HI152" t="e">
        <f>AND(#REF!,"a5uFbCgOc9g=")</f>
        <v>#REF!</v>
      </c>
      <c r="HJ152" t="e">
        <f>IF(#REF!,"a5uFbCgOc9k=",0)</f>
        <v>#REF!</v>
      </c>
      <c r="HK152" t="e">
        <f>AND(#REF!,"a5uFbCgOc9o=")</f>
        <v>#REF!</v>
      </c>
      <c r="HL152" t="e">
        <f>AND(#REF!,"a5uFbCgOc9s=")</f>
        <v>#REF!</v>
      </c>
      <c r="HM152" t="e">
        <f>AND(#REF!,"a5uFbCgOc9w=")</f>
        <v>#REF!</v>
      </c>
      <c r="HN152" t="e">
        <f>AND(#REF!,"a5uFbCgOc90=")</f>
        <v>#REF!</v>
      </c>
      <c r="HO152" t="e">
        <f>AND(#REF!,"a5uFbCgOc94=")</f>
        <v>#REF!</v>
      </c>
      <c r="HP152" t="e">
        <f>AND(#REF!,"a5uFbCgOc98=")</f>
        <v>#REF!</v>
      </c>
      <c r="HQ152" t="e">
        <f>AND(#REF!,"a5uFbCgOc+A=")</f>
        <v>#REF!</v>
      </c>
      <c r="HR152" t="e">
        <f>AND(#REF!,"a5uFbCgOc+E=")</f>
        <v>#REF!</v>
      </c>
      <c r="HS152" t="e">
        <f>AND(#REF!,"a5uFbCgOc+I=")</f>
        <v>#REF!</v>
      </c>
      <c r="HT152" t="e">
        <f>AND(#REF!,"a5uFbCgOc+M=")</f>
        <v>#REF!</v>
      </c>
      <c r="HU152" t="e">
        <f>AND(#REF!,"a5uFbCgOc+Q=")</f>
        <v>#REF!</v>
      </c>
      <c r="HV152" t="e">
        <f>AND(#REF!,"a5uFbCgOc+U=")</f>
        <v>#REF!</v>
      </c>
      <c r="HW152" t="e">
        <f>AND(#REF!,"a5uFbCgOc+Y=")</f>
        <v>#REF!</v>
      </c>
      <c r="HX152" t="e">
        <f>AND(#REF!,"a5uFbCgOc+c=")</f>
        <v>#REF!</v>
      </c>
      <c r="HY152" t="e">
        <f>AND(#REF!,"a5uFbCgOc+g=")</f>
        <v>#REF!</v>
      </c>
      <c r="HZ152" t="e">
        <f>AND(#REF!,"a5uFbCgOc+k=")</f>
        <v>#REF!</v>
      </c>
      <c r="IA152" t="e">
        <f>AND(#REF!,"a5uFbCgOc+o=")</f>
        <v>#REF!</v>
      </c>
      <c r="IB152" t="e">
        <f>AND(#REF!,"a5uFbCgOc+s=")</f>
        <v>#REF!</v>
      </c>
      <c r="IC152" t="e">
        <f>AND(#REF!,"a5uFbCgOc+w=")</f>
        <v>#REF!</v>
      </c>
      <c r="ID152" t="e">
        <f>IF(#REF!,"a5uFbCgOc+0=",0)</f>
        <v>#REF!</v>
      </c>
      <c r="IE152" t="e">
        <f>AND(#REF!,"a5uFbCgOc+4=")</f>
        <v>#REF!</v>
      </c>
      <c r="IF152" t="e">
        <f>AND(#REF!,"a5uFbCgOc+8=")</f>
        <v>#REF!</v>
      </c>
      <c r="IG152" t="e">
        <f>AND(#REF!,"a5uFbCgOc/A=")</f>
        <v>#REF!</v>
      </c>
      <c r="IH152" t="e">
        <f>AND(#REF!,"a5uFbCgOc/E=")</f>
        <v>#REF!</v>
      </c>
      <c r="II152" t="e">
        <f>AND(#REF!,"a5uFbCgOc/I=")</f>
        <v>#REF!</v>
      </c>
      <c r="IJ152" t="e">
        <f>AND(#REF!,"a5uFbCgOc/M=")</f>
        <v>#REF!</v>
      </c>
      <c r="IK152" t="e">
        <f>AND(#REF!,"a5uFbCgOc/Q=")</f>
        <v>#REF!</v>
      </c>
      <c r="IL152" t="e">
        <f>AND(#REF!,"a5uFbCgOc/U=")</f>
        <v>#REF!</v>
      </c>
      <c r="IM152" t="e">
        <f>AND(#REF!,"a5uFbCgOc/Y=")</f>
        <v>#REF!</v>
      </c>
      <c r="IN152" t="e">
        <f>AND(#REF!,"a5uFbCgOc/c=")</f>
        <v>#REF!</v>
      </c>
      <c r="IO152" t="e">
        <f>AND(#REF!,"a5uFbCgOc/g=")</f>
        <v>#REF!</v>
      </c>
      <c r="IP152" t="e">
        <f>AND(#REF!,"a5uFbCgOc/k=")</f>
        <v>#REF!</v>
      </c>
      <c r="IQ152" t="e">
        <f>AND(#REF!,"a5uFbCgOc/o=")</f>
        <v>#REF!</v>
      </c>
      <c r="IR152" t="e">
        <f>AND(#REF!,"a5uFbCgOc/s=")</f>
        <v>#REF!</v>
      </c>
      <c r="IS152" t="e">
        <f>AND(#REF!,"a5uFbCgOc/w=")</f>
        <v>#REF!</v>
      </c>
      <c r="IT152" t="e">
        <f>AND(#REF!,"a5uFbCgOc/0=")</f>
        <v>#REF!</v>
      </c>
      <c r="IU152" t="e">
        <f>AND(#REF!,"a5uFbCgOc/4=")</f>
        <v>#REF!</v>
      </c>
      <c r="IV152" t="e">
        <f>AND(#REF!,"a5uFbCgOc/8=")</f>
        <v>#REF!</v>
      </c>
    </row>
    <row r="153" spans="1:256" x14ac:dyDescent="0.2">
      <c r="A153" t="e">
        <f>AND(#REF!,"QRMz+EVROAA=")</f>
        <v>#REF!</v>
      </c>
      <c r="B153" t="e">
        <f>IF(#REF!,"QRMz+EVROAE=",0)</f>
        <v>#REF!</v>
      </c>
      <c r="C153" t="e">
        <f>AND(#REF!,"QRMz+EVROAI=")</f>
        <v>#REF!</v>
      </c>
      <c r="D153" t="e">
        <f>AND(#REF!,"QRMz+EVROAM=")</f>
        <v>#REF!</v>
      </c>
      <c r="E153" t="e">
        <f>AND(#REF!,"QRMz+EVROAQ=")</f>
        <v>#REF!</v>
      </c>
      <c r="F153" t="e">
        <f>AND(#REF!,"QRMz+EVROAU=")</f>
        <v>#REF!</v>
      </c>
      <c r="G153" t="e">
        <f>AND(#REF!,"QRMz+EVROAY=")</f>
        <v>#REF!</v>
      </c>
      <c r="H153" t="e">
        <f>AND(#REF!,"QRMz+EVROAc=")</f>
        <v>#REF!</v>
      </c>
      <c r="I153" t="e">
        <f>AND(#REF!,"QRMz+EVROAg=")</f>
        <v>#REF!</v>
      </c>
      <c r="J153" t="e">
        <f>AND(#REF!,"QRMz+EVROAk=")</f>
        <v>#REF!</v>
      </c>
      <c r="K153" t="e">
        <f>AND(#REF!,"QRMz+EVROAo=")</f>
        <v>#REF!</v>
      </c>
      <c r="L153" t="e">
        <f>AND(#REF!,"QRMz+EVROAs=")</f>
        <v>#REF!</v>
      </c>
      <c r="M153" t="e">
        <f>AND(#REF!,"QRMz+EVROAw=")</f>
        <v>#REF!</v>
      </c>
      <c r="N153" t="e">
        <f>AND(#REF!,"QRMz+EVROA0=")</f>
        <v>#REF!</v>
      </c>
      <c r="O153" t="e">
        <f>AND(#REF!,"QRMz+EVROA4=")</f>
        <v>#REF!</v>
      </c>
      <c r="P153" t="e">
        <f>AND(#REF!,"QRMz+EVROA8=")</f>
        <v>#REF!</v>
      </c>
      <c r="Q153" t="e">
        <f>AND(#REF!,"QRMz+EVROBA=")</f>
        <v>#REF!</v>
      </c>
      <c r="R153" t="e">
        <f>AND(#REF!,"QRMz+EVROBE=")</f>
        <v>#REF!</v>
      </c>
      <c r="S153" t="e">
        <f>AND(#REF!,"QRMz+EVROBI=")</f>
        <v>#REF!</v>
      </c>
      <c r="T153" t="e">
        <f>AND(#REF!,"QRMz+EVROBM=")</f>
        <v>#REF!</v>
      </c>
      <c r="U153" t="e">
        <f>AND(#REF!,"QRMz+EVROBQ=")</f>
        <v>#REF!</v>
      </c>
      <c r="V153" t="e">
        <f>IF(#REF!,"QRMz+EVROBU=",0)</f>
        <v>#REF!</v>
      </c>
      <c r="W153" t="e">
        <f>AND(#REF!,"QRMz+EVROBY=")</f>
        <v>#REF!</v>
      </c>
      <c r="X153" t="e">
        <f>AND(#REF!,"QRMz+EVROBc=")</f>
        <v>#REF!</v>
      </c>
      <c r="Y153" t="e">
        <f>AND(#REF!,"QRMz+EVROBg=")</f>
        <v>#REF!</v>
      </c>
      <c r="Z153" t="e">
        <f>AND(#REF!,"QRMz+EVROBk=")</f>
        <v>#REF!</v>
      </c>
      <c r="AA153" t="e">
        <f>AND(#REF!,"QRMz+EVROBo=")</f>
        <v>#REF!</v>
      </c>
      <c r="AB153" t="e">
        <f>AND(#REF!,"QRMz+EVROBs=")</f>
        <v>#REF!</v>
      </c>
      <c r="AC153" t="e">
        <f>AND(#REF!,"QRMz+EVROBw=")</f>
        <v>#REF!</v>
      </c>
      <c r="AD153" t="e">
        <f>AND(#REF!,"QRMz+EVROB0=")</f>
        <v>#REF!</v>
      </c>
      <c r="AE153" t="e">
        <f>AND(#REF!,"QRMz+EVROB4=")</f>
        <v>#REF!</v>
      </c>
      <c r="AF153" t="e">
        <f>AND(#REF!,"QRMz+EVROB8=")</f>
        <v>#REF!</v>
      </c>
      <c r="AG153" t="e">
        <f>AND(#REF!,"QRMz+EVROCA=")</f>
        <v>#REF!</v>
      </c>
      <c r="AH153" t="e">
        <f>AND(#REF!,"QRMz+EVROCE=")</f>
        <v>#REF!</v>
      </c>
      <c r="AI153" t="e">
        <f>AND(#REF!,"QRMz+EVROCI=")</f>
        <v>#REF!</v>
      </c>
      <c r="AJ153" t="e">
        <f>AND(#REF!,"QRMz+EVROCM=")</f>
        <v>#REF!</v>
      </c>
      <c r="AK153" t="e">
        <f>AND(#REF!,"QRMz+EVROCQ=")</f>
        <v>#REF!</v>
      </c>
      <c r="AL153" t="e">
        <f>AND(#REF!,"QRMz+EVROCU=")</f>
        <v>#REF!</v>
      </c>
      <c r="AM153" t="e">
        <f>AND(#REF!,"QRMz+EVROCY=")</f>
        <v>#REF!</v>
      </c>
      <c r="AN153" t="e">
        <f>AND(#REF!,"QRMz+EVROCc=")</f>
        <v>#REF!</v>
      </c>
      <c r="AO153" t="e">
        <f>AND(#REF!,"QRMz+EVROCg=")</f>
        <v>#REF!</v>
      </c>
      <c r="AP153" t="e">
        <f>IF(#REF!,"QRMz+EVROCk=",0)</f>
        <v>#REF!</v>
      </c>
      <c r="AQ153" t="e">
        <f>AND(#REF!,"QRMz+EVROCo=")</f>
        <v>#REF!</v>
      </c>
      <c r="AR153" t="e">
        <f>AND(#REF!,"QRMz+EVROCs=")</f>
        <v>#REF!</v>
      </c>
      <c r="AS153" t="e">
        <f>AND(#REF!,"QRMz+EVROCw=")</f>
        <v>#REF!</v>
      </c>
      <c r="AT153" t="e">
        <f>AND(#REF!,"QRMz+EVROC0=")</f>
        <v>#REF!</v>
      </c>
      <c r="AU153" t="e">
        <f>AND(#REF!,"QRMz+EVROC4=")</f>
        <v>#REF!</v>
      </c>
      <c r="AV153" t="e">
        <f>AND(#REF!,"QRMz+EVROC8=")</f>
        <v>#REF!</v>
      </c>
      <c r="AW153" t="e">
        <f>AND(#REF!,"QRMz+EVRODA=")</f>
        <v>#REF!</v>
      </c>
      <c r="AX153" t="e">
        <f>AND(#REF!,"QRMz+EVRODE=")</f>
        <v>#REF!</v>
      </c>
      <c r="AY153" t="e">
        <f>AND(#REF!,"QRMz+EVRODI=")</f>
        <v>#REF!</v>
      </c>
      <c r="AZ153" t="e">
        <f>AND(#REF!,"QRMz+EVRODM=")</f>
        <v>#REF!</v>
      </c>
      <c r="BA153" t="e">
        <f>AND(#REF!,"QRMz+EVRODQ=")</f>
        <v>#REF!</v>
      </c>
      <c r="BB153" t="e">
        <f>AND(#REF!,"QRMz+EVRODU=")</f>
        <v>#REF!</v>
      </c>
      <c r="BC153" t="e">
        <f>AND(#REF!,"QRMz+EVRODY=")</f>
        <v>#REF!</v>
      </c>
      <c r="BD153" t="e">
        <f>AND(#REF!,"QRMz+EVRODc=")</f>
        <v>#REF!</v>
      </c>
      <c r="BE153" t="e">
        <f>AND(#REF!,"QRMz+EVRODg=")</f>
        <v>#REF!</v>
      </c>
      <c r="BF153" t="e">
        <f>AND(#REF!,"QRMz+EVRODk=")</f>
        <v>#REF!</v>
      </c>
      <c r="BG153" t="e">
        <f>AND(#REF!,"QRMz+EVRODo=")</f>
        <v>#REF!</v>
      </c>
      <c r="BH153" t="e">
        <f>AND(#REF!,"QRMz+EVRODs=")</f>
        <v>#REF!</v>
      </c>
      <c r="BI153" t="e">
        <f>AND(#REF!,"QRMz+EVRODw=")</f>
        <v>#REF!</v>
      </c>
      <c r="BJ153" t="e">
        <f>IF(#REF!,"QRMz+EVROD0=",0)</f>
        <v>#REF!</v>
      </c>
      <c r="BK153" t="e">
        <f>AND(#REF!,"QRMz+EVROD4=")</f>
        <v>#REF!</v>
      </c>
      <c r="BL153" t="e">
        <f>AND(#REF!,"QRMz+EVROD8=")</f>
        <v>#REF!</v>
      </c>
      <c r="BM153" t="e">
        <f>AND(#REF!,"QRMz+EVROEA=")</f>
        <v>#REF!</v>
      </c>
      <c r="BN153" t="e">
        <f>AND(#REF!,"QRMz+EVROEE=")</f>
        <v>#REF!</v>
      </c>
      <c r="BO153" t="e">
        <f>AND(#REF!,"QRMz+EVROEI=")</f>
        <v>#REF!</v>
      </c>
      <c r="BP153" t="e">
        <f>AND(#REF!,"QRMz+EVROEM=")</f>
        <v>#REF!</v>
      </c>
      <c r="BQ153" t="e">
        <f>AND(#REF!,"QRMz+EVROEQ=")</f>
        <v>#REF!</v>
      </c>
      <c r="BR153" t="e">
        <f>AND(#REF!,"QRMz+EVROEU=")</f>
        <v>#REF!</v>
      </c>
      <c r="BS153" t="e">
        <f>AND(#REF!,"QRMz+EVROEY=")</f>
        <v>#REF!</v>
      </c>
      <c r="BT153" t="e">
        <f>AND(#REF!,"QRMz+EVROEc=")</f>
        <v>#REF!</v>
      </c>
      <c r="BU153" t="e">
        <f>AND(#REF!,"QRMz+EVROEg=")</f>
        <v>#REF!</v>
      </c>
      <c r="BV153" t="e">
        <f>AND(#REF!,"QRMz+EVROEk=")</f>
        <v>#REF!</v>
      </c>
      <c r="BW153" t="e">
        <f>AND(#REF!,"QRMz+EVROEo=")</f>
        <v>#REF!</v>
      </c>
      <c r="BX153" t="e">
        <f>AND(#REF!,"QRMz+EVROEs=")</f>
        <v>#REF!</v>
      </c>
      <c r="BY153" t="e">
        <f>AND(#REF!,"QRMz+EVROEw=")</f>
        <v>#REF!</v>
      </c>
      <c r="BZ153" t="e">
        <f>AND(#REF!,"QRMz+EVROE0=")</f>
        <v>#REF!</v>
      </c>
      <c r="CA153" t="e">
        <f>AND(#REF!,"QRMz+EVROE4=")</f>
        <v>#REF!</v>
      </c>
      <c r="CB153" t="e">
        <f>AND(#REF!,"QRMz+EVROE8=")</f>
        <v>#REF!</v>
      </c>
      <c r="CC153" t="e">
        <f>AND(#REF!,"QRMz+EVROFA=")</f>
        <v>#REF!</v>
      </c>
      <c r="CD153" t="e">
        <f>IF(#REF!,"QRMz+EVROFE=",0)</f>
        <v>#REF!</v>
      </c>
      <c r="CE153" t="e">
        <f>AND(#REF!,"QRMz+EVROFI=")</f>
        <v>#REF!</v>
      </c>
      <c r="CF153" t="e">
        <f>AND(#REF!,"QRMz+EVROFM=")</f>
        <v>#REF!</v>
      </c>
      <c r="CG153" t="e">
        <f>AND(#REF!,"QRMz+EVROFQ=")</f>
        <v>#REF!</v>
      </c>
      <c r="CH153" t="e">
        <f>AND(#REF!,"QRMz+EVROFU=")</f>
        <v>#REF!</v>
      </c>
      <c r="CI153" t="e">
        <f>AND(#REF!,"QRMz+EVROFY=")</f>
        <v>#REF!</v>
      </c>
      <c r="CJ153" t="e">
        <f>AND(#REF!,"QRMz+EVROFc=")</f>
        <v>#REF!</v>
      </c>
      <c r="CK153" t="e">
        <f>AND(#REF!,"QRMz+EVROFg=")</f>
        <v>#REF!</v>
      </c>
      <c r="CL153" t="e">
        <f>AND(#REF!,"QRMz+EVROFk=")</f>
        <v>#REF!</v>
      </c>
      <c r="CM153" t="e">
        <f>AND(#REF!,"QRMz+EVROFo=")</f>
        <v>#REF!</v>
      </c>
      <c r="CN153" t="e">
        <f>AND(#REF!,"QRMz+EVROFs=")</f>
        <v>#REF!</v>
      </c>
      <c r="CO153" t="e">
        <f>AND(#REF!,"QRMz+EVROFw=")</f>
        <v>#REF!</v>
      </c>
      <c r="CP153" t="e">
        <f>AND(#REF!,"QRMz+EVROF0=")</f>
        <v>#REF!</v>
      </c>
      <c r="CQ153" t="e">
        <f>AND(#REF!,"QRMz+EVROF4=")</f>
        <v>#REF!</v>
      </c>
      <c r="CR153" t="e">
        <f>AND(#REF!,"QRMz+EVROF8=")</f>
        <v>#REF!</v>
      </c>
      <c r="CS153" t="e">
        <f>AND(#REF!,"QRMz+EVROGA=")</f>
        <v>#REF!</v>
      </c>
      <c r="CT153" t="e">
        <f>AND(#REF!,"QRMz+EVROGE=")</f>
        <v>#REF!</v>
      </c>
      <c r="CU153" t="e">
        <f>AND(#REF!,"QRMz+EVROGI=")</f>
        <v>#REF!</v>
      </c>
      <c r="CV153" t="e">
        <f>AND(#REF!,"QRMz+EVROGM=")</f>
        <v>#REF!</v>
      </c>
      <c r="CW153" t="e">
        <f>AND(#REF!,"QRMz+EVROGQ=")</f>
        <v>#REF!</v>
      </c>
      <c r="CX153" t="e">
        <f>IF(#REF!,"QRMz+EVROGU=",0)</f>
        <v>#REF!</v>
      </c>
      <c r="CY153" t="e">
        <f>AND(#REF!,"QRMz+EVROGY=")</f>
        <v>#REF!</v>
      </c>
      <c r="CZ153" t="e">
        <f>AND(#REF!,"QRMz+EVROGc=")</f>
        <v>#REF!</v>
      </c>
      <c r="DA153" t="e">
        <f>AND(#REF!,"QRMz+EVROGg=")</f>
        <v>#REF!</v>
      </c>
      <c r="DB153" t="e">
        <f>AND(#REF!,"QRMz+EVROGk=")</f>
        <v>#REF!</v>
      </c>
      <c r="DC153" t="e">
        <f>AND(#REF!,"QRMz+EVROGo=")</f>
        <v>#REF!</v>
      </c>
      <c r="DD153" t="e">
        <f>AND(#REF!,"QRMz+EVROGs=")</f>
        <v>#REF!</v>
      </c>
      <c r="DE153" t="e">
        <f>AND(#REF!,"QRMz+EVROGw=")</f>
        <v>#REF!</v>
      </c>
      <c r="DF153" t="e">
        <f>AND(#REF!,"QRMz+EVROG0=")</f>
        <v>#REF!</v>
      </c>
      <c r="DG153" t="e">
        <f>AND(#REF!,"QRMz+EVROG4=")</f>
        <v>#REF!</v>
      </c>
      <c r="DH153" t="e">
        <f>AND(#REF!,"QRMz+EVROG8=")</f>
        <v>#REF!</v>
      </c>
      <c r="DI153" t="e">
        <f>AND(#REF!,"QRMz+EVROHA=")</f>
        <v>#REF!</v>
      </c>
      <c r="DJ153" t="e">
        <f>AND(#REF!,"QRMz+EVROHE=")</f>
        <v>#REF!</v>
      </c>
      <c r="DK153" t="e">
        <f>AND(#REF!,"QRMz+EVROHI=")</f>
        <v>#REF!</v>
      </c>
      <c r="DL153" t="e">
        <f>AND(#REF!,"QRMz+EVROHM=")</f>
        <v>#REF!</v>
      </c>
      <c r="DM153" t="e">
        <f>AND(#REF!,"QRMz+EVROHQ=")</f>
        <v>#REF!</v>
      </c>
      <c r="DN153" t="e">
        <f>AND(#REF!,"QRMz+EVROHU=")</f>
        <v>#REF!</v>
      </c>
      <c r="DO153" t="e">
        <f>AND(#REF!,"QRMz+EVROHY=")</f>
        <v>#REF!</v>
      </c>
      <c r="DP153" t="e">
        <f>AND(#REF!,"QRMz+EVROHc=")</f>
        <v>#REF!</v>
      </c>
      <c r="DQ153" t="e">
        <f>AND(#REF!,"QRMz+EVROHg=")</f>
        <v>#REF!</v>
      </c>
      <c r="DR153" t="e">
        <f>IF(#REF!,"QRMz+EVROHk=",0)</f>
        <v>#REF!</v>
      </c>
      <c r="DS153" t="e">
        <f>AND(#REF!,"QRMz+EVROHo=")</f>
        <v>#REF!</v>
      </c>
      <c r="DT153" t="e">
        <f>AND(#REF!,"QRMz+EVROHs=")</f>
        <v>#REF!</v>
      </c>
      <c r="DU153" t="e">
        <f>AND(#REF!,"QRMz+EVROHw=")</f>
        <v>#REF!</v>
      </c>
      <c r="DV153" t="e">
        <f>AND(#REF!,"QRMz+EVROH0=")</f>
        <v>#REF!</v>
      </c>
      <c r="DW153" t="e">
        <f>AND(#REF!,"QRMz+EVROH4=")</f>
        <v>#REF!</v>
      </c>
      <c r="DX153" t="e">
        <f>AND(#REF!,"QRMz+EVROH8=")</f>
        <v>#REF!</v>
      </c>
      <c r="DY153" t="e">
        <f>AND(#REF!,"QRMz+EVROIA=")</f>
        <v>#REF!</v>
      </c>
      <c r="DZ153" t="e">
        <f>AND(#REF!,"QRMz+EVROIE=")</f>
        <v>#REF!</v>
      </c>
      <c r="EA153" t="e">
        <f>AND(#REF!,"QRMz+EVROII=")</f>
        <v>#REF!</v>
      </c>
      <c r="EB153" t="e">
        <f>AND(#REF!,"QRMz+EVROIM=")</f>
        <v>#REF!</v>
      </c>
      <c r="EC153" t="e">
        <f>AND(#REF!,"QRMz+EVROIQ=")</f>
        <v>#REF!</v>
      </c>
      <c r="ED153" t="e">
        <f>AND(#REF!,"QRMz+EVROIU=")</f>
        <v>#REF!</v>
      </c>
      <c r="EE153" t="e">
        <f>AND(#REF!,"QRMz+EVROIY=")</f>
        <v>#REF!</v>
      </c>
      <c r="EF153" t="e">
        <f>AND(#REF!,"QRMz+EVROIc=")</f>
        <v>#REF!</v>
      </c>
      <c r="EG153" t="e">
        <f>AND(#REF!,"QRMz+EVROIg=")</f>
        <v>#REF!</v>
      </c>
      <c r="EH153" t="e">
        <f>AND(#REF!,"QRMz+EVROIk=")</f>
        <v>#REF!</v>
      </c>
      <c r="EI153" t="e">
        <f>AND(#REF!,"QRMz+EVROIo=")</f>
        <v>#REF!</v>
      </c>
      <c r="EJ153" t="e">
        <f>AND(#REF!,"QRMz+EVROIs=")</f>
        <v>#REF!</v>
      </c>
      <c r="EK153" t="e">
        <f>AND(#REF!,"QRMz+EVROIw=")</f>
        <v>#REF!</v>
      </c>
      <c r="EL153" t="e">
        <f>IF(#REF!,"QRMz+EVROI0=",0)</f>
        <v>#REF!</v>
      </c>
      <c r="EM153" t="e">
        <f>AND(#REF!,"QRMz+EVROI4=")</f>
        <v>#REF!</v>
      </c>
      <c r="EN153" t="e">
        <f>AND(#REF!,"QRMz+EVROI8=")</f>
        <v>#REF!</v>
      </c>
      <c r="EO153" t="e">
        <f>AND(#REF!,"QRMz+EVROJA=")</f>
        <v>#REF!</v>
      </c>
      <c r="EP153" t="e">
        <f>AND(#REF!,"QRMz+EVROJE=")</f>
        <v>#REF!</v>
      </c>
      <c r="EQ153" t="e">
        <f>AND(#REF!,"QRMz+EVROJI=")</f>
        <v>#REF!</v>
      </c>
      <c r="ER153" t="e">
        <f>AND(#REF!,"QRMz+EVROJM=")</f>
        <v>#REF!</v>
      </c>
      <c r="ES153" t="e">
        <f>AND(#REF!,"QRMz+EVROJQ=")</f>
        <v>#REF!</v>
      </c>
      <c r="ET153" t="e">
        <f>AND(#REF!,"QRMz+EVROJU=")</f>
        <v>#REF!</v>
      </c>
      <c r="EU153" t="e">
        <f>AND(#REF!,"QRMz+EVROJY=")</f>
        <v>#REF!</v>
      </c>
      <c r="EV153" t="e">
        <f>AND(#REF!,"QRMz+EVROJc=")</f>
        <v>#REF!</v>
      </c>
      <c r="EW153" t="e">
        <f>AND(#REF!,"QRMz+EVROJg=")</f>
        <v>#REF!</v>
      </c>
      <c r="EX153" t="e">
        <f>AND(#REF!,"QRMz+EVROJk=")</f>
        <v>#REF!</v>
      </c>
      <c r="EY153" t="e">
        <f>AND(#REF!,"QRMz+EVROJo=")</f>
        <v>#REF!</v>
      </c>
      <c r="EZ153" t="e">
        <f>AND(#REF!,"QRMz+EVROJs=")</f>
        <v>#REF!</v>
      </c>
      <c r="FA153" t="e">
        <f>AND(#REF!,"QRMz+EVROJw=")</f>
        <v>#REF!</v>
      </c>
      <c r="FB153" t="e">
        <f>AND(#REF!,"QRMz+EVROJ0=")</f>
        <v>#REF!</v>
      </c>
      <c r="FC153" t="e">
        <f>AND(#REF!,"QRMz+EVROJ4=")</f>
        <v>#REF!</v>
      </c>
      <c r="FD153" t="e">
        <f>AND(#REF!,"QRMz+EVROJ8=")</f>
        <v>#REF!</v>
      </c>
      <c r="FE153" t="e">
        <f>AND(#REF!,"QRMz+EVROKA=")</f>
        <v>#REF!</v>
      </c>
      <c r="FF153" t="e">
        <f>IF(#REF!,"QRMz+EVROKE=",0)</f>
        <v>#REF!</v>
      </c>
      <c r="FG153" t="e">
        <f>AND(#REF!,"QRMz+EVROKI=")</f>
        <v>#REF!</v>
      </c>
      <c r="FH153" t="e">
        <f>AND(#REF!,"QRMz+EVROKM=")</f>
        <v>#REF!</v>
      </c>
      <c r="FI153" t="e">
        <f>AND(#REF!,"QRMz+EVROKQ=")</f>
        <v>#REF!</v>
      </c>
      <c r="FJ153" t="e">
        <f>AND(#REF!,"QRMz+EVROKU=")</f>
        <v>#REF!</v>
      </c>
      <c r="FK153" t="e">
        <f>AND(#REF!,"QRMz+EVROKY=")</f>
        <v>#REF!</v>
      </c>
      <c r="FL153" t="e">
        <f>AND(#REF!,"QRMz+EVROKc=")</f>
        <v>#REF!</v>
      </c>
      <c r="FM153" t="e">
        <f>AND(#REF!,"QRMz+EVROKg=")</f>
        <v>#REF!</v>
      </c>
      <c r="FN153" t="e">
        <f>AND(#REF!,"QRMz+EVROKk=")</f>
        <v>#REF!</v>
      </c>
      <c r="FO153" t="e">
        <f>AND(#REF!,"QRMz+EVROKo=")</f>
        <v>#REF!</v>
      </c>
      <c r="FP153" t="e">
        <f>AND(#REF!,"QRMz+EVROKs=")</f>
        <v>#REF!</v>
      </c>
      <c r="FQ153" t="e">
        <f>AND(#REF!,"QRMz+EVROKw=")</f>
        <v>#REF!</v>
      </c>
      <c r="FR153" t="e">
        <f>AND(#REF!,"QRMz+EVROK0=")</f>
        <v>#REF!</v>
      </c>
      <c r="FS153" t="e">
        <f>AND(#REF!,"QRMz+EVROK4=")</f>
        <v>#REF!</v>
      </c>
      <c r="FT153" t="e">
        <f>AND(#REF!,"QRMz+EVROK8=")</f>
        <v>#REF!</v>
      </c>
      <c r="FU153" t="e">
        <f>AND(#REF!,"QRMz+EVROLA=")</f>
        <v>#REF!</v>
      </c>
      <c r="FV153" t="e">
        <f>AND(#REF!,"QRMz+EVROLE=")</f>
        <v>#REF!</v>
      </c>
      <c r="FW153" t="e">
        <f>AND(#REF!,"QRMz+EVROLI=")</f>
        <v>#REF!</v>
      </c>
      <c r="FX153" t="e">
        <f>AND(#REF!,"QRMz+EVROLM=")</f>
        <v>#REF!</v>
      </c>
      <c r="FY153" t="e">
        <f>AND(#REF!,"QRMz+EVROLQ=")</f>
        <v>#REF!</v>
      </c>
      <c r="FZ153" t="e">
        <f>IF(#REF!,"QRMz+EVROLU=",0)</f>
        <v>#REF!</v>
      </c>
      <c r="GA153" t="e">
        <f>AND(#REF!,"QRMz+EVROLY=")</f>
        <v>#REF!</v>
      </c>
      <c r="GB153" t="e">
        <f>AND(#REF!,"QRMz+EVROLc=")</f>
        <v>#REF!</v>
      </c>
      <c r="GC153" t="e">
        <f>AND(#REF!,"QRMz+EVROLg=")</f>
        <v>#REF!</v>
      </c>
      <c r="GD153" t="e">
        <f>AND(#REF!,"QRMz+EVROLk=")</f>
        <v>#REF!</v>
      </c>
      <c r="GE153" t="e">
        <f>AND(#REF!,"QRMz+EVROLo=")</f>
        <v>#REF!</v>
      </c>
      <c r="GF153" t="e">
        <f>AND(#REF!,"QRMz+EVROLs=")</f>
        <v>#REF!</v>
      </c>
      <c r="GG153" t="e">
        <f>AND(#REF!,"QRMz+EVROLw=")</f>
        <v>#REF!</v>
      </c>
      <c r="GH153" t="e">
        <f>AND(#REF!,"QRMz+EVROL0=")</f>
        <v>#REF!</v>
      </c>
      <c r="GI153" t="e">
        <f>AND(#REF!,"QRMz+EVROL4=")</f>
        <v>#REF!</v>
      </c>
      <c r="GJ153" t="e">
        <f>AND(#REF!,"QRMz+EVROL8=")</f>
        <v>#REF!</v>
      </c>
      <c r="GK153" t="e">
        <f>AND(#REF!,"QRMz+EVROMA=")</f>
        <v>#REF!</v>
      </c>
      <c r="GL153" t="e">
        <f>AND(#REF!,"QRMz+EVROME=")</f>
        <v>#REF!</v>
      </c>
      <c r="GM153" t="e">
        <f>AND(#REF!,"QRMz+EVROMI=")</f>
        <v>#REF!</v>
      </c>
      <c r="GN153" t="e">
        <f>AND(#REF!,"QRMz+EVROMM=")</f>
        <v>#REF!</v>
      </c>
      <c r="GO153" t="e">
        <f>AND(#REF!,"QRMz+EVROMQ=")</f>
        <v>#REF!</v>
      </c>
      <c r="GP153" t="e">
        <f>AND(#REF!,"QRMz+EVROMU=")</f>
        <v>#REF!</v>
      </c>
      <c r="GQ153" t="e">
        <f>AND(#REF!,"QRMz+EVROMY=")</f>
        <v>#REF!</v>
      </c>
      <c r="GR153" t="e">
        <f>AND(#REF!,"QRMz+EVROMc=")</f>
        <v>#REF!</v>
      </c>
      <c r="GS153" t="e">
        <f>AND(#REF!,"QRMz+EVROMg=")</f>
        <v>#REF!</v>
      </c>
      <c r="GT153" t="e">
        <f>IF(#REF!,"QRMz+EVROMk=",0)</f>
        <v>#REF!</v>
      </c>
      <c r="GU153" t="e">
        <f>AND(#REF!,"QRMz+EVROMo=")</f>
        <v>#REF!</v>
      </c>
      <c r="GV153" t="e">
        <f>AND(#REF!,"QRMz+EVROMs=")</f>
        <v>#REF!</v>
      </c>
      <c r="GW153" t="e">
        <f>AND(#REF!,"QRMz+EVROMw=")</f>
        <v>#REF!</v>
      </c>
      <c r="GX153" t="e">
        <f>AND(#REF!,"QRMz+EVROM0=")</f>
        <v>#REF!</v>
      </c>
      <c r="GY153" t="e">
        <f>AND(#REF!,"QRMz+EVROM4=")</f>
        <v>#REF!</v>
      </c>
      <c r="GZ153" t="e">
        <f>AND(#REF!,"QRMz+EVROM8=")</f>
        <v>#REF!</v>
      </c>
      <c r="HA153" t="e">
        <f>AND(#REF!,"QRMz+EVRONA=")</f>
        <v>#REF!</v>
      </c>
      <c r="HB153" t="e">
        <f>AND(#REF!,"QRMz+EVRONE=")</f>
        <v>#REF!</v>
      </c>
      <c r="HC153" t="e">
        <f>AND(#REF!,"QRMz+EVRONI=")</f>
        <v>#REF!</v>
      </c>
      <c r="HD153" t="e">
        <f>AND(#REF!,"QRMz+EVRONM=")</f>
        <v>#REF!</v>
      </c>
      <c r="HE153" t="e">
        <f>AND(#REF!,"QRMz+EVRONQ=")</f>
        <v>#REF!</v>
      </c>
      <c r="HF153" t="e">
        <f>AND(#REF!,"QRMz+EVRONU=")</f>
        <v>#REF!</v>
      </c>
      <c r="HG153" t="e">
        <f>AND(#REF!,"QRMz+EVRONY=")</f>
        <v>#REF!</v>
      </c>
      <c r="HH153" t="e">
        <f>AND(#REF!,"QRMz+EVRONc=")</f>
        <v>#REF!</v>
      </c>
      <c r="HI153" t="e">
        <f>AND(#REF!,"QRMz+EVRONg=")</f>
        <v>#REF!</v>
      </c>
      <c r="HJ153" t="e">
        <f>AND(#REF!,"QRMz+EVRONk=")</f>
        <v>#REF!</v>
      </c>
      <c r="HK153" t="e">
        <f>AND(#REF!,"QRMz+EVRONo=")</f>
        <v>#REF!</v>
      </c>
      <c r="HL153" t="e">
        <f>AND(#REF!,"QRMz+EVRONs=")</f>
        <v>#REF!</v>
      </c>
      <c r="HM153" t="e">
        <f>AND(#REF!,"QRMz+EVRONw=")</f>
        <v>#REF!</v>
      </c>
      <c r="HN153" t="e">
        <f>IF(#REF!,"QRMz+EVRON0=",0)</f>
        <v>#REF!</v>
      </c>
      <c r="HO153" t="e">
        <f>AND(#REF!,"QRMz+EVRON4=")</f>
        <v>#REF!</v>
      </c>
      <c r="HP153" t="e">
        <f>AND(#REF!,"QRMz+EVRON8=")</f>
        <v>#REF!</v>
      </c>
      <c r="HQ153" t="e">
        <f>AND(#REF!,"QRMz+EVROOA=")</f>
        <v>#REF!</v>
      </c>
      <c r="HR153" t="e">
        <f>AND(#REF!,"QRMz+EVROOE=")</f>
        <v>#REF!</v>
      </c>
      <c r="HS153" t="e">
        <f>AND(#REF!,"QRMz+EVROOI=")</f>
        <v>#REF!</v>
      </c>
      <c r="HT153" t="e">
        <f>AND(#REF!,"QRMz+EVROOM=")</f>
        <v>#REF!</v>
      </c>
      <c r="HU153" t="e">
        <f>AND(#REF!,"QRMz+EVROOQ=")</f>
        <v>#REF!</v>
      </c>
      <c r="HV153" t="e">
        <f>AND(#REF!,"QRMz+EVROOU=")</f>
        <v>#REF!</v>
      </c>
      <c r="HW153" t="e">
        <f>AND(#REF!,"QRMz+EVROOY=")</f>
        <v>#REF!</v>
      </c>
      <c r="HX153" t="e">
        <f>AND(#REF!,"QRMz+EVROOc=")</f>
        <v>#REF!</v>
      </c>
      <c r="HY153" t="e">
        <f>AND(#REF!,"QRMz+EVROOg=")</f>
        <v>#REF!</v>
      </c>
      <c r="HZ153" t="e">
        <f>AND(#REF!,"QRMz+EVROOk=")</f>
        <v>#REF!</v>
      </c>
      <c r="IA153" t="e">
        <f>AND(#REF!,"QRMz+EVROOo=")</f>
        <v>#REF!</v>
      </c>
      <c r="IB153" t="e">
        <f>AND(#REF!,"QRMz+EVROOs=")</f>
        <v>#REF!</v>
      </c>
      <c r="IC153" t="e">
        <f>AND(#REF!,"QRMz+EVROOw=")</f>
        <v>#REF!</v>
      </c>
      <c r="ID153" t="e">
        <f>AND(#REF!,"QRMz+EVROO0=")</f>
        <v>#REF!</v>
      </c>
      <c r="IE153" t="e">
        <f>AND(#REF!,"QRMz+EVROO4=")</f>
        <v>#REF!</v>
      </c>
      <c r="IF153" t="e">
        <f>AND(#REF!,"QRMz+EVROO8=")</f>
        <v>#REF!</v>
      </c>
      <c r="IG153" t="e">
        <f>AND(#REF!,"QRMz+EVROPA=")</f>
        <v>#REF!</v>
      </c>
      <c r="IH153" t="e">
        <f>IF(#REF!,"QRMz+EVROPE=",0)</f>
        <v>#REF!</v>
      </c>
      <c r="II153" t="e">
        <f>AND(#REF!,"QRMz+EVROPI=")</f>
        <v>#REF!</v>
      </c>
      <c r="IJ153" t="e">
        <f>AND(#REF!,"QRMz+EVROPM=")</f>
        <v>#REF!</v>
      </c>
      <c r="IK153" t="e">
        <f>AND(#REF!,"QRMz+EVROPQ=")</f>
        <v>#REF!</v>
      </c>
      <c r="IL153" t="e">
        <f>AND(#REF!,"QRMz+EVROPU=")</f>
        <v>#REF!</v>
      </c>
      <c r="IM153" t="e">
        <f>AND(#REF!,"QRMz+EVROPY=")</f>
        <v>#REF!</v>
      </c>
      <c r="IN153" t="e">
        <f>AND(#REF!,"QRMz+EVROPc=")</f>
        <v>#REF!</v>
      </c>
      <c r="IO153" t="e">
        <f>AND(#REF!,"QRMz+EVROPg=")</f>
        <v>#REF!</v>
      </c>
      <c r="IP153" t="e">
        <f>AND(#REF!,"QRMz+EVROPk=")</f>
        <v>#REF!</v>
      </c>
      <c r="IQ153" t="e">
        <f>AND(#REF!,"QRMz+EVROPo=")</f>
        <v>#REF!</v>
      </c>
      <c r="IR153" t="e">
        <f>AND(#REF!,"QRMz+EVROPs=")</f>
        <v>#REF!</v>
      </c>
      <c r="IS153" t="e">
        <f>AND(#REF!,"QRMz+EVROPw=")</f>
        <v>#REF!</v>
      </c>
      <c r="IT153" t="e">
        <f>AND(#REF!,"QRMz+EVROP0=")</f>
        <v>#REF!</v>
      </c>
      <c r="IU153" t="e">
        <f>AND(#REF!,"QRMz+EVROP4=")</f>
        <v>#REF!</v>
      </c>
      <c r="IV153" t="e">
        <f>AND(#REF!,"QRMz+EVROP8=")</f>
        <v>#REF!</v>
      </c>
    </row>
    <row r="154" spans="1:256" x14ac:dyDescent="0.2">
      <c r="A154" t="e">
        <f>AND(#REF!,"LwYznxr63QA=")</f>
        <v>#REF!</v>
      </c>
      <c r="B154" t="e">
        <f>AND(#REF!,"LwYznxr63QE=")</f>
        <v>#REF!</v>
      </c>
      <c r="C154" t="e">
        <f>AND(#REF!,"LwYznxr63QI=")</f>
        <v>#REF!</v>
      </c>
      <c r="D154" t="e">
        <f>AND(#REF!,"LwYznxr63QM=")</f>
        <v>#REF!</v>
      </c>
      <c r="E154" t="e">
        <f>AND(#REF!,"LwYznxr63QQ=")</f>
        <v>#REF!</v>
      </c>
      <c r="F154" t="e">
        <f>IF(#REF!,"LwYznxr63QU=",0)</f>
        <v>#REF!</v>
      </c>
      <c r="G154" t="e">
        <f>AND(#REF!,"LwYznxr63QY=")</f>
        <v>#REF!</v>
      </c>
      <c r="H154" t="e">
        <f>AND(#REF!,"LwYznxr63Qc=")</f>
        <v>#REF!</v>
      </c>
      <c r="I154" t="e">
        <f>AND(#REF!,"LwYznxr63Qg=")</f>
        <v>#REF!</v>
      </c>
      <c r="J154" t="e">
        <f>AND(#REF!,"LwYznxr63Qk=")</f>
        <v>#REF!</v>
      </c>
      <c r="K154" t="e">
        <f>AND(#REF!,"LwYznxr63Qo=")</f>
        <v>#REF!</v>
      </c>
      <c r="L154" t="e">
        <f>AND(#REF!,"LwYznxr63Qs=")</f>
        <v>#REF!</v>
      </c>
      <c r="M154" t="e">
        <f>AND(#REF!,"LwYznxr63Qw=")</f>
        <v>#REF!</v>
      </c>
      <c r="N154" t="e">
        <f>AND(#REF!,"LwYznxr63Q0=")</f>
        <v>#REF!</v>
      </c>
      <c r="O154" t="e">
        <f>AND(#REF!,"LwYznxr63Q4=")</f>
        <v>#REF!</v>
      </c>
      <c r="P154" t="e">
        <f>AND(#REF!,"LwYznxr63Q8=")</f>
        <v>#REF!</v>
      </c>
      <c r="Q154" t="e">
        <f>AND(#REF!,"LwYznxr63RA=")</f>
        <v>#REF!</v>
      </c>
      <c r="R154" t="e">
        <f>AND(#REF!,"LwYznxr63RE=")</f>
        <v>#REF!</v>
      </c>
      <c r="S154" t="e">
        <f>AND(#REF!,"LwYznxr63RI=")</f>
        <v>#REF!</v>
      </c>
      <c r="T154" t="e">
        <f>AND(#REF!,"LwYznxr63RM=")</f>
        <v>#REF!</v>
      </c>
      <c r="U154" t="e">
        <f>AND(#REF!,"LwYznxr63RQ=")</f>
        <v>#REF!</v>
      </c>
      <c r="V154" t="e">
        <f>AND(#REF!,"LwYznxr63RU=")</f>
        <v>#REF!</v>
      </c>
      <c r="W154" t="e">
        <f>AND(#REF!,"LwYznxr63RY=")</f>
        <v>#REF!</v>
      </c>
      <c r="X154" t="e">
        <f>AND(#REF!,"LwYznxr63Rc=")</f>
        <v>#REF!</v>
      </c>
      <c r="Y154" t="e">
        <f>AND(#REF!,"LwYznxr63Rg=")</f>
        <v>#REF!</v>
      </c>
      <c r="Z154" t="e">
        <f>IF(#REF!,"LwYznxr63Rk=",0)</f>
        <v>#REF!</v>
      </c>
      <c r="AA154" t="e">
        <f>AND(#REF!,"LwYznxr63Ro=")</f>
        <v>#REF!</v>
      </c>
      <c r="AB154" t="e">
        <f>AND(#REF!,"LwYznxr63Rs=")</f>
        <v>#REF!</v>
      </c>
      <c r="AC154" t="e">
        <f>AND(#REF!,"LwYznxr63Rw=")</f>
        <v>#REF!</v>
      </c>
      <c r="AD154" t="e">
        <f>AND(#REF!,"LwYznxr63R0=")</f>
        <v>#REF!</v>
      </c>
      <c r="AE154" t="e">
        <f>AND(#REF!,"LwYznxr63R4=")</f>
        <v>#REF!</v>
      </c>
      <c r="AF154" t="e">
        <f>AND(#REF!,"LwYznxr63R8=")</f>
        <v>#REF!</v>
      </c>
      <c r="AG154" t="e">
        <f>AND(#REF!,"LwYznxr63SA=")</f>
        <v>#REF!</v>
      </c>
      <c r="AH154" t="e">
        <f>AND(#REF!,"LwYznxr63SE=")</f>
        <v>#REF!</v>
      </c>
      <c r="AI154" t="e">
        <f>AND(#REF!,"LwYznxr63SI=")</f>
        <v>#REF!</v>
      </c>
      <c r="AJ154" t="e">
        <f>AND(#REF!,"LwYznxr63SM=")</f>
        <v>#REF!</v>
      </c>
      <c r="AK154" t="e">
        <f>AND(#REF!,"LwYznxr63SQ=")</f>
        <v>#REF!</v>
      </c>
      <c r="AL154" t="e">
        <f>AND(#REF!,"LwYznxr63SU=")</f>
        <v>#REF!</v>
      </c>
      <c r="AM154" t="e">
        <f>AND(#REF!,"LwYznxr63SY=")</f>
        <v>#REF!</v>
      </c>
      <c r="AN154" t="e">
        <f>AND(#REF!,"LwYznxr63Sc=")</f>
        <v>#REF!</v>
      </c>
      <c r="AO154" t="e">
        <f>AND(#REF!,"LwYznxr63Sg=")</f>
        <v>#REF!</v>
      </c>
      <c r="AP154" t="e">
        <f>AND(#REF!,"LwYznxr63Sk=")</f>
        <v>#REF!</v>
      </c>
      <c r="AQ154" t="e">
        <f>AND(#REF!,"LwYznxr63So=")</f>
        <v>#REF!</v>
      </c>
      <c r="AR154" t="e">
        <f>AND(#REF!,"LwYznxr63Ss=")</f>
        <v>#REF!</v>
      </c>
      <c r="AS154" t="e">
        <f>AND(#REF!,"LwYznxr63Sw=")</f>
        <v>#REF!</v>
      </c>
      <c r="AT154" t="e">
        <f>IF(#REF!,"LwYznxr63S0=",0)</f>
        <v>#REF!</v>
      </c>
      <c r="AU154" t="e">
        <f>AND(#REF!,"LwYznxr63S4=")</f>
        <v>#REF!</v>
      </c>
      <c r="AV154" t="e">
        <f>AND(#REF!,"LwYznxr63S8=")</f>
        <v>#REF!</v>
      </c>
      <c r="AW154" t="e">
        <f>AND(#REF!,"LwYznxr63TA=")</f>
        <v>#REF!</v>
      </c>
      <c r="AX154" t="e">
        <f>AND(#REF!,"LwYznxr63TE=")</f>
        <v>#REF!</v>
      </c>
      <c r="AY154" t="e">
        <f>AND(#REF!,"LwYznxr63TI=")</f>
        <v>#REF!</v>
      </c>
      <c r="AZ154" t="e">
        <f>AND(#REF!,"LwYznxr63TM=")</f>
        <v>#REF!</v>
      </c>
      <c r="BA154" t="e">
        <f>AND(#REF!,"LwYznxr63TQ=")</f>
        <v>#REF!</v>
      </c>
      <c r="BB154" t="e">
        <f>AND(#REF!,"LwYznxr63TU=")</f>
        <v>#REF!</v>
      </c>
      <c r="BC154" t="e">
        <f>AND(#REF!,"LwYznxr63TY=")</f>
        <v>#REF!</v>
      </c>
      <c r="BD154" t="e">
        <f>AND(#REF!,"LwYznxr63Tc=")</f>
        <v>#REF!</v>
      </c>
      <c r="BE154" t="e">
        <f>AND(#REF!,"LwYznxr63Tg=")</f>
        <v>#REF!</v>
      </c>
      <c r="BF154" t="e">
        <f>AND(#REF!,"LwYznxr63Tk=")</f>
        <v>#REF!</v>
      </c>
      <c r="BG154" t="e">
        <f>AND(#REF!,"LwYznxr63To=")</f>
        <v>#REF!</v>
      </c>
      <c r="BH154" t="e">
        <f>AND(#REF!,"LwYznxr63Ts=")</f>
        <v>#REF!</v>
      </c>
      <c r="BI154" t="e">
        <f>AND(#REF!,"LwYznxr63Tw=")</f>
        <v>#REF!</v>
      </c>
      <c r="BJ154" t="e">
        <f>AND(#REF!,"LwYznxr63T0=")</f>
        <v>#REF!</v>
      </c>
      <c r="BK154" t="e">
        <f>AND(#REF!,"LwYznxr63T4=")</f>
        <v>#REF!</v>
      </c>
      <c r="BL154" t="e">
        <f>AND(#REF!,"LwYznxr63T8=")</f>
        <v>#REF!</v>
      </c>
      <c r="BM154" t="e">
        <f>AND(#REF!,"LwYznxr63UA=")</f>
        <v>#REF!</v>
      </c>
      <c r="BN154" t="e">
        <f>IF(#REF!,"LwYznxr63UE=",0)</f>
        <v>#REF!</v>
      </c>
      <c r="BO154" t="e">
        <f>AND(#REF!,"LwYznxr63UI=")</f>
        <v>#REF!</v>
      </c>
      <c r="BP154" t="e">
        <f>AND(#REF!,"LwYznxr63UM=")</f>
        <v>#REF!</v>
      </c>
      <c r="BQ154" t="e">
        <f>AND(#REF!,"LwYznxr63UQ=")</f>
        <v>#REF!</v>
      </c>
      <c r="BR154" t="e">
        <f>AND(#REF!,"LwYznxr63UU=")</f>
        <v>#REF!</v>
      </c>
      <c r="BS154" t="e">
        <f>AND(#REF!,"LwYznxr63UY=")</f>
        <v>#REF!</v>
      </c>
      <c r="BT154" t="e">
        <f>AND(#REF!,"LwYznxr63Uc=")</f>
        <v>#REF!</v>
      </c>
      <c r="BU154" t="e">
        <f>AND(#REF!,"LwYznxr63Ug=")</f>
        <v>#REF!</v>
      </c>
      <c r="BV154" t="e">
        <f>AND(#REF!,"LwYznxr63Uk=")</f>
        <v>#REF!</v>
      </c>
      <c r="BW154" t="e">
        <f>AND(#REF!,"LwYznxr63Uo=")</f>
        <v>#REF!</v>
      </c>
      <c r="BX154" t="e">
        <f>AND(#REF!,"LwYznxr63Us=")</f>
        <v>#REF!</v>
      </c>
      <c r="BY154" t="e">
        <f>AND(#REF!,"LwYznxr63Uw=")</f>
        <v>#REF!</v>
      </c>
      <c r="BZ154" t="e">
        <f>AND(#REF!,"LwYznxr63U0=")</f>
        <v>#REF!</v>
      </c>
      <c r="CA154" t="e">
        <f>AND(#REF!,"LwYznxr63U4=")</f>
        <v>#REF!</v>
      </c>
      <c r="CB154" t="e">
        <f>AND(#REF!,"LwYznxr63U8=")</f>
        <v>#REF!</v>
      </c>
      <c r="CC154" t="e">
        <f>AND(#REF!,"LwYznxr63VA=")</f>
        <v>#REF!</v>
      </c>
      <c r="CD154" t="e">
        <f>AND(#REF!,"LwYznxr63VE=")</f>
        <v>#REF!</v>
      </c>
      <c r="CE154" t="e">
        <f>AND(#REF!,"LwYznxr63VI=")</f>
        <v>#REF!</v>
      </c>
      <c r="CF154" t="e">
        <f>AND(#REF!,"LwYznxr63VM=")</f>
        <v>#REF!</v>
      </c>
      <c r="CG154" t="e">
        <f>AND(#REF!,"LwYznxr63VQ=")</f>
        <v>#REF!</v>
      </c>
      <c r="CH154" t="e">
        <f>IF(#REF!,"LwYznxr63VU=",0)</f>
        <v>#REF!</v>
      </c>
      <c r="CI154" t="e">
        <f>AND(#REF!,"LwYznxr63VY=")</f>
        <v>#REF!</v>
      </c>
      <c r="CJ154" t="e">
        <f>AND(#REF!,"LwYznxr63Vc=")</f>
        <v>#REF!</v>
      </c>
      <c r="CK154" t="e">
        <f>AND(#REF!,"LwYznxr63Vg=")</f>
        <v>#REF!</v>
      </c>
      <c r="CL154" t="e">
        <f>AND(#REF!,"LwYznxr63Vk=")</f>
        <v>#REF!</v>
      </c>
      <c r="CM154" t="e">
        <f>AND(#REF!,"LwYznxr63Vo=")</f>
        <v>#REF!</v>
      </c>
      <c r="CN154" t="e">
        <f>AND(#REF!,"LwYznxr63Vs=")</f>
        <v>#REF!</v>
      </c>
      <c r="CO154" t="e">
        <f>AND(#REF!,"LwYznxr63Vw=")</f>
        <v>#REF!</v>
      </c>
      <c r="CP154" t="e">
        <f>AND(#REF!,"LwYznxr63V0=")</f>
        <v>#REF!</v>
      </c>
      <c r="CQ154" t="e">
        <f>AND(#REF!,"LwYznxr63V4=")</f>
        <v>#REF!</v>
      </c>
      <c r="CR154" t="e">
        <f>AND(#REF!,"LwYznxr63V8=")</f>
        <v>#REF!</v>
      </c>
      <c r="CS154" t="e">
        <f>AND(#REF!,"LwYznxr63WA=")</f>
        <v>#REF!</v>
      </c>
      <c r="CT154" t="e">
        <f>AND(#REF!,"LwYznxr63WE=")</f>
        <v>#REF!</v>
      </c>
      <c r="CU154" t="e">
        <f>AND(#REF!,"LwYznxr63WI=")</f>
        <v>#REF!</v>
      </c>
      <c r="CV154" t="e">
        <f>AND(#REF!,"LwYznxr63WM=")</f>
        <v>#REF!</v>
      </c>
      <c r="CW154" t="e">
        <f>AND(#REF!,"LwYznxr63WQ=")</f>
        <v>#REF!</v>
      </c>
      <c r="CX154" t="e">
        <f>AND(#REF!,"LwYznxr63WU=")</f>
        <v>#REF!</v>
      </c>
      <c r="CY154" t="e">
        <f>AND(#REF!,"LwYznxr63WY=")</f>
        <v>#REF!</v>
      </c>
      <c r="CZ154" t="e">
        <f>AND(#REF!,"LwYznxr63Wc=")</f>
        <v>#REF!</v>
      </c>
      <c r="DA154" t="e">
        <f>AND(#REF!,"LwYznxr63Wg=")</f>
        <v>#REF!</v>
      </c>
      <c r="DB154" t="e">
        <f>IF(#REF!,"LwYznxr63Wk=",0)</f>
        <v>#REF!</v>
      </c>
      <c r="DC154" t="e">
        <f>AND(#REF!,"LwYznxr63Wo=")</f>
        <v>#REF!</v>
      </c>
      <c r="DD154" t="e">
        <f>AND(#REF!,"LwYznxr63Ws=")</f>
        <v>#REF!</v>
      </c>
      <c r="DE154" t="e">
        <f>AND(#REF!,"LwYznxr63Ww=")</f>
        <v>#REF!</v>
      </c>
      <c r="DF154" t="e">
        <f>AND(#REF!,"LwYznxr63W0=")</f>
        <v>#REF!</v>
      </c>
      <c r="DG154" t="e">
        <f>AND(#REF!,"LwYznxr63W4=")</f>
        <v>#REF!</v>
      </c>
      <c r="DH154" t="e">
        <f>AND(#REF!,"LwYznxr63W8=")</f>
        <v>#REF!</v>
      </c>
      <c r="DI154" t="e">
        <f>AND(#REF!,"LwYznxr63XA=")</f>
        <v>#REF!</v>
      </c>
      <c r="DJ154" t="e">
        <f>AND(#REF!,"LwYznxr63XE=")</f>
        <v>#REF!</v>
      </c>
      <c r="DK154" t="e">
        <f>AND(#REF!,"LwYznxr63XI=")</f>
        <v>#REF!</v>
      </c>
      <c r="DL154" t="e">
        <f>AND(#REF!,"LwYznxr63XM=")</f>
        <v>#REF!</v>
      </c>
      <c r="DM154" t="e">
        <f>AND(#REF!,"LwYznxr63XQ=")</f>
        <v>#REF!</v>
      </c>
      <c r="DN154" t="e">
        <f>AND(#REF!,"LwYznxr63XU=")</f>
        <v>#REF!</v>
      </c>
      <c r="DO154" t="e">
        <f>AND(#REF!,"LwYznxr63XY=")</f>
        <v>#REF!</v>
      </c>
      <c r="DP154" t="e">
        <f>AND(#REF!,"LwYznxr63Xc=")</f>
        <v>#REF!</v>
      </c>
      <c r="DQ154" t="e">
        <f>AND(#REF!,"LwYznxr63Xg=")</f>
        <v>#REF!</v>
      </c>
      <c r="DR154" t="e">
        <f>AND(#REF!,"LwYznxr63Xk=")</f>
        <v>#REF!</v>
      </c>
      <c r="DS154" t="e">
        <f>AND(#REF!,"LwYznxr63Xo=")</f>
        <v>#REF!</v>
      </c>
      <c r="DT154" t="e">
        <f>AND(#REF!,"LwYznxr63Xs=")</f>
        <v>#REF!</v>
      </c>
      <c r="DU154" t="e">
        <f>AND(#REF!,"LwYznxr63Xw=")</f>
        <v>#REF!</v>
      </c>
      <c r="DV154" t="e">
        <f>IF(#REF!,"LwYznxr63X0=",0)</f>
        <v>#REF!</v>
      </c>
      <c r="DW154" t="e">
        <f>AND(#REF!,"LwYznxr63X4=")</f>
        <v>#REF!</v>
      </c>
      <c r="DX154" t="e">
        <f>AND(#REF!,"LwYznxr63X8=")</f>
        <v>#REF!</v>
      </c>
      <c r="DY154" t="e">
        <f>AND(#REF!,"LwYznxr63YA=")</f>
        <v>#REF!</v>
      </c>
      <c r="DZ154" t="e">
        <f>AND(#REF!,"LwYznxr63YE=")</f>
        <v>#REF!</v>
      </c>
      <c r="EA154" t="e">
        <f>AND(#REF!,"LwYznxr63YI=")</f>
        <v>#REF!</v>
      </c>
      <c r="EB154" t="e">
        <f>AND(#REF!,"LwYznxr63YM=")</f>
        <v>#REF!</v>
      </c>
      <c r="EC154" t="e">
        <f>AND(#REF!,"LwYznxr63YQ=")</f>
        <v>#REF!</v>
      </c>
      <c r="ED154" t="e">
        <f>AND(#REF!,"LwYznxr63YU=")</f>
        <v>#REF!</v>
      </c>
      <c r="EE154" t="e">
        <f>AND(#REF!,"LwYznxr63YY=")</f>
        <v>#REF!</v>
      </c>
      <c r="EF154" t="e">
        <f>AND(#REF!,"LwYznxr63Yc=")</f>
        <v>#REF!</v>
      </c>
      <c r="EG154" t="e">
        <f>AND(#REF!,"LwYznxr63Yg=")</f>
        <v>#REF!</v>
      </c>
      <c r="EH154" t="e">
        <f>AND(#REF!,"LwYznxr63Yk=")</f>
        <v>#REF!</v>
      </c>
      <c r="EI154" t="e">
        <f>AND(#REF!,"LwYznxr63Yo=")</f>
        <v>#REF!</v>
      </c>
      <c r="EJ154" t="e">
        <f>AND(#REF!,"LwYznxr63Ys=")</f>
        <v>#REF!</v>
      </c>
      <c r="EK154" t="e">
        <f>AND(#REF!,"LwYznxr63Yw=")</f>
        <v>#REF!</v>
      </c>
      <c r="EL154" t="e">
        <f>AND(#REF!,"LwYznxr63Y0=")</f>
        <v>#REF!</v>
      </c>
      <c r="EM154" t="e">
        <f>AND(#REF!,"LwYznxr63Y4=")</f>
        <v>#REF!</v>
      </c>
      <c r="EN154" t="e">
        <f>AND(#REF!,"LwYznxr63Y8=")</f>
        <v>#REF!</v>
      </c>
      <c r="EO154" t="e">
        <f>AND(#REF!,"LwYznxr63ZA=")</f>
        <v>#REF!</v>
      </c>
      <c r="EP154" t="e">
        <f>IF(#REF!,"LwYznxr63ZE=",0)</f>
        <v>#REF!</v>
      </c>
      <c r="EQ154" t="e">
        <f>AND(#REF!,"LwYznxr63ZI=")</f>
        <v>#REF!</v>
      </c>
      <c r="ER154" t="e">
        <f>AND(#REF!,"LwYznxr63ZM=")</f>
        <v>#REF!</v>
      </c>
      <c r="ES154" t="e">
        <f>AND(#REF!,"LwYznxr63ZQ=")</f>
        <v>#REF!</v>
      </c>
      <c r="ET154" t="e">
        <f>AND(#REF!,"LwYznxr63ZU=")</f>
        <v>#REF!</v>
      </c>
      <c r="EU154" t="e">
        <f>AND(#REF!,"LwYznxr63ZY=")</f>
        <v>#REF!</v>
      </c>
      <c r="EV154" t="e">
        <f>AND(#REF!,"LwYznxr63Zc=")</f>
        <v>#REF!</v>
      </c>
      <c r="EW154" t="e">
        <f>AND(#REF!,"LwYznxr63Zg=")</f>
        <v>#REF!</v>
      </c>
      <c r="EX154" t="e">
        <f>AND(#REF!,"LwYznxr63Zk=")</f>
        <v>#REF!</v>
      </c>
      <c r="EY154" t="e">
        <f>AND(#REF!,"LwYznxr63Zo=")</f>
        <v>#REF!</v>
      </c>
      <c r="EZ154" t="e">
        <f>AND(#REF!,"LwYznxr63Zs=")</f>
        <v>#REF!</v>
      </c>
      <c r="FA154" t="e">
        <f>AND(#REF!,"LwYznxr63Zw=")</f>
        <v>#REF!</v>
      </c>
      <c r="FB154" t="e">
        <f>AND(#REF!,"LwYznxr63Z0=")</f>
        <v>#REF!</v>
      </c>
      <c r="FC154" t="e">
        <f>AND(#REF!,"LwYznxr63Z4=")</f>
        <v>#REF!</v>
      </c>
      <c r="FD154" t="e">
        <f>AND(#REF!,"LwYznxr63Z8=")</f>
        <v>#REF!</v>
      </c>
      <c r="FE154" t="e">
        <f>AND(#REF!,"LwYznxr63aA=")</f>
        <v>#REF!</v>
      </c>
      <c r="FF154" t="e">
        <f>AND(#REF!,"LwYznxr63aE=")</f>
        <v>#REF!</v>
      </c>
      <c r="FG154" t="e">
        <f>AND(#REF!,"LwYznxr63aI=")</f>
        <v>#REF!</v>
      </c>
      <c r="FH154" t="e">
        <f>AND(#REF!,"LwYznxr63aM=")</f>
        <v>#REF!</v>
      </c>
      <c r="FI154" t="e">
        <f>AND(#REF!,"LwYznxr63aQ=")</f>
        <v>#REF!</v>
      </c>
      <c r="FJ154" t="e">
        <f>IF(#REF!,"LwYznxr63aU=",0)</f>
        <v>#REF!</v>
      </c>
      <c r="FK154" t="e">
        <f>AND(#REF!,"LwYznxr63aY=")</f>
        <v>#REF!</v>
      </c>
      <c r="FL154" t="e">
        <f>AND(#REF!,"LwYznxr63ac=")</f>
        <v>#REF!</v>
      </c>
      <c r="FM154" t="e">
        <f>AND(#REF!,"LwYznxr63ag=")</f>
        <v>#REF!</v>
      </c>
      <c r="FN154" t="e">
        <f>AND(#REF!,"LwYznxr63ak=")</f>
        <v>#REF!</v>
      </c>
      <c r="FO154" t="e">
        <f>AND(#REF!,"LwYznxr63ao=")</f>
        <v>#REF!</v>
      </c>
      <c r="FP154" t="e">
        <f>AND(#REF!,"LwYznxr63as=")</f>
        <v>#REF!</v>
      </c>
      <c r="FQ154" t="e">
        <f>AND(#REF!,"LwYznxr63aw=")</f>
        <v>#REF!</v>
      </c>
      <c r="FR154" t="e">
        <f>AND(#REF!,"LwYznxr63a0=")</f>
        <v>#REF!</v>
      </c>
      <c r="FS154" t="e">
        <f>AND(#REF!,"LwYznxr63a4=")</f>
        <v>#REF!</v>
      </c>
      <c r="FT154" t="e">
        <f>AND(#REF!,"LwYznxr63a8=")</f>
        <v>#REF!</v>
      </c>
      <c r="FU154" t="e">
        <f>AND(#REF!,"LwYznxr63bA=")</f>
        <v>#REF!</v>
      </c>
      <c r="FV154" t="e">
        <f>AND(#REF!,"LwYznxr63bE=")</f>
        <v>#REF!</v>
      </c>
      <c r="FW154" t="e">
        <f>AND(#REF!,"LwYznxr63bI=")</f>
        <v>#REF!</v>
      </c>
      <c r="FX154" t="e">
        <f>AND(#REF!,"LwYznxr63bM=")</f>
        <v>#REF!</v>
      </c>
      <c r="FY154" t="e">
        <f>AND(#REF!,"LwYznxr63bQ=")</f>
        <v>#REF!</v>
      </c>
      <c r="FZ154" t="e">
        <f>AND(#REF!,"LwYznxr63bU=")</f>
        <v>#REF!</v>
      </c>
      <c r="GA154" t="e">
        <f>AND(#REF!,"LwYznxr63bY=")</f>
        <v>#REF!</v>
      </c>
      <c r="GB154" t="e">
        <f>AND(#REF!,"LwYznxr63bc=")</f>
        <v>#REF!</v>
      </c>
      <c r="GC154" t="e">
        <f>AND(#REF!,"LwYznxr63bg=")</f>
        <v>#REF!</v>
      </c>
      <c r="GD154" t="e">
        <f>IF(#REF!,"LwYznxr63bk=",0)</f>
        <v>#REF!</v>
      </c>
      <c r="GE154" t="e">
        <f>AND(#REF!,"LwYznxr63bo=")</f>
        <v>#REF!</v>
      </c>
      <c r="GF154" t="e">
        <f>AND(#REF!,"LwYznxr63bs=")</f>
        <v>#REF!</v>
      </c>
      <c r="GG154" t="e">
        <f>AND(#REF!,"LwYznxr63bw=")</f>
        <v>#REF!</v>
      </c>
      <c r="GH154" t="e">
        <f>AND(#REF!,"LwYznxr63b0=")</f>
        <v>#REF!</v>
      </c>
      <c r="GI154" t="e">
        <f>AND(#REF!,"LwYznxr63b4=")</f>
        <v>#REF!</v>
      </c>
      <c r="GJ154" t="e">
        <f>AND(#REF!,"LwYznxr63b8=")</f>
        <v>#REF!</v>
      </c>
      <c r="GK154" t="e">
        <f>AND(#REF!,"LwYznxr63cA=")</f>
        <v>#REF!</v>
      </c>
      <c r="GL154" t="e">
        <f>AND(#REF!,"LwYznxr63cE=")</f>
        <v>#REF!</v>
      </c>
      <c r="GM154" t="e">
        <f>AND(#REF!,"LwYznxr63cI=")</f>
        <v>#REF!</v>
      </c>
      <c r="GN154" t="e">
        <f>AND(#REF!,"LwYznxr63cM=")</f>
        <v>#REF!</v>
      </c>
      <c r="GO154" t="e">
        <f>AND(#REF!,"LwYznxr63cQ=")</f>
        <v>#REF!</v>
      </c>
      <c r="GP154" t="e">
        <f>AND(#REF!,"LwYznxr63cU=")</f>
        <v>#REF!</v>
      </c>
      <c r="GQ154" t="e">
        <f>AND(#REF!,"LwYznxr63cY=")</f>
        <v>#REF!</v>
      </c>
      <c r="GR154" t="e">
        <f>AND(#REF!,"LwYznxr63cc=")</f>
        <v>#REF!</v>
      </c>
      <c r="GS154" t="e">
        <f>AND(#REF!,"LwYznxr63cg=")</f>
        <v>#REF!</v>
      </c>
      <c r="GT154" t="e">
        <f>AND(#REF!,"LwYznxr63ck=")</f>
        <v>#REF!</v>
      </c>
      <c r="GU154" t="e">
        <f>AND(#REF!,"LwYznxr63co=")</f>
        <v>#REF!</v>
      </c>
      <c r="GV154" t="e">
        <f>AND(#REF!,"LwYznxr63cs=")</f>
        <v>#REF!</v>
      </c>
      <c r="GW154" t="e">
        <f>AND(#REF!,"LwYznxr63cw=")</f>
        <v>#REF!</v>
      </c>
      <c r="GX154" t="e">
        <f>IF(#REF!,"LwYznxr63c0=",0)</f>
        <v>#REF!</v>
      </c>
      <c r="GY154" t="e">
        <f>AND(#REF!,"LwYznxr63c4=")</f>
        <v>#REF!</v>
      </c>
      <c r="GZ154" t="e">
        <f>AND(#REF!,"LwYznxr63c8=")</f>
        <v>#REF!</v>
      </c>
      <c r="HA154" t="e">
        <f>AND(#REF!,"LwYznxr63dA=")</f>
        <v>#REF!</v>
      </c>
      <c r="HB154" t="e">
        <f>AND(#REF!,"LwYznxr63dE=")</f>
        <v>#REF!</v>
      </c>
      <c r="HC154" t="e">
        <f>AND(#REF!,"LwYznxr63dI=")</f>
        <v>#REF!</v>
      </c>
      <c r="HD154" t="e">
        <f>AND(#REF!,"LwYznxr63dM=")</f>
        <v>#REF!</v>
      </c>
      <c r="HE154" t="e">
        <f>AND(#REF!,"LwYznxr63dQ=")</f>
        <v>#REF!</v>
      </c>
      <c r="HF154" t="e">
        <f>AND(#REF!,"LwYznxr63dU=")</f>
        <v>#REF!</v>
      </c>
      <c r="HG154" t="e">
        <f>AND(#REF!,"LwYznxr63dY=")</f>
        <v>#REF!</v>
      </c>
      <c r="HH154" t="e">
        <f>AND(#REF!,"LwYznxr63dc=")</f>
        <v>#REF!</v>
      </c>
      <c r="HI154" t="e">
        <f>AND(#REF!,"LwYznxr63dg=")</f>
        <v>#REF!</v>
      </c>
      <c r="HJ154" t="e">
        <f>AND(#REF!,"LwYznxr63dk=")</f>
        <v>#REF!</v>
      </c>
      <c r="HK154" t="e">
        <f>AND(#REF!,"LwYznxr63do=")</f>
        <v>#REF!</v>
      </c>
      <c r="HL154" t="e">
        <f>AND(#REF!,"LwYznxr63ds=")</f>
        <v>#REF!</v>
      </c>
      <c r="HM154" t="e">
        <f>AND(#REF!,"LwYznxr63dw=")</f>
        <v>#REF!</v>
      </c>
      <c r="HN154" t="e">
        <f>AND(#REF!,"LwYznxr63d0=")</f>
        <v>#REF!</v>
      </c>
      <c r="HO154" t="e">
        <f>AND(#REF!,"LwYznxr63d4=")</f>
        <v>#REF!</v>
      </c>
      <c r="HP154" t="e">
        <f>AND(#REF!,"LwYznxr63d8=")</f>
        <v>#REF!</v>
      </c>
      <c r="HQ154" t="e">
        <f>AND(#REF!,"LwYznxr63eA=")</f>
        <v>#REF!</v>
      </c>
      <c r="HR154" t="e">
        <f>IF(#REF!,"LwYznxr63eE=",0)</f>
        <v>#REF!</v>
      </c>
      <c r="HS154" t="e">
        <f>AND(#REF!,"LwYznxr63eI=")</f>
        <v>#REF!</v>
      </c>
      <c r="HT154" t="e">
        <f>AND(#REF!,"LwYznxr63eM=")</f>
        <v>#REF!</v>
      </c>
      <c r="HU154" t="e">
        <f>AND(#REF!,"LwYznxr63eQ=")</f>
        <v>#REF!</v>
      </c>
      <c r="HV154" t="e">
        <f>AND(#REF!,"LwYznxr63eU=")</f>
        <v>#REF!</v>
      </c>
      <c r="HW154" t="e">
        <f>AND(#REF!,"LwYznxr63eY=")</f>
        <v>#REF!</v>
      </c>
      <c r="HX154" t="e">
        <f>AND(#REF!,"LwYznxr63ec=")</f>
        <v>#REF!</v>
      </c>
      <c r="HY154" t="e">
        <f>AND(#REF!,"LwYznxr63eg=")</f>
        <v>#REF!</v>
      </c>
      <c r="HZ154" t="e">
        <f>AND(#REF!,"LwYznxr63ek=")</f>
        <v>#REF!</v>
      </c>
      <c r="IA154" t="e">
        <f>AND(#REF!,"LwYznxr63eo=")</f>
        <v>#REF!</v>
      </c>
      <c r="IB154" t="e">
        <f>AND(#REF!,"LwYznxr63es=")</f>
        <v>#REF!</v>
      </c>
      <c r="IC154" t="e">
        <f>AND(#REF!,"LwYznxr63ew=")</f>
        <v>#REF!</v>
      </c>
      <c r="ID154" t="e">
        <f>AND(#REF!,"LwYznxr63e0=")</f>
        <v>#REF!</v>
      </c>
      <c r="IE154" t="e">
        <f>AND(#REF!,"LwYznxr63e4=")</f>
        <v>#REF!</v>
      </c>
      <c r="IF154" t="e">
        <f>AND(#REF!,"LwYznxr63e8=")</f>
        <v>#REF!</v>
      </c>
      <c r="IG154" t="e">
        <f>AND(#REF!,"LwYznxr63fA=")</f>
        <v>#REF!</v>
      </c>
      <c r="IH154" t="e">
        <f>AND(#REF!,"LwYznxr63fE=")</f>
        <v>#REF!</v>
      </c>
      <c r="II154" t="e">
        <f>AND(#REF!,"LwYznxr63fI=")</f>
        <v>#REF!</v>
      </c>
      <c r="IJ154" t="e">
        <f>AND(#REF!,"LwYznxr63fM=")</f>
        <v>#REF!</v>
      </c>
      <c r="IK154" t="e">
        <f>AND(#REF!,"LwYznxr63fQ=")</f>
        <v>#REF!</v>
      </c>
      <c r="IL154" t="e">
        <f>IF(#REF!,"LwYznxr63fU=",0)</f>
        <v>#REF!</v>
      </c>
      <c r="IM154" t="e">
        <f>AND(#REF!,"LwYznxr63fY=")</f>
        <v>#REF!</v>
      </c>
      <c r="IN154" t="e">
        <f>AND(#REF!,"LwYznxr63fc=")</f>
        <v>#REF!</v>
      </c>
      <c r="IO154" t="e">
        <f>AND(#REF!,"LwYznxr63fg=")</f>
        <v>#REF!</v>
      </c>
      <c r="IP154" t="e">
        <f>AND(#REF!,"LwYznxr63fk=")</f>
        <v>#REF!</v>
      </c>
      <c r="IQ154" t="e">
        <f>AND(#REF!,"LwYznxr63fo=")</f>
        <v>#REF!</v>
      </c>
      <c r="IR154" t="e">
        <f>AND(#REF!,"LwYznxr63fs=")</f>
        <v>#REF!</v>
      </c>
      <c r="IS154" t="e">
        <f>AND(#REF!,"LwYznxr63fw=")</f>
        <v>#REF!</v>
      </c>
      <c r="IT154" t="e">
        <f>AND(#REF!,"LwYznxr63f0=")</f>
        <v>#REF!</v>
      </c>
      <c r="IU154" t="e">
        <f>AND(#REF!,"LwYznxr63f4=")</f>
        <v>#REF!</v>
      </c>
      <c r="IV154" t="e">
        <f>AND(#REF!,"LwYznxr63f8=")</f>
        <v>#REF!</v>
      </c>
    </row>
    <row r="155" spans="1:256" x14ac:dyDescent="0.2">
      <c r="A155" t="e">
        <f>AND(#REF!,"C6xIWXmGRAA=")</f>
        <v>#REF!</v>
      </c>
      <c r="B155" t="e">
        <f>AND(#REF!,"C6xIWXmGRAE=")</f>
        <v>#REF!</v>
      </c>
      <c r="C155" t="e">
        <f>AND(#REF!,"C6xIWXmGRAI=")</f>
        <v>#REF!</v>
      </c>
      <c r="D155" t="e">
        <f>AND(#REF!,"C6xIWXmGRAM=")</f>
        <v>#REF!</v>
      </c>
      <c r="E155" t="e">
        <f>AND(#REF!,"C6xIWXmGRAQ=")</f>
        <v>#REF!</v>
      </c>
      <c r="F155" t="e">
        <f>AND(#REF!,"C6xIWXmGRAU=")</f>
        <v>#REF!</v>
      </c>
      <c r="G155" t="e">
        <f>AND(#REF!,"C6xIWXmGRAY=")</f>
        <v>#REF!</v>
      </c>
      <c r="H155" t="e">
        <f>AND(#REF!,"C6xIWXmGRAc=")</f>
        <v>#REF!</v>
      </c>
      <c r="I155" t="e">
        <f>AND(#REF!,"C6xIWXmGRAg=")</f>
        <v>#REF!</v>
      </c>
      <c r="J155" t="e">
        <f>IF(#REF!,"C6xIWXmGRAk=",0)</f>
        <v>#REF!</v>
      </c>
      <c r="K155" t="e">
        <f>AND(#REF!,"C6xIWXmGRAo=")</f>
        <v>#REF!</v>
      </c>
      <c r="L155" t="e">
        <f>AND(#REF!,"C6xIWXmGRAs=")</f>
        <v>#REF!</v>
      </c>
      <c r="M155" t="e">
        <f>AND(#REF!,"C6xIWXmGRAw=")</f>
        <v>#REF!</v>
      </c>
      <c r="N155" t="e">
        <f>AND(#REF!,"C6xIWXmGRA0=")</f>
        <v>#REF!</v>
      </c>
      <c r="O155" t="e">
        <f>AND(#REF!,"C6xIWXmGRA4=")</f>
        <v>#REF!</v>
      </c>
      <c r="P155" t="e">
        <f>AND(#REF!,"C6xIWXmGRA8=")</f>
        <v>#REF!</v>
      </c>
      <c r="Q155" t="e">
        <f>AND(#REF!,"C6xIWXmGRBA=")</f>
        <v>#REF!</v>
      </c>
      <c r="R155" t="e">
        <f>AND(#REF!,"C6xIWXmGRBE=")</f>
        <v>#REF!</v>
      </c>
      <c r="S155" t="e">
        <f>AND(#REF!,"C6xIWXmGRBI=")</f>
        <v>#REF!</v>
      </c>
      <c r="T155" t="e">
        <f>AND(#REF!,"C6xIWXmGRBM=")</f>
        <v>#REF!</v>
      </c>
      <c r="U155" t="e">
        <f>AND(#REF!,"C6xIWXmGRBQ=")</f>
        <v>#REF!</v>
      </c>
      <c r="V155" t="e">
        <f>AND(#REF!,"C6xIWXmGRBU=")</f>
        <v>#REF!</v>
      </c>
      <c r="W155" t="e">
        <f>AND(#REF!,"C6xIWXmGRBY=")</f>
        <v>#REF!</v>
      </c>
      <c r="X155" t="e">
        <f>AND(#REF!,"C6xIWXmGRBc=")</f>
        <v>#REF!</v>
      </c>
      <c r="Y155" t="e">
        <f>AND(#REF!,"C6xIWXmGRBg=")</f>
        <v>#REF!</v>
      </c>
      <c r="Z155" t="e">
        <f>AND(#REF!,"C6xIWXmGRBk=")</f>
        <v>#REF!</v>
      </c>
      <c r="AA155" t="e">
        <f>AND(#REF!,"C6xIWXmGRBo=")</f>
        <v>#REF!</v>
      </c>
      <c r="AB155" t="e">
        <f>AND(#REF!,"C6xIWXmGRBs=")</f>
        <v>#REF!</v>
      </c>
      <c r="AC155" t="e">
        <f>AND(#REF!,"C6xIWXmGRBw=")</f>
        <v>#REF!</v>
      </c>
      <c r="AD155" t="e">
        <f>IF(#REF!,"C6xIWXmGRB0=",0)</f>
        <v>#REF!</v>
      </c>
      <c r="AE155" t="e">
        <f>AND(#REF!,"C6xIWXmGRB4=")</f>
        <v>#REF!</v>
      </c>
      <c r="AF155" t="e">
        <f>AND(#REF!,"C6xIWXmGRB8=")</f>
        <v>#REF!</v>
      </c>
      <c r="AG155" t="e">
        <f>AND(#REF!,"C6xIWXmGRCA=")</f>
        <v>#REF!</v>
      </c>
      <c r="AH155" t="e">
        <f>AND(#REF!,"C6xIWXmGRCE=")</f>
        <v>#REF!</v>
      </c>
      <c r="AI155" t="e">
        <f>AND(#REF!,"C6xIWXmGRCI=")</f>
        <v>#REF!</v>
      </c>
      <c r="AJ155" t="e">
        <f>AND(#REF!,"C6xIWXmGRCM=")</f>
        <v>#REF!</v>
      </c>
      <c r="AK155" t="e">
        <f>AND(#REF!,"C6xIWXmGRCQ=")</f>
        <v>#REF!</v>
      </c>
      <c r="AL155" t="e">
        <f>AND(#REF!,"C6xIWXmGRCU=")</f>
        <v>#REF!</v>
      </c>
      <c r="AM155" t="e">
        <f>AND(#REF!,"C6xIWXmGRCY=")</f>
        <v>#REF!</v>
      </c>
      <c r="AN155" t="e">
        <f>AND(#REF!,"C6xIWXmGRCc=")</f>
        <v>#REF!</v>
      </c>
      <c r="AO155" t="e">
        <f>AND(#REF!,"C6xIWXmGRCg=")</f>
        <v>#REF!</v>
      </c>
      <c r="AP155" t="e">
        <f>AND(#REF!,"C6xIWXmGRCk=")</f>
        <v>#REF!</v>
      </c>
      <c r="AQ155" t="e">
        <f>AND(#REF!,"C6xIWXmGRCo=")</f>
        <v>#REF!</v>
      </c>
      <c r="AR155" t="e">
        <f>AND(#REF!,"C6xIWXmGRCs=")</f>
        <v>#REF!</v>
      </c>
      <c r="AS155" t="e">
        <f>AND(#REF!,"C6xIWXmGRCw=")</f>
        <v>#REF!</v>
      </c>
      <c r="AT155" t="e">
        <f>AND(#REF!,"C6xIWXmGRC0=")</f>
        <v>#REF!</v>
      </c>
      <c r="AU155" t="e">
        <f>AND(#REF!,"C6xIWXmGRC4=")</f>
        <v>#REF!</v>
      </c>
      <c r="AV155" t="e">
        <f>AND(#REF!,"C6xIWXmGRC8=")</f>
        <v>#REF!</v>
      </c>
      <c r="AW155" t="e">
        <f>AND(#REF!,"C6xIWXmGRDA=")</f>
        <v>#REF!</v>
      </c>
      <c r="AX155" t="e">
        <f>IF(#REF!,"C6xIWXmGRDE=",0)</f>
        <v>#REF!</v>
      </c>
      <c r="AY155" t="e">
        <f>AND(#REF!,"C6xIWXmGRDI=")</f>
        <v>#REF!</v>
      </c>
      <c r="AZ155" t="e">
        <f>AND(#REF!,"C6xIWXmGRDM=")</f>
        <v>#REF!</v>
      </c>
      <c r="BA155" t="e">
        <f>AND(#REF!,"C6xIWXmGRDQ=")</f>
        <v>#REF!</v>
      </c>
      <c r="BB155" t="e">
        <f>AND(#REF!,"C6xIWXmGRDU=")</f>
        <v>#REF!</v>
      </c>
      <c r="BC155" t="e">
        <f>AND(#REF!,"C6xIWXmGRDY=")</f>
        <v>#REF!</v>
      </c>
      <c r="BD155" t="e">
        <f>AND(#REF!,"C6xIWXmGRDc=")</f>
        <v>#REF!</v>
      </c>
      <c r="BE155" t="e">
        <f>AND(#REF!,"C6xIWXmGRDg=")</f>
        <v>#REF!</v>
      </c>
      <c r="BF155" t="e">
        <f>AND(#REF!,"C6xIWXmGRDk=")</f>
        <v>#REF!</v>
      </c>
      <c r="BG155" t="e">
        <f>AND(#REF!,"C6xIWXmGRDo=")</f>
        <v>#REF!</v>
      </c>
      <c r="BH155" t="e">
        <f>AND(#REF!,"C6xIWXmGRDs=")</f>
        <v>#REF!</v>
      </c>
      <c r="BI155" t="e">
        <f>AND(#REF!,"C6xIWXmGRDw=")</f>
        <v>#REF!</v>
      </c>
      <c r="BJ155" t="e">
        <f>AND(#REF!,"C6xIWXmGRD0=")</f>
        <v>#REF!</v>
      </c>
      <c r="BK155" t="e">
        <f>AND(#REF!,"C6xIWXmGRD4=")</f>
        <v>#REF!</v>
      </c>
      <c r="BL155" t="e">
        <f>AND(#REF!,"C6xIWXmGRD8=")</f>
        <v>#REF!</v>
      </c>
      <c r="BM155" t="e">
        <f>AND(#REF!,"C6xIWXmGREA=")</f>
        <v>#REF!</v>
      </c>
      <c r="BN155" t="e">
        <f>AND(#REF!,"C6xIWXmGREE=")</f>
        <v>#REF!</v>
      </c>
      <c r="BO155" t="e">
        <f>AND(#REF!,"C6xIWXmGREI=")</f>
        <v>#REF!</v>
      </c>
      <c r="BP155" t="e">
        <f>AND(#REF!,"C6xIWXmGREM=")</f>
        <v>#REF!</v>
      </c>
      <c r="BQ155" t="e">
        <f>AND(#REF!,"C6xIWXmGREQ=")</f>
        <v>#REF!</v>
      </c>
      <c r="BR155" t="e">
        <f>IF(#REF!,"C6xIWXmGREU=",0)</f>
        <v>#REF!</v>
      </c>
      <c r="BS155" t="e">
        <f>AND(#REF!,"C6xIWXmGREY=")</f>
        <v>#REF!</v>
      </c>
      <c r="BT155" t="e">
        <f>AND(#REF!,"C6xIWXmGREc=")</f>
        <v>#REF!</v>
      </c>
      <c r="BU155" t="e">
        <f>AND(#REF!,"C6xIWXmGREg=")</f>
        <v>#REF!</v>
      </c>
      <c r="BV155" t="e">
        <f>AND(#REF!,"C6xIWXmGREk=")</f>
        <v>#REF!</v>
      </c>
      <c r="BW155" t="e">
        <f>AND(#REF!,"C6xIWXmGREo=")</f>
        <v>#REF!</v>
      </c>
      <c r="BX155" t="e">
        <f>AND(#REF!,"C6xIWXmGREs=")</f>
        <v>#REF!</v>
      </c>
      <c r="BY155" t="e">
        <f>AND(#REF!,"C6xIWXmGREw=")</f>
        <v>#REF!</v>
      </c>
      <c r="BZ155" t="e">
        <f>AND(#REF!,"C6xIWXmGRE0=")</f>
        <v>#REF!</v>
      </c>
      <c r="CA155" t="e">
        <f>AND(#REF!,"C6xIWXmGRE4=")</f>
        <v>#REF!</v>
      </c>
      <c r="CB155" t="e">
        <f>AND(#REF!,"C6xIWXmGRE8=")</f>
        <v>#REF!</v>
      </c>
      <c r="CC155" t="e">
        <f>AND(#REF!,"C6xIWXmGRFA=")</f>
        <v>#REF!</v>
      </c>
      <c r="CD155" t="e">
        <f>AND(#REF!,"C6xIWXmGRFE=")</f>
        <v>#REF!</v>
      </c>
      <c r="CE155" t="e">
        <f>AND(#REF!,"C6xIWXmGRFI=")</f>
        <v>#REF!</v>
      </c>
      <c r="CF155" t="e">
        <f>AND(#REF!,"C6xIWXmGRFM=")</f>
        <v>#REF!</v>
      </c>
      <c r="CG155" t="e">
        <f>AND(#REF!,"C6xIWXmGRFQ=")</f>
        <v>#REF!</v>
      </c>
      <c r="CH155" t="e">
        <f>AND(#REF!,"C6xIWXmGRFU=")</f>
        <v>#REF!</v>
      </c>
      <c r="CI155" t="e">
        <f>AND(#REF!,"C6xIWXmGRFY=")</f>
        <v>#REF!</v>
      </c>
      <c r="CJ155" t="e">
        <f>AND(#REF!,"C6xIWXmGRFc=")</f>
        <v>#REF!</v>
      </c>
      <c r="CK155" t="e">
        <f>AND(#REF!,"C6xIWXmGRFg=")</f>
        <v>#REF!</v>
      </c>
      <c r="CL155" t="e">
        <f>IF(#REF!,"C6xIWXmGRFk=",0)</f>
        <v>#REF!</v>
      </c>
      <c r="CM155" t="e">
        <f>AND(#REF!,"C6xIWXmGRFo=")</f>
        <v>#REF!</v>
      </c>
      <c r="CN155" t="e">
        <f>AND(#REF!,"C6xIWXmGRFs=")</f>
        <v>#REF!</v>
      </c>
      <c r="CO155" t="e">
        <f>AND(#REF!,"C6xIWXmGRFw=")</f>
        <v>#REF!</v>
      </c>
      <c r="CP155" t="e">
        <f>AND(#REF!,"C6xIWXmGRF0=")</f>
        <v>#REF!</v>
      </c>
      <c r="CQ155" t="e">
        <f>AND(#REF!,"C6xIWXmGRF4=")</f>
        <v>#REF!</v>
      </c>
      <c r="CR155" t="e">
        <f>AND(#REF!,"C6xIWXmGRF8=")</f>
        <v>#REF!</v>
      </c>
      <c r="CS155" t="e">
        <f>AND(#REF!,"C6xIWXmGRGA=")</f>
        <v>#REF!</v>
      </c>
      <c r="CT155" t="e">
        <f>AND(#REF!,"C6xIWXmGRGE=")</f>
        <v>#REF!</v>
      </c>
      <c r="CU155" t="e">
        <f>AND(#REF!,"C6xIWXmGRGI=")</f>
        <v>#REF!</v>
      </c>
      <c r="CV155" t="e">
        <f>AND(#REF!,"C6xIWXmGRGM=")</f>
        <v>#REF!</v>
      </c>
      <c r="CW155" t="e">
        <f>AND(#REF!,"C6xIWXmGRGQ=")</f>
        <v>#REF!</v>
      </c>
      <c r="CX155" t="e">
        <f>AND(#REF!,"C6xIWXmGRGU=")</f>
        <v>#REF!</v>
      </c>
      <c r="CY155" t="e">
        <f>AND(#REF!,"C6xIWXmGRGY=")</f>
        <v>#REF!</v>
      </c>
      <c r="CZ155" t="e">
        <f>AND(#REF!,"C6xIWXmGRGc=")</f>
        <v>#REF!</v>
      </c>
      <c r="DA155" t="e">
        <f>AND(#REF!,"C6xIWXmGRGg=")</f>
        <v>#REF!</v>
      </c>
      <c r="DB155" t="e">
        <f>AND(#REF!,"C6xIWXmGRGk=")</f>
        <v>#REF!</v>
      </c>
      <c r="DC155" t="e">
        <f>AND(#REF!,"C6xIWXmGRGo=")</f>
        <v>#REF!</v>
      </c>
      <c r="DD155" t="e">
        <f>AND(#REF!,"C6xIWXmGRGs=")</f>
        <v>#REF!</v>
      </c>
      <c r="DE155" t="e">
        <f>AND(#REF!,"C6xIWXmGRGw=")</f>
        <v>#REF!</v>
      </c>
      <c r="DF155" t="e">
        <f>IF(#REF!,"C6xIWXmGRG0=",0)</f>
        <v>#REF!</v>
      </c>
      <c r="DG155" t="e">
        <f>AND(#REF!,"C6xIWXmGRG4=")</f>
        <v>#REF!</v>
      </c>
      <c r="DH155" t="e">
        <f>AND(#REF!,"C6xIWXmGRG8=")</f>
        <v>#REF!</v>
      </c>
      <c r="DI155" t="e">
        <f>AND(#REF!,"C6xIWXmGRHA=")</f>
        <v>#REF!</v>
      </c>
      <c r="DJ155" t="e">
        <f>AND(#REF!,"C6xIWXmGRHE=")</f>
        <v>#REF!</v>
      </c>
      <c r="DK155" t="e">
        <f>AND(#REF!,"C6xIWXmGRHI=")</f>
        <v>#REF!</v>
      </c>
      <c r="DL155" t="e">
        <f>AND(#REF!,"C6xIWXmGRHM=")</f>
        <v>#REF!</v>
      </c>
      <c r="DM155" t="e">
        <f>AND(#REF!,"C6xIWXmGRHQ=")</f>
        <v>#REF!</v>
      </c>
      <c r="DN155" t="e">
        <f>AND(#REF!,"C6xIWXmGRHU=")</f>
        <v>#REF!</v>
      </c>
      <c r="DO155" t="e">
        <f>AND(#REF!,"C6xIWXmGRHY=")</f>
        <v>#REF!</v>
      </c>
      <c r="DP155" t="e">
        <f>AND(#REF!,"C6xIWXmGRHc=")</f>
        <v>#REF!</v>
      </c>
      <c r="DQ155" t="e">
        <f>AND(#REF!,"C6xIWXmGRHg=")</f>
        <v>#REF!</v>
      </c>
      <c r="DR155" t="e">
        <f>AND(#REF!,"C6xIWXmGRHk=")</f>
        <v>#REF!</v>
      </c>
      <c r="DS155" t="e">
        <f>AND(#REF!,"C6xIWXmGRHo=")</f>
        <v>#REF!</v>
      </c>
      <c r="DT155" t="e">
        <f>AND(#REF!,"C6xIWXmGRHs=")</f>
        <v>#REF!</v>
      </c>
      <c r="DU155" t="e">
        <f>AND(#REF!,"C6xIWXmGRHw=")</f>
        <v>#REF!</v>
      </c>
      <c r="DV155" t="e">
        <f>AND(#REF!,"C6xIWXmGRH0=")</f>
        <v>#REF!</v>
      </c>
      <c r="DW155" t="e">
        <f>AND(#REF!,"C6xIWXmGRH4=")</f>
        <v>#REF!</v>
      </c>
      <c r="DX155" t="e">
        <f>AND(#REF!,"C6xIWXmGRH8=")</f>
        <v>#REF!</v>
      </c>
      <c r="DY155" t="e">
        <f>AND(#REF!,"C6xIWXmGRIA=")</f>
        <v>#REF!</v>
      </c>
      <c r="DZ155" t="e">
        <f>IF(#REF!,"C6xIWXmGRIE=",0)</f>
        <v>#REF!</v>
      </c>
      <c r="EA155" t="e">
        <f>AND(#REF!,"C6xIWXmGRII=")</f>
        <v>#REF!</v>
      </c>
      <c r="EB155" t="e">
        <f>AND(#REF!,"C6xIWXmGRIM=")</f>
        <v>#REF!</v>
      </c>
      <c r="EC155" t="e">
        <f>AND(#REF!,"C6xIWXmGRIQ=")</f>
        <v>#REF!</v>
      </c>
      <c r="ED155" t="e">
        <f>AND(#REF!,"C6xIWXmGRIU=")</f>
        <v>#REF!</v>
      </c>
      <c r="EE155" t="e">
        <f>AND(#REF!,"C6xIWXmGRIY=")</f>
        <v>#REF!</v>
      </c>
      <c r="EF155" t="e">
        <f>AND(#REF!,"C6xIWXmGRIc=")</f>
        <v>#REF!</v>
      </c>
      <c r="EG155" t="e">
        <f>AND(#REF!,"C6xIWXmGRIg=")</f>
        <v>#REF!</v>
      </c>
      <c r="EH155" t="e">
        <f>AND(#REF!,"C6xIWXmGRIk=")</f>
        <v>#REF!</v>
      </c>
      <c r="EI155" t="e">
        <f>AND(#REF!,"C6xIWXmGRIo=")</f>
        <v>#REF!</v>
      </c>
      <c r="EJ155" t="e">
        <f>AND(#REF!,"C6xIWXmGRIs=")</f>
        <v>#REF!</v>
      </c>
      <c r="EK155" t="e">
        <f>AND(#REF!,"C6xIWXmGRIw=")</f>
        <v>#REF!</v>
      </c>
      <c r="EL155" t="e">
        <f>AND(#REF!,"C6xIWXmGRI0=")</f>
        <v>#REF!</v>
      </c>
      <c r="EM155" t="e">
        <f>AND(#REF!,"C6xIWXmGRI4=")</f>
        <v>#REF!</v>
      </c>
      <c r="EN155" t="e">
        <f>AND(#REF!,"C6xIWXmGRI8=")</f>
        <v>#REF!</v>
      </c>
      <c r="EO155" t="e">
        <f>AND(#REF!,"C6xIWXmGRJA=")</f>
        <v>#REF!</v>
      </c>
      <c r="EP155" t="e">
        <f>AND(#REF!,"C6xIWXmGRJE=")</f>
        <v>#REF!</v>
      </c>
      <c r="EQ155" t="e">
        <f>AND(#REF!,"C6xIWXmGRJI=")</f>
        <v>#REF!</v>
      </c>
      <c r="ER155" t="e">
        <f>AND(#REF!,"C6xIWXmGRJM=")</f>
        <v>#REF!</v>
      </c>
      <c r="ES155" t="e">
        <f>AND(#REF!,"C6xIWXmGRJQ=")</f>
        <v>#REF!</v>
      </c>
      <c r="ET155" t="e">
        <f>IF(#REF!,"C6xIWXmGRJU=",0)</f>
        <v>#REF!</v>
      </c>
      <c r="EU155" t="e">
        <f>AND(#REF!,"C6xIWXmGRJY=")</f>
        <v>#REF!</v>
      </c>
      <c r="EV155" t="e">
        <f>AND(#REF!,"C6xIWXmGRJc=")</f>
        <v>#REF!</v>
      </c>
      <c r="EW155" t="e">
        <f>AND(#REF!,"C6xIWXmGRJg=")</f>
        <v>#REF!</v>
      </c>
      <c r="EX155" t="e">
        <f>AND(#REF!,"C6xIWXmGRJk=")</f>
        <v>#REF!</v>
      </c>
      <c r="EY155" t="e">
        <f>AND(#REF!,"C6xIWXmGRJo=")</f>
        <v>#REF!</v>
      </c>
      <c r="EZ155" t="e">
        <f>AND(#REF!,"C6xIWXmGRJs=")</f>
        <v>#REF!</v>
      </c>
      <c r="FA155" t="e">
        <f>AND(#REF!,"C6xIWXmGRJw=")</f>
        <v>#REF!</v>
      </c>
      <c r="FB155" t="e">
        <f>AND(#REF!,"C6xIWXmGRJ0=")</f>
        <v>#REF!</v>
      </c>
      <c r="FC155" t="e">
        <f>AND(#REF!,"C6xIWXmGRJ4=")</f>
        <v>#REF!</v>
      </c>
      <c r="FD155" t="e">
        <f>AND(#REF!,"C6xIWXmGRJ8=")</f>
        <v>#REF!</v>
      </c>
      <c r="FE155" t="e">
        <f>AND(#REF!,"C6xIWXmGRKA=")</f>
        <v>#REF!</v>
      </c>
      <c r="FF155" t="e">
        <f>AND(#REF!,"C6xIWXmGRKE=")</f>
        <v>#REF!</v>
      </c>
      <c r="FG155" t="e">
        <f>AND(#REF!,"C6xIWXmGRKI=")</f>
        <v>#REF!</v>
      </c>
      <c r="FH155" t="e">
        <f>AND(#REF!,"C6xIWXmGRKM=")</f>
        <v>#REF!</v>
      </c>
      <c r="FI155" t="e">
        <f>AND(#REF!,"C6xIWXmGRKQ=")</f>
        <v>#REF!</v>
      </c>
      <c r="FJ155" t="e">
        <f>AND(#REF!,"C6xIWXmGRKU=")</f>
        <v>#REF!</v>
      </c>
      <c r="FK155" t="e">
        <f>AND(#REF!,"C6xIWXmGRKY=")</f>
        <v>#REF!</v>
      </c>
      <c r="FL155" t="e">
        <f>AND(#REF!,"C6xIWXmGRKc=")</f>
        <v>#REF!</v>
      </c>
      <c r="FM155" t="e">
        <f>AND(#REF!,"C6xIWXmGRKg=")</f>
        <v>#REF!</v>
      </c>
      <c r="FN155" t="e">
        <f>IF(#REF!,"C6xIWXmGRKk=",0)</f>
        <v>#REF!</v>
      </c>
      <c r="FO155" t="e">
        <f>AND(#REF!,"C6xIWXmGRKo=")</f>
        <v>#REF!</v>
      </c>
      <c r="FP155" t="e">
        <f>AND(#REF!,"C6xIWXmGRKs=")</f>
        <v>#REF!</v>
      </c>
      <c r="FQ155" t="e">
        <f>AND(#REF!,"C6xIWXmGRKw=")</f>
        <v>#REF!</v>
      </c>
      <c r="FR155" t="e">
        <f>AND(#REF!,"C6xIWXmGRK0=")</f>
        <v>#REF!</v>
      </c>
      <c r="FS155" t="e">
        <f>AND(#REF!,"C6xIWXmGRK4=")</f>
        <v>#REF!</v>
      </c>
      <c r="FT155" t="e">
        <f>AND(#REF!,"C6xIWXmGRK8=")</f>
        <v>#REF!</v>
      </c>
      <c r="FU155" t="e">
        <f>AND(#REF!,"C6xIWXmGRLA=")</f>
        <v>#REF!</v>
      </c>
      <c r="FV155" t="e">
        <f>AND(#REF!,"C6xIWXmGRLE=")</f>
        <v>#REF!</v>
      </c>
      <c r="FW155" t="e">
        <f>AND(#REF!,"C6xIWXmGRLI=")</f>
        <v>#REF!</v>
      </c>
      <c r="FX155" t="e">
        <f>AND(#REF!,"C6xIWXmGRLM=")</f>
        <v>#REF!</v>
      </c>
      <c r="FY155" t="e">
        <f>AND(#REF!,"C6xIWXmGRLQ=")</f>
        <v>#REF!</v>
      </c>
      <c r="FZ155" t="e">
        <f>AND(#REF!,"C6xIWXmGRLU=")</f>
        <v>#REF!</v>
      </c>
      <c r="GA155" t="e">
        <f>AND(#REF!,"C6xIWXmGRLY=")</f>
        <v>#REF!</v>
      </c>
      <c r="GB155" t="e">
        <f>AND(#REF!,"C6xIWXmGRLc=")</f>
        <v>#REF!</v>
      </c>
      <c r="GC155" t="e">
        <f>AND(#REF!,"C6xIWXmGRLg=")</f>
        <v>#REF!</v>
      </c>
      <c r="GD155" t="e">
        <f>AND(#REF!,"C6xIWXmGRLk=")</f>
        <v>#REF!</v>
      </c>
      <c r="GE155" t="e">
        <f>AND(#REF!,"C6xIWXmGRLo=")</f>
        <v>#REF!</v>
      </c>
      <c r="GF155" t="e">
        <f>AND(#REF!,"C6xIWXmGRLs=")</f>
        <v>#REF!</v>
      </c>
      <c r="GG155" t="e">
        <f>AND(#REF!,"C6xIWXmGRLw=")</f>
        <v>#REF!</v>
      </c>
      <c r="GH155" t="e">
        <f>IF(#REF!,"C6xIWXmGRL0=",0)</f>
        <v>#REF!</v>
      </c>
      <c r="GI155" t="e">
        <f>AND(#REF!,"C6xIWXmGRL4=")</f>
        <v>#REF!</v>
      </c>
      <c r="GJ155" t="e">
        <f>AND(#REF!,"C6xIWXmGRL8=")</f>
        <v>#REF!</v>
      </c>
      <c r="GK155" t="e">
        <f>AND(#REF!,"C6xIWXmGRMA=")</f>
        <v>#REF!</v>
      </c>
      <c r="GL155" t="e">
        <f>AND(#REF!,"C6xIWXmGRME=")</f>
        <v>#REF!</v>
      </c>
      <c r="GM155" t="e">
        <f>AND(#REF!,"C6xIWXmGRMI=")</f>
        <v>#REF!</v>
      </c>
      <c r="GN155" t="e">
        <f>AND(#REF!,"C6xIWXmGRMM=")</f>
        <v>#REF!</v>
      </c>
      <c r="GO155" t="e">
        <f>AND(#REF!,"C6xIWXmGRMQ=")</f>
        <v>#REF!</v>
      </c>
      <c r="GP155" t="e">
        <f>AND(#REF!,"C6xIWXmGRMU=")</f>
        <v>#REF!</v>
      </c>
      <c r="GQ155" t="e">
        <f>AND(#REF!,"C6xIWXmGRMY=")</f>
        <v>#REF!</v>
      </c>
      <c r="GR155" t="e">
        <f>AND(#REF!,"C6xIWXmGRMc=")</f>
        <v>#REF!</v>
      </c>
      <c r="GS155" t="e">
        <f>AND(#REF!,"C6xIWXmGRMg=")</f>
        <v>#REF!</v>
      </c>
      <c r="GT155" t="e">
        <f>AND(#REF!,"C6xIWXmGRMk=")</f>
        <v>#REF!</v>
      </c>
      <c r="GU155" t="e">
        <f>AND(#REF!,"C6xIWXmGRMo=")</f>
        <v>#REF!</v>
      </c>
      <c r="GV155" t="e">
        <f>AND(#REF!,"C6xIWXmGRMs=")</f>
        <v>#REF!</v>
      </c>
      <c r="GW155" t="e">
        <f>AND(#REF!,"C6xIWXmGRMw=")</f>
        <v>#REF!</v>
      </c>
      <c r="GX155" t="e">
        <f>AND(#REF!,"C6xIWXmGRM0=")</f>
        <v>#REF!</v>
      </c>
      <c r="GY155" t="e">
        <f>AND(#REF!,"C6xIWXmGRM4=")</f>
        <v>#REF!</v>
      </c>
      <c r="GZ155" t="e">
        <f>AND(#REF!,"C6xIWXmGRM8=")</f>
        <v>#REF!</v>
      </c>
      <c r="HA155" t="e">
        <f>AND(#REF!,"C6xIWXmGRNA=")</f>
        <v>#REF!</v>
      </c>
      <c r="HB155" t="e">
        <f>IF(#REF!,"C6xIWXmGRNE=",0)</f>
        <v>#REF!</v>
      </c>
      <c r="HC155" t="e">
        <f>AND(#REF!,"C6xIWXmGRNI=")</f>
        <v>#REF!</v>
      </c>
      <c r="HD155" t="e">
        <f>AND(#REF!,"C6xIWXmGRNM=")</f>
        <v>#REF!</v>
      </c>
      <c r="HE155" t="e">
        <f>AND(#REF!,"C6xIWXmGRNQ=")</f>
        <v>#REF!</v>
      </c>
      <c r="HF155" t="e">
        <f>AND(#REF!,"C6xIWXmGRNU=")</f>
        <v>#REF!</v>
      </c>
      <c r="HG155" t="e">
        <f>AND(#REF!,"C6xIWXmGRNY=")</f>
        <v>#REF!</v>
      </c>
      <c r="HH155" t="e">
        <f>AND(#REF!,"C6xIWXmGRNc=")</f>
        <v>#REF!</v>
      </c>
      <c r="HI155" t="e">
        <f>AND(#REF!,"C6xIWXmGRNg=")</f>
        <v>#REF!</v>
      </c>
      <c r="HJ155" t="e">
        <f>AND(#REF!,"C6xIWXmGRNk=")</f>
        <v>#REF!</v>
      </c>
      <c r="HK155" t="e">
        <f>AND(#REF!,"C6xIWXmGRNo=")</f>
        <v>#REF!</v>
      </c>
      <c r="HL155" t="e">
        <f>AND(#REF!,"C6xIWXmGRNs=")</f>
        <v>#REF!</v>
      </c>
      <c r="HM155" t="e">
        <f>AND(#REF!,"C6xIWXmGRNw=")</f>
        <v>#REF!</v>
      </c>
      <c r="HN155" t="e">
        <f>AND(#REF!,"C6xIWXmGRN0=")</f>
        <v>#REF!</v>
      </c>
      <c r="HO155" t="e">
        <f>AND(#REF!,"C6xIWXmGRN4=")</f>
        <v>#REF!</v>
      </c>
      <c r="HP155" t="e">
        <f>AND(#REF!,"C6xIWXmGRN8=")</f>
        <v>#REF!</v>
      </c>
      <c r="HQ155" t="e">
        <f>AND(#REF!,"C6xIWXmGROA=")</f>
        <v>#REF!</v>
      </c>
      <c r="HR155" t="e">
        <f>AND(#REF!,"C6xIWXmGROE=")</f>
        <v>#REF!</v>
      </c>
      <c r="HS155" t="e">
        <f>AND(#REF!,"C6xIWXmGROI=")</f>
        <v>#REF!</v>
      </c>
      <c r="HT155" t="e">
        <f>AND(#REF!,"C6xIWXmGROM=")</f>
        <v>#REF!</v>
      </c>
      <c r="HU155" t="e">
        <f>AND(#REF!,"C6xIWXmGROQ=")</f>
        <v>#REF!</v>
      </c>
      <c r="HV155" t="e">
        <f>IF(#REF!,"C6xIWXmGROU=",0)</f>
        <v>#REF!</v>
      </c>
      <c r="HW155" t="e">
        <f>AND(#REF!,"C6xIWXmGROY=")</f>
        <v>#REF!</v>
      </c>
      <c r="HX155" t="e">
        <f>AND(#REF!,"C6xIWXmGROc=")</f>
        <v>#REF!</v>
      </c>
      <c r="HY155" t="e">
        <f>AND(#REF!,"C6xIWXmGROg=")</f>
        <v>#REF!</v>
      </c>
      <c r="HZ155" t="e">
        <f>AND(#REF!,"C6xIWXmGROk=")</f>
        <v>#REF!</v>
      </c>
      <c r="IA155" t="e">
        <f>AND(#REF!,"C6xIWXmGROo=")</f>
        <v>#REF!</v>
      </c>
      <c r="IB155" t="e">
        <f>AND(#REF!,"C6xIWXmGROs=")</f>
        <v>#REF!</v>
      </c>
      <c r="IC155" t="e">
        <f>AND(#REF!,"C6xIWXmGROw=")</f>
        <v>#REF!</v>
      </c>
      <c r="ID155" t="e">
        <f>AND(#REF!,"C6xIWXmGRO0=")</f>
        <v>#REF!</v>
      </c>
      <c r="IE155" t="e">
        <f>AND(#REF!,"C6xIWXmGRO4=")</f>
        <v>#REF!</v>
      </c>
      <c r="IF155" t="e">
        <f>AND(#REF!,"C6xIWXmGRO8=")</f>
        <v>#REF!</v>
      </c>
      <c r="IG155" t="e">
        <f>AND(#REF!,"C6xIWXmGRPA=")</f>
        <v>#REF!</v>
      </c>
      <c r="IH155" t="e">
        <f>AND(#REF!,"C6xIWXmGRPE=")</f>
        <v>#REF!</v>
      </c>
      <c r="II155" t="e">
        <f>AND(#REF!,"C6xIWXmGRPI=")</f>
        <v>#REF!</v>
      </c>
      <c r="IJ155" t="e">
        <f>AND(#REF!,"C6xIWXmGRPM=")</f>
        <v>#REF!</v>
      </c>
      <c r="IK155" t="e">
        <f>AND(#REF!,"C6xIWXmGRPQ=")</f>
        <v>#REF!</v>
      </c>
      <c r="IL155" t="e">
        <f>AND(#REF!,"C6xIWXmGRPU=")</f>
        <v>#REF!</v>
      </c>
      <c r="IM155" t="e">
        <f>AND(#REF!,"C6xIWXmGRPY=")</f>
        <v>#REF!</v>
      </c>
      <c r="IN155" t="e">
        <f>AND(#REF!,"C6xIWXmGRPc=")</f>
        <v>#REF!</v>
      </c>
      <c r="IO155" t="e">
        <f>AND(#REF!,"C6xIWXmGRPg=")</f>
        <v>#REF!</v>
      </c>
      <c r="IP155" t="e">
        <f>IF(#REF!,"C6xIWXmGRPk=",0)</f>
        <v>#REF!</v>
      </c>
      <c r="IQ155" t="e">
        <f>AND(#REF!,"C6xIWXmGRPo=")</f>
        <v>#REF!</v>
      </c>
      <c r="IR155" t="e">
        <f>AND(#REF!,"C6xIWXmGRPs=")</f>
        <v>#REF!</v>
      </c>
      <c r="IS155" t="e">
        <f>AND(#REF!,"C6xIWXmGRPw=")</f>
        <v>#REF!</v>
      </c>
      <c r="IT155" t="e">
        <f>AND(#REF!,"C6xIWXmGRP0=")</f>
        <v>#REF!</v>
      </c>
      <c r="IU155" t="e">
        <f>AND(#REF!,"C6xIWXmGRP4=")</f>
        <v>#REF!</v>
      </c>
      <c r="IV155" t="e">
        <f>AND(#REF!,"C6xIWXmGRP8=")</f>
        <v>#REF!</v>
      </c>
    </row>
    <row r="156" spans="1:256" x14ac:dyDescent="0.2">
      <c r="A156" t="e">
        <f>AND(#REF!,"EMgjTA6GyAA=")</f>
        <v>#REF!</v>
      </c>
      <c r="B156" t="e">
        <f>AND(#REF!,"EMgjTA6GyAE=")</f>
        <v>#REF!</v>
      </c>
      <c r="C156" t="e">
        <f>AND(#REF!,"EMgjTA6GyAI=")</f>
        <v>#REF!</v>
      </c>
      <c r="D156" t="e">
        <f>AND(#REF!,"EMgjTA6GyAM=")</f>
        <v>#REF!</v>
      </c>
      <c r="E156" t="e">
        <f>AND(#REF!,"EMgjTA6GyAQ=")</f>
        <v>#REF!</v>
      </c>
      <c r="F156" t="e">
        <f>AND(#REF!,"EMgjTA6GyAU=")</f>
        <v>#REF!</v>
      </c>
      <c r="G156" t="e">
        <f>AND(#REF!,"EMgjTA6GyAY=")</f>
        <v>#REF!</v>
      </c>
      <c r="H156" t="e">
        <f>AND(#REF!,"EMgjTA6GyAc=")</f>
        <v>#REF!</v>
      </c>
      <c r="I156" t="e">
        <f>AND(#REF!,"EMgjTA6GyAg=")</f>
        <v>#REF!</v>
      </c>
      <c r="J156" t="e">
        <f>AND(#REF!,"EMgjTA6GyAk=")</f>
        <v>#REF!</v>
      </c>
      <c r="K156" t="e">
        <f>AND(#REF!,"EMgjTA6GyAo=")</f>
        <v>#REF!</v>
      </c>
      <c r="L156" t="e">
        <f>AND(#REF!,"EMgjTA6GyAs=")</f>
        <v>#REF!</v>
      </c>
      <c r="M156" t="e">
        <f>AND(#REF!,"EMgjTA6GyAw=")</f>
        <v>#REF!</v>
      </c>
      <c r="N156" t="e">
        <f>IF(#REF!,"EMgjTA6GyA0=",0)</f>
        <v>#REF!</v>
      </c>
      <c r="O156" t="e">
        <f>AND(#REF!,"EMgjTA6GyA4=")</f>
        <v>#REF!</v>
      </c>
      <c r="P156" t="e">
        <f>AND(#REF!,"EMgjTA6GyA8=")</f>
        <v>#REF!</v>
      </c>
      <c r="Q156" t="e">
        <f>AND(#REF!,"EMgjTA6GyBA=")</f>
        <v>#REF!</v>
      </c>
      <c r="R156" t="e">
        <f>AND(#REF!,"EMgjTA6GyBE=")</f>
        <v>#REF!</v>
      </c>
      <c r="S156" t="e">
        <f>AND(#REF!,"EMgjTA6GyBI=")</f>
        <v>#REF!</v>
      </c>
      <c r="T156" t="e">
        <f>AND(#REF!,"EMgjTA6GyBM=")</f>
        <v>#REF!</v>
      </c>
      <c r="U156" t="e">
        <f>AND(#REF!,"EMgjTA6GyBQ=")</f>
        <v>#REF!</v>
      </c>
      <c r="V156" t="e">
        <f>AND(#REF!,"EMgjTA6GyBU=")</f>
        <v>#REF!</v>
      </c>
      <c r="W156" t="e">
        <f>AND(#REF!,"EMgjTA6GyBY=")</f>
        <v>#REF!</v>
      </c>
      <c r="X156" t="e">
        <f>AND(#REF!,"EMgjTA6GyBc=")</f>
        <v>#REF!</v>
      </c>
      <c r="Y156" t="e">
        <f>AND(#REF!,"EMgjTA6GyBg=")</f>
        <v>#REF!</v>
      </c>
      <c r="Z156" t="e">
        <f>AND(#REF!,"EMgjTA6GyBk=")</f>
        <v>#REF!</v>
      </c>
      <c r="AA156" t="e">
        <f>AND(#REF!,"EMgjTA6GyBo=")</f>
        <v>#REF!</v>
      </c>
      <c r="AB156" t="e">
        <f>AND(#REF!,"EMgjTA6GyBs=")</f>
        <v>#REF!</v>
      </c>
      <c r="AC156" t="e">
        <f>AND(#REF!,"EMgjTA6GyBw=")</f>
        <v>#REF!</v>
      </c>
      <c r="AD156" t="e">
        <f>AND(#REF!,"EMgjTA6GyB0=")</f>
        <v>#REF!</v>
      </c>
      <c r="AE156" t="e">
        <f>AND(#REF!,"EMgjTA6GyB4=")</f>
        <v>#REF!</v>
      </c>
      <c r="AF156" t="e">
        <f>AND(#REF!,"EMgjTA6GyB8=")</f>
        <v>#REF!</v>
      </c>
      <c r="AG156" t="e">
        <f>AND(#REF!,"EMgjTA6GyCA=")</f>
        <v>#REF!</v>
      </c>
      <c r="AH156" t="e">
        <f>IF(#REF!,"EMgjTA6GyCE=",0)</f>
        <v>#REF!</v>
      </c>
      <c r="AI156" t="e">
        <f>AND(#REF!,"EMgjTA6GyCI=")</f>
        <v>#REF!</v>
      </c>
      <c r="AJ156" t="e">
        <f>AND(#REF!,"EMgjTA6GyCM=")</f>
        <v>#REF!</v>
      </c>
      <c r="AK156" t="e">
        <f>AND(#REF!,"EMgjTA6GyCQ=")</f>
        <v>#REF!</v>
      </c>
      <c r="AL156" t="e">
        <f>AND(#REF!,"EMgjTA6GyCU=")</f>
        <v>#REF!</v>
      </c>
      <c r="AM156" t="e">
        <f>AND(#REF!,"EMgjTA6GyCY=")</f>
        <v>#REF!</v>
      </c>
      <c r="AN156" t="e">
        <f>AND(#REF!,"EMgjTA6GyCc=")</f>
        <v>#REF!</v>
      </c>
      <c r="AO156" t="e">
        <f>AND(#REF!,"EMgjTA6GyCg=")</f>
        <v>#REF!</v>
      </c>
      <c r="AP156" t="e">
        <f>AND(#REF!,"EMgjTA6GyCk=")</f>
        <v>#REF!</v>
      </c>
      <c r="AQ156" t="e">
        <f>AND(#REF!,"EMgjTA6GyCo=")</f>
        <v>#REF!</v>
      </c>
      <c r="AR156" t="e">
        <f>AND(#REF!,"EMgjTA6GyCs=")</f>
        <v>#REF!</v>
      </c>
      <c r="AS156" t="e">
        <f>AND(#REF!,"EMgjTA6GyCw=")</f>
        <v>#REF!</v>
      </c>
      <c r="AT156" t="e">
        <f>AND(#REF!,"EMgjTA6GyC0=")</f>
        <v>#REF!</v>
      </c>
      <c r="AU156" t="e">
        <f>AND(#REF!,"EMgjTA6GyC4=")</f>
        <v>#REF!</v>
      </c>
      <c r="AV156" t="e">
        <f>AND(#REF!,"EMgjTA6GyC8=")</f>
        <v>#REF!</v>
      </c>
      <c r="AW156" t="e">
        <f>AND(#REF!,"EMgjTA6GyDA=")</f>
        <v>#REF!</v>
      </c>
      <c r="AX156" t="e">
        <f>AND(#REF!,"EMgjTA6GyDE=")</f>
        <v>#REF!</v>
      </c>
      <c r="AY156" t="e">
        <f>AND(#REF!,"EMgjTA6GyDI=")</f>
        <v>#REF!</v>
      </c>
      <c r="AZ156" t="e">
        <f>AND(#REF!,"EMgjTA6GyDM=")</f>
        <v>#REF!</v>
      </c>
      <c r="BA156" t="e">
        <f>AND(#REF!,"EMgjTA6GyDQ=")</f>
        <v>#REF!</v>
      </c>
      <c r="BB156" t="e">
        <f>IF(#REF!,"EMgjTA6GyDU=",0)</f>
        <v>#REF!</v>
      </c>
      <c r="BC156" t="e">
        <f>AND(#REF!,"EMgjTA6GyDY=")</f>
        <v>#REF!</v>
      </c>
      <c r="BD156" t="e">
        <f>AND(#REF!,"EMgjTA6GyDc=")</f>
        <v>#REF!</v>
      </c>
      <c r="BE156" t="e">
        <f>AND(#REF!,"EMgjTA6GyDg=")</f>
        <v>#REF!</v>
      </c>
      <c r="BF156" t="e">
        <f>AND(#REF!,"EMgjTA6GyDk=")</f>
        <v>#REF!</v>
      </c>
      <c r="BG156" t="e">
        <f>AND(#REF!,"EMgjTA6GyDo=")</f>
        <v>#REF!</v>
      </c>
      <c r="BH156" t="e">
        <f>AND(#REF!,"EMgjTA6GyDs=")</f>
        <v>#REF!</v>
      </c>
      <c r="BI156" t="e">
        <f>AND(#REF!,"EMgjTA6GyDw=")</f>
        <v>#REF!</v>
      </c>
      <c r="BJ156" t="e">
        <f>AND(#REF!,"EMgjTA6GyD0=")</f>
        <v>#REF!</v>
      </c>
      <c r="BK156" t="e">
        <f>AND(#REF!,"EMgjTA6GyD4=")</f>
        <v>#REF!</v>
      </c>
      <c r="BL156" t="e">
        <f>AND(#REF!,"EMgjTA6GyD8=")</f>
        <v>#REF!</v>
      </c>
      <c r="BM156" t="e">
        <f>AND(#REF!,"EMgjTA6GyEA=")</f>
        <v>#REF!</v>
      </c>
      <c r="BN156" t="e">
        <f>AND(#REF!,"EMgjTA6GyEE=")</f>
        <v>#REF!</v>
      </c>
      <c r="BO156" t="e">
        <f>AND(#REF!,"EMgjTA6GyEI=")</f>
        <v>#REF!</v>
      </c>
      <c r="BP156" t="e">
        <f>AND(#REF!,"EMgjTA6GyEM=")</f>
        <v>#REF!</v>
      </c>
      <c r="BQ156" t="e">
        <f>AND(#REF!,"EMgjTA6GyEQ=")</f>
        <v>#REF!</v>
      </c>
      <c r="BR156" t="e">
        <f>AND(#REF!,"EMgjTA6GyEU=")</f>
        <v>#REF!</v>
      </c>
      <c r="BS156" t="e">
        <f>AND(#REF!,"EMgjTA6GyEY=")</f>
        <v>#REF!</v>
      </c>
      <c r="BT156" t="e">
        <f>AND(#REF!,"EMgjTA6GyEc=")</f>
        <v>#REF!</v>
      </c>
      <c r="BU156" t="e">
        <f>AND(#REF!,"EMgjTA6GyEg=")</f>
        <v>#REF!</v>
      </c>
      <c r="BV156" t="e">
        <f>IF(#REF!,"EMgjTA6GyEk=",0)</f>
        <v>#REF!</v>
      </c>
      <c r="BW156" t="e">
        <f>AND(#REF!,"EMgjTA6GyEo=")</f>
        <v>#REF!</v>
      </c>
      <c r="BX156" t="e">
        <f>AND(#REF!,"EMgjTA6GyEs=")</f>
        <v>#REF!</v>
      </c>
      <c r="BY156" t="e">
        <f>AND(#REF!,"EMgjTA6GyEw=")</f>
        <v>#REF!</v>
      </c>
      <c r="BZ156" t="e">
        <f>AND(#REF!,"EMgjTA6GyE0=")</f>
        <v>#REF!</v>
      </c>
      <c r="CA156" t="e">
        <f>AND(#REF!,"EMgjTA6GyE4=")</f>
        <v>#REF!</v>
      </c>
      <c r="CB156" t="e">
        <f>AND(#REF!,"EMgjTA6GyE8=")</f>
        <v>#REF!</v>
      </c>
      <c r="CC156" t="e">
        <f>AND(#REF!,"EMgjTA6GyFA=")</f>
        <v>#REF!</v>
      </c>
      <c r="CD156" t="e">
        <f>AND(#REF!,"EMgjTA6GyFE=")</f>
        <v>#REF!</v>
      </c>
      <c r="CE156" t="e">
        <f>AND(#REF!,"EMgjTA6GyFI=")</f>
        <v>#REF!</v>
      </c>
      <c r="CF156" t="e">
        <f>AND(#REF!,"EMgjTA6GyFM=")</f>
        <v>#REF!</v>
      </c>
      <c r="CG156" t="e">
        <f>AND(#REF!,"EMgjTA6GyFQ=")</f>
        <v>#REF!</v>
      </c>
      <c r="CH156" t="e">
        <f>AND(#REF!,"EMgjTA6GyFU=")</f>
        <v>#REF!</v>
      </c>
      <c r="CI156" t="e">
        <f>AND(#REF!,"EMgjTA6GyFY=")</f>
        <v>#REF!</v>
      </c>
      <c r="CJ156" t="e">
        <f>AND(#REF!,"EMgjTA6GyFc=")</f>
        <v>#REF!</v>
      </c>
      <c r="CK156" t="e">
        <f>AND(#REF!,"EMgjTA6GyFg=")</f>
        <v>#REF!</v>
      </c>
      <c r="CL156" t="e">
        <f>AND(#REF!,"EMgjTA6GyFk=")</f>
        <v>#REF!</v>
      </c>
      <c r="CM156" t="e">
        <f>AND(#REF!,"EMgjTA6GyFo=")</f>
        <v>#REF!</v>
      </c>
      <c r="CN156" t="e">
        <f>AND(#REF!,"EMgjTA6GyFs=")</f>
        <v>#REF!</v>
      </c>
      <c r="CO156" t="e">
        <f>AND(#REF!,"EMgjTA6GyFw=")</f>
        <v>#REF!</v>
      </c>
      <c r="CP156" t="e">
        <f>IF(#REF!,"EMgjTA6GyF0=",0)</f>
        <v>#REF!</v>
      </c>
      <c r="CQ156" t="e">
        <f>AND(#REF!,"EMgjTA6GyF4=")</f>
        <v>#REF!</v>
      </c>
      <c r="CR156" t="e">
        <f>AND(#REF!,"EMgjTA6GyF8=")</f>
        <v>#REF!</v>
      </c>
      <c r="CS156" t="e">
        <f>AND(#REF!,"EMgjTA6GyGA=")</f>
        <v>#REF!</v>
      </c>
      <c r="CT156" t="e">
        <f>AND(#REF!,"EMgjTA6GyGE=")</f>
        <v>#REF!</v>
      </c>
      <c r="CU156" t="e">
        <f>AND(#REF!,"EMgjTA6GyGI=")</f>
        <v>#REF!</v>
      </c>
      <c r="CV156" t="e">
        <f>AND(#REF!,"EMgjTA6GyGM=")</f>
        <v>#REF!</v>
      </c>
      <c r="CW156" t="e">
        <f>AND(#REF!,"EMgjTA6GyGQ=")</f>
        <v>#REF!</v>
      </c>
      <c r="CX156" t="e">
        <f>AND(#REF!,"EMgjTA6GyGU=")</f>
        <v>#REF!</v>
      </c>
      <c r="CY156" t="e">
        <f>AND(#REF!,"EMgjTA6GyGY=")</f>
        <v>#REF!</v>
      </c>
      <c r="CZ156" t="e">
        <f>AND(#REF!,"EMgjTA6GyGc=")</f>
        <v>#REF!</v>
      </c>
      <c r="DA156" t="e">
        <f>AND(#REF!,"EMgjTA6GyGg=")</f>
        <v>#REF!</v>
      </c>
      <c r="DB156" t="e">
        <f>AND(#REF!,"EMgjTA6GyGk=")</f>
        <v>#REF!</v>
      </c>
      <c r="DC156" t="e">
        <f>AND(#REF!,"EMgjTA6GyGo=")</f>
        <v>#REF!</v>
      </c>
      <c r="DD156" t="e">
        <f>AND(#REF!,"EMgjTA6GyGs=")</f>
        <v>#REF!</v>
      </c>
      <c r="DE156" t="e">
        <f>AND(#REF!,"EMgjTA6GyGw=")</f>
        <v>#REF!</v>
      </c>
      <c r="DF156" t="e">
        <f>AND(#REF!,"EMgjTA6GyG0=")</f>
        <v>#REF!</v>
      </c>
      <c r="DG156" t="e">
        <f>AND(#REF!,"EMgjTA6GyG4=")</f>
        <v>#REF!</v>
      </c>
      <c r="DH156" t="e">
        <f>AND(#REF!,"EMgjTA6GyG8=")</f>
        <v>#REF!</v>
      </c>
      <c r="DI156" t="e">
        <f>AND(#REF!,"EMgjTA6GyHA=")</f>
        <v>#REF!</v>
      </c>
      <c r="DJ156" t="e">
        <f>IF(#REF!,"EMgjTA6GyHE=",0)</f>
        <v>#REF!</v>
      </c>
      <c r="DK156" t="e">
        <f>AND(#REF!,"EMgjTA6GyHI=")</f>
        <v>#REF!</v>
      </c>
      <c r="DL156" t="e">
        <f>AND(#REF!,"EMgjTA6GyHM=")</f>
        <v>#REF!</v>
      </c>
      <c r="DM156" t="e">
        <f>AND(#REF!,"EMgjTA6GyHQ=")</f>
        <v>#REF!</v>
      </c>
      <c r="DN156" t="e">
        <f>AND(#REF!,"EMgjTA6GyHU=")</f>
        <v>#REF!</v>
      </c>
      <c r="DO156" t="e">
        <f>AND(#REF!,"EMgjTA6GyHY=")</f>
        <v>#REF!</v>
      </c>
      <c r="DP156" t="e">
        <f>AND(#REF!,"EMgjTA6GyHc=")</f>
        <v>#REF!</v>
      </c>
      <c r="DQ156" t="e">
        <f>AND(#REF!,"EMgjTA6GyHg=")</f>
        <v>#REF!</v>
      </c>
      <c r="DR156" t="e">
        <f>AND(#REF!,"EMgjTA6GyHk=")</f>
        <v>#REF!</v>
      </c>
      <c r="DS156" t="e">
        <f>AND(#REF!,"EMgjTA6GyHo=")</f>
        <v>#REF!</v>
      </c>
      <c r="DT156" t="e">
        <f>AND(#REF!,"EMgjTA6GyHs=")</f>
        <v>#REF!</v>
      </c>
      <c r="DU156" t="e">
        <f>AND(#REF!,"EMgjTA6GyHw=")</f>
        <v>#REF!</v>
      </c>
      <c r="DV156" t="e">
        <f>AND(#REF!,"EMgjTA6GyH0=")</f>
        <v>#REF!</v>
      </c>
      <c r="DW156" t="e">
        <f>AND(#REF!,"EMgjTA6GyH4=")</f>
        <v>#REF!</v>
      </c>
      <c r="DX156" t="e">
        <f>AND(#REF!,"EMgjTA6GyH8=")</f>
        <v>#REF!</v>
      </c>
      <c r="DY156" t="e">
        <f>AND(#REF!,"EMgjTA6GyIA=")</f>
        <v>#REF!</v>
      </c>
      <c r="DZ156" t="e">
        <f>AND(#REF!,"EMgjTA6GyIE=")</f>
        <v>#REF!</v>
      </c>
      <c r="EA156" t="e">
        <f>AND(#REF!,"EMgjTA6GyII=")</f>
        <v>#REF!</v>
      </c>
      <c r="EB156" t="e">
        <f>AND(#REF!,"EMgjTA6GyIM=")</f>
        <v>#REF!</v>
      </c>
      <c r="EC156" t="e">
        <f>AND(#REF!,"EMgjTA6GyIQ=")</f>
        <v>#REF!</v>
      </c>
      <c r="ED156" t="e">
        <f>IF(#REF!,"EMgjTA6GyIU=",0)</f>
        <v>#REF!</v>
      </c>
      <c r="EE156" t="e">
        <f>AND(#REF!,"EMgjTA6GyIY=")</f>
        <v>#REF!</v>
      </c>
      <c r="EF156" t="e">
        <f>AND(#REF!,"EMgjTA6GyIc=")</f>
        <v>#REF!</v>
      </c>
      <c r="EG156" t="e">
        <f>AND(#REF!,"EMgjTA6GyIg=")</f>
        <v>#REF!</v>
      </c>
      <c r="EH156" t="e">
        <f>AND(#REF!,"EMgjTA6GyIk=")</f>
        <v>#REF!</v>
      </c>
      <c r="EI156" t="e">
        <f>AND(#REF!,"EMgjTA6GyIo=")</f>
        <v>#REF!</v>
      </c>
      <c r="EJ156" t="e">
        <f>AND(#REF!,"EMgjTA6GyIs=")</f>
        <v>#REF!</v>
      </c>
      <c r="EK156" t="e">
        <f>AND(#REF!,"EMgjTA6GyIw=")</f>
        <v>#REF!</v>
      </c>
      <c r="EL156" t="e">
        <f>AND(#REF!,"EMgjTA6GyI0=")</f>
        <v>#REF!</v>
      </c>
      <c r="EM156" t="e">
        <f>AND(#REF!,"EMgjTA6GyI4=")</f>
        <v>#REF!</v>
      </c>
      <c r="EN156" t="e">
        <f>AND(#REF!,"EMgjTA6GyI8=")</f>
        <v>#REF!</v>
      </c>
      <c r="EO156" t="e">
        <f>AND(#REF!,"EMgjTA6GyJA=")</f>
        <v>#REF!</v>
      </c>
      <c r="EP156" t="e">
        <f>AND(#REF!,"EMgjTA6GyJE=")</f>
        <v>#REF!</v>
      </c>
      <c r="EQ156" t="e">
        <f>AND(#REF!,"EMgjTA6GyJI=")</f>
        <v>#REF!</v>
      </c>
      <c r="ER156" t="e">
        <f>AND(#REF!,"EMgjTA6GyJM=")</f>
        <v>#REF!</v>
      </c>
      <c r="ES156" t="e">
        <f>AND(#REF!,"EMgjTA6GyJQ=")</f>
        <v>#REF!</v>
      </c>
      <c r="ET156" t="e">
        <f>AND(#REF!,"EMgjTA6GyJU=")</f>
        <v>#REF!</v>
      </c>
      <c r="EU156" t="e">
        <f>AND(#REF!,"EMgjTA6GyJY=")</f>
        <v>#REF!</v>
      </c>
      <c r="EV156" t="e">
        <f>AND(#REF!,"EMgjTA6GyJc=")</f>
        <v>#REF!</v>
      </c>
      <c r="EW156" t="e">
        <f>AND(#REF!,"EMgjTA6GyJg=")</f>
        <v>#REF!</v>
      </c>
      <c r="EX156" t="e">
        <f>IF(#REF!,"EMgjTA6GyJk=",0)</f>
        <v>#REF!</v>
      </c>
      <c r="EY156" t="e">
        <f>AND(#REF!,"EMgjTA6GyJo=")</f>
        <v>#REF!</v>
      </c>
      <c r="EZ156" t="e">
        <f>AND(#REF!,"EMgjTA6GyJs=")</f>
        <v>#REF!</v>
      </c>
      <c r="FA156" t="e">
        <f>AND(#REF!,"EMgjTA6GyJw=")</f>
        <v>#REF!</v>
      </c>
      <c r="FB156" t="e">
        <f>AND(#REF!,"EMgjTA6GyJ0=")</f>
        <v>#REF!</v>
      </c>
      <c r="FC156" t="e">
        <f>AND(#REF!,"EMgjTA6GyJ4=")</f>
        <v>#REF!</v>
      </c>
      <c r="FD156" t="e">
        <f>AND(#REF!,"EMgjTA6GyJ8=")</f>
        <v>#REF!</v>
      </c>
      <c r="FE156" t="e">
        <f>AND(#REF!,"EMgjTA6GyKA=")</f>
        <v>#REF!</v>
      </c>
      <c r="FF156" t="e">
        <f>AND(#REF!,"EMgjTA6GyKE=")</f>
        <v>#REF!</v>
      </c>
      <c r="FG156" t="e">
        <f>AND(#REF!,"EMgjTA6GyKI=")</f>
        <v>#REF!</v>
      </c>
      <c r="FH156" t="e">
        <f>AND(#REF!,"EMgjTA6GyKM=")</f>
        <v>#REF!</v>
      </c>
      <c r="FI156" t="e">
        <f>AND(#REF!,"EMgjTA6GyKQ=")</f>
        <v>#REF!</v>
      </c>
      <c r="FJ156" t="e">
        <f>AND(#REF!,"EMgjTA6GyKU=")</f>
        <v>#REF!</v>
      </c>
      <c r="FK156" t="e">
        <f>AND(#REF!,"EMgjTA6GyKY=")</f>
        <v>#REF!</v>
      </c>
      <c r="FL156" t="e">
        <f>AND(#REF!,"EMgjTA6GyKc=")</f>
        <v>#REF!</v>
      </c>
      <c r="FM156" t="e">
        <f>AND(#REF!,"EMgjTA6GyKg=")</f>
        <v>#REF!</v>
      </c>
      <c r="FN156" t="e">
        <f>AND(#REF!,"EMgjTA6GyKk=")</f>
        <v>#REF!</v>
      </c>
      <c r="FO156" t="e">
        <f>AND(#REF!,"EMgjTA6GyKo=")</f>
        <v>#REF!</v>
      </c>
      <c r="FP156" t="e">
        <f>AND(#REF!,"EMgjTA6GyKs=")</f>
        <v>#REF!</v>
      </c>
      <c r="FQ156" t="e">
        <f>AND(#REF!,"EMgjTA6GyKw=")</f>
        <v>#REF!</v>
      </c>
      <c r="FR156" t="e">
        <f>IF(#REF!,"EMgjTA6GyK0=",0)</f>
        <v>#REF!</v>
      </c>
      <c r="FS156" t="e">
        <f>AND(#REF!,"EMgjTA6GyK4=")</f>
        <v>#REF!</v>
      </c>
      <c r="FT156" t="e">
        <f>AND(#REF!,"EMgjTA6GyK8=")</f>
        <v>#REF!</v>
      </c>
      <c r="FU156" t="e">
        <f>AND(#REF!,"EMgjTA6GyLA=")</f>
        <v>#REF!</v>
      </c>
      <c r="FV156" t="e">
        <f>AND(#REF!,"EMgjTA6GyLE=")</f>
        <v>#REF!</v>
      </c>
      <c r="FW156" t="e">
        <f>AND(#REF!,"EMgjTA6GyLI=")</f>
        <v>#REF!</v>
      </c>
      <c r="FX156" t="e">
        <f>AND(#REF!,"EMgjTA6GyLM=")</f>
        <v>#REF!</v>
      </c>
      <c r="FY156" t="e">
        <f>AND(#REF!,"EMgjTA6GyLQ=")</f>
        <v>#REF!</v>
      </c>
      <c r="FZ156" t="e">
        <f>AND(#REF!,"EMgjTA6GyLU=")</f>
        <v>#REF!</v>
      </c>
      <c r="GA156" t="e">
        <f>AND(#REF!,"EMgjTA6GyLY=")</f>
        <v>#REF!</v>
      </c>
      <c r="GB156" t="e">
        <f>AND(#REF!,"EMgjTA6GyLc=")</f>
        <v>#REF!</v>
      </c>
      <c r="GC156" t="e">
        <f>AND(#REF!,"EMgjTA6GyLg=")</f>
        <v>#REF!</v>
      </c>
      <c r="GD156" t="e">
        <f>AND(#REF!,"EMgjTA6GyLk=")</f>
        <v>#REF!</v>
      </c>
      <c r="GE156" t="e">
        <f>AND(#REF!,"EMgjTA6GyLo=")</f>
        <v>#REF!</v>
      </c>
      <c r="GF156" t="e">
        <f>AND(#REF!,"EMgjTA6GyLs=")</f>
        <v>#REF!</v>
      </c>
      <c r="GG156" t="e">
        <f>AND(#REF!,"EMgjTA6GyLw=")</f>
        <v>#REF!</v>
      </c>
      <c r="GH156" t="e">
        <f>AND(#REF!,"EMgjTA6GyL0=")</f>
        <v>#REF!</v>
      </c>
      <c r="GI156" t="e">
        <f>AND(#REF!,"EMgjTA6GyL4=")</f>
        <v>#REF!</v>
      </c>
      <c r="GJ156" t="e">
        <f>AND(#REF!,"EMgjTA6GyL8=")</f>
        <v>#REF!</v>
      </c>
      <c r="GK156" t="e">
        <f>AND(#REF!,"EMgjTA6GyMA=")</f>
        <v>#REF!</v>
      </c>
      <c r="GL156" t="e">
        <f>IF(#REF!,"EMgjTA6GyME=",0)</f>
        <v>#REF!</v>
      </c>
      <c r="GM156" t="e">
        <f>AND(#REF!,"EMgjTA6GyMI=")</f>
        <v>#REF!</v>
      </c>
      <c r="GN156" t="e">
        <f>AND(#REF!,"EMgjTA6GyMM=")</f>
        <v>#REF!</v>
      </c>
      <c r="GO156" t="e">
        <f>AND(#REF!,"EMgjTA6GyMQ=")</f>
        <v>#REF!</v>
      </c>
      <c r="GP156" t="e">
        <f>AND(#REF!,"EMgjTA6GyMU=")</f>
        <v>#REF!</v>
      </c>
      <c r="GQ156" t="e">
        <f>AND(#REF!,"EMgjTA6GyMY=")</f>
        <v>#REF!</v>
      </c>
      <c r="GR156" t="e">
        <f>AND(#REF!,"EMgjTA6GyMc=")</f>
        <v>#REF!</v>
      </c>
      <c r="GS156" t="e">
        <f>AND(#REF!,"EMgjTA6GyMg=")</f>
        <v>#REF!</v>
      </c>
      <c r="GT156" t="e">
        <f>AND(#REF!,"EMgjTA6GyMk=")</f>
        <v>#REF!</v>
      </c>
      <c r="GU156" t="e">
        <f>AND(#REF!,"EMgjTA6GyMo=")</f>
        <v>#REF!</v>
      </c>
      <c r="GV156" t="e">
        <f>AND(#REF!,"EMgjTA6GyMs=")</f>
        <v>#REF!</v>
      </c>
      <c r="GW156" t="e">
        <f>AND(#REF!,"EMgjTA6GyMw=")</f>
        <v>#REF!</v>
      </c>
      <c r="GX156" t="e">
        <f>AND(#REF!,"EMgjTA6GyM0=")</f>
        <v>#REF!</v>
      </c>
      <c r="GY156" t="e">
        <f>AND(#REF!,"EMgjTA6GyM4=")</f>
        <v>#REF!</v>
      </c>
      <c r="GZ156" t="e">
        <f>AND(#REF!,"EMgjTA6GyM8=")</f>
        <v>#REF!</v>
      </c>
      <c r="HA156" t="e">
        <f>AND(#REF!,"EMgjTA6GyNA=")</f>
        <v>#REF!</v>
      </c>
      <c r="HB156" t="e">
        <f>AND(#REF!,"EMgjTA6GyNE=")</f>
        <v>#REF!</v>
      </c>
      <c r="HC156" t="e">
        <f>AND(#REF!,"EMgjTA6GyNI=")</f>
        <v>#REF!</v>
      </c>
      <c r="HD156" t="e">
        <f>AND(#REF!,"EMgjTA6GyNM=")</f>
        <v>#REF!</v>
      </c>
      <c r="HE156" t="e">
        <f>AND(#REF!,"EMgjTA6GyNQ=")</f>
        <v>#REF!</v>
      </c>
      <c r="HF156" t="e">
        <f>IF(#REF!,"EMgjTA6GyNU=",0)</f>
        <v>#REF!</v>
      </c>
      <c r="HG156" t="e">
        <f>AND(#REF!,"EMgjTA6GyNY=")</f>
        <v>#REF!</v>
      </c>
      <c r="HH156" t="e">
        <f>AND(#REF!,"EMgjTA6GyNc=")</f>
        <v>#REF!</v>
      </c>
      <c r="HI156" t="e">
        <f>AND(#REF!,"EMgjTA6GyNg=")</f>
        <v>#REF!</v>
      </c>
      <c r="HJ156" t="e">
        <f>AND(#REF!,"EMgjTA6GyNk=")</f>
        <v>#REF!</v>
      </c>
      <c r="HK156" t="e">
        <f>AND(#REF!,"EMgjTA6GyNo=")</f>
        <v>#REF!</v>
      </c>
      <c r="HL156" t="e">
        <f>AND(#REF!,"EMgjTA6GyNs=")</f>
        <v>#REF!</v>
      </c>
      <c r="HM156" t="e">
        <f>AND(#REF!,"EMgjTA6GyNw=")</f>
        <v>#REF!</v>
      </c>
      <c r="HN156" t="e">
        <f>AND(#REF!,"EMgjTA6GyN0=")</f>
        <v>#REF!</v>
      </c>
      <c r="HO156" t="e">
        <f>AND(#REF!,"EMgjTA6GyN4=")</f>
        <v>#REF!</v>
      </c>
      <c r="HP156" t="e">
        <f>AND(#REF!,"EMgjTA6GyN8=")</f>
        <v>#REF!</v>
      </c>
      <c r="HQ156" t="e">
        <f>AND(#REF!,"EMgjTA6GyOA=")</f>
        <v>#REF!</v>
      </c>
      <c r="HR156" t="e">
        <f>AND(#REF!,"EMgjTA6GyOE=")</f>
        <v>#REF!</v>
      </c>
      <c r="HS156" t="e">
        <f>AND(#REF!,"EMgjTA6GyOI=")</f>
        <v>#REF!</v>
      </c>
      <c r="HT156" t="e">
        <f>AND(#REF!,"EMgjTA6GyOM=")</f>
        <v>#REF!</v>
      </c>
      <c r="HU156" t="e">
        <f>AND(#REF!,"EMgjTA6GyOQ=")</f>
        <v>#REF!</v>
      </c>
      <c r="HV156" t="e">
        <f>AND(#REF!,"EMgjTA6GyOU=")</f>
        <v>#REF!</v>
      </c>
      <c r="HW156" t="e">
        <f>AND(#REF!,"EMgjTA6GyOY=")</f>
        <v>#REF!</v>
      </c>
      <c r="HX156" t="e">
        <f>AND(#REF!,"EMgjTA6GyOc=")</f>
        <v>#REF!</v>
      </c>
      <c r="HY156" t="e">
        <f>AND(#REF!,"EMgjTA6GyOg=")</f>
        <v>#REF!</v>
      </c>
      <c r="HZ156" t="e">
        <f>IF(#REF!,"EMgjTA6GyOk=",0)</f>
        <v>#REF!</v>
      </c>
      <c r="IA156" t="e">
        <f>AND(#REF!,"EMgjTA6GyOo=")</f>
        <v>#REF!</v>
      </c>
      <c r="IB156" t="e">
        <f>AND(#REF!,"EMgjTA6GyOs=")</f>
        <v>#REF!</v>
      </c>
      <c r="IC156" t="e">
        <f>AND(#REF!,"EMgjTA6GyOw=")</f>
        <v>#REF!</v>
      </c>
      <c r="ID156" t="e">
        <f>AND(#REF!,"EMgjTA6GyO0=")</f>
        <v>#REF!</v>
      </c>
      <c r="IE156" t="e">
        <f>AND(#REF!,"EMgjTA6GyO4=")</f>
        <v>#REF!</v>
      </c>
      <c r="IF156" t="e">
        <f>AND(#REF!,"EMgjTA6GyO8=")</f>
        <v>#REF!</v>
      </c>
      <c r="IG156" t="e">
        <f>AND(#REF!,"EMgjTA6GyPA=")</f>
        <v>#REF!</v>
      </c>
      <c r="IH156" t="e">
        <f>AND(#REF!,"EMgjTA6GyPE=")</f>
        <v>#REF!</v>
      </c>
      <c r="II156" t="e">
        <f>AND(#REF!,"EMgjTA6GyPI=")</f>
        <v>#REF!</v>
      </c>
      <c r="IJ156" t="e">
        <f>AND(#REF!,"EMgjTA6GyPM=")</f>
        <v>#REF!</v>
      </c>
      <c r="IK156" t="e">
        <f>AND(#REF!,"EMgjTA6GyPQ=")</f>
        <v>#REF!</v>
      </c>
      <c r="IL156" t="e">
        <f>AND(#REF!,"EMgjTA6GyPU=")</f>
        <v>#REF!</v>
      </c>
      <c r="IM156" t="e">
        <f>AND(#REF!,"EMgjTA6GyPY=")</f>
        <v>#REF!</v>
      </c>
      <c r="IN156" t="e">
        <f>AND(#REF!,"EMgjTA6GyPc=")</f>
        <v>#REF!</v>
      </c>
      <c r="IO156" t="e">
        <f>AND(#REF!,"EMgjTA6GyPg=")</f>
        <v>#REF!</v>
      </c>
      <c r="IP156" t="e">
        <f>AND(#REF!,"EMgjTA6GyPk=")</f>
        <v>#REF!</v>
      </c>
      <c r="IQ156" t="e">
        <f>AND(#REF!,"EMgjTA6GyPo=")</f>
        <v>#REF!</v>
      </c>
      <c r="IR156" t="e">
        <f>AND(#REF!,"EMgjTA6GyPs=")</f>
        <v>#REF!</v>
      </c>
      <c r="IS156" t="e">
        <f>AND(#REF!,"EMgjTA6GyPw=")</f>
        <v>#REF!</v>
      </c>
      <c r="IT156" t="e">
        <f>IF(#REF!,"EMgjTA6GyP0=",0)</f>
        <v>#REF!</v>
      </c>
      <c r="IU156" t="e">
        <f>AND(#REF!,"EMgjTA6GyP4=")</f>
        <v>#REF!</v>
      </c>
      <c r="IV156" t="e">
        <f>AND(#REF!,"EMgjTA6GyP8=")</f>
        <v>#REF!</v>
      </c>
    </row>
    <row r="157" spans="1:256" x14ac:dyDescent="0.2">
      <c r="A157" t="e">
        <f>AND(#REF!,"f9W2tFIL3QA=")</f>
        <v>#REF!</v>
      </c>
      <c r="B157" t="e">
        <f>AND(#REF!,"f9W2tFIL3QE=")</f>
        <v>#REF!</v>
      </c>
      <c r="C157" t="e">
        <f>AND(#REF!,"f9W2tFIL3QI=")</f>
        <v>#REF!</v>
      </c>
      <c r="D157" t="e">
        <f>AND(#REF!,"f9W2tFIL3QM=")</f>
        <v>#REF!</v>
      </c>
      <c r="E157" t="e">
        <f>AND(#REF!,"f9W2tFIL3QQ=")</f>
        <v>#REF!</v>
      </c>
      <c r="F157" t="e">
        <f>AND(#REF!,"f9W2tFIL3QU=")</f>
        <v>#REF!</v>
      </c>
      <c r="G157" t="e">
        <f>AND(#REF!,"f9W2tFIL3QY=")</f>
        <v>#REF!</v>
      </c>
      <c r="H157" t="e">
        <f>AND(#REF!,"f9W2tFIL3Qc=")</f>
        <v>#REF!</v>
      </c>
      <c r="I157" t="e">
        <f>AND(#REF!,"f9W2tFIL3Qg=")</f>
        <v>#REF!</v>
      </c>
      <c r="J157" t="e">
        <f>AND(#REF!,"f9W2tFIL3Qk=")</f>
        <v>#REF!</v>
      </c>
      <c r="K157" t="e">
        <f>AND(#REF!,"f9W2tFIL3Qo=")</f>
        <v>#REF!</v>
      </c>
      <c r="L157" t="e">
        <f>AND(#REF!,"f9W2tFIL3Qs=")</f>
        <v>#REF!</v>
      </c>
      <c r="M157" t="e">
        <f>AND(#REF!,"f9W2tFIL3Qw=")</f>
        <v>#REF!</v>
      </c>
      <c r="N157" t="e">
        <f>AND(#REF!,"f9W2tFIL3Q0=")</f>
        <v>#REF!</v>
      </c>
      <c r="O157" t="e">
        <f>AND(#REF!,"f9W2tFIL3Q4=")</f>
        <v>#REF!</v>
      </c>
      <c r="P157" t="e">
        <f>AND(#REF!,"f9W2tFIL3Q8=")</f>
        <v>#REF!</v>
      </c>
      <c r="Q157" t="e">
        <f>AND(#REF!,"f9W2tFIL3RA=")</f>
        <v>#REF!</v>
      </c>
      <c r="R157" t="e">
        <f>IF(#REF!,"f9W2tFIL3RE=",0)</f>
        <v>#REF!</v>
      </c>
      <c r="S157" t="e">
        <f>AND(#REF!,"f9W2tFIL3RI=")</f>
        <v>#REF!</v>
      </c>
      <c r="T157" t="e">
        <f>AND(#REF!,"f9W2tFIL3RM=")</f>
        <v>#REF!</v>
      </c>
      <c r="U157" t="e">
        <f>AND(#REF!,"f9W2tFIL3RQ=")</f>
        <v>#REF!</v>
      </c>
      <c r="V157" t="e">
        <f>AND(#REF!,"f9W2tFIL3RU=")</f>
        <v>#REF!</v>
      </c>
      <c r="W157" t="e">
        <f>AND(#REF!,"f9W2tFIL3RY=")</f>
        <v>#REF!</v>
      </c>
      <c r="X157" t="e">
        <f>AND(#REF!,"f9W2tFIL3Rc=")</f>
        <v>#REF!</v>
      </c>
      <c r="Y157" t="e">
        <f>AND(#REF!,"f9W2tFIL3Rg=")</f>
        <v>#REF!</v>
      </c>
      <c r="Z157" t="e">
        <f>AND(#REF!,"f9W2tFIL3Rk=")</f>
        <v>#REF!</v>
      </c>
      <c r="AA157" t="e">
        <f>AND(#REF!,"f9W2tFIL3Ro=")</f>
        <v>#REF!</v>
      </c>
      <c r="AB157" t="e">
        <f>AND(#REF!,"f9W2tFIL3Rs=")</f>
        <v>#REF!</v>
      </c>
      <c r="AC157" t="e">
        <f>AND(#REF!,"f9W2tFIL3Rw=")</f>
        <v>#REF!</v>
      </c>
      <c r="AD157" t="e">
        <f>AND(#REF!,"f9W2tFIL3R0=")</f>
        <v>#REF!</v>
      </c>
      <c r="AE157" t="e">
        <f>AND(#REF!,"f9W2tFIL3R4=")</f>
        <v>#REF!</v>
      </c>
      <c r="AF157" t="e">
        <f>AND(#REF!,"f9W2tFIL3R8=")</f>
        <v>#REF!</v>
      </c>
      <c r="AG157" t="e">
        <f>AND(#REF!,"f9W2tFIL3SA=")</f>
        <v>#REF!</v>
      </c>
      <c r="AH157" t="e">
        <f>AND(#REF!,"f9W2tFIL3SE=")</f>
        <v>#REF!</v>
      </c>
      <c r="AI157" t="e">
        <f>AND(#REF!,"f9W2tFIL3SI=")</f>
        <v>#REF!</v>
      </c>
      <c r="AJ157" t="e">
        <f>AND(#REF!,"f9W2tFIL3SM=")</f>
        <v>#REF!</v>
      </c>
      <c r="AK157" t="e">
        <f>AND(#REF!,"f9W2tFIL3SQ=")</f>
        <v>#REF!</v>
      </c>
      <c r="AL157" t="e">
        <f>IF(#REF!,"f9W2tFIL3SU=",0)</f>
        <v>#REF!</v>
      </c>
      <c r="AM157" t="e">
        <f>AND(#REF!,"f9W2tFIL3SY=")</f>
        <v>#REF!</v>
      </c>
      <c r="AN157" t="e">
        <f>AND(#REF!,"f9W2tFIL3Sc=")</f>
        <v>#REF!</v>
      </c>
      <c r="AO157" t="e">
        <f>AND(#REF!,"f9W2tFIL3Sg=")</f>
        <v>#REF!</v>
      </c>
      <c r="AP157" t="e">
        <f>AND(#REF!,"f9W2tFIL3Sk=")</f>
        <v>#REF!</v>
      </c>
      <c r="AQ157" t="e">
        <f>AND(#REF!,"f9W2tFIL3So=")</f>
        <v>#REF!</v>
      </c>
      <c r="AR157" t="e">
        <f>AND(#REF!,"f9W2tFIL3Ss=")</f>
        <v>#REF!</v>
      </c>
      <c r="AS157" t="e">
        <f>AND(#REF!,"f9W2tFIL3Sw=")</f>
        <v>#REF!</v>
      </c>
      <c r="AT157" t="e">
        <f>AND(#REF!,"f9W2tFIL3S0=")</f>
        <v>#REF!</v>
      </c>
      <c r="AU157" t="e">
        <f>AND(#REF!,"f9W2tFIL3S4=")</f>
        <v>#REF!</v>
      </c>
      <c r="AV157" t="e">
        <f>AND(#REF!,"f9W2tFIL3S8=")</f>
        <v>#REF!</v>
      </c>
      <c r="AW157" t="e">
        <f>AND(#REF!,"f9W2tFIL3TA=")</f>
        <v>#REF!</v>
      </c>
      <c r="AX157" t="e">
        <f>AND(#REF!,"f9W2tFIL3TE=")</f>
        <v>#REF!</v>
      </c>
      <c r="AY157" t="e">
        <f>AND(#REF!,"f9W2tFIL3TI=")</f>
        <v>#REF!</v>
      </c>
      <c r="AZ157" t="e">
        <f>AND(#REF!,"f9W2tFIL3TM=")</f>
        <v>#REF!</v>
      </c>
      <c r="BA157" t="e">
        <f>AND(#REF!,"f9W2tFIL3TQ=")</f>
        <v>#REF!</v>
      </c>
      <c r="BB157" t="e">
        <f>AND(#REF!,"f9W2tFIL3TU=")</f>
        <v>#REF!</v>
      </c>
      <c r="BC157" t="e">
        <f>AND(#REF!,"f9W2tFIL3TY=")</f>
        <v>#REF!</v>
      </c>
      <c r="BD157" t="e">
        <f>AND(#REF!,"f9W2tFIL3Tc=")</f>
        <v>#REF!</v>
      </c>
      <c r="BE157" t="e">
        <f>AND(#REF!,"f9W2tFIL3Tg=")</f>
        <v>#REF!</v>
      </c>
      <c r="BF157" t="e">
        <f>IF(#REF!,"f9W2tFIL3Tk=",0)</f>
        <v>#REF!</v>
      </c>
      <c r="BG157" t="e">
        <f>AND(#REF!,"f9W2tFIL3To=")</f>
        <v>#REF!</v>
      </c>
      <c r="BH157" t="e">
        <f>AND(#REF!,"f9W2tFIL3Ts=")</f>
        <v>#REF!</v>
      </c>
      <c r="BI157" t="e">
        <f>AND(#REF!,"f9W2tFIL3Tw=")</f>
        <v>#REF!</v>
      </c>
      <c r="BJ157" t="e">
        <f>AND(#REF!,"f9W2tFIL3T0=")</f>
        <v>#REF!</v>
      </c>
      <c r="BK157" t="e">
        <f>AND(#REF!,"f9W2tFIL3T4=")</f>
        <v>#REF!</v>
      </c>
      <c r="BL157" t="e">
        <f>AND(#REF!,"f9W2tFIL3T8=")</f>
        <v>#REF!</v>
      </c>
      <c r="BM157" t="e">
        <f>AND(#REF!,"f9W2tFIL3UA=")</f>
        <v>#REF!</v>
      </c>
      <c r="BN157" t="e">
        <f>AND(#REF!,"f9W2tFIL3UE=")</f>
        <v>#REF!</v>
      </c>
      <c r="BO157" t="e">
        <f>AND(#REF!,"f9W2tFIL3UI=")</f>
        <v>#REF!</v>
      </c>
      <c r="BP157" t="e">
        <f>AND(#REF!,"f9W2tFIL3UM=")</f>
        <v>#REF!</v>
      </c>
      <c r="BQ157" t="e">
        <f>AND(#REF!,"f9W2tFIL3UQ=")</f>
        <v>#REF!</v>
      </c>
      <c r="BR157" t="e">
        <f>AND(#REF!,"f9W2tFIL3UU=")</f>
        <v>#REF!</v>
      </c>
      <c r="BS157" t="e">
        <f>AND(#REF!,"f9W2tFIL3UY=")</f>
        <v>#REF!</v>
      </c>
      <c r="BT157" t="e">
        <f>AND(#REF!,"f9W2tFIL3Uc=")</f>
        <v>#REF!</v>
      </c>
      <c r="BU157" t="e">
        <f>AND(#REF!,"f9W2tFIL3Ug=")</f>
        <v>#REF!</v>
      </c>
      <c r="BV157" t="e">
        <f>AND(#REF!,"f9W2tFIL3Uk=")</f>
        <v>#REF!</v>
      </c>
      <c r="BW157" t="e">
        <f>AND(#REF!,"f9W2tFIL3Uo=")</f>
        <v>#REF!</v>
      </c>
      <c r="BX157" t="e">
        <f>AND(#REF!,"f9W2tFIL3Us=")</f>
        <v>#REF!</v>
      </c>
      <c r="BY157" t="e">
        <f>AND(#REF!,"f9W2tFIL3Uw=")</f>
        <v>#REF!</v>
      </c>
      <c r="BZ157" t="e">
        <f>IF(#REF!,"f9W2tFIL3U0=",0)</f>
        <v>#REF!</v>
      </c>
      <c r="CA157" t="e">
        <f>AND(#REF!,"f9W2tFIL3U4=")</f>
        <v>#REF!</v>
      </c>
      <c r="CB157" t="e">
        <f>AND(#REF!,"f9W2tFIL3U8=")</f>
        <v>#REF!</v>
      </c>
      <c r="CC157" t="e">
        <f>AND(#REF!,"f9W2tFIL3VA=")</f>
        <v>#REF!</v>
      </c>
      <c r="CD157" t="e">
        <f>AND(#REF!,"f9W2tFIL3VE=")</f>
        <v>#REF!</v>
      </c>
      <c r="CE157" t="e">
        <f>AND(#REF!,"f9W2tFIL3VI=")</f>
        <v>#REF!</v>
      </c>
      <c r="CF157" t="e">
        <f>AND(#REF!,"f9W2tFIL3VM=")</f>
        <v>#REF!</v>
      </c>
      <c r="CG157" t="e">
        <f>AND(#REF!,"f9W2tFIL3VQ=")</f>
        <v>#REF!</v>
      </c>
      <c r="CH157" t="e">
        <f>AND(#REF!,"f9W2tFIL3VU=")</f>
        <v>#REF!</v>
      </c>
      <c r="CI157" t="e">
        <f>AND(#REF!,"f9W2tFIL3VY=")</f>
        <v>#REF!</v>
      </c>
      <c r="CJ157" t="e">
        <f>AND(#REF!,"f9W2tFIL3Vc=")</f>
        <v>#REF!</v>
      </c>
      <c r="CK157" t="e">
        <f>AND(#REF!,"f9W2tFIL3Vg=")</f>
        <v>#REF!</v>
      </c>
      <c r="CL157" t="e">
        <f>AND(#REF!,"f9W2tFIL3Vk=")</f>
        <v>#REF!</v>
      </c>
      <c r="CM157" t="e">
        <f>AND(#REF!,"f9W2tFIL3Vo=")</f>
        <v>#REF!</v>
      </c>
      <c r="CN157" t="e">
        <f>AND(#REF!,"f9W2tFIL3Vs=")</f>
        <v>#REF!</v>
      </c>
      <c r="CO157" t="e">
        <f>AND(#REF!,"f9W2tFIL3Vw=")</f>
        <v>#REF!</v>
      </c>
      <c r="CP157" t="e">
        <f>AND(#REF!,"f9W2tFIL3V0=")</f>
        <v>#REF!</v>
      </c>
      <c r="CQ157" t="e">
        <f>AND(#REF!,"f9W2tFIL3V4=")</f>
        <v>#REF!</v>
      </c>
      <c r="CR157" t="e">
        <f>AND(#REF!,"f9W2tFIL3V8=")</f>
        <v>#REF!</v>
      </c>
      <c r="CS157" t="e">
        <f>AND(#REF!,"f9W2tFIL3WA=")</f>
        <v>#REF!</v>
      </c>
      <c r="CT157" t="e">
        <f>IF(#REF!,"f9W2tFIL3WE=",0)</f>
        <v>#REF!</v>
      </c>
      <c r="CU157" t="e">
        <f>AND(#REF!,"f9W2tFIL3WI=")</f>
        <v>#REF!</v>
      </c>
      <c r="CV157" t="e">
        <f>AND(#REF!,"f9W2tFIL3WM=")</f>
        <v>#REF!</v>
      </c>
      <c r="CW157" t="e">
        <f>AND(#REF!,"f9W2tFIL3WQ=")</f>
        <v>#REF!</v>
      </c>
      <c r="CX157" t="e">
        <f>AND(#REF!,"f9W2tFIL3WU=")</f>
        <v>#REF!</v>
      </c>
      <c r="CY157" t="e">
        <f>AND(#REF!,"f9W2tFIL3WY=")</f>
        <v>#REF!</v>
      </c>
      <c r="CZ157" t="e">
        <f>AND(#REF!,"f9W2tFIL3Wc=")</f>
        <v>#REF!</v>
      </c>
      <c r="DA157" t="e">
        <f>AND(#REF!,"f9W2tFIL3Wg=")</f>
        <v>#REF!</v>
      </c>
      <c r="DB157" t="e">
        <f>AND(#REF!,"f9W2tFIL3Wk=")</f>
        <v>#REF!</v>
      </c>
      <c r="DC157" t="e">
        <f>AND(#REF!,"f9W2tFIL3Wo=")</f>
        <v>#REF!</v>
      </c>
      <c r="DD157" t="e">
        <f>AND(#REF!,"f9W2tFIL3Ws=")</f>
        <v>#REF!</v>
      </c>
      <c r="DE157" t="e">
        <f>AND(#REF!,"f9W2tFIL3Ww=")</f>
        <v>#REF!</v>
      </c>
      <c r="DF157" t="e">
        <f>AND(#REF!,"f9W2tFIL3W0=")</f>
        <v>#REF!</v>
      </c>
      <c r="DG157" t="e">
        <f>AND(#REF!,"f9W2tFIL3W4=")</f>
        <v>#REF!</v>
      </c>
      <c r="DH157" t="e">
        <f>AND(#REF!,"f9W2tFIL3W8=")</f>
        <v>#REF!</v>
      </c>
      <c r="DI157" t="e">
        <f>AND(#REF!,"f9W2tFIL3XA=")</f>
        <v>#REF!</v>
      </c>
      <c r="DJ157" t="e">
        <f>AND(#REF!,"f9W2tFIL3XE=")</f>
        <v>#REF!</v>
      </c>
      <c r="DK157" t="e">
        <f>AND(#REF!,"f9W2tFIL3XI=")</f>
        <v>#REF!</v>
      </c>
      <c r="DL157" t="e">
        <f>AND(#REF!,"f9W2tFIL3XM=")</f>
        <v>#REF!</v>
      </c>
      <c r="DM157" t="e">
        <f>AND(#REF!,"f9W2tFIL3XQ=")</f>
        <v>#REF!</v>
      </c>
      <c r="DN157" t="e">
        <f>IF(#REF!,"f9W2tFIL3XU=",0)</f>
        <v>#REF!</v>
      </c>
      <c r="DO157" t="e">
        <f>AND(#REF!,"f9W2tFIL3XY=")</f>
        <v>#REF!</v>
      </c>
      <c r="DP157" t="e">
        <f>AND(#REF!,"f9W2tFIL3Xc=")</f>
        <v>#REF!</v>
      </c>
      <c r="DQ157" t="e">
        <f>AND(#REF!,"f9W2tFIL3Xg=")</f>
        <v>#REF!</v>
      </c>
      <c r="DR157" t="e">
        <f>AND(#REF!,"f9W2tFIL3Xk=")</f>
        <v>#REF!</v>
      </c>
      <c r="DS157" t="e">
        <f>AND(#REF!,"f9W2tFIL3Xo=")</f>
        <v>#REF!</v>
      </c>
      <c r="DT157" t="e">
        <f>AND(#REF!,"f9W2tFIL3Xs=")</f>
        <v>#REF!</v>
      </c>
      <c r="DU157" t="e">
        <f>AND(#REF!,"f9W2tFIL3Xw=")</f>
        <v>#REF!</v>
      </c>
      <c r="DV157" t="e">
        <f>AND(#REF!,"f9W2tFIL3X0=")</f>
        <v>#REF!</v>
      </c>
      <c r="DW157" t="e">
        <f>AND(#REF!,"f9W2tFIL3X4=")</f>
        <v>#REF!</v>
      </c>
      <c r="DX157" t="e">
        <f>AND(#REF!,"f9W2tFIL3X8=")</f>
        <v>#REF!</v>
      </c>
      <c r="DY157" t="e">
        <f>AND(#REF!,"f9W2tFIL3YA=")</f>
        <v>#REF!</v>
      </c>
      <c r="DZ157" t="e">
        <f>AND(#REF!,"f9W2tFIL3YE=")</f>
        <v>#REF!</v>
      </c>
      <c r="EA157" t="e">
        <f>AND(#REF!,"f9W2tFIL3YI=")</f>
        <v>#REF!</v>
      </c>
      <c r="EB157" t="e">
        <f>AND(#REF!,"f9W2tFIL3YM=")</f>
        <v>#REF!</v>
      </c>
      <c r="EC157" t="e">
        <f>AND(#REF!,"f9W2tFIL3YQ=")</f>
        <v>#REF!</v>
      </c>
      <c r="ED157" t="e">
        <f>AND(#REF!,"f9W2tFIL3YU=")</f>
        <v>#REF!</v>
      </c>
      <c r="EE157" t="e">
        <f>AND(#REF!,"f9W2tFIL3YY=")</f>
        <v>#REF!</v>
      </c>
      <c r="EF157" t="e">
        <f>AND(#REF!,"f9W2tFIL3Yc=")</f>
        <v>#REF!</v>
      </c>
      <c r="EG157" t="e">
        <f>AND(#REF!,"f9W2tFIL3Yg=")</f>
        <v>#REF!</v>
      </c>
      <c r="EH157" t="e">
        <f>IF(#REF!,"f9W2tFIL3Yk=",0)</f>
        <v>#REF!</v>
      </c>
      <c r="EI157" t="e">
        <f>AND(#REF!,"f9W2tFIL3Yo=")</f>
        <v>#REF!</v>
      </c>
      <c r="EJ157" t="e">
        <f>AND(#REF!,"f9W2tFIL3Ys=")</f>
        <v>#REF!</v>
      </c>
      <c r="EK157" t="e">
        <f>AND(#REF!,"f9W2tFIL3Yw=")</f>
        <v>#REF!</v>
      </c>
      <c r="EL157" t="e">
        <f>AND(#REF!,"f9W2tFIL3Y0=")</f>
        <v>#REF!</v>
      </c>
      <c r="EM157" t="e">
        <f>AND(#REF!,"f9W2tFIL3Y4=")</f>
        <v>#REF!</v>
      </c>
      <c r="EN157" t="e">
        <f>AND(#REF!,"f9W2tFIL3Y8=")</f>
        <v>#REF!</v>
      </c>
      <c r="EO157" t="e">
        <f>AND(#REF!,"f9W2tFIL3ZA=")</f>
        <v>#REF!</v>
      </c>
      <c r="EP157" t="e">
        <f>AND(#REF!,"f9W2tFIL3ZE=")</f>
        <v>#REF!</v>
      </c>
      <c r="EQ157" t="e">
        <f>AND(#REF!,"f9W2tFIL3ZI=")</f>
        <v>#REF!</v>
      </c>
      <c r="ER157" t="e">
        <f>AND(#REF!,"f9W2tFIL3ZM=")</f>
        <v>#REF!</v>
      </c>
      <c r="ES157" t="e">
        <f>AND(#REF!,"f9W2tFIL3ZQ=")</f>
        <v>#REF!</v>
      </c>
      <c r="ET157" t="e">
        <f>AND(#REF!,"f9W2tFIL3ZU=")</f>
        <v>#REF!</v>
      </c>
      <c r="EU157" t="e">
        <f>AND(#REF!,"f9W2tFIL3ZY=")</f>
        <v>#REF!</v>
      </c>
      <c r="EV157" t="e">
        <f>AND(#REF!,"f9W2tFIL3Zc=")</f>
        <v>#REF!</v>
      </c>
      <c r="EW157" t="e">
        <f>AND(#REF!,"f9W2tFIL3Zg=")</f>
        <v>#REF!</v>
      </c>
      <c r="EX157" t="e">
        <f>AND(#REF!,"f9W2tFIL3Zk=")</f>
        <v>#REF!</v>
      </c>
      <c r="EY157" t="e">
        <f>AND(#REF!,"f9W2tFIL3Zo=")</f>
        <v>#REF!</v>
      </c>
      <c r="EZ157" t="e">
        <f>AND(#REF!,"f9W2tFIL3Zs=")</f>
        <v>#REF!</v>
      </c>
      <c r="FA157" t="e">
        <f>AND(#REF!,"f9W2tFIL3Zw=")</f>
        <v>#REF!</v>
      </c>
      <c r="FB157" t="e">
        <f>IF(#REF!,"f9W2tFIL3Z0=",0)</f>
        <v>#REF!</v>
      </c>
      <c r="FC157" t="e">
        <f>AND(#REF!,"f9W2tFIL3Z4=")</f>
        <v>#REF!</v>
      </c>
      <c r="FD157" t="e">
        <f>AND(#REF!,"f9W2tFIL3Z8=")</f>
        <v>#REF!</v>
      </c>
      <c r="FE157" t="e">
        <f>AND(#REF!,"f9W2tFIL3aA=")</f>
        <v>#REF!</v>
      </c>
      <c r="FF157" t="e">
        <f>AND(#REF!,"f9W2tFIL3aE=")</f>
        <v>#REF!</v>
      </c>
      <c r="FG157" t="e">
        <f>AND(#REF!,"f9W2tFIL3aI=")</f>
        <v>#REF!</v>
      </c>
      <c r="FH157" t="e">
        <f>AND(#REF!,"f9W2tFIL3aM=")</f>
        <v>#REF!</v>
      </c>
      <c r="FI157" t="e">
        <f>AND(#REF!,"f9W2tFIL3aQ=")</f>
        <v>#REF!</v>
      </c>
      <c r="FJ157" t="e">
        <f>AND(#REF!,"f9W2tFIL3aU=")</f>
        <v>#REF!</v>
      </c>
      <c r="FK157" t="e">
        <f>AND(#REF!,"f9W2tFIL3aY=")</f>
        <v>#REF!</v>
      </c>
      <c r="FL157" t="e">
        <f>AND(#REF!,"f9W2tFIL3ac=")</f>
        <v>#REF!</v>
      </c>
      <c r="FM157" t="e">
        <f>AND(#REF!,"f9W2tFIL3ag=")</f>
        <v>#REF!</v>
      </c>
      <c r="FN157" t="e">
        <f>AND(#REF!,"f9W2tFIL3ak=")</f>
        <v>#REF!</v>
      </c>
      <c r="FO157" t="e">
        <f>AND(#REF!,"f9W2tFIL3ao=")</f>
        <v>#REF!</v>
      </c>
      <c r="FP157" t="e">
        <f>AND(#REF!,"f9W2tFIL3as=")</f>
        <v>#REF!</v>
      </c>
      <c r="FQ157" t="e">
        <f>AND(#REF!,"f9W2tFIL3aw=")</f>
        <v>#REF!</v>
      </c>
      <c r="FR157" t="e">
        <f>AND(#REF!,"f9W2tFIL3a0=")</f>
        <v>#REF!</v>
      </c>
      <c r="FS157" t="e">
        <f>AND(#REF!,"f9W2tFIL3a4=")</f>
        <v>#REF!</v>
      </c>
      <c r="FT157" t="e">
        <f>AND(#REF!,"f9W2tFIL3a8=")</f>
        <v>#REF!</v>
      </c>
      <c r="FU157" t="e">
        <f>AND(#REF!,"f9W2tFIL3bA=")</f>
        <v>#REF!</v>
      </c>
      <c r="FV157" t="e">
        <f>IF(#REF!,"f9W2tFIL3bE=",0)</f>
        <v>#REF!</v>
      </c>
      <c r="FW157" t="e">
        <f>AND(#REF!,"f9W2tFIL3bI=")</f>
        <v>#REF!</v>
      </c>
      <c r="FX157" t="e">
        <f>AND(#REF!,"f9W2tFIL3bM=")</f>
        <v>#REF!</v>
      </c>
      <c r="FY157" t="e">
        <f>AND(#REF!,"f9W2tFIL3bQ=")</f>
        <v>#REF!</v>
      </c>
      <c r="FZ157" t="e">
        <f>AND(#REF!,"f9W2tFIL3bU=")</f>
        <v>#REF!</v>
      </c>
      <c r="GA157" t="e">
        <f>AND(#REF!,"f9W2tFIL3bY=")</f>
        <v>#REF!</v>
      </c>
      <c r="GB157" t="e">
        <f>AND(#REF!,"f9W2tFIL3bc=")</f>
        <v>#REF!</v>
      </c>
      <c r="GC157" t="e">
        <f>AND(#REF!,"f9W2tFIL3bg=")</f>
        <v>#REF!</v>
      </c>
      <c r="GD157" t="e">
        <f>AND(#REF!,"f9W2tFIL3bk=")</f>
        <v>#REF!</v>
      </c>
      <c r="GE157" t="e">
        <f>AND(#REF!,"f9W2tFIL3bo=")</f>
        <v>#REF!</v>
      </c>
      <c r="GF157" t="e">
        <f>AND(#REF!,"f9W2tFIL3bs=")</f>
        <v>#REF!</v>
      </c>
      <c r="GG157" t="e">
        <f>AND(#REF!,"f9W2tFIL3bw=")</f>
        <v>#REF!</v>
      </c>
      <c r="GH157" t="e">
        <f>AND(#REF!,"f9W2tFIL3b0=")</f>
        <v>#REF!</v>
      </c>
      <c r="GI157" t="e">
        <f>AND(#REF!,"f9W2tFIL3b4=")</f>
        <v>#REF!</v>
      </c>
      <c r="GJ157" t="e">
        <f>AND(#REF!,"f9W2tFIL3b8=")</f>
        <v>#REF!</v>
      </c>
      <c r="GK157" t="e">
        <f>AND(#REF!,"f9W2tFIL3cA=")</f>
        <v>#REF!</v>
      </c>
      <c r="GL157" t="e">
        <f>AND(#REF!,"f9W2tFIL3cE=")</f>
        <v>#REF!</v>
      </c>
      <c r="GM157" t="e">
        <f>AND(#REF!,"f9W2tFIL3cI=")</f>
        <v>#REF!</v>
      </c>
      <c r="GN157" t="e">
        <f>AND(#REF!,"f9W2tFIL3cM=")</f>
        <v>#REF!</v>
      </c>
      <c r="GO157" t="e">
        <f>AND(#REF!,"f9W2tFIL3cQ=")</f>
        <v>#REF!</v>
      </c>
      <c r="GP157" t="e">
        <f>IF(#REF!,"f9W2tFIL3cU=",0)</f>
        <v>#REF!</v>
      </c>
      <c r="GQ157" t="e">
        <f>AND(#REF!,"f9W2tFIL3cY=")</f>
        <v>#REF!</v>
      </c>
      <c r="GR157" t="e">
        <f>AND(#REF!,"f9W2tFIL3cc=")</f>
        <v>#REF!</v>
      </c>
      <c r="GS157" t="e">
        <f>AND(#REF!,"f9W2tFIL3cg=")</f>
        <v>#REF!</v>
      </c>
      <c r="GT157" t="e">
        <f>AND(#REF!,"f9W2tFIL3ck=")</f>
        <v>#REF!</v>
      </c>
      <c r="GU157" t="e">
        <f>AND(#REF!,"f9W2tFIL3co=")</f>
        <v>#REF!</v>
      </c>
      <c r="GV157" t="e">
        <f>AND(#REF!,"f9W2tFIL3cs=")</f>
        <v>#REF!</v>
      </c>
      <c r="GW157" t="e">
        <f>AND(#REF!,"f9W2tFIL3cw=")</f>
        <v>#REF!</v>
      </c>
      <c r="GX157" t="e">
        <f>AND(#REF!,"f9W2tFIL3c0=")</f>
        <v>#REF!</v>
      </c>
      <c r="GY157" t="e">
        <f>AND(#REF!,"f9W2tFIL3c4=")</f>
        <v>#REF!</v>
      </c>
      <c r="GZ157" t="e">
        <f>AND(#REF!,"f9W2tFIL3c8=")</f>
        <v>#REF!</v>
      </c>
      <c r="HA157" t="e">
        <f>AND(#REF!,"f9W2tFIL3dA=")</f>
        <v>#REF!</v>
      </c>
      <c r="HB157" t="e">
        <f>AND(#REF!,"f9W2tFIL3dE=")</f>
        <v>#REF!</v>
      </c>
      <c r="HC157" t="e">
        <f>AND(#REF!,"f9W2tFIL3dI=")</f>
        <v>#REF!</v>
      </c>
      <c r="HD157" t="e">
        <f>AND(#REF!,"f9W2tFIL3dM=")</f>
        <v>#REF!</v>
      </c>
      <c r="HE157" t="e">
        <f>AND(#REF!,"f9W2tFIL3dQ=")</f>
        <v>#REF!</v>
      </c>
      <c r="HF157" t="e">
        <f>AND(#REF!,"f9W2tFIL3dU=")</f>
        <v>#REF!</v>
      </c>
      <c r="HG157" t="e">
        <f>AND(#REF!,"f9W2tFIL3dY=")</f>
        <v>#REF!</v>
      </c>
      <c r="HH157" t="e">
        <f>AND(#REF!,"f9W2tFIL3dc=")</f>
        <v>#REF!</v>
      </c>
      <c r="HI157" t="e">
        <f>AND(#REF!,"f9W2tFIL3dg=")</f>
        <v>#REF!</v>
      </c>
      <c r="HJ157" t="e">
        <f>IF(#REF!,"f9W2tFIL3dk=",0)</f>
        <v>#REF!</v>
      </c>
      <c r="HK157" t="e">
        <f>AND(#REF!,"f9W2tFIL3do=")</f>
        <v>#REF!</v>
      </c>
      <c r="HL157" t="e">
        <f>AND(#REF!,"f9W2tFIL3ds=")</f>
        <v>#REF!</v>
      </c>
      <c r="HM157" t="e">
        <f>AND(#REF!,"f9W2tFIL3dw=")</f>
        <v>#REF!</v>
      </c>
      <c r="HN157" t="e">
        <f>AND(#REF!,"f9W2tFIL3d0=")</f>
        <v>#REF!</v>
      </c>
      <c r="HO157" t="e">
        <f>AND(#REF!,"f9W2tFIL3d4=")</f>
        <v>#REF!</v>
      </c>
      <c r="HP157" t="e">
        <f>AND(#REF!,"f9W2tFIL3d8=")</f>
        <v>#REF!</v>
      </c>
      <c r="HQ157" t="e">
        <f>AND(#REF!,"f9W2tFIL3eA=")</f>
        <v>#REF!</v>
      </c>
      <c r="HR157" t="e">
        <f>AND(#REF!,"f9W2tFIL3eE=")</f>
        <v>#REF!</v>
      </c>
      <c r="HS157" t="e">
        <f>AND(#REF!,"f9W2tFIL3eI=")</f>
        <v>#REF!</v>
      </c>
      <c r="HT157" t="e">
        <f>AND(#REF!,"f9W2tFIL3eM=")</f>
        <v>#REF!</v>
      </c>
      <c r="HU157" t="e">
        <f>AND(#REF!,"f9W2tFIL3eQ=")</f>
        <v>#REF!</v>
      </c>
      <c r="HV157" t="e">
        <f>AND(#REF!,"f9W2tFIL3eU=")</f>
        <v>#REF!</v>
      </c>
      <c r="HW157" t="e">
        <f>AND(#REF!,"f9W2tFIL3eY=")</f>
        <v>#REF!</v>
      </c>
      <c r="HX157" t="e">
        <f>AND(#REF!,"f9W2tFIL3ec=")</f>
        <v>#REF!</v>
      </c>
      <c r="HY157" t="e">
        <f>AND(#REF!,"f9W2tFIL3eg=")</f>
        <v>#REF!</v>
      </c>
      <c r="HZ157" t="e">
        <f>AND(#REF!,"f9W2tFIL3ek=")</f>
        <v>#REF!</v>
      </c>
      <c r="IA157" t="e">
        <f>AND(#REF!,"f9W2tFIL3eo=")</f>
        <v>#REF!</v>
      </c>
      <c r="IB157" t="e">
        <f>AND(#REF!,"f9W2tFIL3es=")</f>
        <v>#REF!</v>
      </c>
      <c r="IC157" t="e">
        <f>AND(#REF!,"f9W2tFIL3ew=")</f>
        <v>#REF!</v>
      </c>
      <c r="ID157" t="e">
        <f>IF(#REF!,"f9W2tFIL3e0=",0)</f>
        <v>#REF!</v>
      </c>
      <c r="IE157" t="e">
        <f>AND(#REF!,"f9W2tFIL3e4=")</f>
        <v>#REF!</v>
      </c>
      <c r="IF157" t="e">
        <f>AND(#REF!,"f9W2tFIL3e8=")</f>
        <v>#REF!</v>
      </c>
      <c r="IG157" t="e">
        <f>AND(#REF!,"f9W2tFIL3fA=")</f>
        <v>#REF!</v>
      </c>
      <c r="IH157" t="e">
        <f>AND(#REF!,"f9W2tFIL3fE=")</f>
        <v>#REF!</v>
      </c>
      <c r="II157" t="e">
        <f>AND(#REF!,"f9W2tFIL3fI=")</f>
        <v>#REF!</v>
      </c>
      <c r="IJ157" t="e">
        <f>AND(#REF!,"f9W2tFIL3fM=")</f>
        <v>#REF!</v>
      </c>
      <c r="IK157" t="e">
        <f>AND(#REF!,"f9W2tFIL3fQ=")</f>
        <v>#REF!</v>
      </c>
      <c r="IL157" t="e">
        <f>AND(#REF!,"f9W2tFIL3fU=")</f>
        <v>#REF!</v>
      </c>
      <c r="IM157" t="e">
        <f>AND(#REF!,"f9W2tFIL3fY=")</f>
        <v>#REF!</v>
      </c>
      <c r="IN157" t="e">
        <f>AND(#REF!,"f9W2tFIL3fc=")</f>
        <v>#REF!</v>
      </c>
      <c r="IO157" t="e">
        <f>AND(#REF!,"f9W2tFIL3fg=")</f>
        <v>#REF!</v>
      </c>
      <c r="IP157" t="e">
        <f>AND(#REF!,"f9W2tFIL3fk=")</f>
        <v>#REF!</v>
      </c>
      <c r="IQ157" t="e">
        <f>AND(#REF!,"f9W2tFIL3fo=")</f>
        <v>#REF!</v>
      </c>
      <c r="IR157" t="e">
        <f>AND(#REF!,"f9W2tFIL3fs=")</f>
        <v>#REF!</v>
      </c>
      <c r="IS157" t="e">
        <f>AND(#REF!,"f9W2tFIL3fw=")</f>
        <v>#REF!</v>
      </c>
      <c r="IT157" t="e">
        <f>AND(#REF!,"f9W2tFIL3f0=")</f>
        <v>#REF!</v>
      </c>
      <c r="IU157" t="e">
        <f>AND(#REF!,"f9W2tFIL3f4=")</f>
        <v>#REF!</v>
      </c>
      <c r="IV157" t="e">
        <f>AND(#REF!,"f9W2tFIL3f8=")</f>
        <v>#REF!</v>
      </c>
    </row>
    <row r="158" spans="1:256" x14ac:dyDescent="0.2">
      <c r="A158" t="e">
        <f>AND(#REF!,"SjzdAWq4kAA=")</f>
        <v>#REF!</v>
      </c>
      <c r="B158" t="e">
        <f>IF(#REF!,"SjzdAWq4kAE=",0)</f>
        <v>#REF!</v>
      </c>
      <c r="C158" t="e">
        <f>AND(#REF!,"SjzdAWq4kAI=")</f>
        <v>#REF!</v>
      </c>
      <c r="D158" t="e">
        <f>AND(#REF!,"SjzdAWq4kAM=")</f>
        <v>#REF!</v>
      </c>
      <c r="E158" t="e">
        <f>AND(#REF!,"SjzdAWq4kAQ=")</f>
        <v>#REF!</v>
      </c>
      <c r="F158" t="e">
        <f>AND(#REF!,"SjzdAWq4kAU=")</f>
        <v>#REF!</v>
      </c>
      <c r="G158" t="e">
        <f>AND(#REF!,"SjzdAWq4kAY=")</f>
        <v>#REF!</v>
      </c>
      <c r="H158" t="e">
        <f>AND(#REF!,"SjzdAWq4kAc=")</f>
        <v>#REF!</v>
      </c>
      <c r="I158" t="e">
        <f>AND(#REF!,"SjzdAWq4kAg=")</f>
        <v>#REF!</v>
      </c>
      <c r="J158" t="e">
        <f>AND(#REF!,"SjzdAWq4kAk=")</f>
        <v>#REF!</v>
      </c>
      <c r="K158" t="e">
        <f>AND(#REF!,"SjzdAWq4kAo=")</f>
        <v>#REF!</v>
      </c>
      <c r="L158" t="e">
        <f>AND(#REF!,"SjzdAWq4kAs=")</f>
        <v>#REF!</v>
      </c>
      <c r="M158" t="e">
        <f>AND(#REF!,"SjzdAWq4kAw=")</f>
        <v>#REF!</v>
      </c>
      <c r="N158" t="e">
        <f>AND(#REF!,"SjzdAWq4kA0=")</f>
        <v>#REF!</v>
      </c>
      <c r="O158" t="e">
        <f>AND(#REF!,"SjzdAWq4kA4=")</f>
        <v>#REF!</v>
      </c>
      <c r="P158" t="e">
        <f>AND(#REF!,"SjzdAWq4kA8=")</f>
        <v>#REF!</v>
      </c>
      <c r="Q158" t="e">
        <f>AND(#REF!,"SjzdAWq4kBA=")</f>
        <v>#REF!</v>
      </c>
      <c r="R158" t="e">
        <f>AND(#REF!,"SjzdAWq4kBE=")</f>
        <v>#REF!</v>
      </c>
      <c r="S158" t="e">
        <f>AND(#REF!,"SjzdAWq4kBI=")</f>
        <v>#REF!</v>
      </c>
      <c r="T158" t="e">
        <f>AND(#REF!,"SjzdAWq4kBM=")</f>
        <v>#REF!</v>
      </c>
      <c r="U158" t="e">
        <f>AND(#REF!,"SjzdAWq4kBQ=")</f>
        <v>#REF!</v>
      </c>
      <c r="V158" t="e">
        <f>IF(#REF!,"SjzdAWq4kBU=",0)</f>
        <v>#REF!</v>
      </c>
      <c r="W158" t="e">
        <f>AND(#REF!,"SjzdAWq4kBY=")</f>
        <v>#REF!</v>
      </c>
      <c r="X158" t="e">
        <f>AND(#REF!,"SjzdAWq4kBc=")</f>
        <v>#REF!</v>
      </c>
      <c r="Y158" t="e">
        <f>AND(#REF!,"SjzdAWq4kBg=")</f>
        <v>#REF!</v>
      </c>
      <c r="Z158" t="e">
        <f>AND(#REF!,"SjzdAWq4kBk=")</f>
        <v>#REF!</v>
      </c>
      <c r="AA158" t="e">
        <f>AND(#REF!,"SjzdAWq4kBo=")</f>
        <v>#REF!</v>
      </c>
      <c r="AB158" t="e">
        <f>AND(#REF!,"SjzdAWq4kBs=")</f>
        <v>#REF!</v>
      </c>
      <c r="AC158" t="e">
        <f>AND(#REF!,"SjzdAWq4kBw=")</f>
        <v>#REF!</v>
      </c>
      <c r="AD158" t="e">
        <f>AND(#REF!,"SjzdAWq4kB0=")</f>
        <v>#REF!</v>
      </c>
      <c r="AE158" t="e">
        <f>AND(#REF!,"SjzdAWq4kB4=")</f>
        <v>#REF!</v>
      </c>
      <c r="AF158" t="e">
        <f>AND(#REF!,"SjzdAWq4kB8=")</f>
        <v>#REF!</v>
      </c>
      <c r="AG158" t="e">
        <f>AND(#REF!,"SjzdAWq4kCA=")</f>
        <v>#REF!</v>
      </c>
      <c r="AH158" t="e">
        <f>AND(#REF!,"SjzdAWq4kCE=")</f>
        <v>#REF!</v>
      </c>
      <c r="AI158" t="e">
        <f>AND(#REF!,"SjzdAWq4kCI=")</f>
        <v>#REF!</v>
      </c>
      <c r="AJ158" t="e">
        <f>AND(#REF!,"SjzdAWq4kCM=")</f>
        <v>#REF!</v>
      </c>
      <c r="AK158" t="e">
        <f>AND(#REF!,"SjzdAWq4kCQ=")</f>
        <v>#REF!</v>
      </c>
      <c r="AL158" t="e">
        <f>AND(#REF!,"SjzdAWq4kCU=")</f>
        <v>#REF!</v>
      </c>
      <c r="AM158" t="e">
        <f>AND(#REF!,"SjzdAWq4kCY=")</f>
        <v>#REF!</v>
      </c>
      <c r="AN158" t="e">
        <f>AND(#REF!,"SjzdAWq4kCc=")</f>
        <v>#REF!</v>
      </c>
      <c r="AO158" t="e">
        <f>AND(#REF!,"SjzdAWq4kCg=")</f>
        <v>#REF!</v>
      </c>
      <c r="AP158" t="e">
        <f>IF(#REF!,"SjzdAWq4kCk=",0)</f>
        <v>#REF!</v>
      </c>
      <c r="AQ158" t="e">
        <f>AND(#REF!,"SjzdAWq4kCo=")</f>
        <v>#REF!</v>
      </c>
      <c r="AR158" t="e">
        <f>AND(#REF!,"SjzdAWq4kCs=")</f>
        <v>#REF!</v>
      </c>
      <c r="AS158" t="e">
        <f>AND(#REF!,"SjzdAWq4kCw=")</f>
        <v>#REF!</v>
      </c>
      <c r="AT158" t="e">
        <f>AND(#REF!,"SjzdAWq4kC0=")</f>
        <v>#REF!</v>
      </c>
      <c r="AU158" t="e">
        <f>AND(#REF!,"SjzdAWq4kC4=")</f>
        <v>#REF!</v>
      </c>
      <c r="AV158" t="e">
        <f>AND(#REF!,"SjzdAWq4kC8=")</f>
        <v>#REF!</v>
      </c>
      <c r="AW158" t="e">
        <f>AND(#REF!,"SjzdAWq4kDA=")</f>
        <v>#REF!</v>
      </c>
      <c r="AX158" t="e">
        <f>AND(#REF!,"SjzdAWq4kDE=")</f>
        <v>#REF!</v>
      </c>
      <c r="AY158" t="e">
        <f>AND(#REF!,"SjzdAWq4kDI=")</f>
        <v>#REF!</v>
      </c>
      <c r="AZ158" t="e">
        <f>AND(#REF!,"SjzdAWq4kDM=")</f>
        <v>#REF!</v>
      </c>
      <c r="BA158" t="e">
        <f>AND(#REF!,"SjzdAWq4kDQ=")</f>
        <v>#REF!</v>
      </c>
      <c r="BB158" t="e">
        <f>AND(#REF!,"SjzdAWq4kDU=")</f>
        <v>#REF!</v>
      </c>
      <c r="BC158" t="e">
        <f>AND(#REF!,"SjzdAWq4kDY=")</f>
        <v>#REF!</v>
      </c>
      <c r="BD158" t="e">
        <f>AND(#REF!,"SjzdAWq4kDc=")</f>
        <v>#REF!</v>
      </c>
      <c r="BE158" t="e">
        <f>AND(#REF!,"SjzdAWq4kDg=")</f>
        <v>#REF!</v>
      </c>
      <c r="BF158" t="e">
        <f>AND(#REF!,"SjzdAWq4kDk=")</f>
        <v>#REF!</v>
      </c>
      <c r="BG158" t="e">
        <f>AND(#REF!,"SjzdAWq4kDo=")</f>
        <v>#REF!</v>
      </c>
      <c r="BH158" t="e">
        <f>AND(#REF!,"SjzdAWq4kDs=")</f>
        <v>#REF!</v>
      </c>
      <c r="BI158" t="e">
        <f>AND(#REF!,"SjzdAWq4kDw=")</f>
        <v>#REF!</v>
      </c>
      <c r="BJ158" t="e">
        <f>IF(#REF!,"SjzdAWq4kD0=",0)</f>
        <v>#REF!</v>
      </c>
      <c r="BK158" t="e">
        <f>AND(#REF!,"SjzdAWq4kD4=")</f>
        <v>#REF!</v>
      </c>
      <c r="BL158" t="e">
        <f>AND(#REF!,"SjzdAWq4kD8=")</f>
        <v>#REF!</v>
      </c>
      <c r="BM158" t="e">
        <f>AND(#REF!,"SjzdAWq4kEA=")</f>
        <v>#REF!</v>
      </c>
      <c r="BN158" t="e">
        <f>AND(#REF!,"SjzdAWq4kEE=")</f>
        <v>#REF!</v>
      </c>
      <c r="BO158" t="e">
        <f>AND(#REF!,"SjzdAWq4kEI=")</f>
        <v>#REF!</v>
      </c>
      <c r="BP158" t="e">
        <f>AND(#REF!,"SjzdAWq4kEM=")</f>
        <v>#REF!</v>
      </c>
      <c r="BQ158" t="e">
        <f>AND(#REF!,"SjzdAWq4kEQ=")</f>
        <v>#REF!</v>
      </c>
      <c r="BR158" t="e">
        <f>AND(#REF!,"SjzdAWq4kEU=")</f>
        <v>#REF!</v>
      </c>
      <c r="BS158" t="e">
        <f>AND(#REF!,"SjzdAWq4kEY=")</f>
        <v>#REF!</v>
      </c>
      <c r="BT158" t="e">
        <f>AND(#REF!,"SjzdAWq4kEc=")</f>
        <v>#REF!</v>
      </c>
      <c r="BU158" t="e">
        <f>AND(#REF!,"SjzdAWq4kEg=")</f>
        <v>#REF!</v>
      </c>
      <c r="BV158" t="e">
        <f>AND(#REF!,"SjzdAWq4kEk=")</f>
        <v>#REF!</v>
      </c>
      <c r="BW158" t="e">
        <f>AND(#REF!,"SjzdAWq4kEo=")</f>
        <v>#REF!</v>
      </c>
      <c r="BX158" t="e">
        <f>AND(#REF!,"SjzdAWq4kEs=")</f>
        <v>#REF!</v>
      </c>
      <c r="BY158" t="e">
        <f>AND(#REF!,"SjzdAWq4kEw=")</f>
        <v>#REF!</v>
      </c>
      <c r="BZ158" t="e">
        <f>AND(#REF!,"SjzdAWq4kE0=")</f>
        <v>#REF!</v>
      </c>
      <c r="CA158" t="e">
        <f>AND(#REF!,"SjzdAWq4kE4=")</f>
        <v>#REF!</v>
      </c>
      <c r="CB158" t="e">
        <f>AND(#REF!,"SjzdAWq4kE8=")</f>
        <v>#REF!</v>
      </c>
      <c r="CC158" t="e">
        <f>AND(#REF!,"SjzdAWq4kFA=")</f>
        <v>#REF!</v>
      </c>
      <c r="CD158" t="e">
        <f>IF(#REF!,"SjzdAWq4kFE=",0)</f>
        <v>#REF!</v>
      </c>
      <c r="CE158" t="e">
        <f>AND(#REF!,"SjzdAWq4kFI=")</f>
        <v>#REF!</v>
      </c>
      <c r="CF158" t="e">
        <f>AND(#REF!,"SjzdAWq4kFM=")</f>
        <v>#REF!</v>
      </c>
      <c r="CG158" t="e">
        <f>AND(#REF!,"SjzdAWq4kFQ=")</f>
        <v>#REF!</v>
      </c>
      <c r="CH158" t="e">
        <f>AND(#REF!,"SjzdAWq4kFU=")</f>
        <v>#REF!</v>
      </c>
      <c r="CI158" t="e">
        <f>AND(#REF!,"SjzdAWq4kFY=")</f>
        <v>#REF!</v>
      </c>
      <c r="CJ158" t="e">
        <f>AND(#REF!,"SjzdAWq4kFc=")</f>
        <v>#REF!</v>
      </c>
      <c r="CK158" t="e">
        <f>AND(#REF!,"SjzdAWq4kFg=")</f>
        <v>#REF!</v>
      </c>
      <c r="CL158" t="e">
        <f>AND(#REF!,"SjzdAWq4kFk=")</f>
        <v>#REF!</v>
      </c>
      <c r="CM158" t="e">
        <f>AND(#REF!,"SjzdAWq4kFo=")</f>
        <v>#REF!</v>
      </c>
      <c r="CN158" t="e">
        <f>AND(#REF!,"SjzdAWq4kFs=")</f>
        <v>#REF!</v>
      </c>
      <c r="CO158" t="e">
        <f>AND(#REF!,"SjzdAWq4kFw=")</f>
        <v>#REF!</v>
      </c>
      <c r="CP158" t="e">
        <f>AND(#REF!,"SjzdAWq4kF0=")</f>
        <v>#REF!</v>
      </c>
      <c r="CQ158" t="e">
        <f>AND(#REF!,"SjzdAWq4kF4=")</f>
        <v>#REF!</v>
      </c>
      <c r="CR158" t="e">
        <f>AND(#REF!,"SjzdAWq4kF8=")</f>
        <v>#REF!</v>
      </c>
      <c r="CS158" t="e">
        <f>AND(#REF!,"SjzdAWq4kGA=")</f>
        <v>#REF!</v>
      </c>
      <c r="CT158" t="e">
        <f>AND(#REF!,"SjzdAWq4kGE=")</f>
        <v>#REF!</v>
      </c>
      <c r="CU158" t="e">
        <f>AND(#REF!,"SjzdAWq4kGI=")</f>
        <v>#REF!</v>
      </c>
      <c r="CV158" t="e">
        <f>AND(#REF!,"SjzdAWq4kGM=")</f>
        <v>#REF!</v>
      </c>
      <c r="CW158" t="e">
        <f>AND(#REF!,"SjzdAWq4kGQ=")</f>
        <v>#REF!</v>
      </c>
      <c r="CX158" t="e">
        <f>IF(#REF!,"SjzdAWq4kGU=",0)</f>
        <v>#REF!</v>
      </c>
      <c r="CY158" t="e">
        <f>AND(#REF!,"SjzdAWq4kGY=")</f>
        <v>#REF!</v>
      </c>
      <c r="CZ158" t="e">
        <f>AND(#REF!,"SjzdAWq4kGc=")</f>
        <v>#REF!</v>
      </c>
      <c r="DA158" t="e">
        <f>AND(#REF!,"SjzdAWq4kGg=")</f>
        <v>#REF!</v>
      </c>
      <c r="DB158" t="e">
        <f>AND(#REF!,"SjzdAWq4kGk=")</f>
        <v>#REF!</v>
      </c>
      <c r="DC158" t="e">
        <f>AND(#REF!,"SjzdAWq4kGo=")</f>
        <v>#REF!</v>
      </c>
      <c r="DD158" t="e">
        <f>AND(#REF!,"SjzdAWq4kGs=")</f>
        <v>#REF!</v>
      </c>
      <c r="DE158" t="e">
        <f>AND(#REF!,"SjzdAWq4kGw=")</f>
        <v>#REF!</v>
      </c>
      <c r="DF158" t="e">
        <f>AND(#REF!,"SjzdAWq4kG0=")</f>
        <v>#REF!</v>
      </c>
      <c r="DG158" t="e">
        <f>AND(#REF!,"SjzdAWq4kG4=")</f>
        <v>#REF!</v>
      </c>
      <c r="DH158" t="e">
        <f>AND(#REF!,"SjzdAWq4kG8=")</f>
        <v>#REF!</v>
      </c>
      <c r="DI158" t="e">
        <f>AND(#REF!,"SjzdAWq4kHA=")</f>
        <v>#REF!</v>
      </c>
      <c r="DJ158" t="e">
        <f>AND(#REF!,"SjzdAWq4kHE=")</f>
        <v>#REF!</v>
      </c>
      <c r="DK158" t="e">
        <f>AND(#REF!,"SjzdAWq4kHI=")</f>
        <v>#REF!</v>
      </c>
      <c r="DL158" t="e">
        <f>AND(#REF!,"SjzdAWq4kHM=")</f>
        <v>#REF!</v>
      </c>
      <c r="DM158" t="e">
        <f>AND(#REF!,"SjzdAWq4kHQ=")</f>
        <v>#REF!</v>
      </c>
      <c r="DN158" t="e">
        <f>AND(#REF!,"SjzdAWq4kHU=")</f>
        <v>#REF!</v>
      </c>
      <c r="DO158" t="e">
        <f>AND(#REF!,"SjzdAWq4kHY=")</f>
        <v>#REF!</v>
      </c>
      <c r="DP158" t="e">
        <f>AND(#REF!,"SjzdAWq4kHc=")</f>
        <v>#REF!</v>
      </c>
      <c r="DQ158" t="e">
        <f>AND(#REF!,"SjzdAWq4kHg=")</f>
        <v>#REF!</v>
      </c>
      <c r="DR158" t="e">
        <f>IF(#REF!,"SjzdAWq4kHk=",0)</f>
        <v>#REF!</v>
      </c>
      <c r="DS158" t="e">
        <f>AND(#REF!,"SjzdAWq4kHo=")</f>
        <v>#REF!</v>
      </c>
      <c r="DT158" t="e">
        <f>AND(#REF!,"SjzdAWq4kHs=")</f>
        <v>#REF!</v>
      </c>
      <c r="DU158" t="e">
        <f>AND(#REF!,"SjzdAWq4kHw=")</f>
        <v>#REF!</v>
      </c>
      <c r="DV158" t="e">
        <f>AND(#REF!,"SjzdAWq4kH0=")</f>
        <v>#REF!</v>
      </c>
      <c r="DW158" t="e">
        <f>AND(#REF!,"SjzdAWq4kH4=")</f>
        <v>#REF!</v>
      </c>
      <c r="DX158" t="e">
        <f>AND(#REF!,"SjzdAWq4kH8=")</f>
        <v>#REF!</v>
      </c>
      <c r="DY158" t="e">
        <f>AND(#REF!,"SjzdAWq4kIA=")</f>
        <v>#REF!</v>
      </c>
      <c r="DZ158" t="e">
        <f>AND(#REF!,"SjzdAWq4kIE=")</f>
        <v>#REF!</v>
      </c>
      <c r="EA158" t="e">
        <f>AND(#REF!,"SjzdAWq4kII=")</f>
        <v>#REF!</v>
      </c>
      <c r="EB158" t="e">
        <f>AND(#REF!,"SjzdAWq4kIM=")</f>
        <v>#REF!</v>
      </c>
      <c r="EC158" t="e">
        <f>AND(#REF!,"SjzdAWq4kIQ=")</f>
        <v>#REF!</v>
      </c>
      <c r="ED158" t="e">
        <f>AND(#REF!,"SjzdAWq4kIU=")</f>
        <v>#REF!</v>
      </c>
      <c r="EE158" t="e">
        <f>AND(#REF!,"SjzdAWq4kIY=")</f>
        <v>#REF!</v>
      </c>
      <c r="EF158" t="e">
        <f>AND(#REF!,"SjzdAWq4kIc=")</f>
        <v>#REF!</v>
      </c>
      <c r="EG158" t="e">
        <f>AND(#REF!,"SjzdAWq4kIg=")</f>
        <v>#REF!</v>
      </c>
      <c r="EH158" t="e">
        <f>AND(#REF!,"SjzdAWq4kIk=")</f>
        <v>#REF!</v>
      </c>
      <c r="EI158" t="e">
        <f>AND(#REF!,"SjzdAWq4kIo=")</f>
        <v>#REF!</v>
      </c>
      <c r="EJ158" t="e">
        <f>AND(#REF!,"SjzdAWq4kIs=")</f>
        <v>#REF!</v>
      </c>
      <c r="EK158" t="e">
        <f>AND(#REF!,"SjzdAWq4kIw=")</f>
        <v>#REF!</v>
      </c>
      <c r="EL158" t="e">
        <f>IF(#REF!,"SjzdAWq4kI0=",0)</f>
        <v>#REF!</v>
      </c>
      <c r="EM158" t="e">
        <f>AND(#REF!,"SjzdAWq4kI4=")</f>
        <v>#REF!</v>
      </c>
      <c r="EN158" t="e">
        <f>AND(#REF!,"SjzdAWq4kI8=")</f>
        <v>#REF!</v>
      </c>
      <c r="EO158" t="e">
        <f>AND(#REF!,"SjzdAWq4kJA=")</f>
        <v>#REF!</v>
      </c>
      <c r="EP158" t="e">
        <f>AND(#REF!,"SjzdAWq4kJE=")</f>
        <v>#REF!</v>
      </c>
      <c r="EQ158" t="e">
        <f>AND(#REF!,"SjzdAWq4kJI=")</f>
        <v>#REF!</v>
      </c>
      <c r="ER158" t="e">
        <f>AND(#REF!,"SjzdAWq4kJM=")</f>
        <v>#REF!</v>
      </c>
      <c r="ES158" t="e">
        <f>AND(#REF!,"SjzdAWq4kJQ=")</f>
        <v>#REF!</v>
      </c>
      <c r="ET158" t="e">
        <f>AND(#REF!,"SjzdAWq4kJU=")</f>
        <v>#REF!</v>
      </c>
      <c r="EU158" t="e">
        <f>AND(#REF!,"SjzdAWq4kJY=")</f>
        <v>#REF!</v>
      </c>
      <c r="EV158" t="e">
        <f>AND(#REF!,"SjzdAWq4kJc=")</f>
        <v>#REF!</v>
      </c>
      <c r="EW158" t="e">
        <f>AND(#REF!,"SjzdAWq4kJg=")</f>
        <v>#REF!</v>
      </c>
      <c r="EX158" t="e">
        <f>AND(#REF!,"SjzdAWq4kJk=")</f>
        <v>#REF!</v>
      </c>
      <c r="EY158" t="e">
        <f>AND(#REF!,"SjzdAWq4kJo=")</f>
        <v>#REF!</v>
      </c>
      <c r="EZ158" t="e">
        <f>AND(#REF!,"SjzdAWq4kJs=")</f>
        <v>#REF!</v>
      </c>
      <c r="FA158" t="e">
        <f>AND(#REF!,"SjzdAWq4kJw=")</f>
        <v>#REF!</v>
      </c>
      <c r="FB158" t="e">
        <f>AND(#REF!,"SjzdAWq4kJ0=")</f>
        <v>#REF!</v>
      </c>
      <c r="FC158" t="e">
        <f>AND(#REF!,"SjzdAWq4kJ4=")</f>
        <v>#REF!</v>
      </c>
      <c r="FD158" t="e">
        <f>AND(#REF!,"SjzdAWq4kJ8=")</f>
        <v>#REF!</v>
      </c>
      <c r="FE158" t="e">
        <f>AND(#REF!,"SjzdAWq4kKA=")</f>
        <v>#REF!</v>
      </c>
      <c r="FF158" t="e">
        <f>IF(#REF!,"SjzdAWq4kKE=",0)</f>
        <v>#REF!</v>
      </c>
      <c r="FG158" t="e">
        <f>AND(#REF!,"SjzdAWq4kKI=")</f>
        <v>#REF!</v>
      </c>
      <c r="FH158" t="e">
        <f>AND(#REF!,"SjzdAWq4kKM=")</f>
        <v>#REF!</v>
      </c>
      <c r="FI158" t="e">
        <f>AND(#REF!,"SjzdAWq4kKQ=")</f>
        <v>#REF!</v>
      </c>
      <c r="FJ158" t="e">
        <f>AND(#REF!,"SjzdAWq4kKU=")</f>
        <v>#REF!</v>
      </c>
      <c r="FK158" t="e">
        <f>AND(#REF!,"SjzdAWq4kKY=")</f>
        <v>#REF!</v>
      </c>
      <c r="FL158" t="e">
        <f>AND(#REF!,"SjzdAWq4kKc=")</f>
        <v>#REF!</v>
      </c>
      <c r="FM158" t="e">
        <f>AND(#REF!,"SjzdAWq4kKg=")</f>
        <v>#REF!</v>
      </c>
      <c r="FN158" t="e">
        <f>AND(#REF!,"SjzdAWq4kKk=")</f>
        <v>#REF!</v>
      </c>
      <c r="FO158" t="e">
        <f>AND(#REF!,"SjzdAWq4kKo=")</f>
        <v>#REF!</v>
      </c>
      <c r="FP158" t="e">
        <f>AND(#REF!,"SjzdAWq4kKs=")</f>
        <v>#REF!</v>
      </c>
      <c r="FQ158" t="e">
        <f>AND(#REF!,"SjzdAWq4kKw=")</f>
        <v>#REF!</v>
      </c>
      <c r="FR158" t="e">
        <f>AND(#REF!,"SjzdAWq4kK0=")</f>
        <v>#REF!</v>
      </c>
      <c r="FS158" t="e">
        <f>AND(#REF!,"SjzdAWq4kK4=")</f>
        <v>#REF!</v>
      </c>
      <c r="FT158" t="e">
        <f>AND(#REF!,"SjzdAWq4kK8=")</f>
        <v>#REF!</v>
      </c>
      <c r="FU158" t="e">
        <f>AND(#REF!,"SjzdAWq4kLA=")</f>
        <v>#REF!</v>
      </c>
      <c r="FV158" t="e">
        <f>AND(#REF!,"SjzdAWq4kLE=")</f>
        <v>#REF!</v>
      </c>
      <c r="FW158" t="e">
        <f>AND(#REF!,"SjzdAWq4kLI=")</f>
        <v>#REF!</v>
      </c>
      <c r="FX158" t="e">
        <f>AND(#REF!,"SjzdAWq4kLM=")</f>
        <v>#REF!</v>
      </c>
      <c r="FY158" t="e">
        <f>AND(#REF!,"SjzdAWq4kLQ=")</f>
        <v>#REF!</v>
      </c>
      <c r="FZ158" t="e">
        <f>IF(#REF!,"SjzdAWq4kLU=",0)</f>
        <v>#REF!</v>
      </c>
      <c r="GA158" t="e">
        <f>AND(#REF!,"SjzdAWq4kLY=")</f>
        <v>#REF!</v>
      </c>
      <c r="GB158" t="e">
        <f>AND(#REF!,"SjzdAWq4kLc=")</f>
        <v>#REF!</v>
      </c>
      <c r="GC158" t="e">
        <f>AND(#REF!,"SjzdAWq4kLg=")</f>
        <v>#REF!</v>
      </c>
      <c r="GD158" t="e">
        <f>AND(#REF!,"SjzdAWq4kLk=")</f>
        <v>#REF!</v>
      </c>
      <c r="GE158" t="e">
        <f>AND(#REF!,"SjzdAWq4kLo=")</f>
        <v>#REF!</v>
      </c>
      <c r="GF158" t="e">
        <f>AND(#REF!,"SjzdAWq4kLs=")</f>
        <v>#REF!</v>
      </c>
      <c r="GG158" t="e">
        <f>AND(#REF!,"SjzdAWq4kLw=")</f>
        <v>#REF!</v>
      </c>
      <c r="GH158" t="e">
        <f>AND(#REF!,"SjzdAWq4kL0=")</f>
        <v>#REF!</v>
      </c>
      <c r="GI158" t="e">
        <f>AND(#REF!,"SjzdAWq4kL4=")</f>
        <v>#REF!</v>
      </c>
      <c r="GJ158" t="e">
        <f>AND(#REF!,"SjzdAWq4kL8=")</f>
        <v>#REF!</v>
      </c>
      <c r="GK158" t="e">
        <f>AND(#REF!,"SjzdAWq4kMA=")</f>
        <v>#REF!</v>
      </c>
      <c r="GL158" t="e">
        <f>AND(#REF!,"SjzdAWq4kME=")</f>
        <v>#REF!</v>
      </c>
      <c r="GM158" t="e">
        <f>AND(#REF!,"SjzdAWq4kMI=")</f>
        <v>#REF!</v>
      </c>
      <c r="GN158" t="e">
        <f>AND(#REF!,"SjzdAWq4kMM=")</f>
        <v>#REF!</v>
      </c>
      <c r="GO158" t="e">
        <f>AND(#REF!,"SjzdAWq4kMQ=")</f>
        <v>#REF!</v>
      </c>
      <c r="GP158" t="e">
        <f>AND(#REF!,"SjzdAWq4kMU=")</f>
        <v>#REF!</v>
      </c>
      <c r="GQ158" t="e">
        <f>AND(#REF!,"SjzdAWq4kMY=")</f>
        <v>#REF!</v>
      </c>
      <c r="GR158" t="e">
        <f>AND(#REF!,"SjzdAWq4kMc=")</f>
        <v>#REF!</v>
      </c>
      <c r="GS158" t="e">
        <f>AND(#REF!,"SjzdAWq4kMg=")</f>
        <v>#REF!</v>
      </c>
      <c r="GT158" t="e">
        <f>IF(#REF!,"SjzdAWq4kMk=",0)</f>
        <v>#REF!</v>
      </c>
      <c r="GU158" t="e">
        <f>AND(#REF!,"SjzdAWq4kMo=")</f>
        <v>#REF!</v>
      </c>
      <c r="GV158" t="e">
        <f>AND(#REF!,"SjzdAWq4kMs=")</f>
        <v>#REF!</v>
      </c>
      <c r="GW158" t="e">
        <f>AND(#REF!,"SjzdAWq4kMw=")</f>
        <v>#REF!</v>
      </c>
      <c r="GX158" t="e">
        <f>AND(#REF!,"SjzdAWq4kM0=")</f>
        <v>#REF!</v>
      </c>
      <c r="GY158" t="e">
        <f>AND(#REF!,"SjzdAWq4kM4=")</f>
        <v>#REF!</v>
      </c>
      <c r="GZ158" t="e">
        <f>AND(#REF!,"SjzdAWq4kM8=")</f>
        <v>#REF!</v>
      </c>
      <c r="HA158" t="e">
        <f>AND(#REF!,"SjzdAWq4kNA=")</f>
        <v>#REF!</v>
      </c>
      <c r="HB158" t="e">
        <f>AND(#REF!,"SjzdAWq4kNE=")</f>
        <v>#REF!</v>
      </c>
      <c r="HC158" t="e">
        <f>AND(#REF!,"SjzdAWq4kNI=")</f>
        <v>#REF!</v>
      </c>
      <c r="HD158" t="e">
        <f>AND(#REF!,"SjzdAWq4kNM=")</f>
        <v>#REF!</v>
      </c>
      <c r="HE158" t="e">
        <f>AND(#REF!,"SjzdAWq4kNQ=")</f>
        <v>#REF!</v>
      </c>
      <c r="HF158" t="e">
        <f>AND(#REF!,"SjzdAWq4kNU=")</f>
        <v>#REF!</v>
      </c>
      <c r="HG158" t="e">
        <f>AND(#REF!,"SjzdAWq4kNY=")</f>
        <v>#REF!</v>
      </c>
      <c r="HH158" t="e">
        <f>AND(#REF!,"SjzdAWq4kNc=")</f>
        <v>#REF!</v>
      </c>
      <c r="HI158" t="e">
        <f>AND(#REF!,"SjzdAWq4kNg=")</f>
        <v>#REF!</v>
      </c>
      <c r="HJ158" t="e">
        <f>AND(#REF!,"SjzdAWq4kNk=")</f>
        <v>#REF!</v>
      </c>
      <c r="HK158" t="e">
        <f>AND(#REF!,"SjzdAWq4kNo=")</f>
        <v>#REF!</v>
      </c>
      <c r="HL158" t="e">
        <f>AND(#REF!,"SjzdAWq4kNs=")</f>
        <v>#REF!</v>
      </c>
      <c r="HM158" t="e">
        <f>AND(#REF!,"SjzdAWq4kNw=")</f>
        <v>#REF!</v>
      </c>
      <c r="HN158" t="e">
        <f>IF(#REF!,"SjzdAWq4kN0=",0)</f>
        <v>#REF!</v>
      </c>
      <c r="HO158" t="e">
        <f>AND(#REF!,"SjzdAWq4kN4=")</f>
        <v>#REF!</v>
      </c>
      <c r="HP158" t="e">
        <f>AND(#REF!,"SjzdAWq4kN8=")</f>
        <v>#REF!</v>
      </c>
      <c r="HQ158" t="e">
        <f>AND(#REF!,"SjzdAWq4kOA=")</f>
        <v>#REF!</v>
      </c>
      <c r="HR158" t="e">
        <f>AND(#REF!,"SjzdAWq4kOE=")</f>
        <v>#REF!</v>
      </c>
      <c r="HS158" t="e">
        <f>AND(#REF!,"SjzdAWq4kOI=")</f>
        <v>#REF!</v>
      </c>
      <c r="HT158" t="e">
        <f>AND(#REF!,"SjzdAWq4kOM=")</f>
        <v>#REF!</v>
      </c>
      <c r="HU158" t="e">
        <f>AND(#REF!,"SjzdAWq4kOQ=")</f>
        <v>#REF!</v>
      </c>
      <c r="HV158" t="e">
        <f>AND(#REF!,"SjzdAWq4kOU=")</f>
        <v>#REF!</v>
      </c>
      <c r="HW158" t="e">
        <f>AND(#REF!,"SjzdAWq4kOY=")</f>
        <v>#REF!</v>
      </c>
      <c r="HX158" t="e">
        <f>AND(#REF!,"SjzdAWq4kOc=")</f>
        <v>#REF!</v>
      </c>
      <c r="HY158" t="e">
        <f>AND(#REF!,"SjzdAWq4kOg=")</f>
        <v>#REF!</v>
      </c>
      <c r="HZ158" t="e">
        <f>AND(#REF!,"SjzdAWq4kOk=")</f>
        <v>#REF!</v>
      </c>
      <c r="IA158" t="e">
        <f>AND(#REF!,"SjzdAWq4kOo=")</f>
        <v>#REF!</v>
      </c>
      <c r="IB158" t="e">
        <f>AND(#REF!,"SjzdAWq4kOs=")</f>
        <v>#REF!</v>
      </c>
      <c r="IC158" t="e">
        <f>AND(#REF!,"SjzdAWq4kOw=")</f>
        <v>#REF!</v>
      </c>
      <c r="ID158" t="e">
        <f>AND(#REF!,"SjzdAWq4kO0=")</f>
        <v>#REF!</v>
      </c>
      <c r="IE158" t="e">
        <f>AND(#REF!,"SjzdAWq4kO4=")</f>
        <v>#REF!</v>
      </c>
      <c r="IF158" t="e">
        <f>AND(#REF!,"SjzdAWq4kO8=")</f>
        <v>#REF!</v>
      </c>
      <c r="IG158" t="e">
        <f>AND(#REF!,"SjzdAWq4kPA=")</f>
        <v>#REF!</v>
      </c>
      <c r="IH158" t="e">
        <f>IF(#REF!,"SjzdAWq4kPE=",0)</f>
        <v>#REF!</v>
      </c>
      <c r="II158" t="e">
        <f>IF(#REF!,"SjzdAWq4kPI=",0)</f>
        <v>#REF!</v>
      </c>
      <c r="IJ158" t="e">
        <f>IF(#REF!,"SjzdAWq4kPM=",0)</f>
        <v>#REF!</v>
      </c>
      <c r="IK158" t="e">
        <f>IF(#REF!,"SjzdAWq4kPQ=",0)</f>
        <v>#REF!</v>
      </c>
      <c r="IL158" t="e">
        <f>IF(#REF!,"SjzdAWq4kPU=",0)</f>
        <v>#REF!</v>
      </c>
      <c r="IM158" t="e">
        <f>IF(#REF!,"SjzdAWq4kPY=",0)</f>
        <v>#REF!</v>
      </c>
      <c r="IN158" t="e">
        <f>IF(#REF!,"SjzdAWq4kPc=",0)</f>
        <v>#REF!</v>
      </c>
      <c r="IO158" t="e">
        <f>IF(#REF!,"SjzdAWq4kPg=",0)</f>
        <v>#REF!</v>
      </c>
      <c r="IP158" t="e">
        <f>IF(#REF!,"SjzdAWq4kPk=",0)</f>
        <v>#REF!</v>
      </c>
      <c r="IQ158" t="e">
        <f>IF(#REF!,"SjzdAWq4kPo=",0)</f>
        <v>#REF!</v>
      </c>
      <c r="IR158" t="e">
        <f>IF(#REF!,"SjzdAWq4kPs=",0)</f>
        <v>#REF!</v>
      </c>
      <c r="IS158" t="e">
        <f>IF(#REF!,"SjzdAWq4kPw=",0)</f>
        <v>#REF!</v>
      </c>
      <c r="IT158" t="e">
        <f>IF(#REF!,"SjzdAWq4kP0=",0)</f>
        <v>#REF!</v>
      </c>
      <c r="IU158" t="e">
        <f>IF(#REF!,"SjzdAWq4kP4=",0)</f>
        <v>#REF!</v>
      </c>
      <c r="IV158" t="e">
        <f>IF(#REF!,"SjzdAWq4kP8=",0)</f>
        <v>#REF!</v>
      </c>
    </row>
    <row r="159" spans="1:256" x14ac:dyDescent="0.2">
      <c r="A159" t="e">
        <f>IF(#REF!,"SzdKY3vq/QA=",0)</f>
        <v>#REF!</v>
      </c>
      <c r="B159" t="e">
        <f>IF(#REF!,"SzdKY3vq/QE=",0)</f>
        <v>#REF!</v>
      </c>
      <c r="C159" t="e">
        <f>IF(#REF!,"SzdKY3vq/QI=",0)</f>
        <v>#REF!</v>
      </c>
      <c r="D159" t="e">
        <f>IF(#REF!,"SzdKY3vq/QM=",0)</f>
        <v>#REF!</v>
      </c>
      <c r="E159" s="3" t="s">
        <v>10</v>
      </c>
      <c r="F159" s="4" t="s">
        <v>11</v>
      </c>
      <c r="G159" t="s">
        <v>12</v>
      </c>
      <c r="H159" s="2" t="s">
        <v>13</v>
      </c>
      <c r="I159" s="5" t="s">
        <v>14</v>
      </c>
      <c r="J159" s="1" t="s">
        <v>15</v>
      </c>
      <c r="K159" t="e">
        <f>IF("N",'Quick Start Guide'!_xlnm.Print_Area,"SzdKY3vq/Qo=")</f>
        <v>#VALUE!</v>
      </c>
      <c r="L159" t="e">
        <f>IF("N",rto_calc,"SzdKY3vq/Qs=")</f>
        <v>#VALUE!</v>
      </c>
      <c r="M159" t="e">
        <f>IF("N",[0]!solver_adj,"SzdKY3vq/Qw=")</f>
        <v>#VALUE!</v>
      </c>
      <c r="N159" t="e">
        <f>IF("N",[0]!solver_cvg,"SzdKY3vq/Q0=")</f>
        <v>#VALUE!</v>
      </c>
      <c r="O159" t="e">
        <f>IF("N",[0]!solver_drv,"SzdKY3vq/Q4=")</f>
        <v>#VALUE!</v>
      </c>
      <c r="P159" t="e">
        <f>IF("N",[0]!solver_est,"SzdKY3vq/Q8=")</f>
        <v>#VALUE!</v>
      </c>
      <c r="Q159" t="e">
        <f>IF("N",[0]!solver_itr,"SzdKY3vq/RA=")</f>
        <v>#VALUE!</v>
      </c>
      <c r="R159" t="e">
        <f>IF("N",[0]!solver_lhs1,"SzdKY3vq/RE=")</f>
        <v>#VALUE!</v>
      </c>
      <c r="S159" t="e">
        <f>IF("N",[0]!solver_lin,"SzdKY3vq/RI=")</f>
        <v>#VALUE!</v>
      </c>
      <c r="T159" t="e">
        <f>IF("N",[0]!solver_neg,"SzdKY3vq/RM=")</f>
        <v>#VALUE!</v>
      </c>
      <c r="U159" t="e">
        <f>IF("N",[0]!solver_num,"SzdKY3vq/RQ=")</f>
        <v>#VALUE!</v>
      </c>
      <c r="V159" t="e">
        <f>IF("N",[0]!solver_nwt,"SzdKY3vq/RU=")</f>
        <v>#VALUE!</v>
      </c>
      <c r="W159" t="e">
        <f>IF("N",[0]!solver_opt,"SzdKY3vq/RY=")</f>
        <v>#VALUE!</v>
      </c>
      <c r="X159" t="e">
        <f>IF("N",[0]!solver_pre,"SzdKY3vq/Rc=")</f>
        <v>#VALUE!</v>
      </c>
      <c r="Y159" t="e">
        <f>IF("N",[0]!solver_rel1,"SzdKY3vq/Rg=")</f>
        <v>#VALUE!</v>
      </c>
      <c r="Z159" t="e">
        <f>IF("N",[0]!solver_rhs1,"SzdKY3vq/Rk=")</f>
        <v>#VALUE!</v>
      </c>
      <c r="AA159" t="e">
        <f>IF("N",[0]!solver_scl,"SzdKY3vq/Ro=")</f>
        <v>#VALUE!</v>
      </c>
      <c r="AB159" t="e">
        <f>IF("N",[0]!solver_sho,"SzdKY3vq/Rs=")</f>
        <v>#VALUE!</v>
      </c>
      <c r="AC159" t="e">
        <f>IF("N",[0]!solver_tim,"SzdKY3vq/Rw=")</f>
        <v>#VALUE!</v>
      </c>
      <c r="AD159" t="e">
        <f>IF("N",[0]!solver_tol,"SzdKY3vq/R0=")</f>
        <v>#VALUE!</v>
      </c>
      <c r="AE159" t="e">
        <f>IF("N",[0]!solver_typ,"SzdKY3vq/R4=")</f>
        <v>#VALUE!</v>
      </c>
      <c r="AF159" t="e">
        <f>IF("N",[0]!solver_val,"SzdKY3vq/R8=")</f>
        <v>#VALUE!</v>
      </c>
    </row>
  </sheetData>
  <phoneticPr fontId="8" type="noConversion"/>
  <pageMargins left="0.75" right="0.75" top="1" bottom="1" header="0.5" footer="0.5"/>
  <headerFooter alignWithMargins="0"/>
  <customProperties>
    <customPr name="DVSECTIONID" r:id="rId1"/>
  </customPropertie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172"/>
  <sheetViews>
    <sheetView topLeftCell="A135" zoomScale="80" zoomScaleNormal="80" zoomScalePageLayoutView="80" workbookViewId="0">
      <selection activeCell="B157" sqref="B157"/>
    </sheetView>
  </sheetViews>
  <sheetFormatPr defaultColWidth="8.85546875" defaultRowHeight="12.75" x14ac:dyDescent="0.2"/>
  <cols>
    <col min="2" max="2" width="143.42578125" customWidth="1"/>
  </cols>
  <sheetData>
    <row r="1" spans="1:2" ht="20.25" x14ac:dyDescent="0.2">
      <c r="A1" s="883" t="s">
        <v>139</v>
      </c>
      <c r="B1" s="883"/>
    </row>
    <row r="2" spans="1:2" x14ac:dyDescent="0.2">
      <c r="A2" s="403" t="s">
        <v>139</v>
      </c>
      <c r="B2" s="404"/>
    </row>
    <row r="3" spans="1:2" ht="18.75" x14ac:dyDescent="0.2">
      <c r="A3" s="405"/>
      <c r="B3" s="404"/>
    </row>
    <row r="4" spans="1:2" ht="15.75" x14ac:dyDescent="0.2">
      <c r="A4" s="403"/>
      <c r="B4" s="406"/>
    </row>
    <row r="5" spans="1:2" ht="15.75" x14ac:dyDescent="0.2">
      <c r="A5" s="407" t="s">
        <v>145</v>
      </c>
      <c r="B5" s="404"/>
    </row>
    <row r="6" spans="1:2" ht="47.25" x14ac:dyDescent="0.2">
      <c r="A6" s="407"/>
      <c r="B6" s="408" t="s">
        <v>470</v>
      </c>
    </row>
    <row r="7" spans="1:2" ht="15.75" x14ac:dyDescent="0.2">
      <c r="A7" s="407"/>
      <c r="B7" s="406" t="s">
        <v>471</v>
      </c>
    </row>
    <row r="8" spans="1:2" ht="15.75" x14ac:dyDescent="0.2">
      <c r="A8" s="407"/>
      <c r="B8" s="406"/>
    </row>
    <row r="9" spans="1:2" ht="15.75" x14ac:dyDescent="0.2">
      <c r="A9" s="407" t="s">
        <v>140</v>
      </c>
      <c r="B9" s="404"/>
    </row>
    <row r="10" spans="1:2" ht="78.75" x14ac:dyDescent="0.2">
      <c r="A10" s="407"/>
      <c r="B10" s="408" t="s">
        <v>141</v>
      </c>
    </row>
    <row r="11" spans="1:2" ht="15.75" x14ac:dyDescent="0.2">
      <c r="A11" s="407"/>
      <c r="B11" s="406" t="s">
        <v>472</v>
      </c>
    </row>
    <row r="12" spans="1:2" ht="15.75" x14ac:dyDescent="0.2">
      <c r="A12" s="407"/>
      <c r="B12" s="406"/>
    </row>
    <row r="13" spans="1:2" ht="15.75" x14ac:dyDescent="0.2">
      <c r="A13" s="407" t="s">
        <v>142</v>
      </c>
      <c r="B13" s="404"/>
    </row>
    <row r="14" spans="1:2" ht="78.75" x14ac:dyDescent="0.2">
      <c r="A14" s="407"/>
      <c r="B14" s="408" t="s">
        <v>143</v>
      </c>
    </row>
    <row r="15" spans="1:2" ht="15.75" x14ac:dyDescent="0.2">
      <c r="A15" s="407"/>
      <c r="B15" s="406" t="s">
        <v>473</v>
      </c>
    </row>
    <row r="16" spans="1:2" ht="15.75" x14ac:dyDescent="0.2">
      <c r="A16" s="407"/>
      <c r="B16" s="406"/>
    </row>
    <row r="17" spans="1:2" ht="15.75" x14ac:dyDescent="0.2">
      <c r="A17" s="407" t="s">
        <v>144</v>
      </c>
      <c r="B17" s="404"/>
    </row>
    <row r="18" spans="1:2" ht="126" x14ac:dyDescent="0.2">
      <c r="A18" s="407"/>
      <c r="B18" s="408" t="s">
        <v>474</v>
      </c>
    </row>
    <row r="19" spans="1:2" ht="31.5" x14ac:dyDescent="0.2">
      <c r="A19" s="407"/>
      <c r="B19" s="406" t="s">
        <v>475</v>
      </c>
    </row>
    <row r="20" spans="1:2" ht="15.75" x14ac:dyDescent="0.2">
      <c r="A20" s="403"/>
      <c r="B20" s="406"/>
    </row>
    <row r="21" spans="1:2" ht="15.75" x14ac:dyDescent="0.2">
      <c r="A21" s="403"/>
      <c r="B21" s="406"/>
    </row>
    <row r="22" spans="1:2" ht="18.75" x14ac:dyDescent="0.2">
      <c r="A22" s="405" t="s">
        <v>146</v>
      </c>
      <c r="B22" s="404"/>
    </row>
    <row r="23" spans="1:2" ht="18.75" x14ac:dyDescent="0.2">
      <c r="A23" s="405"/>
      <c r="B23" s="404"/>
    </row>
    <row r="24" spans="1:2" ht="15.75" x14ac:dyDescent="0.2">
      <c r="A24" s="407" t="s">
        <v>147</v>
      </c>
      <c r="B24" s="404"/>
    </row>
    <row r="25" spans="1:2" ht="31.5" x14ac:dyDescent="0.2">
      <c r="A25" s="407"/>
      <c r="B25" s="408" t="s">
        <v>148</v>
      </c>
    </row>
    <row r="26" spans="1:2" ht="15.75" x14ac:dyDescent="0.2">
      <c r="A26" s="407"/>
      <c r="B26" s="406" t="s">
        <v>476</v>
      </c>
    </row>
    <row r="27" spans="1:2" ht="15.75" x14ac:dyDescent="0.2">
      <c r="A27" s="407"/>
      <c r="B27" s="406"/>
    </row>
    <row r="28" spans="1:2" ht="15.75" x14ac:dyDescent="0.2">
      <c r="A28" s="407" t="s">
        <v>151</v>
      </c>
      <c r="B28" s="404"/>
    </row>
    <row r="29" spans="1:2" ht="47.25" x14ac:dyDescent="0.2">
      <c r="A29" s="407"/>
      <c r="B29" s="408" t="s">
        <v>152</v>
      </c>
    </row>
    <row r="30" spans="1:2" ht="15.75" x14ac:dyDescent="0.2">
      <c r="A30" s="407"/>
      <c r="B30" s="406" t="s">
        <v>477</v>
      </c>
    </row>
    <row r="31" spans="1:2" ht="15.75" x14ac:dyDescent="0.2">
      <c r="A31" s="407"/>
      <c r="B31" s="406"/>
    </row>
    <row r="32" spans="1:2" ht="15.75" x14ac:dyDescent="0.2">
      <c r="A32" s="407" t="s">
        <v>149</v>
      </c>
      <c r="B32" s="404"/>
    </row>
    <row r="33" spans="1:2" ht="47.25" x14ac:dyDescent="0.2">
      <c r="A33" s="407"/>
      <c r="B33" s="408" t="s">
        <v>150</v>
      </c>
    </row>
    <row r="34" spans="1:2" ht="15.75" x14ac:dyDescent="0.2">
      <c r="A34" s="407"/>
      <c r="B34" s="409" t="s">
        <v>478</v>
      </c>
    </row>
    <row r="35" spans="1:2" ht="15.75" x14ac:dyDescent="0.2">
      <c r="A35" s="403"/>
      <c r="B35" s="406"/>
    </row>
    <row r="36" spans="1:2" ht="15.75" x14ac:dyDescent="0.2">
      <c r="A36" s="403"/>
      <c r="B36" s="409"/>
    </row>
    <row r="37" spans="1:2" ht="18.75" x14ac:dyDescent="0.2">
      <c r="A37" s="405" t="s">
        <v>153</v>
      </c>
      <c r="B37" s="404"/>
    </row>
    <row r="39" spans="1:2" ht="15.75" x14ac:dyDescent="0.2">
      <c r="A39" s="407" t="s">
        <v>161</v>
      </c>
      <c r="B39" s="404"/>
    </row>
    <row r="40" spans="1:2" ht="94.5" x14ac:dyDescent="0.2">
      <c r="A40" s="407"/>
      <c r="B40" s="408" t="s">
        <v>162</v>
      </c>
    </row>
    <row r="41" spans="1:2" ht="15.75" x14ac:dyDescent="0.2">
      <c r="A41" s="407"/>
      <c r="B41" s="406" t="s">
        <v>476</v>
      </c>
    </row>
    <row r="42" spans="1:2" ht="15.75" x14ac:dyDescent="0.2">
      <c r="A42" s="407"/>
      <c r="B42" s="406"/>
    </row>
    <row r="43" spans="1:2" ht="15.75" x14ac:dyDescent="0.2">
      <c r="A43" s="407" t="s">
        <v>154</v>
      </c>
      <c r="B43" s="404"/>
    </row>
    <row r="44" spans="1:2" ht="47.25" x14ac:dyDescent="0.2">
      <c r="A44" s="407"/>
      <c r="B44" s="408" t="s">
        <v>221</v>
      </c>
    </row>
    <row r="45" spans="1:2" ht="15.75" x14ac:dyDescent="0.2">
      <c r="A45" s="407"/>
      <c r="B45" s="406" t="s">
        <v>476</v>
      </c>
    </row>
    <row r="46" spans="1:2" ht="15.75" x14ac:dyDescent="0.2">
      <c r="A46" s="407"/>
      <c r="B46" s="406"/>
    </row>
    <row r="47" spans="1:2" ht="15.75" x14ac:dyDescent="0.2">
      <c r="A47" s="407" t="s">
        <v>479</v>
      </c>
      <c r="B47" s="404"/>
    </row>
    <row r="48" spans="1:2" ht="94.5" x14ac:dyDescent="0.2">
      <c r="A48" s="407"/>
      <c r="B48" s="408" t="s">
        <v>480</v>
      </c>
    </row>
    <row r="49" spans="1:2" ht="15.75" x14ac:dyDescent="0.2">
      <c r="A49" s="407"/>
      <c r="B49" s="406" t="s">
        <v>476</v>
      </c>
    </row>
    <row r="50" spans="1:2" ht="15.75" x14ac:dyDescent="0.2">
      <c r="A50" s="407"/>
      <c r="B50" s="406"/>
    </row>
    <row r="51" spans="1:2" ht="15.75" x14ac:dyDescent="0.2">
      <c r="A51" s="407" t="s">
        <v>157</v>
      </c>
      <c r="B51" s="404"/>
    </row>
    <row r="52" spans="1:2" ht="31.5" x14ac:dyDescent="0.2">
      <c r="A52" s="407"/>
      <c r="B52" s="408" t="s">
        <v>158</v>
      </c>
    </row>
    <row r="53" spans="1:2" ht="15.75" x14ac:dyDescent="0.2">
      <c r="A53" s="407"/>
      <c r="B53" s="406" t="s">
        <v>476</v>
      </c>
    </row>
    <row r="54" spans="1:2" ht="15.75" x14ac:dyDescent="0.2">
      <c r="A54" s="407"/>
      <c r="B54" s="406"/>
    </row>
    <row r="55" spans="1:2" ht="15.75" x14ac:dyDescent="0.2">
      <c r="A55" s="407" t="s">
        <v>175</v>
      </c>
      <c r="B55" s="404"/>
    </row>
    <row r="56" spans="1:2" ht="15.75" x14ac:dyDescent="0.2">
      <c r="A56" s="407"/>
      <c r="B56" s="408" t="s">
        <v>176</v>
      </c>
    </row>
    <row r="57" spans="1:2" ht="15.75" x14ac:dyDescent="0.2">
      <c r="A57" s="407"/>
      <c r="B57" s="406" t="s">
        <v>481</v>
      </c>
    </row>
    <row r="58" spans="1:2" ht="15.75" x14ac:dyDescent="0.2">
      <c r="A58" s="407"/>
      <c r="B58" s="406"/>
    </row>
    <row r="59" spans="1:2" ht="15.75" x14ac:dyDescent="0.2">
      <c r="A59" s="407" t="s">
        <v>167</v>
      </c>
      <c r="B59" s="404"/>
    </row>
    <row r="60" spans="1:2" ht="141.75" x14ac:dyDescent="0.2">
      <c r="A60" s="407"/>
      <c r="B60" s="408" t="s">
        <v>168</v>
      </c>
    </row>
    <row r="61" spans="1:2" ht="15.75" x14ac:dyDescent="0.2">
      <c r="A61" s="407"/>
      <c r="B61" s="406" t="s">
        <v>476</v>
      </c>
    </row>
    <row r="62" spans="1:2" ht="15.75" x14ac:dyDescent="0.2">
      <c r="A62" s="407"/>
      <c r="B62" s="406"/>
    </row>
    <row r="63" spans="1:2" ht="15.75" x14ac:dyDescent="0.2">
      <c r="A63" s="407" t="s">
        <v>169</v>
      </c>
      <c r="B63" s="404"/>
    </row>
    <row r="64" spans="1:2" ht="94.5" x14ac:dyDescent="0.2">
      <c r="A64" s="407"/>
      <c r="B64" s="408" t="s">
        <v>170</v>
      </c>
    </row>
    <row r="65" spans="1:2" ht="15.75" x14ac:dyDescent="0.2">
      <c r="A65" s="407"/>
      <c r="B65" s="406" t="s">
        <v>476</v>
      </c>
    </row>
    <row r="66" spans="1:2" ht="15.75" x14ac:dyDescent="0.2">
      <c r="A66" s="407"/>
      <c r="B66" s="406"/>
    </row>
    <row r="67" spans="1:2" ht="15.75" x14ac:dyDescent="0.2">
      <c r="A67" s="407" t="s">
        <v>171</v>
      </c>
      <c r="B67" s="404"/>
    </row>
    <row r="68" spans="1:2" ht="63" x14ac:dyDescent="0.2">
      <c r="A68" s="407"/>
      <c r="B68" s="408" t="s">
        <v>172</v>
      </c>
    </row>
    <row r="69" spans="1:2" ht="47.25" x14ac:dyDescent="0.2">
      <c r="A69" s="407"/>
      <c r="B69" s="408" t="s">
        <v>173</v>
      </c>
    </row>
    <row r="70" spans="1:2" ht="47.25" x14ac:dyDescent="0.2">
      <c r="A70" s="407"/>
      <c r="B70" s="406" t="s">
        <v>482</v>
      </c>
    </row>
    <row r="71" spans="1:2" ht="15.75" x14ac:dyDescent="0.2">
      <c r="A71" s="407"/>
      <c r="B71" s="406"/>
    </row>
    <row r="72" spans="1:2" ht="15.75" x14ac:dyDescent="0.2">
      <c r="A72" s="407" t="s">
        <v>159</v>
      </c>
      <c r="B72" s="404"/>
    </row>
    <row r="73" spans="1:2" ht="78.75" x14ac:dyDescent="0.2">
      <c r="A73" s="407"/>
      <c r="B73" s="408" t="s">
        <v>160</v>
      </c>
    </row>
    <row r="74" spans="1:2" ht="15.75" x14ac:dyDescent="0.2">
      <c r="A74" s="407"/>
      <c r="B74" s="406" t="s">
        <v>476</v>
      </c>
    </row>
    <row r="75" spans="1:2" ht="15.75" x14ac:dyDescent="0.2">
      <c r="A75" s="407"/>
      <c r="B75" s="406"/>
    </row>
    <row r="76" spans="1:2" ht="15.75" x14ac:dyDescent="0.2">
      <c r="A76" s="407" t="s">
        <v>165</v>
      </c>
      <c r="B76" s="404"/>
    </row>
    <row r="77" spans="1:2" ht="63" x14ac:dyDescent="0.2">
      <c r="A77" s="407"/>
      <c r="B77" s="408" t="s">
        <v>166</v>
      </c>
    </row>
    <row r="78" spans="1:2" ht="15.75" x14ac:dyDescent="0.2">
      <c r="A78" s="407"/>
      <c r="B78" s="406" t="s">
        <v>483</v>
      </c>
    </row>
    <row r="79" spans="1:2" ht="15.75" x14ac:dyDescent="0.2">
      <c r="B79" s="406"/>
    </row>
    <row r="80" spans="1:2" ht="15.75" x14ac:dyDescent="0.2">
      <c r="A80" s="407" t="s">
        <v>497</v>
      </c>
    </row>
    <row r="81" spans="1:2" ht="15.75" x14ac:dyDescent="0.2">
      <c r="B81" s="408" t="s">
        <v>496</v>
      </c>
    </row>
    <row r="83" spans="1:2" ht="15.75" x14ac:dyDescent="0.2">
      <c r="A83" s="407" t="s">
        <v>222</v>
      </c>
      <c r="B83" s="404"/>
    </row>
    <row r="84" spans="1:2" ht="47.25" x14ac:dyDescent="0.2">
      <c r="A84" s="407"/>
      <c r="B84" s="408" t="s">
        <v>223</v>
      </c>
    </row>
    <row r="85" spans="1:2" ht="15.75" x14ac:dyDescent="0.2">
      <c r="A85" s="407"/>
      <c r="B85" s="406" t="s">
        <v>476</v>
      </c>
    </row>
    <row r="86" spans="1:2" ht="15.75" x14ac:dyDescent="0.2">
      <c r="A86" s="407"/>
      <c r="B86" s="406"/>
    </row>
    <row r="87" spans="1:2" ht="15.75" x14ac:dyDescent="0.2">
      <c r="A87" s="407" t="s">
        <v>163</v>
      </c>
      <c r="B87" s="404"/>
    </row>
    <row r="88" spans="1:2" ht="78.75" x14ac:dyDescent="0.2">
      <c r="A88" s="407"/>
      <c r="B88" s="408" t="s">
        <v>164</v>
      </c>
    </row>
    <row r="89" spans="1:2" ht="15.75" x14ac:dyDescent="0.2">
      <c r="A89" s="407"/>
      <c r="B89" s="406" t="s">
        <v>476</v>
      </c>
    </row>
    <row r="90" spans="1:2" ht="15.75" x14ac:dyDescent="0.2">
      <c r="A90" s="407"/>
      <c r="B90" s="406"/>
    </row>
    <row r="91" spans="1:2" ht="15.75" x14ac:dyDescent="0.2">
      <c r="A91" s="407" t="s">
        <v>155</v>
      </c>
      <c r="B91" s="404"/>
    </row>
    <row r="92" spans="1:2" ht="38.25" x14ac:dyDescent="0.2">
      <c r="A92" s="407"/>
      <c r="B92" s="410" t="s">
        <v>156</v>
      </c>
    </row>
    <row r="93" spans="1:2" ht="15.75" x14ac:dyDescent="0.2">
      <c r="A93" s="407"/>
      <c r="B93" s="406" t="s">
        <v>476</v>
      </c>
    </row>
    <row r="94" spans="1:2" ht="15.75" x14ac:dyDescent="0.2">
      <c r="A94" s="407"/>
      <c r="B94" s="406"/>
    </row>
    <row r="95" spans="1:2" ht="15.75" x14ac:dyDescent="0.2">
      <c r="A95" s="407" t="s">
        <v>144</v>
      </c>
      <c r="B95" s="404"/>
    </row>
    <row r="96" spans="1:2" ht="126" x14ac:dyDescent="0.2">
      <c r="A96" s="407"/>
      <c r="B96" s="408" t="s">
        <v>474</v>
      </c>
    </row>
    <row r="97" spans="1:2" ht="31.5" x14ac:dyDescent="0.2">
      <c r="A97" s="407"/>
      <c r="B97" s="406" t="s">
        <v>475</v>
      </c>
    </row>
    <row r="98" spans="1:2" ht="15.75" x14ac:dyDescent="0.2">
      <c r="A98" s="407"/>
      <c r="B98" s="406"/>
    </row>
    <row r="99" spans="1:2" ht="15.75" x14ac:dyDescent="0.2">
      <c r="A99" s="407" t="s">
        <v>494</v>
      </c>
    </row>
    <row r="100" spans="1:2" ht="31.5" x14ac:dyDescent="0.2">
      <c r="B100" s="408" t="s">
        <v>495</v>
      </c>
    </row>
    <row r="101" spans="1:2" ht="15.75" x14ac:dyDescent="0.2">
      <c r="A101" s="403"/>
      <c r="B101" s="406"/>
    </row>
    <row r="102" spans="1:2" ht="15.75" x14ac:dyDescent="0.2">
      <c r="A102" s="403"/>
      <c r="B102" s="406"/>
    </row>
    <row r="103" spans="1:2" ht="15.75" x14ac:dyDescent="0.2">
      <c r="A103" s="407" t="s">
        <v>484</v>
      </c>
      <c r="B103" s="404"/>
    </row>
    <row r="104" spans="1:2" ht="31.5" x14ac:dyDescent="0.2">
      <c r="A104" s="407"/>
      <c r="B104" s="408" t="s">
        <v>174</v>
      </c>
    </row>
    <row r="105" spans="1:2" ht="15.75" x14ac:dyDescent="0.2">
      <c r="A105" s="407"/>
      <c r="B105" s="406" t="s">
        <v>476</v>
      </c>
    </row>
    <row r="106" spans="1:2" ht="15.75" x14ac:dyDescent="0.2">
      <c r="A106" s="407"/>
      <c r="B106" s="406"/>
    </row>
    <row r="107" spans="1:2" ht="15.75" x14ac:dyDescent="0.2">
      <c r="A107" s="407" t="s">
        <v>207</v>
      </c>
      <c r="B107" s="404"/>
    </row>
    <row r="108" spans="1:2" ht="31.5" x14ac:dyDescent="0.2">
      <c r="A108" s="407"/>
      <c r="B108" s="408" t="s">
        <v>224</v>
      </c>
    </row>
    <row r="109" spans="1:2" ht="15.75" x14ac:dyDescent="0.2">
      <c r="A109" s="407"/>
      <c r="B109" s="406" t="s">
        <v>476</v>
      </c>
    </row>
    <row r="110" spans="1:2" ht="15.75" x14ac:dyDescent="0.2">
      <c r="A110" s="403"/>
      <c r="B110" s="406"/>
    </row>
    <row r="111" spans="1:2" ht="15.75" x14ac:dyDescent="0.2">
      <c r="A111" s="403"/>
      <c r="B111" s="406"/>
    </row>
    <row r="112" spans="1:2" ht="18.75" x14ac:dyDescent="0.2">
      <c r="A112" s="405" t="s">
        <v>177</v>
      </c>
      <c r="B112" s="404"/>
    </row>
    <row r="113" spans="1:2" ht="18.75" x14ac:dyDescent="0.2">
      <c r="A113" s="405"/>
      <c r="B113" s="404"/>
    </row>
    <row r="114" spans="1:2" ht="15.75" x14ac:dyDescent="0.2">
      <c r="A114" s="407" t="s">
        <v>181</v>
      </c>
      <c r="B114" s="404"/>
    </row>
    <row r="115" spans="1:2" ht="31.5" x14ac:dyDescent="0.2">
      <c r="A115" s="407"/>
      <c r="B115" s="408" t="s">
        <v>182</v>
      </c>
    </row>
    <row r="116" spans="1:2" ht="15.75" x14ac:dyDescent="0.2">
      <c r="A116" s="407"/>
      <c r="B116" s="406" t="s">
        <v>485</v>
      </c>
    </row>
    <row r="117" spans="1:2" ht="15.75" x14ac:dyDescent="0.2">
      <c r="A117" s="407"/>
      <c r="B117" s="406"/>
    </row>
    <row r="118" spans="1:2" ht="15.75" x14ac:dyDescent="0.2">
      <c r="A118" s="407" t="s">
        <v>492</v>
      </c>
      <c r="B118" s="406"/>
    </row>
    <row r="119" spans="1:2" x14ac:dyDescent="0.2">
      <c r="A119" s="887"/>
      <c r="B119" s="888" t="s">
        <v>493</v>
      </c>
    </row>
    <row r="120" spans="1:2" x14ac:dyDescent="0.2">
      <c r="A120" s="887"/>
      <c r="B120" s="888"/>
    </row>
    <row r="121" spans="1:2" x14ac:dyDescent="0.2">
      <c r="A121" s="887"/>
      <c r="B121" s="888"/>
    </row>
    <row r="122" spans="1:2" ht="15.75" x14ac:dyDescent="0.2">
      <c r="A122" s="433"/>
      <c r="B122" s="888"/>
    </row>
    <row r="123" spans="1:2" ht="15.75" x14ac:dyDescent="0.2">
      <c r="A123" s="407"/>
      <c r="B123" s="406"/>
    </row>
    <row r="124" spans="1:2" ht="15.75" x14ac:dyDescent="0.2">
      <c r="A124" s="407" t="s">
        <v>178</v>
      </c>
      <c r="B124" s="404"/>
    </row>
    <row r="125" spans="1:2" ht="63" x14ac:dyDescent="0.2">
      <c r="A125" s="407"/>
      <c r="B125" s="408" t="s">
        <v>179</v>
      </c>
    </row>
    <row r="126" spans="1:2" ht="15.75" x14ac:dyDescent="0.2">
      <c r="A126" s="407"/>
      <c r="B126" s="406" t="s">
        <v>485</v>
      </c>
    </row>
    <row r="127" spans="1:2" ht="15.75" x14ac:dyDescent="0.2">
      <c r="A127" s="407"/>
      <c r="B127" s="406"/>
    </row>
    <row r="128" spans="1:2" ht="15.75" x14ac:dyDescent="0.2">
      <c r="A128" s="407" t="s">
        <v>180</v>
      </c>
      <c r="B128" s="404"/>
    </row>
    <row r="129" spans="1:2" ht="15.75" x14ac:dyDescent="0.2">
      <c r="A129" s="407"/>
      <c r="B129" s="886" t="s">
        <v>486</v>
      </c>
    </row>
    <row r="130" spans="1:2" ht="15.75" x14ac:dyDescent="0.2">
      <c r="A130" s="407"/>
      <c r="B130" s="886"/>
    </row>
    <row r="131" spans="1:2" ht="15.75" x14ac:dyDescent="0.2">
      <c r="A131" s="407"/>
      <c r="B131" s="886"/>
    </row>
    <row r="132" spans="1:2" ht="15.75" x14ac:dyDescent="0.2">
      <c r="A132" s="407"/>
      <c r="B132" s="886"/>
    </row>
    <row r="133" spans="1:2" ht="15.75" x14ac:dyDescent="0.2">
      <c r="A133" s="407"/>
      <c r="B133" s="886"/>
    </row>
    <row r="134" spans="1:2" ht="15.75" x14ac:dyDescent="0.2">
      <c r="A134" s="407"/>
      <c r="B134" s="886"/>
    </row>
    <row r="135" spans="1:2" ht="15.75" x14ac:dyDescent="0.2">
      <c r="A135" s="407"/>
      <c r="B135" s="406" t="s">
        <v>485</v>
      </c>
    </row>
    <row r="136" spans="1:2" ht="15.75" x14ac:dyDescent="0.2">
      <c r="A136" s="407"/>
      <c r="B136" s="406"/>
    </row>
    <row r="137" spans="1:2" ht="15.75" x14ac:dyDescent="0.2">
      <c r="A137" s="407" t="s">
        <v>209</v>
      </c>
      <c r="B137" s="404"/>
    </row>
    <row r="138" spans="1:2" ht="78.75" x14ac:dyDescent="0.2">
      <c r="A138" s="407"/>
      <c r="B138" s="408" t="s">
        <v>225</v>
      </c>
    </row>
    <row r="139" spans="1:2" ht="15.75" x14ac:dyDescent="0.2">
      <c r="A139" s="407"/>
      <c r="B139" s="408" t="s">
        <v>487</v>
      </c>
    </row>
    <row r="140" spans="1:2" ht="15.75" x14ac:dyDescent="0.2">
      <c r="A140" s="403"/>
      <c r="B140" s="406"/>
    </row>
    <row r="141" spans="1:2" x14ac:dyDescent="0.2">
      <c r="A141" s="403"/>
      <c r="B141" s="404"/>
    </row>
    <row r="142" spans="1:2" ht="18.75" x14ac:dyDescent="0.2">
      <c r="A142" s="405" t="s">
        <v>183</v>
      </c>
      <c r="B142" s="404"/>
    </row>
    <row r="143" spans="1:2" ht="18.75" x14ac:dyDescent="0.2">
      <c r="A143" s="405"/>
      <c r="B143" s="404"/>
    </row>
    <row r="144" spans="1:2" ht="15.75" x14ac:dyDescent="0.2">
      <c r="A144" s="407" t="s">
        <v>188</v>
      </c>
      <c r="B144" s="404"/>
    </row>
    <row r="145" spans="1:2" ht="63" x14ac:dyDescent="0.2">
      <c r="A145" s="407"/>
      <c r="B145" s="408" t="s">
        <v>488</v>
      </c>
    </row>
    <row r="146" spans="1:2" ht="15.75" x14ac:dyDescent="0.2">
      <c r="A146" s="407"/>
      <c r="B146" s="406" t="s">
        <v>476</v>
      </c>
    </row>
    <row r="147" spans="1:2" ht="15.75" x14ac:dyDescent="0.2">
      <c r="A147" s="407"/>
      <c r="B147" s="406"/>
    </row>
    <row r="148" spans="1:2" ht="15.75" x14ac:dyDescent="0.2">
      <c r="A148" s="407" t="s">
        <v>184</v>
      </c>
      <c r="B148" s="404"/>
    </row>
    <row r="149" spans="1:2" ht="110.25" x14ac:dyDescent="0.2">
      <c r="A149" s="407"/>
      <c r="B149" s="408" t="s">
        <v>185</v>
      </c>
    </row>
    <row r="150" spans="1:2" ht="63" x14ac:dyDescent="0.2">
      <c r="A150" s="407"/>
      <c r="B150" s="406" t="s">
        <v>489</v>
      </c>
    </row>
    <row r="151" spans="1:2" ht="15.75" x14ac:dyDescent="0.2">
      <c r="A151" s="407"/>
      <c r="B151" s="406"/>
    </row>
    <row r="152" spans="1:2" ht="15.75" x14ac:dyDescent="0.2">
      <c r="A152" s="407" t="s">
        <v>186</v>
      </c>
      <c r="B152" s="404"/>
    </row>
    <row r="153" spans="1:2" ht="78.75" x14ac:dyDescent="0.2">
      <c r="A153" s="407"/>
      <c r="B153" s="408" t="s">
        <v>187</v>
      </c>
    </row>
    <row r="154" spans="1:2" ht="15.75" x14ac:dyDescent="0.2">
      <c r="A154" s="407"/>
      <c r="B154" s="406" t="s">
        <v>476</v>
      </c>
    </row>
    <row r="156" spans="1:2" ht="15.75" x14ac:dyDescent="0.2">
      <c r="A156" s="407" t="s">
        <v>494</v>
      </c>
    </row>
    <row r="157" spans="1:2" ht="31.5" x14ac:dyDescent="0.2">
      <c r="B157" s="408" t="s">
        <v>498</v>
      </c>
    </row>
    <row r="158" spans="1:2" ht="15.75" x14ac:dyDescent="0.2">
      <c r="A158" s="403"/>
      <c r="B158" s="406"/>
    </row>
    <row r="159" spans="1:2" ht="15.75" x14ac:dyDescent="0.2">
      <c r="A159" s="403"/>
      <c r="B159" s="406"/>
    </row>
    <row r="160" spans="1:2" ht="18.75" x14ac:dyDescent="0.3">
      <c r="A160" s="391" t="s">
        <v>377</v>
      </c>
      <c r="B160" s="383"/>
    </row>
    <row r="162" spans="1:2" ht="15.75" x14ac:dyDescent="0.2">
      <c r="A162" s="392" t="s">
        <v>379</v>
      </c>
      <c r="B162" s="383"/>
    </row>
    <row r="163" spans="1:2" x14ac:dyDescent="0.2">
      <c r="A163" s="383"/>
      <c r="B163" s="885" t="s">
        <v>380</v>
      </c>
    </row>
    <row r="164" spans="1:2" x14ac:dyDescent="0.2">
      <c r="A164" s="383"/>
      <c r="B164" s="885"/>
    </row>
    <row r="165" spans="1:2" ht="20.25" customHeight="1" x14ac:dyDescent="0.2">
      <c r="B165" s="885"/>
    </row>
    <row r="167" spans="1:2" ht="15.75" x14ac:dyDescent="0.2">
      <c r="A167" s="392" t="s">
        <v>381</v>
      </c>
      <c r="B167" s="383"/>
    </row>
    <row r="168" spans="1:2" x14ac:dyDescent="0.2">
      <c r="A168" s="383"/>
      <c r="B168" s="884" t="s">
        <v>378</v>
      </c>
    </row>
    <row r="169" spans="1:2" x14ac:dyDescent="0.2">
      <c r="A169" s="383"/>
      <c r="B169" s="884"/>
    </row>
    <row r="170" spans="1:2" x14ac:dyDescent="0.2">
      <c r="A170" s="383"/>
      <c r="B170" s="884"/>
    </row>
    <row r="171" spans="1:2" x14ac:dyDescent="0.2">
      <c r="A171" s="383"/>
      <c r="B171" s="884"/>
    </row>
    <row r="172" spans="1:2" x14ac:dyDescent="0.2">
      <c r="A172" s="383"/>
      <c r="B172" s="884"/>
    </row>
  </sheetData>
  <mergeCells count="6">
    <mergeCell ref="A1:B1"/>
    <mergeCell ref="B168:B172"/>
    <mergeCell ref="B163:B165"/>
    <mergeCell ref="B129:B134"/>
    <mergeCell ref="A119:A121"/>
    <mergeCell ref="B119:B122"/>
  </mergeCells>
  <hyperlinks>
    <hyperlink ref="B92" r:id="rId1" display="http://www.fhwa.dot.gov/tea21/factsheets/stp.htm"/>
  </hyperlink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2:E44"/>
  <sheetViews>
    <sheetView workbookViewId="0">
      <selection activeCell="A16" sqref="A16"/>
    </sheetView>
  </sheetViews>
  <sheetFormatPr defaultColWidth="9.140625" defaultRowHeight="12.75" x14ac:dyDescent="0.2"/>
  <cols>
    <col min="1" max="1" width="20.85546875" style="6" customWidth="1"/>
    <col min="2" max="2" width="21.28515625" style="6" customWidth="1"/>
    <col min="3" max="3" width="16.42578125" style="6" customWidth="1"/>
    <col min="4" max="4" width="9.140625" style="6"/>
    <col min="5" max="5" width="20.28515625" style="6" customWidth="1"/>
    <col min="6" max="16384" width="9.140625" style="6"/>
  </cols>
  <sheetData>
    <row r="2" spans="1:5" x14ac:dyDescent="0.2">
      <c r="A2" s="233" t="s">
        <v>7</v>
      </c>
      <c r="B2" s="234"/>
      <c r="C2" s="234"/>
      <c r="D2" s="234"/>
      <c r="E2" s="234"/>
    </row>
    <row r="3" spans="1:5" x14ac:dyDescent="0.2">
      <c r="A3" s="862" t="s">
        <v>8</v>
      </c>
      <c r="B3" s="863"/>
      <c r="C3" s="863"/>
      <c r="D3" s="863"/>
      <c r="E3" s="863"/>
    </row>
    <row r="4" spans="1:5" x14ac:dyDescent="0.2">
      <c r="A4" s="234"/>
      <c r="B4" s="234"/>
      <c r="C4" s="234"/>
      <c r="D4" s="234"/>
      <c r="E4" s="234"/>
    </row>
    <row r="5" spans="1:5" x14ac:dyDescent="0.2">
      <c r="A5" s="235" t="s">
        <v>16</v>
      </c>
      <c r="B5" s="236"/>
      <c r="C5" s="236"/>
      <c r="D5" s="236"/>
      <c r="E5" s="237"/>
    </row>
    <row r="6" spans="1:5" x14ac:dyDescent="0.2">
      <c r="A6" s="236"/>
      <c r="B6" s="236"/>
      <c r="C6" s="236"/>
      <c r="D6" s="236"/>
      <c r="E6" s="236"/>
    </row>
    <row r="7" spans="1:5" x14ac:dyDescent="0.2">
      <c r="A7" s="235" t="s">
        <v>226</v>
      </c>
      <c r="B7" s="236"/>
      <c r="C7" s="236"/>
      <c r="D7" s="236"/>
      <c r="E7" s="236"/>
    </row>
    <row r="8" spans="1:5" x14ac:dyDescent="0.2">
      <c r="A8" s="864" t="s">
        <v>227</v>
      </c>
      <c r="B8" s="865"/>
      <c r="C8" s="865"/>
      <c r="D8" s="865"/>
      <c r="E8" s="865"/>
    </row>
    <row r="9" spans="1:5" x14ac:dyDescent="0.2">
      <c r="A9" s="864" t="s">
        <v>228</v>
      </c>
      <c r="B9" s="865"/>
      <c r="C9" s="865"/>
      <c r="D9" s="865"/>
      <c r="E9" s="865"/>
    </row>
    <row r="10" spans="1:5" x14ac:dyDescent="0.2">
      <c r="A10" s="866" t="s">
        <v>229</v>
      </c>
      <c r="B10" s="867"/>
      <c r="C10" s="867"/>
      <c r="D10" s="867"/>
      <c r="E10" s="867"/>
    </row>
    <row r="11" spans="1:5" x14ac:dyDescent="0.2">
      <c r="A11" s="236" t="s">
        <v>230</v>
      </c>
      <c r="B11" s="236"/>
      <c r="C11" s="236"/>
      <c r="D11" s="236"/>
      <c r="E11" s="236"/>
    </row>
    <row r="12" spans="1:5" x14ac:dyDescent="0.2">
      <c r="A12" s="238" t="s">
        <v>231</v>
      </c>
      <c r="B12" s="234"/>
      <c r="C12" s="234"/>
      <c r="D12" s="234"/>
      <c r="E12" s="234"/>
    </row>
    <row r="13" spans="1:5" ht="30.75" customHeight="1" x14ac:dyDescent="0.2">
      <c r="A13" s="235" t="s">
        <v>232</v>
      </c>
      <c r="B13" s="234"/>
      <c r="C13" s="234"/>
      <c r="D13" s="234"/>
      <c r="E13" s="234"/>
    </row>
    <row r="14" spans="1:5" ht="19.5" customHeight="1" x14ac:dyDescent="0.2">
      <c r="A14" s="234"/>
      <c r="B14" s="239" t="s">
        <v>233</v>
      </c>
      <c r="C14" s="240" t="s">
        <v>234</v>
      </c>
      <c r="D14" s="234"/>
      <c r="E14" s="234"/>
    </row>
    <row r="15" spans="1:5" x14ac:dyDescent="0.2">
      <c r="A15" s="236"/>
      <c r="B15" s="236"/>
      <c r="C15" s="236"/>
      <c r="D15" s="236"/>
      <c r="E15" s="236"/>
    </row>
    <row r="16" spans="1:5" x14ac:dyDescent="0.2">
      <c r="A16" s="241" t="s">
        <v>512</v>
      </c>
      <c r="B16" s="236"/>
      <c r="C16" s="236"/>
      <c r="D16" s="236"/>
      <c r="E16" s="236"/>
    </row>
    <row r="17" spans="2:2" ht="28.5" customHeight="1" x14ac:dyDescent="0.2"/>
    <row r="19" spans="2:2" x14ac:dyDescent="0.2">
      <c r="B19" s="7"/>
    </row>
    <row r="22" spans="2:2" ht="12.75" customHeight="1" x14ac:dyDescent="0.2"/>
    <row r="23" spans="2:2" ht="12.75" customHeight="1" x14ac:dyDescent="0.2"/>
    <row r="27" spans="2:2" ht="59.25" customHeight="1" x14ac:dyDescent="0.2"/>
    <row r="28" spans="2:2" ht="14.25" customHeight="1" x14ac:dyDescent="0.2"/>
    <row r="41" ht="57" customHeight="1" x14ac:dyDescent="0.2"/>
    <row r="44" ht="12.75" customHeight="1" x14ac:dyDescent="0.2"/>
  </sheetData>
  <mergeCells count="4">
    <mergeCell ref="A3:E3"/>
    <mergeCell ref="A8:E8"/>
    <mergeCell ref="A9:E9"/>
    <mergeCell ref="A10:E10"/>
  </mergeCells>
  <phoneticPr fontId="8" type="noConversion"/>
  <pageMargins left="0.75" right="0.75" top="1" bottom="1" header="0.5" footer="0.5"/>
  <pageSetup orientation="portrait" horizontalDpi="1200" verticalDpi="1200"/>
  <headerFooter alignWithMargins="0"/>
  <customProperties>
    <customPr name="DVSECTIONID" r:id="rId1"/>
  </customPropertie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6"/>
  <sheetViews>
    <sheetView workbookViewId="0"/>
  </sheetViews>
  <sheetFormatPr defaultColWidth="8.85546875" defaultRowHeight="12.75" x14ac:dyDescent="0.2"/>
  <sheetData>
    <row r="1" spans="1:1" x14ac:dyDescent="0.2">
      <c r="A1" s="321" t="s">
        <v>361</v>
      </c>
    </row>
    <row r="2" spans="1:1" x14ac:dyDescent="0.2">
      <c r="A2" s="321"/>
    </row>
    <row r="3" spans="1:1" ht="15" x14ac:dyDescent="0.25">
      <c r="A3" s="318" t="s">
        <v>259</v>
      </c>
    </row>
    <row r="4" spans="1:1" ht="15" x14ac:dyDescent="0.2">
      <c r="A4" s="319" t="s">
        <v>260</v>
      </c>
    </row>
    <row r="5" spans="1:1" ht="15" x14ac:dyDescent="0.25">
      <c r="A5" s="318" t="s">
        <v>261</v>
      </c>
    </row>
    <row r="6" spans="1:1" x14ac:dyDescent="0.2">
      <c r="A6" s="319" t="s">
        <v>262</v>
      </c>
    </row>
    <row r="7" spans="1:1" ht="15" x14ac:dyDescent="0.25">
      <c r="A7" s="318" t="s">
        <v>263</v>
      </c>
    </row>
    <row r="8" spans="1:1" x14ac:dyDescent="0.2">
      <c r="A8" s="319" t="s">
        <v>264</v>
      </c>
    </row>
    <row r="9" spans="1:1" ht="15" x14ac:dyDescent="0.25">
      <c r="A9" s="318" t="s">
        <v>265</v>
      </c>
    </row>
    <row r="10" spans="1:1" x14ac:dyDescent="0.2">
      <c r="A10" s="319" t="s">
        <v>266</v>
      </c>
    </row>
    <row r="11" spans="1:1" ht="15" x14ac:dyDescent="0.25">
      <c r="A11" s="318" t="s">
        <v>267</v>
      </c>
    </row>
    <row r="12" spans="1:1" x14ac:dyDescent="0.2">
      <c r="A12" s="319" t="s">
        <v>268</v>
      </c>
    </row>
    <row r="13" spans="1:1" ht="15" x14ac:dyDescent="0.25">
      <c r="A13" s="318" t="s">
        <v>269</v>
      </c>
    </row>
    <row r="14" spans="1:1" x14ac:dyDescent="0.2">
      <c r="A14" s="319" t="s">
        <v>270</v>
      </c>
    </row>
    <row r="15" spans="1:1" ht="15" x14ac:dyDescent="0.25">
      <c r="A15" s="318" t="s">
        <v>271</v>
      </c>
    </row>
    <row r="16" spans="1:1" ht="15" x14ac:dyDescent="0.2">
      <c r="A16" s="319" t="s">
        <v>272</v>
      </c>
    </row>
    <row r="17" spans="1:1" ht="15" x14ac:dyDescent="0.25">
      <c r="A17" s="318" t="s">
        <v>273</v>
      </c>
    </row>
    <row r="18" spans="1:1" x14ac:dyDescent="0.2">
      <c r="A18" s="319" t="s">
        <v>274</v>
      </c>
    </row>
    <row r="19" spans="1:1" ht="15" x14ac:dyDescent="0.25">
      <c r="A19" s="318" t="s">
        <v>275</v>
      </c>
    </row>
    <row r="20" spans="1:1" x14ac:dyDescent="0.2">
      <c r="A20" s="319" t="s">
        <v>276</v>
      </c>
    </row>
    <row r="21" spans="1:1" ht="15" x14ac:dyDescent="0.25">
      <c r="A21" s="318" t="s">
        <v>277</v>
      </c>
    </row>
    <row r="22" spans="1:1" ht="15" x14ac:dyDescent="0.2">
      <c r="A22" s="319" t="s">
        <v>278</v>
      </c>
    </row>
    <row r="23" spans="1:1" ht="17.25" x14ac:dyDescent="0.25">
      <c r="A23" s="318" t="s">
        <v>279</v>
      </c>
    </row>
    <row r="24" spans="1:1" x14ac:dyDescent="0.2">
      <c r="A24" s="319" t="s">
        <v>280</v>
      </c>
    </row>
    <row r="25" spans="1:1" ht="15" x14ac:dyDescent="0.25">
      <c r="A25" s="318" t="s">
        <v>281</v>
      </c>
    </row>
    <row r="26" spans="1:1" x14ac:dyDescent="0.2">
      <c r="A26" s="319" t="s">
        <v>282</v>
      </c>
    </row>
    <row r="27" spans="1:1" ht="15" x14ac:dyDescent="0.25">
      <c r="A27" s="318" t="s">
        <v>283</v>
      </c>
    </row>
    <row r="28" spans="1:1" x14ac:dyDescent="0.2">
      <c r="A28" s="319" t="s">
        <v>284</v>
      </c>
    </row>
    <row r="29" spans="1:1" ht="15" x14ac:dyDescent="0.25">
      <c r="A29" s="318" t="s">
        <v>285</v>
      </c>
    </row>
    <row r="30" spans="1:1" x14ac:dyDescent="0.2">
      <c r="A30" s="319" t="s">
        <v>286</v>
      </c>
    </row>
    <row r="31" spans="1:1" ht="15" x14ac:dyDescent="0.25">
      <c r="A31" s="318" t="s">
        <v>287</v>
      </c>
    </row>
    <row r="32" spans="1:1" x14ac:dyDescent="0.2">
      <c r="A32" s="319" t="s">
        <v>288</v>
      </c>
    </row>
    <row r="33" spans="1:1" ht="15" x14ac:dyDescent="0.25">
      <c r="A33" s="318" t="s">
        <v>289</v>
      </c>
    </row>
    <row r="34" spans="1:1" x14ac:dyDescent="0.2">
      <c r="A34" s="319" t="s">
        <v>290</v>
      </c>
    </row>
    <row r="35" spans="1:1" ht="15" x14ac:dyDescent="0.25">
      <c r="A35" s="318" t="s">
        <v>291</v>
      </c>
    </row>
    <row r="36" spans="1:1" ht="15" x14ac:dyDescent="0.2">
      <c r="A36" s="319" t="s">
        <v>292</v>
      </c>
    </row>
    <row r="37" spans="1:1" ht="15" x14ac:dyDescent="0.25">
      <c r="A37" s="318" t="s">
        <v>293</v>
      </c>
    </row>
    <row r="38" spans="1:1" x14ac:dyDescent="0.2">
      <c r="A38" s="319" t="s">
        <v>294</v>
      </c>
    </row>
    <row r="39" spans="1:1" ht="15" x14ac:dyDescent="0.25">
      <c r="A39" s="318" t="s">
        <v>295</v>
      </c>
    </row>
    <row r="40" spans="1:1" x14ac:dyDescent="0.2">
      <c r="A40" s="319" t="s">
        <v>296</v>
      </c>
    </row>
    <row r="41" spans="1:1" ht="15" x14ac:dyDescent="0.25">
      <c r="A41" s="318" t="s">
        <v>297</v>
      </c>
    </row>
    <row r="42" spans="1:1" x14ac:dyDescent="0.2">
      <c r="A42" s="319" t="s">
        <v>298</v>
      </c>
    </row>
    <row r="43" spans="1:1" ht="15" x14ac:dyDescent="0.25">
      <c r="A43" s="318" t="s">
        <v>299</v>
      </c>
    </row>
    <row r="44" spans="1:1" ht="15" x14ac:dyDescent="0.2">
      <c r="A44" s="319" t="s">
        <v>300</v>
      </c>
    </row>
    <row r="45" spans="1:1" ht="15" x14ac:dyDescent="0.25">
      <c r="A45" s="318" t="s">
        <v>301</v>
      </c>
    </row>
    <row r="46" spans="1:1" x14ac:dyDescent="0.2">
      <c r="A46" s="319" t="s">
        <v>302</v>
      </c>
    </row>
    <row r="47" spans="1:1" ht="15" x14ac:dyDescent="0.25">
      <c r="A47" s="318" t="s">
        <v>303</v>
      </c>
    </row>
    <row r="48" spans="1:1" x14ac:dyDescent="0.2">
      <c r="A48" s="319" t="s">
        <v>304</v>
      </c>
    </row>
    <row r="49" spans="1:1" ht="15" x14ac:dyDescent="0.25">
      <c r="A49" s="318" t="s">
        <v>305</v>
      </c>
    </row>
    <row r="50" spans="1:1" x14ac:dyDescent="0.2">
      <c r="A50" s="319" t="s">
        <v>306</v>
      </c>
    </row>
    <row r="51" spans="1:1" ht="15" x14ac:dyDescent="0.25">
      <c r="A51" s="318" t="s">
        <v>307</v>
      </c>
    </row>
    <row r="52" spans="1:1" x14ac:dyDescent="0.2">
      <c r="A52" s="319" t="s">
        <v>308</v>
      </c>
    </row>
    <row r="53" spans="1:1" ht="15" x14ac:dyDescent="0.25">
      <c r="A53" s="318" t="s">
        <v>309</v>
      </c>
    </row>
    <row r="54" spans="1:1" ht="15" x14ac:dyDescent="0.2">
      <c r="A54" s="319" t="s">
        <v>310</v>
      </c>
    </row>
    <row r="55" spans="1:1" ht="15" x14ac:dyDescent="0.25">
      <c r="A55" s="318" t="s">
        <v>311</v>
      </c>
    </row>
    <row r="56" spans="1:1" x14ac:dyDescent="0.2">
      <c r="A56" s="319" t="s">
        <v>312</v>
      </c>
    </row>
    <row r="57" spans="1:1" ht="15" x14ac:dyDescent="0.25">
      <c r="A57" s="318" t="s">
        <v>313</v>
      </c>
    </row>
    <row r="58" spans="1:1" x14ac:dyDescent="0.2">
      <c r="A58" s="319" t="s">
        <v>314</v>
      </c>
    </row>
    <row r="59" spans="1:1" ht="15" x14ac:dyDescent="0.25">
      <c r="A59" s="318" t="s">
        <v>315</v>
      </c>
    </row>
    <row r="60" spans="1:1" ht="15" x14ac:dyDescent="0.2">
      <c r="A60" s="319" t="s">
        <v>316</v>
      </c>
    </row>
    <row r="61" spans="1:1" ht="15" x14ac:dyDescent="0.25">
      <c r="A61" s="318" t="s">
        <v>317</v>
      </c>
    </row>
    <row r="62" spans="1:1" x14ac:dyDescent="0.2">
      <c r="A62" s="319" t="s">
        <v>318</v>
      </c>
    </row>
    <row r="63" spans="1:1" ht="15" x14ac:dyDescent="0.25">
      <c r="A63" s="318" t="s">
        <v>319</v>
      </c>
    </row>
    <row r="64" spans="1:1" x14ac:dyDescent="0.2">
      <c r="A64" s="319" t="s">
        <v>320</v>
      </c>
    </row>
    <row r="65" spans="1:1" ht="15" x14ac:dyDescent="0.25">
      <c r="A65" s="318" t="s">
        <v>321</v>
      </c>
    </row>
    <row r="66" spans="1:1" x14ac:dyDescent="0.2">
      <c r="A66" s="319" t="s">
        <v>322</v>
      </c>
    </row>
    <row r="67" spans="1:1" ht="15" x14ac:dyDescent="0.25">
      <c r="A67" s="318" t="s">
        <v>323</v>
      </c>
    </row>
    <row r="68" spans="1:1" ht="15" x14ac:dyDescent="0.2">
      <c r="A68" s="319" t="s">
        <v>324</v>
      </c>
    </row>
    <row r="69" spans="1:1" ht="15" x14ac:dyDescent="0.25">
      <c r="A69" s="318" t="s">
        <v>325</v>
      </c>
    </row>
    <row r="70" spans="1:1" x14ac:dyDescent="0.2">
      <c r="A70" s="319" t="s">
        <v>326</v>
      </c>
    </row>
    <row r="71" spans="1:1" ht="15" x14ac:dyDescent="0.25">
      <c r="A71" s="318" t="s">
        <v>327</v>
      </c>
    </row>
    <row r="72" spans="1:1" x14ac:dyDescent="0.2">
      <c r="A72" s="319" t="s">
        <v>328</v>
      </c>
    </row>
    <row r="73" spans="1:1" ht="15" x14ac:dyDescent="0.25">
      <c r="A73" s="318" t="s">
        <v>329</v>
      </c>
    </row>
    <row r="74" spans="1:1" x14ac:dyDescent="0.2">
      <c r="A74" s="319" t="s">
        <v>330</v>
      </c>
    </row>
    <row r="75" spans="1:1" ht="15" x14ac:dyDescent="0.25">
      <c r="A75" s="318" t="s">
        <v>331</v>
      </c>
    </row>
    <row r="76" spans="1:1" x14ac:dyDescent="0.2">
      <c r="A76" s="319" t="s">
        <v>332</v>
      </c>
    </row>
    <row r="77" spans="1:1" ht="15" x14ac:dyDescent="0.25">
      <c r="A77" s="318" t="s">
        <v>333</v>
      </c>
    </row>
    <row r="78" spans="1:1" x14ac:dyDescent="0.2">
      <c r="A78" s="319" t="s">
        <v>334</v>
      </c>
    </row>
    <row r="79" spans="1:1" ht="15" x14ac:dyDescent="0.25">
      <c r="A79" s="318" t="s">
        <v>335</v>
      </c>
    </row>
    <row r="80" spans="1:1" x14ac:dyDescent="0.2">
      <c r="A80" s="319" t="s">
        <v>336</v>
      </c>
    </row>
    <row r="81" spans="1:1" ht="15" x14ac:dyDescent="0.25">
      <c r="A81" s="318" t="s">
        <v>337</v>
      </c>
    </row>
    <row r="82" spans="1:1" x14ac:dyDescent="0.2">
      <c r="A82" s="319" t="s">
        <v>338</v>
      </c>
    </row>
    <row r="83" spans="1:1" ht="15" x14ac:dyDescent="0.25">
      <c r="A83" s="318" t="s">
        <v>339</v>
      </c>
    </row>
    <row r="84" spans="1:1" x14ac:dyDescent="0.2">
      <c r="A84" s="319" t="s">
        <v>340</v>
      </c>
    </row>
    <row r="85" spans="1:1" ht="15" x14ac:dyDescent="0.25">
      <c r="A85" s="318" t="s">
        <v>341</v>
      </c>
    </row>
    <row r="86" spans="1:1" x14ac:dyDescent="0.2">
      <c r="A86" s="319" t="s">
        <v>342</v>
      </c>
    </row>
    <row r="87" spans="1:1" ht="15" x14ac:dyDescent="0.25">
      <c r="A87" s="318" t="s">
        <v>343</v>
      </c>
    </row>
    <row r="88" spans="1:1" x14ac:dyDescent="0.2">
      <c r="A88" s="319" t="s">
        <v>344</v>
      </c>
    </row>
    <row r="89" spans="1:1" ht="15" x14ac:dyDescent="0.25">
      <c r="A89" s="318" t="s">
        <v>345</v>
      </c>
    </row>
    <row r="90" spans="1:1" x14ac:dyDescent="0.2">
      <c r="A90" s="319" t="s">
        <v>346</v>
      </c>
    </row>
    <row r="91" spans="1:1" ht="15" x14ac:dyDescent="0.25">
      <c r="A91" s="318" t="s">
        <v>347</v>
      </c>
    </row>
    <row r="92" spans="1:1" x14ac:dyDescent="0.2">
      <c r="A92" s="319" t="s">
        <v>348</v>
      </c>
    </row>
    <row r="93" spans="1:1" ht="15" x14ac:dyDescent="0.25">
      <c r="A93" s="318" t="s">
        <v>349</v>
      </c>
    </row>
    <row r="94" spans="1:1" x14ac:dyDescent="0.2">
      <c r="A94" s="319" t="s">
        <v>350</v>
      </c>
    </row>
    <row r="95" spans="1:1" ht="15" x14ac:dyDescent="0.25">
      <c r="A95" s="318" t="s">
        <v>351</v>
      </c>
    </row>
    <row r="96" spans="1:1" x14ac:dyDescent="0.2">
      <c r="A96" s="319" t="s">
        <v>352</v>
      </c>
    </row>
    <row r="97" spans="1:1" ht="15" x14ac:dyDescent="0.25">
      <c r="A97" s="318" t="s">
        <v>353</v>
      </c>
    </row>
    <row r="98" spans="1:1" x14ac:dyDescent="0.2">
      <c r="A98" s="319" t="s">
        <v>354</v>
      </c>
    </row>
    <row r="99" spans="1:1" ht="15" x14ac:dyDescent="0.25">
      <c r="A99" s="318" t="s">
        <v>355</v>
      </c>
    </row>
    <row r="100" spans="1:1" ht="15" x14ac:dyDescent="0.2">
      <c r="A100" s="320" t="s">
        <v>356</v>
      </c>
    </row>
    <row r="101" spans="1:1" ht="15" x14ac:dyDescent="0.25">
      <c r="A101" s="318" t="s">
        <v>357</v>
      </c>
    </row>
    <row r="102" spans="1:1" ht="15" x14ac:dyDescent="0.2">
      <c r="A102" s="320" t="s">
        <v>360</v>
      </c>
    </row>
    <row r="103" spans="1:1" ht="15" x14ac:dyDescent="0.25">
      <c r="A103" s="318" t="s">
        <v>358</v>
      </c>
    </row>
    <row r="104" spans="1:1" ht="15" x14ac:dyDescent="0.2">
      <c r="A104" s="320" t="s">
        <v>359</v>
      </c>
    </row>
    <row r="105" spans="1:1" ht="15" x14ac:dyDescent="0.25">
      <c r="A105" s="318" t="s">
        <v>362</v>
      </c>
    </row>
    <row r="106" spans="1:1" x14ac:dyDescent="0.2">
      <c r="A106" t="s">
        <v>363</v>
      </c>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78"/>
  <sheetViews>
    <sheetView topLeftCell="A46" zoomScaleNormal="100" zoomScalePageLayoutView="90" workbookViewId="0">
      <selection activeCell="A39" sqref="A39"/>
    </sheetView>
  </sheetViews>
  <sheetFormatPr defaultColWidth="8.85546875" defaultRowHeight="12.75" x14ac:dyDescent="0.2"/>
  <cols>
    <col min="1" max="1" width="47.140625" style="8" customWidth="1"/>
    <col min="2" max="2" width="13.42578125" style="8" customWidth="1"/>
    <col min="3" max="3" width="34.7109375" style="8" customWidth="1"/>
    <col min="4" max="4" width="14.5703125" style="8" customWidth="1"/>
    <col min="5" max="5" width="54.85546875" style="8" customWidth="1"/>
    <col min="6" max="6" width="16.42578125" style="8" hidden="1" customWidth="1"/>
    <col min="7" max="7" width="7.85546875" style="8" hidden="1" customWidth="1"/>
    <col min="8" max="8" width="12.7109375" style="8" hidden="1" customWidth="1"/>
    <col min="9" max="9" width="13.28515625" style="8" customWidth="1"/>
    <col min="10" max="10" width="15.28515625" style="8" customWidth="1"/>
    <col min="11" max="16384" width="8.85546875" style="8"/>
  </cols>
  <sheetData>
    <row r="1" spans="1:8" ht="23.25" x14ac:dyDescent="0.35">
      <c r="A1" s="228" t="s">
        <v>573</v>
      </c>
      <c r="B1" s="229"/>
      <c r="C1" s="229"/>
    </row>
    <row r="2" spans="1:8" ht="13.5" thickBot="1" x14ac:dyDescent="0.25">
      <c r="A2" s="230"/>
      <c r="B2" s="229"/>
      <c r="C2" s="229"/>
    </row>
    <row r="3" spans="1:8" ht="16.5" thickBot="1" x14ac:dyDescent="0.3">
      <c r="A3" s="84" t="s">
        <v>26</v>
      </c>
      <c r="B3" s="86"/>
      <c r="C3" s="11"/>
      <c r="D3" s="344" t="s">
        <v>440</v>
      </c>
      <c r="E3" s="12"/>
      <c r="F3" s="12"/>
      <c r="G3" s="12"/>
      <c r="H3" s="362" t="s">
        <v>192</v>
      </c>
    </row>
    <row r="4" spans="1:8" ht="16.5" thickBot="1" x14ac:dyDescent="0.3">
      <c r="A4" s="416" t="s">
        <v>567</v>
      </c>
      <c r="B4" s="411"/>
      <c r="C4" s="11"/>
      <c r="D4" s="70" t="s">
        <v>75</v>
      </c>
      <c r="E4" s="855">
        <f>B14</f>
        <v>3046000</v>
      </c>
      <c r="F4" s="114"/>
      <c r="G4" s="114"/>
      <c r="H4" s="463" t="e">
        <f>#REF!</f>
        <v>#REF!</v>
      </c>
    </row>
    <row r="5" spans="1:8" ht="15.75" x14ac:dyDescent="0.25">
      <c r="A5" s="72" t="s">
        <v>423</v>
      </c>
      <c r="B5" s="252">
        <f>1500*100*12</f>
        <v>1800000</v>
      </c>
      <c r="C5" s="11"/>
      <c r="D5" s="17" t="s">
        <v>39</v>
      </c>
      <c r="E5" s="856">
        <f>D12</f>
        <v>35000</v>
      </c>
      <c r="F5" s="18"/>
      <c r="G5" s="18"/>
      <c r="H5" s="134">
        <f>D74</f>
        <v>0</v>
      </c>
    </row>
    <row r="6" spans="1:8" ht="15.75" x14ac:dyDescent="0.25">
      <c r="A6" s="72" t="s">
        <v>384</v>
      </c>
      <c r="B6" s="252"/>
      <c r="C6" s="11"/>
      <c r="D6" s="17" t="s">
        <v>40</v>
      </c>
      <c r="E6" s="856">
        <f>D18</f>
        <v>0</v>
      </c>
      <c r="F6" s="24"/>
      <c r="G6" s="24"/>
      <c r="H6" s="134">
        <f>D42</f>
        <v>0</v>
      </c>
    </row>
    <row r="7" spans="1:8" ht="15.75" x14ac:dyDescent="0.25">
      <c r="A7" s="72" t="s">
        <v>389</v>
      </c>
      <c r="B7" s="252">
        <v>25000</v>
      </c>
      <c r="C7" s="11"/>
      <c r="D7" s="17" t="s">
        <v>569</v>
      </c>
      <c r="E7" s="856">
        <f>D38</f>
        <v>0</v>
      </c>
      <c r="F7" s="24"/>
      <c r="G7" s="24"/>
      <c r="H7" s="134">
        <f>D54</f>
        <v>0</v>
      </c>
    </row>
    <row r="8" spans="1:8" ht="15.75" x14ac:dyDescent="0.25">
      <c r="A8" s="72" t="s">
        <v>385</v>
      </c>
      <c r="B8" s="252">
        <v>25000</v>
      </c>
      <c r="C8" s="834"/>
      <c r="D8" s="17" t="s">
        <v>533</v>
      </c>
      <c r="E8" s="856">
        <f>SUM(E5:E7)</f>
        <v>35000</v>
      </c>
      <c r="F8" s="27"/>
      <c r="G8" s="27"/>
      <c r="H8" s="28">
        <f>SUM(H5:H7)</f>
        <v>0</v>
      </c>
    </row>
    <row r="9" spans="1:8" ht="16.5" thickBot="1" x14ac:dyDescent="0.3">
      <c r="A9" s="72" t="s">
        <v>386</v>
      </c>
      <c r="B9" s="252">
        <v>96000</v>
      </c>
      <c r="C9" s="11"/>
      <c r="D9" s="29" t="s">
        <v>449</v>
      </c>
      <c r="E9" s="493">
        <f>E4-E8</f>
        <v>3011000</v>
      </c>
      <c r="F9" s="31"/>
      <c r="G9" s="31"/>
      <c r="H9" s="32" t="e">
        <f>H4-H8</f>
        <v>#REF!</v>
      </c>
    </row>
    <row r="10" spans="1:8" ht="16.5" thickBot="1" x14ac:dyDescent="0.3">
      <c r="A10" s="72" t="s">
        <v>387</v>
      </c>
      <c r="B10" s="252">
        <v>200000</v>
      </c>
      <c r="C10" s="11" t="s">
        <v>576</v>
      </c>
      <c r="D10" s="11"/>
      <c r="E10" s="11"/>
      <c r="F10" s="55"/>
      <c r="G10" s="41"/>
      <c r="H10" s="56"/>
    </row>
    <row r="11" spans="1:8" ht="16.5" thickBot="1" x14ac:dyDescent="0.3">
      <c r="A11" s="72" t="s">
        <v>388</v>
      </c>
      <c r="B11" s="252">
        <v>100000</v>
      </c>
      <c r="C11" s="11"/>
      <c r="D11" s="43" t="s">
        <v>193</v>
      </c>
      <c r="E11" s="44"/>
      <c r="F11" s="47"/>
      <c r="G11" s="47"/>
      <c r="H11" s="48"/>
    </row>
    <row r="12" spans="1:8" ht="15.75" x14ac:dyDescent="0.25">
      <c r="A12" s="72" t="s">
        <v>390</v>
      </c>
      <c r="B12" s="134">
        <f>SUM(B7:B11)</f>
        <v>446000</v>
      </c>
      <c r="C12" s="11"/>
      <c r="D12" s="273">
        <f>SUM(D13:D17)</f>
        <v>35000</v>
      </c>
      <c r="E12" s="274" t="s">
        <v>194</v>
      </c>
      <c r="F12" s="47"/>
      <c r="G12" s="47"/>
      <c r="H12" s="48"/>
    </row>
    <row r="13" spans="1:8" ht="15.75" x14ac:dyDescent="0.25">
      <c r="A13" s="413" t="s">
        <v>398</v>
      </c>
      <c r="B13" s="419">
        <v>800000</v>
      </c>
      <c r="C13" s="11"/>
      <c r="D13" s="396">
        <v>0</v>
      </c>
      <c r="E13" s="265" t="s">
        <v>147</v>
      </c>
      <c r="F13" s="47"/>
      <c r="G13" s="47"/>
      <c r="H13" s="48"/>
    </row>
    <row r="14" spans="1:8" ht="15.75" x14ac:dyDescent="0.25">
      <c r="A14" s="418" t="s">
        <v>44</v>
      </c>
      <c r="B14" s="134">
        <f>B5+B12+B13</f>
        <v>3046000</v>
      </c>
      <c r="C14" s="11"/>
      <c r="D14" s="396">
        <v>35000</v>
      </c>
      <c r="E14" s="265" t="s">
        <v>151</v>
      </c>
      <c r="F14" s="47"/>
      <c r="G14" s="47"/>
      <c r="H14" s="48"/>
    </row>
    <row r="15" spans="1:8" ht="15.75" x14ac:dyDescent="0.25">
      <c r="A15" s="17" t="s">
        <v>533</v>
      </c>
      <c r="B15" s="261">
        <f>E8</f>
        <v>35000</v>
      </c>
      <c r="C15" s="11"/>
      <c r="D15" s="396">
        <v>0</v>
      </c>
      <c r="E15" s="266" t="s">
        <v>149</v>
      </c>
      <c r="F15" s="47"/>
      <c r="G15" s="47"/>
      <c r="H15" s="48"/>
    </row>
    <row r="16" spans="1:8" ht="16.5" thickBot="1" x14ac:dyDescent="0.3">
      <c r="A16" s="29" t="s">
        <v>449</v>
      </c>
      <c r="B16" s="493">
        <f>B14-B15</f>
        <v>3011000</v>
      </c>
      <c r="C16" s="11"/>
      <c r="D16" s="396">
        <v>0</v>
      </c>
      <c r="E16" s="265" t="s">
        <v>458</v>
      </c>
      <c r="F16" s="47"/>
      <c r="G16" s="47"/>
      <c r="H16" s="48"/>
    </row>
    <row r="17" spans="1:11" ht="16.5" thickBot="1" x14ac:dyDescent="0.3">
      <c r="A17" s="72" t="s">
        <v>561</v>
      </c>
      <c r="B17" s="857">
        <v>0.6</v>
      </c>
      <c r="C17" s="11"/>
      <c r="D17" s="396">
        <v>0</v>
      </c>
      <c r="E17" s="265" t="s">
        <v>458</v>
      </c>
      <c r="F17" s="47"/>
      <c r="G17" s="47"/>
      <c r="H17" s="48"/>
    </row>
    <row r="18" spans="1:11" ht="15.75" x14ac:dyDescent="0.25">
      <c r="A18" s="72" t="s">
        <v>27</v>
      </c>
      <c r="B18" s="134">
        <f>B16*B17</f>
        <v>1806600</v>
      </c>
      <c r="C18" s="11"/>
      <c r="D18" s="273">
        <f>SUM(D19:D37)</f>
        <v>0</v>
      </c>
      <c r="E18" s="274" t="s">
        <v>195</v>
      </c>
      <c r="F18" s="47"/>
      <c r="G18" s="47"/>
      <c r="H18" s="48"/>
    </row>
    <row r="19" spans="1:11" ht="15.75" x14ac:dyDescent="0.25">
      <c r="A19" s="72" t="s">
        <v>575</v>
      </c>
      <c r="B19" s="134">
        <f>B14-B18</f>
        <v>1239400</v>
      </c>
      <c r="C19" s="11"/>
      <c r="D19" s="396">
        <v>0</v>
      </c>
      <c r="E19" s="265" t="s">
        <v>161</v>
      </c>
      <c r="F19" s="47"/>
      <c r="G19" s="47"/>
      <c r="H19" s="48"/>
    </row>
    <row r="20" spans="1:11" ht="15.75" x14ac:dyDescent="0.25">
      <c r="A20" s="72" t="s">
        <v>28</v>
      </c>
      <c r="B20" s="858">
        <v>12</v>
      </c>
      <c r="C20" s="11"/>
      <c r="D20" s="396">
        <v>0</v>
      </c>
      <c r="E20" s="265" t="s">
        <v>196</v>
      </c>
      <c r="F20" s="47"/>
      <c r="G20" s="47"/>
      <c r="H20" s="48"/>
    </row>
    <row r="21" spans="1:11" ht="15.75" x14ac:dyDescent="0.25">
      <c r="A21" s="72" t="s">
        <v>568</v>
      </c>
      <c r="B21" s="834">
        <f>B14/B20</f>
        <v>253833.33333333334</v>
      </c>
      <c r="C21" s="11"/>
      <c r="D21" s="396">
        <v>0</v>
      </c>
      <c r="E21" s="265" t="s">
        <v>197</v>
      </c>
      <c r="F21" s="47"/>
      <c r="G21" s="47"/>
      <c r="H21" s="48"/>
    </row>
    <row r="22" spans="1:11" ht="15.75" x14ac:dyDescent="0.25">
      <c r="A22" s="72" t="s">
        <v>562</v>
      </c>
      <c r="B22" s="252">
        <v>350000</v>
      </c>
      <c r="C22" s="11"/>
      <c r="D22" s="396">
        <v>0</v>
      </c>
      <c r="E22" s="265" t="s">
        <v>204</v>
      </c>
      <c r="F22" s="47"/>
      <c r="G22" s="47"/>
      <c r="H22" s="48"/>
    </row>
    <row r="23" spans="1:11" ht="15.75" x14ac:dyDescent="0.25">
      <c r="A23" s="72" t="s">
        <v>565</v>
      </c>
      <c r="B23" s="834">
        <f>B20*B22</f>
        <v>4200000</v>
      </c>
      <c r="C23" s="11"/>
      <c r="D23" s="396">
        <v>0</v>
      </c>
      <c r="E23" s="265" t="s">
        <v>199</v>
      </c>
      <c r="F23" s="47"/>
      <c r="G23" s="47"/>
      <c r="H23" s="48"/>
    </row>
    <row r="24" spans="1:11" ht="15.75" x14ac:dyDescent="0.25">
      <c r="A24" s="72" t="s">
        <v>563</v>
      </c>
      <c r="B24" s="857">
        <v>0.06</v>
      </c>
      <c r="C24" s="11"/>
      <c r="D24" s="396">
        <v>0</v>
      </c>
      <c r="E24" s="265" t="s">
        <v>175</v>
      </c>
      <c r="F24" s="47"/>
      <c r="G24" s="47"/>
      <c r="H24" s="48"/>
    </row>
    <row r="25" spans="1:11" ht="15.75" x14ac:dyDescent="0.25">
      <c r="A25" s="72" t="s">
        <v>564</v>
      </c>
      <c r="B25" s="834">
        <f>B23*B24</f>
        <v>252000</v>
      </c>
      <c r="C25" s="11"/>
      <c r="D25" s="396">
        <v>0</v>
      </c>
      <c r="E25" s="265" t="s">
        <v>203</v>
      </c>
      <c r="F25" s="47"/>
      <c r="G25" s="47"/>
      <c r="H25" s="48"/>
    </row>
    <row r="26" spans="1:11" ht="15.75" x14ac:dyDescent="0.25">
      <c r="A26" s="72" t="s">
        <v>29</v>
      </c>
      <c r="B26" s="134">
        <f>B23-B25</f>
        <v>3948000</v>
      </c>
      <c r="C26" s="11"/>
      <c r="D26" s="396">
        <v>0</v>
      </c>
      <c r="E26" s="265" t="s">
        <v>167</v>
      </c>
      <c r="F26" s="47"/>
      <c r="G26" s="47"/>
      <c r="H26" s="48"/>
    </row>
    <row r="27" spans="1:11" ht="16.5" thickBot="1" x14ac:dyDescent="0.3">
      <c r="A27" s="73" t="s">
        <v>32</v>
      </c>
      <c r="B27" s="770">
        <f>B26-B14</f>
        <v>902000</v>
      </c>
      <c r="C27" s="11"/>
      <c r="D27" s="396">
        <v>0</v>
      </c>
      <c r="E27" s="265" t="s">
        <v>200</v>
      </c>
      <c r="F27" s="47"/>
      <c r="G27" s="47"/>
      <c r="H27" s="48"/>
    </row>
    <row r="28" spans="1:11" ht="16.5" thickBot="1" x14ac:dyDescent="0.3">
      <c r="A28" s="11"/>
      <c r="B28" s="11"/>
      <c r="C28" s="11"/>
      <c r="D28" s="396">
        <v>0</v>
      </c>
      <c r="E28" s="265" t="s">
        <v>165</v>
      </c>
      <c r="F28" s="47"/>
      <c r="G28" s="47"/>
      <c r="H28" s="48"/>
    </row>
    <row r="29" spans="1:11" ht="16.5" thickBot="1" x14ac:dyDescent="0.3">
      <c r="A29" s="43" t="s">
        <v>31</v>
      </c>
      <c r="B29" s="45"/>
      <c r="C29" s="11"/>
      <c r="D29" s="396">
        <v>0</v>
      </c>
      <c r="E29" s="265" t="s">
        <v>497</v>
      </c>
      <c r="F29" s="47"/>
      <c r="G29" s="47"/>
      <c r="H29" s="48"/>
    </row>
    <row r="30" spans="1:11" ht="16.5" thickBot="1" x14ac:dyDescent="0.3">
      <c r="A30" s="859" t="s">
        <v>570</v>
      </c>
      <c r="B30" s="860">
        <v>0.25</v>
      </c>
      <c r="C30" s="11" t="s">
        <v>571</v>
      </c>
      <c r="D30" s="396">
        <v>0</v>
      </c>
      <c r="E30" s="265" t="s">
        <v>163</v>
      </c>
      <c r="F30" s="41"/>
      <c r="G30" s="41"/>
      <c r="H30" s="42"/>
      <c r="K30" s="9"/>
    </row>
    <row r="31" spans="1:11" ht="15.75" x14ac:dyDescent="0.25">
      <c r="A31" s="72" t="s">
        <v>538</v>
      </c>
      <c r="B31" s="134">
        <f>B16</f>
        <v>3011000</v>
      </c>
      <c r="C31" s="11"/>
      <c r="D31" s="396">
        <v>0</v>
      </c>
      <c r="E31" s="265" t="s">
        <v>206</v>
      </c>
      <c r="F31" s="47"/>
      <c r="G31" s="47"/>
      <c r="H31" s="48"/>
    </row>
    <row r="32" spans="1:11" ht="15.75" x14ac:dyDescent="0.25">
      <c r="A32" s="72" t="s">
        <v>566</v>
      </c>
      <c r="B32" s="834">
        <f>B30*B31</f>
        <v>752750</v>
      </c>
      <c r="C32" s="11"/>
      <c r="D32" s="396">
        <v>0</v>
      </c>
      <c r="E32" s="265" t="s">
        <v>198</v>
      </c>
      <c r="F32" s="47"/>
      <c r="G32" s="47"/>
      <c r="H32" s="48"/>
    </row>
    <row r="33" spans="1:11" ht="16.5" thickBot="1" x14ac:dyDescent="0.3">
      <c r="A33" s="73" t="s">
        <v>30</v>
      </c>
      <c r="B33" s="134">
        <f>B27</f>
        <v>902000</v>
      </c>
      <c r="C33" s="11"/>
      <c r="D33" s="396">
        <v>0</v>
      </c>
      <c r="E33" s="265" t="s">
        <v>201</v>
      </c>
      <c r="F33" s="47"/>
      <c r="G33" s="47"/>
      <c r="H33" s="48"/>
      <c r="K33" s="10"/>
    </row>
    <row r="34" spans="1:11" ht="16.5" thickBot="1" x14ac:dyDescent="0.3">
      <c r="A34" s="72" t="s">
        <v>32</v>
      </c>
      <c r="B34" s="861">
        <f>IFERROR(B33/B31,0)</f>
        <v>0.29956824975091334</v>
      </c>
      <c r="C34" s="11"/>
      <c r="D34" s="396">
        <v>0</v>
      </c>
      <c r="E34" s="265" t="s">
        <v>205</v>
      </c>
      <c r="F34" s="47"/>
      <c r="G34" s="47"/>
      <c r="H34" s="48"/>
      <c r="K34" s="10"/>
    </row>
    <row r="35" spans="1:11" ht="16.5" thickBot="1" x14ac:dyDescent="0.3">
      <c r="A35" s="859" t="s">
        <v>574</v>
      </c>
      <c r="B35" s="860">
        <v>0.5</v>
      </c>
      <c r="C35" s="11" t="s">
        <v>572</v>
      </c>
      <c r="D35" s="396">
        <v>0</v>
      </c>
      <c r="E35" s="265" t="s">
        <v>207</v>
      </c>
      <c r="F35" s="47"/>
      <c r="G35" s="47"/>
      <c r="H35" s="48"/>
      <c r="K35" s="10"/>
    </row>
    <row r="36" spans="1:11" ht="16.5" thickBot="1" x14ac:dyDescent="0.3">
      <c r="A36" s="72" t="s">
        <v>575</v>
      </c>
      <c r="B36" s="134">
        <f>B19</f>
        <v>1239400</v>
      </c>
      <c r="C36" s="11"/>
      <c r="D36" s="396">
        <v>0</v>
      </c>
      <c r="E36" s="265" t="s">
        <v>458</v>
      </c>
      <c r="F36" s="74"/>
      <c r="G36" s="74"/>
      <c r="H36" s="75"/>
      <c r="K36" s="10"/>
    </row>
    <row r="37" spans="1:11" ht="16.5" thickBot="1" x14ac:dyDescent="0.3">
      <c r="A37" s="72" t="s">
        <v>29</v>
      </c>
      <c r="B37" s="134">
        <f>B33</f>
        <v>902000</v>
      </c>
      <c r="C37" s="11"/>
      <c r="D37" s="396">
        <v>0</v>
      </c>
      <c r="E37" s="265" t="s">
        <v>458</v>
      </c>
      <c r="F37" s="197"/>
      <c r="G37" s="197"/>
      <c r="H37" s="197"/>
      <c r="K37" s="10"/>
    </row>
    <row r="38" spans="1:11" ht="15.75" x14ac:dyDescent="0.25">
      <c r="A38" s="72" t="s">
        <v>33</v>
      </c>
      <c r="B38" s="861">
        <f>IFERROR(B37/B36,0)</f>
        <v>0.72777150233984189</v>
      </c>
      <c r="C38" s="11"/>
      <c r="D38" s="273">
        <f>SUM(D39:D44)</f>
        <v>0</v>
      </c>
      <c r="E38" s="274" t="s">
        <v>208</v>
      </c>
      <c r="F38" s="197"/>
      <c r="G38" s="197"/>
      <c r="H38" s="197"/>
      <c r="K38" s="10"/>
    </row>
    <row r="39" spans="1:11" ht="16.5" thickBot="1" x14ac:dyDescent="0.3">
      <c r="A39" s="73" t="s">
        <v>577</v>
      </c>
      <c r="B39" s="770">
        <f>B37-(B35*B36)</f>
        <v>282300</v>
      </c>
      <c r="C39" s="11"/>
      <c r="D39" s="396">
        <v>0</v>
      </c>
      <c r="E39" s="265" t="s">
        <v>188</v>
      </c>
    </row>
    <row r="40" spans="1:11" ht="15.75" x14ac:dyDescent="0.25">
      <c r="C40" s="11"/>
      <c r="D40" s="396">
        <v>0</v>
      </c>
      <c r="E40" s="265" t="s">
        <v>184</v>
      </c>
    </row>
    <row r="41" spans="1:11" ht="15.75" x14ac:dyDescent="0.25">
      <c r="A41" s="11"/>
      <c r="B41" s="11"/>
      <c r="C41" s="11"/>
      <c r="D41" s="396">
        <v>0</v>
      </c>
      <c r="E41" s="265" t="s">
        <v>186</v>
      </c>
    </row>
    <row r="42" spans="1:11" ht="15.75" x14ac:dyDescent="0.25">
      <c r="A42" s="11"/>
      <c r="B42" s="11"/>
      <c r="C42" s="11"/>
      <c r="D42" s="396">
        <v>0</v>
      </c>
      <c r="E42" s="265" t="s">
        <v>494</v>
      </c>
    </row>
    <row r="43" spans="1:11" ht="15.75" x14ac:dyDescent="0.25">
      <c r="A43" s="11"/>
      <c r="B43" s="11"/>
      <c r="C43" s="11"/>
      <c r="D43" s="396">
        <v>0</v>
      </c>
      <c r="E43" s="265" t="s">
        <v>458</v>
      </c>
    </row>
    <row r="44" spans="1:11" ht="16.5" thickBot="1" x14ac:dyDescent="0.3">
      <c r="A44" s="11"/>
      <c r="B44" s="11"/>
      <c r="C44" s="11"/>
      <c r="D44" s="397">
        <v>0</v>
      </c>
      <c r="E44" s="269" t="s">
        <v>458</v>
      </c>
    </row>
    <row r="45" spans="1:11" ht="15.75" x14ac:dyDescent="0.25">
      <c r="A45" s="11"/>
      <c r="B45" s="11"/>
      <c r="C45" s="11"/>
      <c r="D45" s="11"/>
      <c r="E45" s="11"/>
    </row>
    <row r="46" spans="1:11" ht="15.75" x14ac:dyDescent="0.25">
      <c r="A46" s="11"/>
      <c r="B46" s="11"/>
      <c r="C46" s="11"/>
      <c r="D46" s="11"/>
      <c r="E46" s="11"/>
    </row>
    <row r="47" spans="1:11" ht="15.75" x14ac:dyDescent="0.25">
      <c r="A47" s="11"/>
      <c r="B47" s="11"/>
      <c r="C47" s="11"/>
      <c r="D47" s="11"/>
      <c r="E47" s="11"/>
    </row>
    <row r="48" spans="1:11" ht="15.75" x14ac:dyDescent="0.25">
      <c r="A48" s="11"/>
      <c r="B48" s="11"/>
      <c r="C48" s="11"/>
      <c r="D48" s="11"/>
      <c r="E48" s="11"/>
    </row>
    <row r="49" spans="1:5" ht="15.75" x14ac:dyDescent="0.25">
      <c r="A49" s="11"/>
      <c r="B49" s="11"/>
      <c r="C49" s="11"/>
      <c r="D49" s="11"/>
      <c r="E49" s="11"/>
    </row>
    <row r="50" spans="1:5" ht="15.75" x14ac:dyDescent="0.25">
      <c r="A50" s="11"/>
      <c r="B50" s="11"/>
      <c r="C50" s="11"/>
      <c r="D50" s="11"/>
      <c r="E50" s="11"/>
    </row>
    <row r="51" spans="1:5" ht="15.75" x14ac:dyDescent="0.25">
      <c r="A51" s="11"/>
      <c r="B51" s="11"/>
      <c r="C51" s="11"/>
      <c r="D51" s="11"/>
      <c r="E51" s="11"/>
    </row>
    <row r="52" spans="1:5" ht="15.75" x14ac:dyDescent="0.25">
      <c r="A52" s="11"/>
      <c r="B52" s="11"/>
      <c r="C52" s="11"/>
      <c r="D52" s="11"/>
      <c r="E52" s="11"/>
    </row>
    <row r="53" spans="1:5" ht="15.75" x14ac:dyDescent="0.25">
      <c r="A53" s="11"/>
      <c r="B53" s="11"/>
      <c r="C53" s="11"/>
      <c r="D53" s="11"/>
      <c r="E53" s="11"/>
    </row>
    <row r="54" spans="1:5" ht="15.75" x14ac:dyDescent="0.25">
      <c r="A54" s="11"/>
      <c r="B54" s="11"/>
      <c r="C54" s="11"/>
      <c r="D54" s="11"/>
      <c r="E54" s="11"/>
    </row>
    <row r="55" spans="1:5" ht="15.75" x14ac:dyDescent="0.25">
      <c r="A55" s="11"/>
      <c r="B55" s="11"/>
      <c r="C55" s="11"/>
      <c r="D55" s="11"/>
      <c r="E55" s="11"/>
    </row>
    <row r="56" spans="1:5" ht="15.75" x14ac:dyDescent="0.25">
      <c r="A56" s="11"/>
      <c r="B56" s="11"/>
      <c r="C56" s="11"/>
      <c r="D56" s="11"/>
      <c r="E56" s="11"/>
    </row>
    <row r="57" spans="1:5" ht="15.75" x14ac:dyDescent="0.25">
      <c r="A57" s="11"/>
      <c r="B57" s="11"/>
      <c r="C57" s="11"/>
      <c r="D57" s="11"/>
      <c r="E57" s="11"/>
    </row>
    <row r="58" spans="1:5" ht="15.75" x14ac:dyDescent="0.25">
      <c r="A58" s="11"/>
      <c r="B58" s="11"/>
      <c r="C58" s="11"/>
      <c r="D58" s="11"/>
      <c r="E58" s="11"/>
    </row>
    <row r="59" spans="1:5" ht="15.75" x14ac:dyDescent="0.25">
      <c r="A59" s="11"/>
      <c r="B59" s="11"/>
      <c r="C59" s="11"/>
      <c r="D59" s="11"/>
      <c r="E59" s="11"/>
    </row>
    <row r="60" spans="1:5" ht="15.75" x14ac:dyDescent="0.25">
      <c r="A60" s="11"/>
      <c r="B60" s="11"/>
      <c r="C60" s="11"/>
      <c r="D60" s="11"/>
      <c r="E60" s="11"/>
    </row>
    <row r="61" spans="1:5" ht="15.75" x14ac:dyDescent="0.25">
      <c r="A61" s="166"/>
      <c r="B61" s="11"/>
      <c r="C61" s="11"/>
      <c r="D61" s="11"/>
      <c r="E61" s="11"/>
    </row>
    <row r="62" spans="1:5" ht="15.75" x14ac:dyDescent="0.25">
      <c r="A62" s="11"/>
      <c r="B62" s="11"/>
      <c r="C62" s="11"/>
      <c r="D62" s="11"/>
      <c r="E62" s="11"/>
    </row>
    <row r="63" spans="1:5" ht="15.75" x14ac:dyDescent="0.25">
      <c r="A63" s="11"/>
      <c r="B63" s="11"/>
      <c r="C63" s="11"/>
      <c r="D63" s="11"/>
      <c r="E63" s="11"/>
    </row>
    <row r="64" spans="1:5" ht="15.75" x14ac:dyDescent="0.25">
      <c r="A64" s="11"/>
      <c r="B64" s="11"/>
      <c r="C64" s="11"/>
      <c r="D64" s="11"/>
      <c r="E64" s="11"/>
    </row>
    <row r="65" spans="1:5" ht="15.75" x14ac:dyDescent="0.25">
      <c r="A65" s="11"/>
      <c r="B65" s="11"/>
      <c r="C65" s="11"/>
      <c r="D65" s="11"/>
      <c r="E65" s="11"/>
    </row>
    <row r="66" spans="1:5" ht="15.75" x14ac:dyDescent="0.25">
      <c r="A66" s="11"/>
      <c r="B66" s="11"/>
      <c r="C66" s="11"/>
      <c r="D66" s="11"/>
      <c r="E66" s="11"/>
    </row>
    <row r="67" spans="1:5" ht="15.75" x14ac:dyDescent="0.25">
      <c r="A67" s="11"/>
      <c r="B67" s="11"/>
      <c r="C67" s="11"/>
      <c r="D67" s="11"/>
      <c r="E67" s="11"/>
    </row>
    <row r="68" spans="1:5" ht="15.75" x14ac:dyDescent="0.25">
      <c r="A68" s="11"/>
      <c r="B68" s="11"/>
      <c r="C68" s="11"/>
      <c r="D68" s="11"/>
      <c r="E68" s="11"/>
    </row>
    <row r="69" spans="1:5" ht="15.75" x14ac:dyDescent="0.25">
      <c r="A69" s="11"/>
      <c r="B69" s="11"/>
      <c r="C69" s="11"/>
      <c r="D69" s="11"/>
      <c r="E69" s="11"/>
    </row>
    <row r="70" spans="1:5" ht="15.75" x14ac:dyDescent="0.25">
      <c r="D70" s="11"/>
      <c r="E70" s="11"/>
    </row>
    <row r="71" spans="1:5" ht="15.75" x14ac:dyDescent="0.25">
      <c r="A71" s="11"/>
      <c r="B71" s="11"/>
      <c r="C71" s="11"/>
      <c r="D71" s="11"/>
      <c r="E71" s="11"/>
    </row>
    <row r="72" spans="1:5" ht="15.75" x14ac:dyDescent="0.25">
      <c r="A72" s="11"/>
      <c r="B72" s="11"/>
      <c r="C72" s="11"/>
      <c r="D72" s="11"/>
      <c r="E72" s="11"/>
    </row>
    <row r="73" spans="1:5" ht="15.75" x14ac:dyDescent="0.25">
      <c r="A73" s="11"/>
      <c r="B73" s="11"/>
      <c r="C73" s="11"/>
      <c r="D73" s="11"/>
      <c r="E73" s="11"/>
    </row>
    <row r="74" spans="1:5" ht="15.75" x14ac:dyDescent="0.25">
      <c r="A74" s="11"/>
      <c r="B74" s="11"/>
      <c r="C74" s="11"/>
      <c r="D74" s="11"/>
      <c r="E74" s="11"/>
    </row>
    <row r="75" spans="1:5" ht="15.75" x14ac:dyDescent="0.25">
      <c r="A75" s="11"/>
      <c r="B75" s="11"/>
      <c r="C75" s="11"/>
      <c r="D75" s="11"/>
      <c r="E75" s="11"/>
    </row>
    <row r="76" spans="1:5" ht="15.75" x14ac:dyDescent="0.25">
      <c r="A76" s="11"/>
      <c r="B76" s="11"/>
      <c r="C76" s="11"/>
      <c r="D76" s="11"/>
      <c r="E76" s="11"/>
    </row>
    <row r="77" spans="1:5" ht="15.75" x14ac:dyDescent="0.25">
      <c r="A77" s="11"/>
      <c r="B77" s="11"/>
      <c r="C77" s="11"/>
      <c r="D77" s="11"/>
      <c r="E77" s="11"/>
    </row>
    <row r="78" spans="1:5" ht="15.75" x14ac:dyDescent="0.25">
      <c r="A78" s="11"/>
      <c r="B78" s="11"/>
      <c r="C78" s="11"/>
      <c r="D78" s="11"/>
      <c r="E78" s="11"/>
    </row>
  </sheetData>
  <sortState ref="E39:E41">
    <sortCondition ref="E28"/>
  </sortState>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27"/>
  <sheetViews>
    <sheetView zoomScale="70" zoomScaleNormal="70" zoomScalePageLayoutView="70" workbookViewId="0"/>
  </sheetViews>
  <sheetFormatPr defaultColWidth="8.85546875" defaultRowHeight="15.75" x14ac:dyDescent="0.25"/>
  <cols>
    <col min="1" max="1" width="16.42578125" style="11" customWidth="1"/>
    <col min="2" max="2" width="27.5703125" style="11" customWidth="1"/>
    <col min="3" max="3" width="23.140625" style="11" customWidth="1"/>
    <col min="4" max="4" width="21.42578125" style="11" customWidth="1"/>
    <col min="5" max="5" width="14.42578125" style="11" customWidth="1"/>
    <col min="6" max="6" width="14.7109375" style="11" customWidth="1"/>
    <col min="7" max="7" width="19" style="11" customWidth="1"/>
    <col min="8" max="8" width="13.42578125" style="11" customWidth="1"/>
    <col min="9" max="9" width="13.28515625" style="11" customWidth="1"/>
    <col min="10" max="10" width="15" style="11" customWidth="1"/>
    <col min="11" max="11" width="13.42578125" style="11" customWidth="1"/>
    <col min="12" max="12" width="14.42578125" style="11" customWidth="1"/>
    <col min="13" max="13" width="14.140625" style="11" customWidth="1"/>
    <col min="14" max="14" width="14.85546875" style="11" customWidth="1"/>
    <col min="15" max="15" width="16.28515625" style="11" customWidth="1"/>
    <col min="16" max="16" width="14.7109375" style="11" customWidth="1"/>
    <col min="17" max="17" width="14.140625" style="11" customWidth="1"/>
    <col min="18" max="18" width="16.42578125" style="11" customWidth="1"/>
    <col min="19" max="21" width="14.28515625" style="11" customWidth="1"/>
    <col min="22" max="22" width="17.140625" style="11" customWidth="1"/>
    <col min="23" max="23" width="15.710937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5.71093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426</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75</v>
      </c>
      <c r="I4" s="114"/>
      <c r="J4" s="114"/>
      <c r="K4" s="114"/>
      <c r="L4" s="463">
        <f>C25</f>
        <v>3040000</v>
      </c>
      <c r="M4" s="336"/>
      <c r="S4" s="39"/>
      <c r="Y4" s="39"/>
      <c r="Z4" s="39"/>
      <c r="AA4" s="39"/>
    </row>
    <row r="5" spans="1:27" x14ac:dyDescent="0.25">
      <c r="A5" s="67" t="s">
        <v>37</v>
      </c>
      <c r="B5" s="65"/>
      <c r="C5" s="65"/>
      <c r="D5" s="310">
        <v>0.1</v>
      </c>
      <c r="E5" s="311">
        <f>G126</f>
        <v>0.18732188661050037</v>
      </c>
      <c r="F5" s="290"/>
      <c r="G5" s="336"/>
      <c r="H5" s="17" t="s">
        <v>38</v>
      </c>
      <c r="I5" s="18"/>
      <c r="J5" s="18"/>
      <c r="K5" s="18"/>
      <c r="L5" s="134">
        <f>H73</f>
        <v>0</v>
      </c>
    </row>
    <row r="6" spans="1:27" x14ac:dyDescent="0.25">
      <c r="A6" s="17" t="s">
        <v>416</v>
      </c>
      <c r="B6" s="18"/>
      <c r="C6" s="18"/>
      <c r="D6" s="247">
        <v>0.12</v>
      </c>
      <c r="E6" s="312">
        <f>IF($C$11=10,N139,IF($C$11=15,S139,IF($C$11=20,X139,IF($C$11=25,AC139,IF($C$11=30,AH139)))))</f>
        <v>0.13712266074556978</v>
      </c>
      <c r="F6" s="313">
        <f>IF($C$11=10,N140,IF($C$11=15,S140,IF($C$11=20,X140,IF($C$11=25,AC140,IF($C$11=30,AH140)))))</f>
        <v>314083.59876966476</v>
      </c>
      <c r="H6" s="17" t="s">
        <v>39</v>
      </c>
      <c r="I6" s="24"/>
      <c r="J6" s="24"/>
      <c r="K6" s="24"/>
      <c r="L6" s="134">
        <f>H47</f>
        <v>0</v>
      </c>
    </row>
    <row r="7" spans="1:27" x14ac:dyDescent="0.25">
      <c r="A7" s="17" t="s">
        <v>417</v>
      </c>
      <c r="B7" s="18"/>
      <c r="C7" s="18"/>
      <c r="D7" s="247">
        <v>0.25</v>
      </c>
      <c r="E7" s="312">
        <f>IF($C$11=10,N147,IF($C$11=15,S147,IF($C$11=20,X147,IF($C$11=25,AC147,IF($C$11=30,AH147)))))</f>
        <v>0.29580323951731313</v>
      </c>
      <c r="F7" s="313">
        <f>IF($C$11=10,N148,IF($C$11=15,S148,IF($C$11=20,X148,IF($C$11=25,AC148,IF($C$11=30,AH148)))))</f>
        <v>157148.38013122336</v>
      </c>
      <c r="G7" s="336"/>
      <c r="H7" s="17" t="s">
        <v>40</v>
      </c>
      <c r="I7" s="24"/>
      <c r="J7" s="24"/>
      <c r="K7" s="24"/>
      <c r="L7" s="134">
        <f>H53</f>
        <v>400000</v>
      </c>
    </row>
    <row r="8" spans="1:27" x14ac:dyDescent="0.25">
      <c r="A8" s="17" t="s">
        <v>24</v>
      </c>
      <c r="B8" s="18"/>
      <c r="C8" s="18"/>
      <c r="D8" s="100">
        <v>1.25</v>
      </c>
      <c r="E8" s="33">
        <f>G120/G122</f>
        <v>1.8542004738864539</v>
      </c>
      <c r="F8" s="34"/>
      <c r="H8" s="17" t="s">
        <v>533</v>
      </c>
      <c r="I8" s="24"/>
      <c r="J8" s="27"/>
      <c r="K8" s="27"/>
      <c r="L8" s="28">
        <f>SUM(L5:L7)</f>
        <v>400000</v>
      </c>
      <c r="P8" s="272"/>
    </row>
    <row r="9" spans="1:27" ht="16.5" thickBot="1" x14ac:dyDescent="0.3">
      <c r="A9" s="35" t="s">
        <v>418</v>
      </c>
      <c r="B9" s="36"/>
      <c r="C9" s="36"/>
      <c r="D9" s="37">
        <f>L98</f>
        <v>0.05</v>
      </c>
      <c r="E9" s="314">
        <f>IF($C$11=10,N160,IF($C$11=15,S160,IF($C$11=20,X160,IF($C$11=25,AC160,IF($C$11=30,AH160)))))</f>
        <v>7.1210786165145423E-2</v>
      </c>
      <c r="F9" s="315">
        <f>IF($C$11=10,N161,IF($C$11=15,S161,IF($C$11=20,X161,IF($C$11=25,AC161,IF($C$11=30,AH161)))))</f>
        <v>49609.443825329887</v>
      </c>
      <c r="H9" s="29" t="s">
        <v>432</v>
      </c>
      <c r="I9" s="30"/>
      <c r="J9" s="31"/>
      <c r="K9" s="31"/>
      <c r="L9" s="32">
        <f>L4-L8</f>
        <v>2640000</v>
      </c>
    </row>
    <row r="10" spans="1:27" ht="16.5" thickBot="1" x14ac:dyDescent="0.3">
      <c r="F10" s="38"/>
      <c r="G10" s="38"/>
      <c r="U10" s="23"/>
      <c r="V10" s="263"/>
    </row>
    <row r="11" spans="1:27" ht="16.5" thickBot="1" x14ac:dyDescent="0.3">
      <c r="A11" s="829" t="s">
        <v>427</v>
      </c>
      <c r="B11" s="304"/>
      <c r="C11" s="305">
        <v>10</v>
      </c>
      <c r="D11" s="166" t="s">
        <v>555</v>
      </c>
      <c r="E11" s="38"/>
      <c r="H11" s="344" t="s">
        <v>457</v>
      </c>
      <c r="I11" s="12"/>
      <c r="J11" s="12"/>
      <c r="K11" s="12"/>
      <c r="L11" s="13"/>
      <c r="U11" s="23"/>
      <c r="V11" s="263"/>
    </row>
    <row r="12" spans="1:27" ht="16.5" thickBot="1" x14ac:dyDescent="0.3">
      <c r="H12" s="40" t="s">
        <v>42</v>
      </c>
      <c r="I12" s="15"/>
      <c r="J12" s="15"/>
      <c r="K12" s="15"/>
      <c r="L12" s="246">
        <v>2.5000000000000001E-3</v>
      </c>
      <c r="U12" s="23"/>
      <c r="V12" s="263"/>
    </row>
    <row r="13" spans="1:27" ht="16.5" thickBot="1" x14ac:dyDescent="0.3">
      <c r="A13" s="43" t="s">
        <v>409</v>
      </c>
      <c r="B13" s="51"/>
      <c r="C13" s="359" t="s">
        <v>407</v>
      </c>
      <c r="H13" s="50" t="s">
        <v>131</v>
      </c>
      <c r="I13" s="44"/>
      <c r="J13" s="44"/>
      <c r="K13" s="15"/>
      <c r="L13" s="246">
        <v>2.5000000000000001E-2</v>
      </c>
      <c r="U13" s="23"/>
      <c r="V13" s="263"/>
    </row>
    <row r="14" spans="1:27" ht="16.5" thickBot="1" x14ac:dyDescent="0.3">
      <c r="A14" s="414" t="s">
        <v>408</v>
      </c>
      <c r="B14" s="128"/>
      <c r="C14" s="415">
        <v>0</v>
      </c>
      <c r="D14" s="166" t="s">
        <v>525</v>
      </c>
      <c r="H14" s="43" t="s">
        <v>61</v>
      </c>
      <c r="I14" s="76" t="s">
        <v>81</v>
      </c>
      <c r="J14" s="77" t="s">
        <v>82</v>
      </c>
      <c r="K14" s="77" t="s">
        <v>83</v>
      </c>
      <c r="L14" s="78" t="s">
        <v>84</v>
      </c>
      <c r="U14" s="23"/>
      <c r="V14" s="263"/>
    </row>
    <row r="15" spans="1:27" x14ac:dyDescent="0.25">
      <c r="A15" s="416" t="s">
        <v>528</v>
      </c>
      <c r="B15" s="58"/>
      <c r="C15" s="411"/>
      <c r="H15" s="335" t="s">
        <v>85</v>
      </c>
      <c r="I15" s="310">
        <v>0</v>
      </c>
      <c r="J15" s="310">
        <v>0</v>
      </c>
      <c r="K15" s="363">
        <v>0</v>
      </c>
      <c r="L15" s="364">
        <v>0</v>
      </c>
      <c r="U15" s="23"/>
      <c r="V15" s="263"/>
    </row>
    <row r="16" spans="1:27" x14ac:dyDescent="0.25">
      <c r="A16" s="72" t="s">
        <v>423</v>
      </c>
      <c r="B16" s="24"/>
      <c r="C16" s="252">
        <v>2000000</v>
      </c>
      <c r="D16" s="166" t="s">
        <v>521</v>
      </c>
      <c r="H16" s="72" t="s">
        <v>86</v>
      </c>
      <c r="I16" s="247">
        <v>0</v>
      </c>
      <c r="J16" s="247">
        <v>0</v>
      </c>
      <c r="K16" s="243">
        <v>0</v>
      </c>
      <c r="L16" s="252">
        <v>0</v>
      </c>
      <c r="U16" s="23"/>
      <c r="V16" s="263"/>
    </row>
    <row r="17" spans="1:22" x14ac:dyDescent="0.25">
      <c r="A17" s="72" t="s">
        <v>384</v>
      </c>
      <c r="B17" s="24"/>
      <c r="C17" s="252"/>
      <c r="H17" s="72" t="s">
        <v>87</v>
      </c>
      <c r="I17" s="247">
        <v>0</v>
      </c>
      <c r="J17" s="247">
        <v>0</v>
      </c>
      <c r="K17" s="243">
        <v>0</v>
      </c>
      <c r="L17" s="252">
        <v>0</v>
      </c>
      <c r="U17" s="23"/>
      <c r="V17" s="263"/>
    </row>
    <row r="18" spans="1:22" x14ac:dyDescent="0.25">
      <c r="A18" s="72" t="s">
        <v>389</v>
      </c>
      <c r="B18" s="24"/>
      <c r="C18" s="252">
        <v>90000</v>
      </c>
      <c r="D18" s="166" t="s">
        <v>521</v>
      </c>
      <c r="H18" s="72" t="s">
        <v>88</v>
      </c>
      <c r="I18" s="247">
        <v>0</v>
      </c>
      <c r="J18" s="247">
        <v>0</v>
      </c>
      <c r="K18" s="243">
        <v>0</v>
      </c>
      <c r="L18" s="252">
        <v>0</v>
      </c>
      <c r="U18" s="23"/>
      <c r="V18" s="263"/>
    </row>
    <row r="19" spans="1:22" x14ac:dyDescent="0.25">
      <c r="A19" s="72" t="s">
        <v>385</v>
      </c>
      <c r="B19" s="24"/>
      <c r="C19" s="252">
        <v>90000</v>
      </c>
      <c r="D19" s="166" t="s">
        <v>521</v>
      </c>
      <c r="H19" s="72" t="s">
        <v>89</v>
      </c>
      <c r="I19" s="247">
        <v>0</v>
      </c>
      <c r="J19" s="247">
        <v>0</v>
      </c>
      <c r="K19" s="243">
        <v>0</v>
      </c>
      <c r="L19" s="252">
        <v>0</v>
      </c>
      <c r="U19" s="23"/>
      <c r="V19" s="263"/>
    </row>
    <row r="20" spans="1:22" x14ac:dyDescent="0.25">
      <c r="A20" s="72" t="s">
        <v>386</v>
      </c>
      <c r="B20" s="24"/>
      <c r="C20" s="252">
        <v>90000</v>
      </c>
      <c r="D20" s="166" t="s">
        <v>521</v>
      </c>
      <c r="H20" s="72" t="s">
        <v>90</v>
      </c>
      <c r="I20" s="247">
        <v>0</v>
      </c>
      <c r="J20" s="247">
        <v>0</v>
      </c>
      <c r="K20" s="243">
        <v>0</v>
      </c>
      <c r="L20" s="252">
        <v>0</v>
      </c>
      <c r="U20" s="23"/>
      <c r="V20" s="263"/>
    </row>
    <row r="21" spans="1:22" x14ac:dyDescent="0.25">
      <c r="A21" s="72" t="s">
        <v>387</v>
      </c>
      <c r="B21" s="24"/>
      <c r="C21" s="252">
        <v>180000</v>
      </c>
      <c r="D21" s="166" t="s">
        <v>521</v>
      </c>
      <c r="H21" s="72" t="s">
        <v>91</v>
      </c>
      <c r="I21" s="247">
        <v>0</v>
      </c>
      <c r="J21" s="247">
        <v>0</v>
      </c>
      <c r="K21" s="243">
        <v>0</v>
      </c>
      <c r="L21" s="252">
        <v>0</v>
      </c>
      <c r="U21" s="23"/>
      <c r="V21" s="263"/>
    </row>
    <row r="22" spans="1:22" x14ac:dyDescent="0.25">
      <c r="A22" s="72" t="s">
        <v>388</v>
      </c>
      <c r="B22" s="24"/>
      <c r="C22" s="252">
        <v>90000</v>
      </c>
      <c r="D22" s="166" t="s">
        <v>521</v>
      </c>
      <c r="H22" s="72" t="s">
        <v>92</v>
      </c>
      <c r="I22" s="247">
        <v>0</v>
      </c>
      <c r="J22" s="247">
        <v>0</v>
      </c>
      <c r="K22" s="243">
        <v>0</v>
      </c>
      <c r="L22" s="252">
        <v>0</v>
      </c>
      <c r="U22" s="23"/>
      <c r="V22" s="263"/>
    </row>
    <row r="23" spans="1:22" x14ac:dyDescent="0.25">
      <c r="A23" s="72" t="s">
        <v>390</v>
      </c>
      <c r="B23" s="24"/>
      <c r="C23" s="134">
        <f>SUM(C18:C22)</f>
        <v>540000</v>
      </c>
      <c r="H23" s="72" t="s">
        <v>93</v>
      </c>
      <c r="I23" s="247">
        <v>0</v>
      </c>
      <c r="J23" s="247">
        <v>0</v>
      </c>
      <c r="K23" s="243">
        <v>0</v>
      </c>
      <c r="L23" s="252">
        <v>0</v>
      </c>
      <c r="U23" s="23"/>
      <c r="V23" s="263"/>
    </row>
    <row r="24" spans="1:22" x14ac:dyDescent="0.25">
      <c r="A24" s="413" t="s">
        <v>398</v>
      </c>
      <c r="B24" s="27"/>
      <c r="C24" s="419">
        <v>500000</v>
      </c>
      <c r="D24" s="166" t="s">
        <v>521</v>
      </c>
      <c r="H24" s="72" t="s">
        <v>94</v>
      </c>
      <c r="I24" s="247">
        <v>0</v>
      </c>
      <c r="J24" s="247">
        <v>0</v>
      </c>
      <c r="K24" s="243">
        <v>0</v>
      </c>
      <c r="L24" s="252">
        <v>0</v>
      </c>
      <c r="U24" s="23"/>
      <c r="V24" s="263"/>
    </row>
    <row r="25" spans="1:22" x14ac:dyDescent="0.25">
      <c r="A25" s="418" t="s">
        <v>44</v>
      </c>
      <c r="B25" s="27"/>
      <c r="C25" s="412">
        <f>IF(C14&gt;0,C14,C16+C23+C24)</f>
        <v>3040000</v>
      </c>
      <c r="H25" s="72" t="s">
        <v>239</v>
      </c>
      <c r="I25" s="247">
        <v>0</v>
      </c>
      <c r="J25" s="247">
        <v>0</v>
      </c>
      <c r="K25" s="243">
        <v>0</v>
      </c>
      <c r="L25" s="252">
        <v>0</v>
      </c>
      <c r="U25" s="23"/>
      <c r="V25" s="263"/>
    </row>
    <row r="26" spans="1:22" x14ac:dyDescent="0.25">
      <c r="A26" s="49" t="s">
        <v>533</v>
      </c>
      <c r="B26" s="24"/>
      <c r="C26" s="827">
        <f>L8</f>
        <v>400000</v>
      </c>
      <c r="D26" s="166" t="s">
        <v>532</v>
      </c>
      <c r="H26" s="72" t="s">
        <v>240</v>
      </c>
      <c r="I26" s="247">
        <v>0</v>
      </c>
      <c r="J26" s="247">
        <v>0</v>
      </c>
      <c r="K26" s="243">
        <v>0</v>
      </c>
      <c r="L26" s="252">
        <v>0</v>
      </c>
      <c r="U26" s="23"/>
      <c r="V26" s="263"/>
    </row>
    <row r="27" spans="1:22" ht="16.5" thickBot="1" x14ac:dyDescent="0.3">
      <c r="A27" s="118" t="s">
        <v>449</v>
      </c>
      <c r="B27" s="36"/>
      <c r="C27" s="421">
        <f>C25-C26</f>
        <v>2640000</v>
      </c>
      <c r="D27" s="336"/>
      <c r="H27" s="72" t="s">
        <v>241</v>
      </c>
      <c r="I27" s="247">
        <v>0</v>
      </c>
      <c r="J27" s="247">
        <v>0</v>
      </c>
      <c r="K27" s="243">
        <v>0</v>
      </c>
      <c r="L27" s="252">
        <v>0</v>
      </c>
      <c r="U27" s="23"/>
      <c r="V27" s="263"/>
    </row>
    <row r="28" spans="1:22" ht="16.5" thickBot="1" x14ac:dyDescent="0.3">
      <c r="H28" s="72" t="s">
        <v>242</v>
      </c>
      <c r="I28" s="247">
        <v>0</v>
      </c>
      <c r="J28" s="247">
        <v>0</v>
      </c>
      <c r="K28" s="243">
        <v>0</v>
      </c>
      <c r="L28" s="252">
        <v>0</v>
      </c>
      <c r="U28" s="23"/>
      <c r="V28" s="263"/>
    </row>
    <row r="29" spans="1:22" ht="16.5" thickBot="1" x14ac:dyDescent="0.3">
      <c r="A29" s="43" t="s">
        <v>400</v>
      </c>
      <c r="B29" s="51"/>
      <c r="C29" s="53"/>
      <c r="H29" s="72" t="s">
        <v>243</v>
      </c>
      <c r="I29" s="247">
        <v>0</v>
      </c>
      <c r="J29" s="247">
        <v>0</v>
      </c>
      <c r="K29" s="243">
        <v>0</v>
      </c>
      <c r="L29" s="252">
        <v>0</v>
      </c>
      <c r="U29" s="23"/>
      <c r="V29" s="263"/>
    </row>
    <row r="30" spans="1:22" x14ac:dyDescent="0.25">
      <c r="A30" s="54" t="s">
        <v>529</v>
      </c>
      <c r="B30" s="24"/>
      <c r="C30" s="422">
        <v>30</v>
      </c>
      <c r="H30" s="72" t="s">
        <v>244</v>
      </c>
      <c r="I30" s="247">
        <v>0</v>
      </c>
      <c r="J30" s="247">
        <v>0</v>
      </c>
      <c r="K30" s="243">
        <v>0</v>
      </c>
      <c r="L30" s="252">
        <v>0</v>
      </c>
      <c r="U30" s="23"/>
      <c r="V30" s="263"/>
    </row>
    <row r="31" spans="1:22" x14ac:dyDescent="0.25">
      <c r="A31" s="54" t="s">
        <v>391</v>
      </c>
      <c r="B31" s="24"/>
      <c r="C31" s="424">
        <v>2</v>
      </c>
      <c r="H31" s="72" t="s">
        <v>245</v>
      </c>
      <c r="I31" s="247">
        <v>0</v>
      </c>
      <c r="J31" s="247">
        <v>0</v>
      </c>
      <c r="K31" s="243">
        <v>0</v>
      </c>
      <c r="L31" s="252">
        <v>0</v>
      </c>
      <c r="U31" s="23"/>
      <c r="V31" s="263"/>
    </row>
    <row r="32" spans="1:22" x14ac:dyDescent="0.25">
      <c r="A32" s="54" t="s">
        <v>392</v>
      </c>
      <c r="B32" s="24"/>
      <c r="C32" s="425">
        <f>C30/C31</f>
        <v>15</v>
      </c>
      <c r="H32" s="72" t="s">
        <v>246</v>
      </c>
      <c r="I32" s="247">
        <v>0</v>
      </c>
      <c r="J32" s="247">
        <v>0</v>
      </c>
      <c r="K32" s="243">
        <v>0</v>
      </c>
      <c r="L32" s="252">
        <v>0</v>
      </c>
      <c r="U32" s="23"/>
      <c r="V32" s="263"/>
    </row>
    <row r="33" spans="1:22" x14ac:dyDescent="0.25">
      <c r="A33" s="54" t="s">
        <v>383</v>
      </c>
      <c r="B33" s="24"/>
      <c r="C33" s="422">
        <v>900</v>
      </c>
      <c r="H33" s="72" t="s">
        <v>247</v>
      </c>
      <c r="I33" s="247">
        <v>0</v>
      </c>
      <c r="J33" s="247">
        <v>0</v>
      </c>
      <c r="K33" s="243">
        <v>0</v>
      </c>
      <c r="L33" s="252">
        <v>0</v>
      </c>
      <c r="U33" s="23"/>
      <c r="V33" s="263"/>
    </row>
    <row r="34" spans="1:22" x14ac:dyDescent="0.25">
      <c r="A34" s="57" t="s">
        <v>50</v>
      </c>
      <c r="B34" s="58"/>
      <c r="C34" s="426">
        <f>C30*C33</f>
        <v>27000</v>
      </c>
      <c r="E34" s="39"/>
      <c r="H34" s="72" t="s">
        <v>248</v>
      </c>
      <c r="I34" s="247">
        <v>0</v>
      </c>
      <c r="J34" s="247">
        <v>0</v>
      </c>
      <c r="K34" s="243">
        <v>0</v>
      </c>
      <c r="L34" s="252">
        <v>0</v>
      </c>
      <c r="U34" s="23"/>
      <c r="V34" s="263"/>
    </row>
    <row r="35" spans="1:22" ht="16.5" thickBot="1" x14ac:dyDescent="0.3">
      <c r="A35" s="73" t="s">
        <v>393</v>
      </c>
      <c r="B35" s="36"/>
      <c r="C35" s="427">
        <f>C34/(C31*43560)</f>
        <v>0.30991735537190085</v>
      </c>
      <c r="E35" s="39"/>
      <c r="H35" s="72" t="s">
        <v>249</v>
      </c>
      <c r="I35" s="247">
        <v>0</v>
      </c>
      <c r="J35" s="247">
        <v>0</v>
      </c>
      <c r="K35" s="243">
        <v>0</v>
      </c>
      <c r="L35" s="252">
        <v>0</v>
      </c>
      <c r="U35" s="23"/>
      <c r="V35" s="263"/>
    </row>
    <row r="36" spans="1:22" ht="16.5" thickBot="1" x14ac:dyDescent="0.3">
      <c r="E36" s="39"/>
      <c r="H36" s="72" t="s">
        <v>250</v>
      </c>
      <c r="I36" s="247">
        <v>0</v>
      </c>
      <c r="J36" s="247">
        <v>0</v>
      </c>
      <c r="K36" s="243">
        <v>0</v>
      </c>
      <c r="L36" s="252">
        <v>0</v>
      </c>
      <c r="U36" s="23"/>
      <c r="V36" s="263"/>
    </row>
    <row r="37" spans="1:22" ht="16.5" thickBot="1" x14ac:dyDescent="0.3">
      <c r="A37" s="43" t="s">
        <v>397</v>
      </c>
      <c r="B37" s="44"/>
      <c r="C37" s="45"/>
      <c r="E37" s="39"/>
      <c r="H37" s="72" t="s">
        <v>251</v>
      </c>
      <c r="I37" s="247">
        <v>0</v>
      </c>
      <c r="J37" s="247">
        <v>0</v>
      </c>
      <c r="K37" s="243">
        <v>0</v>
      </c>
      <c r="L37" s="252">
        <v>0</v>
      </c>
      <c r="U37" s="23"/>
      <c r="V37" s="263"/>
    </row>
    <row r="38" spans="1:22" x14ac:dyDescent="0.25">
      <c r="A38" s="72" t="s">
        <v>396</v>
      </c>
      <c r="B38" s="24"/>
      <c r="C38" s="364">
        <v>1000</v>
      </c>
      <c r="E38" s="39"/>
      <c r="F38" s="39"/>
      <c r="H38" s="72" t="s">
        <v>252</v>
      </c>
      <c r="I38" s="247">
        <v>0</v>
      </c>
      <c r="J38" s="247">
        <v>0</v>
      </c>
      <c r="K38" s="243">
        <v>0</v>
      </c>
      <c r="L38" s="252">
        <v>0</v>
      </c>
      <c r="U38" s="23"/>
      <c r="V38" s="263"/>
    </row>
    <row r="39" spans="1:22" x14ac:dyDescent="0.25">
      <c r="A39" s="72" t="s">
        <v>429</v>
      </c>
      <c r="B39" s="18"/>
      <c r="C39" s="252">
        <v>9000</v>
      </c>
      <c r="H39" s="72" t="s">
        <v>253</v>
      </c>
      <c r="I39" s="247">
        <v>0</v>
      </c>
      <c r="J39" s="247">
        <v>0</v>
      </c>
      <c r="K39" s="243">
        <v>0</v>
      </c>
      <c r="L39" s="252">
        <v>0</v>
      </c>
      <c r="U39" s="23"/>
      <c r="V39" s="263"/>
    </row>
    <row r="40" spans="1:22" x14ac:dyDescent="0.25">
      <c r="A40" s="333" t="s">
        <v>394</v>
      </c>
      <c r="B40" s="18"/>
      <c r="C40" s="250">
        <v>0.06</v>
      </c>
      <c r="E40" s="39"/>
      <c r="H40" s="72" t="s">
        <v>254</v>
      </c>
      <c r="I40" s="247">
        <v>0</v>
      </c>
      <c r="J40" s="247">
        <v>0</v>
      </c>
      <c r="K40" s="243">
        <v>0</v>
      </c>
      <c r="L40" s="252">
        <v>0</v>
      </c>
      <c r="U40" s="23"/>
      <c r="V40" s="263"/>
    </row>
    <row r="41" spans="1:22" x14ac:dyDescent="0.25">
      <c r="A41" s="333" t="s">
        <v>395</v>
      </c>
      <c r="B41" s="18"/>
      <c r="C41" s="250">
        <v>1.4999999999999999E-2</v>
      </c>
      <c r="E41" s="39"/>
      <c r="H41" s="72" t="s">
        <v>255</v>
      </c>
      <c r="I41" s="247">
        <v>0</v>
      </c>
      <c r="J41" s="247">
        <v>0</v>
      </c>
      <c r="K41" s="243">
        <v>0</v>
      </c>
      <c r="L41" s="252">
        <v>0</v>
      </c>
      <c r="U41" s="23"/>
      <c r="V41" s="263"/>
    </row>
    <row r="42" spans="1:22" ht="16.5" thickBot="1" x14ac:dyDescent="0.3">
      <c r="A42" s="334" t="s">
        <v>405</v>
      </c>
      <c r="B42" s="31"/>
      <c r="C42" s="824">
        <v>3500</v>
      </c>
      <c r="D42" s="166" t="s">
        <v>406</v>
      </c>
      <c r="E42" s="39"/>
      <c r="H42" s="72" t="s">
        <v>256</v>
      </c>
      <c r="I42" s="247">
        <v>0</v>
      </c>
      <c r="J42" s="247">
        <v>0</v>
      </c>
      <c r="K42" s="243">
        <v>0</v>
      </c>
      <c r="L42" s="252">
        <v>0</v>
      </c>
      <c r="U42" s="23"/>
      <c r="V42" s="263"/>
    </row>
    <row r="43" spans="1:22" s="39" customFormat="1" ht="16.5" thickBot="1" x14ac:dyDescent="0.3">
      <c r="A43" s="11"/>
      <c r="B43" s="337"/>
      <c r="C43" s="337"/>
      <c r="D43" s="11"/>
      <c r="E43" s="11"/>
      <c r="F43" s="11"/>
      <c r="G43" s="11"/>
      <c r="H43" s="72" t="s">
        <v>257</v>
      </c>
      <c r="I43" s="247">
        <v>0</v>
      </c>
      <c r="J43" s="247">
        <v>0</v>
      </c>
      <c r="K43" s="243">
        <v>0</v>
      </c>
      <c r="L43" s="252">
        <v>0</v>
      </c>
      <c r="U43" s="23"/>
      <c r="V43" s="263"/>
    </row>
    <row r="44" spans="1:22" ht="16.5" thickBot="1" x14ac:dyDescent="0.3">
      <c r="A44" s="84" t="s">
        <v>428</v>
      </c>
      <c r="B44" s="85"/>
      <c r="C44" s="52" t="s">
        <v>43</v>
      </c>
      <c r="D44" s="85"/>
      <c r="E44" s="85"/>
      <c r="F44" s="86"/>
      <c r="G44" s="39"/>
      <c r="H44" s="73" t="s">
        <v>258</v>
      </c>
      <c r="I44" s="253">
        <v>0</v>
      </c>
      <c r="J44" s="253">
        <v>0</v>
      </c>
      <c r="K44" s="254">
        <v>0</v>
      </c>
      <c r="L44" s="255">
        <v>0</v>
      </c>
      <c r="M44" s="814"/>
      <c r="U44" s="23"/>
      <c r="V44" s="263"/>
    </row>
    <row r="45" spans="1:22" ht="16.5" thickBot="1" x14ac:dyDescent="0.3">
      <c r="A45" s="87" t="s">
        <v>449</v>
      </c>
      <c r="B45" s="82"/>
      <c r="C45" s="88">
        <f>C27</f>
        <v>2640000</v>
      </c>
      <c r="D45" s="89"/>
      <c r="E45" s="89"/>
      <c r="F45" s="66"/>
      <c r="U45" s="23"/>
      <c r="V45" s="263"/>
    </row>
    <row r="46" spans="1:22" ht="16.5" thickBot="1" x14ac:dyDescent="0.3">
      <c r="A46" s="90" t="s">
        <v>544</v>
      </c>
      <c r="B46" s="24"/>
      <c r="C46" s="200">
        <f>IFERROR(C45/C48,0)</f>
        <v>88000</v>
      </c>
      <c r="D46" s="38"/>
      <c r="E46" s="38"/>
      <c r="F46" s="91"/>
      <c r="H46" s="43" t="s">
        <v>419</v>
      </c>
      <c r="I46" s="44"/>
      <c r="J46" s="44"/>
      <c r="K46" s="44"/>
      <c r="L46" s="45"/>
      <c r="U46" s="23"/>
      <c r="V46" s="263"/>
    </row>
    <row r="47" spans="1:22" ht="16.5" thickBot="1" x14ac:dyDescent="0.3">
      <c r="A47" s="50" t="s">
        <v>45</v>
      </c>
      <c r="B47" s="51"/>
      <c r="C47" s="52" t="s">
        <v>43</v>
      </c>
      <c r="D47" s="52" t="s">
        <v>46</v>
      </c>
      <c r="E47" s="52" t="s">
        <v>47</v>
      </c>
      <c r="F47" s="53" t="s">
        <v>48</v>
      </c>
      <c r="H47" s="273">
        <f>SUM(H48:H52)</f>
        <v>0</v>
      </c>
      <c r="I47" s="274" t="s">
        <v>441</v>
      </c>
      <c r="J47" s="128"/>
      <c r="K47" s="128"/>
      <c r="L47" s="267"/>
      <c r="M47" s="336"/>
      <c r="U47" s="23"/>
      <c r="V47" s="263"/>
    </row>
    <row r="48" spans="1:22" x14ac:dyDescent="0.25">
      <c r="A48" s="54" t="s">
        <v>49</v>
      </c>
      <c r="B48" s="24"/>
      <c r="C48" s="828">
        <f>C30</f>
        <v>30</v>
      </c>
      <c r="D48" s="39"/>
      <c r="E48" s="39"/>
      <c r="F48" s="26"/>
      <c r="H48" s="264">
        <v>0</v>
      </c>
      <c r="I48" s="265" t="s">
        <v>147</v>
      </c>
      <c r="J48" s="24"/>
      <c r="K48" s="24"/>
      <c r="L48" s="275"/>
      <c r="U48" s="23"/>
      <c r="V48" s="263"/>
    </row>
    <row r="49" spans="1:22" x14ac:dyDescent="0.25">
      <c r="A49" s="57" t="s">
        <v>50</v>
      </c>
      <c r="B49" s="58"/>
      <c r="C49" s="93">
        <f>C34</f>
        <v>27000</v>
      </c>
      <c r="D49" s="94">
        <f>C38</f>
        <v>1000</v>
      </c>
      <c r="E49" s="95">
        <f>C48*D49</f>
        <v>30000</v>
      </c>
      <c r="F49" s="96">
        <f>IFERROR(E49/C49,0)</f>
        <v>1.1111111111111112</v>
      </c>
      <c r="H49" s="264">
        <v>0</v>
      </c>
      <c r="I49" s="266" t="s">
        <v>149</v>
      </c>
      <c r="J49" s="24"/>
      <c r="K49" s="24"/>
      <c r="L49" s="275"/>
      <c r="U49" s="23"/>
      <c r="V49" s="263"/>
    </row>
    <row r="50" spans="1:22" x14ac:dyDescent="0.25">
      <c r="A50" s="17" t="s">
        <v>420</v>
      </c>
      <c r="B50" s="18"/>
      <c r="C50" s="97"/>
      <c r="D50" s="98"/>
      <c r="E50" s="98">
        <f>E49*12</f>
        <v>360000</v>
      </c>
      <c r="F50" s="91"/>
      <c r="H50" s="264">
        <v>0</v>
      </c>
      <c r="I50" s="265" t="s">
        <v>151</v>
      </c>
      <c r="J50" s="24"/>
      <c r="K50" s="24"/>
      <c r="L50" s="275"/>
    </row>
    <row r="51" spans="1:22" x14ac:dyDescent="0.25">
      <c r="A51" s="17" t="s">
        <v>421</v>
      </c>
      <c r="B51" s="18"/>
      <c r="C51" s="99"/>
      <c r="D51" s="98"/>
      <c r="E51" s="200">
        <f>C39</f>
        <v>9000</v>
      </c>
      <c r="F51" s="91"/>
      <c r="G51" s="39"/>
      <c r="H51" s="264">
        <v>0</v>
      </c>
      <c r="I51" s="265" t="s">
        <v>507</v>
      </c>
      <c r="J51" s="24"/>
      <c r="K51" s="24"/>
      <c r="L51" s="275"/>
      <c r="U51" s="261"/>
      <c r="V51" s="166"/>
    </row>
    <row r="52" spans="1:22" ht="16.5" thickBot="1" x14ac:dyDescent="0.3">
      <c r="A52" s="17" t="s">
        <v>430</v>
      </c>
      <c r="B52" s="18"/>
      <c r="C52" s="100"/>
      <c r="D52" s="98"/>
      <c r="E52" s="98">
        <f>E50+E51</f>
        <v>369000</v>
      </c>
      <c r="F52" s="91"/>
      <c r="G52" s="39"/>
      <c r="H52" s="264">
        <v>0</v>
      </c>
      <c r="I52" s="265" t="s">
        <v>458</v>
      </c>
      <c r="J52" s="24"/>
      <c r="K52" s="24"/>
      <c r="L52" s="275"/>
      <c r="U52" s="23"/>
      <c r="V52" s="263"/>
    </row>
    <row r="53" spans="1:22" x14ac:dyDescent="0.25">
      <c r="A53" s="59" t="s">
        <v>54</v>
      </c>
      <c r="B53" s="18"/>
      <c r="C53" s="99">
        <f>C40</f>
        <v>0.06</v>
      </c>
      <c r="D53" s="98"/>
      <c r="E53" s="98">
        <f>E52*C53</f>
        <v>22140</v>
      </c>
      <c r="F53" s="91"/>
      <c r="G53" s="39"/>
      <c r="H53" s="273">
        <f>SUM(H54:H72)</f>
        <v>400000</v>
      </c>
      <c r="I53" s="274" t="s">
        <v>195</v>
      </c>
      <c r="J53" s="128"/>
      <c r="K53" s="128"/>
      <c r="L53" s="267"/>
      <c r="U53" s="23"/>
      <c r="V53" s="263"/>
    </row>
    <row r="54" spans="1:22" x14ac:dyDescent="0.25">
      <c r="A54" s="59" t="s">
        <v>55</v>
      </c>
      <c r="B54" s="18"/>
      <c r="C54" s="99">
        <f>C41</f>
        <v>1.4999999999999999E-2</v>
      </c>
      <c r="D54" s="98"/>
      <c r="E54" s="98">
        <f>E52*C54</f>
        <v>5535</v>
      </c>
      <c r="F54" s="91"/>
      <c r="G54" s="39"/>
      <c r="H54" s="264">
        <v>0</v>
      </c>
      <c r="I54" s="265" t="s">
        <v>161</v>
      </c>
      <c r="J54" s="24"/>
      <c r="K54" s="24"/>
      <c r="L54" s="275"/>
      <c r="U54" s="23"/>
      <c r="V54" s="263"/>
    </row>
    <row r="55" spans="1:22" x14ac:dyDescent="0.25">
      <c r="A55" s="17" t="s">
        <v>56</v>
      </c>
      <c r="B55" s="18"/>
      <c r="C55" s="100"/>
      <c r="D55" s="98"/>
      <c r="E55" s="98">
        <f>E52-E53-E54</f>
        <v>341325</v>
      </c>
      <c r="F55" s="91"/>
      <c r="G55" s="39"/>
      <c r="H55" s="264">
        <v>0</v>
      </c>
      <c r="I55" s="265" t="s">
        <v>196</v>
      </c>
      <c r="J55" s="24"/>
      <c r="K55" s="24"/>
      <c r="L55" s="275"/>
    </row>
    <row r="56" spans="1:22" ht="16.5" thickBot="1" x14ac:dyDescent="0.3">
      <c r="A56" s="59" t="s">
        <v>422</v>
      </c>
      <c r="B56" s="18"/>
      <c r="C56" s="101">
        <f>C42</f>
        <v>3500</v>
      </c>
      <c r="D56" s="39"/>
      <c r="E56" s="98">
        <f>C56*C48</f>
        <v>105000</v>
      </c>
      <c r="F56" s="91"/>
      <c r="G56" s="11" t="s">
        <v>9</v>
      </c>
      <c r="H56" s="264">
        <v>0</v>
      </c>
      <c r="I56" s="265" t="s">
        <v>197</v>
      </c>
      <c r="J56" s="24"/>
      <c r="K56" s="24"/>
      <c r="L56" s="275"/>
      <c r="U56" s="261"/>
      <c r="V56" s="166"/>
    </row>
    <row r="57" spans="1:22" ht="16.5" thickBot="1" x14ac:dyDescent="0.3">
      <c r="A57" s="102" t="s">
        <v>4</v>
      </c>
      <c r="B57" s="103"/>
      <c r="C57" s="104"/>
      <c r="D57" s="104"/>
      <c r="E57" s="105">
        <f>E55-E56</f>
        <v>236325</v>
      </c>
      <c r="F57" s="63"/>
      <c r="H57" s="264">
        <v>0</v>
      </c>
      <c r="I57" s="265" t="s">
        <v>204</v>
      </c>
      <c r="J57" s="24"/>
      <c r="K57" s="24"/>
      <c r="L57" s="275"/>
      <c r="U57" s="261"/>
      <c r="V57" s="166"/>
    </row>
    <row r="58" spans="1:22" ht="16.5" thickBot="1" x14ac:dyDescent="0.3">
      <c r="H58" s="264">
        <v>0</v>
      </c>
      <c r="I58" s="265" t="s">
        <v>199</v>
      </c>
      <c r="J58" s="24"/>
      <c r="K58" s="24"/>
      <c r="L58" s="275"/>
      <c r="P58" s="39"/>
      <c r="U58" s="23"/>
      <c r="V58" s="263"/>
    </row>
    <row r="59" spans="1:22" ht="16.5" thickBot="1" x14ac:dyDescent="0.3">
      <c r="A59" s="60" t="s">
        <v>58</v>
      </c>
      <c r="B59" s="61"/>
      <c r="C59" s="62"/>
      <c r="E59" s="38"/>
      <c r="F59" s="38"/>
      <c r="H59" s="264">
        <v>0</v>
      </c>
      <c r="I59" s="265" t="s">
        <v>175</v>
      </c>
      <c r="J59" s="24"/>
      <c r="K59" s="24"/>
      <c r="L59" s="275"/>
      <c r="P59" s="39"/>
      <c r="U59" s="23"/>
      <c r="V59" s="263"/>
    </row>
    <row r="60" spans="1:22" ht="16.5" thickBot="1" x14ac:dyDescent="0.3">
      <c r="A60" s="64" t="s">
        <v>59</v>
      </c>
      <c r="B60" s="65"/>
      <c r="C60" s="106">
        <f>IFERROR(E57/L4,0)</f>
        <v>7.773848684210527E-2</v>
      </c>
      <c r="E60" s="38"/>
      <c r="F60" s="38"/>
      <c r="H60" s="264">
        <v>0</v>
      </c>
      <c r="I60" s="265" t="s">
        <v>203</v>
      </c>
      <c r="J60" s="24"/>
      <c r="K60" s="24"/>
      <c r="L60" s="275"/>
      <c r="P60" s="39"/>
      <c r="U60" s="23"/>
      <c r="V60" s="263"/>
    </row>
    <row r="61" spans="1:22" x14ac:dyDescent="0.25">
      <c r="A61" s="107" t="s">
        <v>60</v>
      </c>
      <c r="B61" s="108"/>
      <c r="C61" s="109">
        <f>IFERROR(-E102,0)</f>
        <v>129822.63562658374</v>
      </c>
      <c r="E61" s="38"/>
      <c r="F61" s="38"/>
      <c r="H61" s="264">
        <v>0</v>
      </c>
      <c r="I61" s="265" t="s">
        <v>167</v>
      </c>
      <c r="J61" s="24"/>
      <c r="K61" s="24"/>
      <c r="L61" s="275"/>
      <c r="U61" s="23"/>
      <c r="V61" s="263"/>
    </row>
    <row r="62" spans="1:22" ht="16.5" thickBot="1" x14ac:dyDescent="0.3">
      <c r="A62" s="59" t="s">
        <v>436</v>
      </c>
      <c r="B62" s="110"/>
      <c r="C62" s="111">
        <f>E57-C61</f>
        <v>106502.36437341626</v>
      </c>
      <c r="E62" s="38"/>
      <c r="F62" s="38"/>
      <c r="H62" s="264">
        <v>0</v>
      </c>
      <c r="I62" s="265" t="s">
        <v>200</v>
      </c>
      <c r="J62" s="24"/>
      <c r="K62" s="24"/>
      <c r="L62" s="275"/>
    </row>
    <row r="63" spans="1:22" ht="16.5" thickBot="1" x14ac:dyDescent="0.3">
      <c r="A63" s="102" t="s">
        <v>62</v>
      </c>
      <c r="B63" s="103"/>
      <c r="C63" s="112">
        <f>C62/E105</f>
        <v>0.17990264252266253</v>
      </c>
      <c r="E63" s="38"/>
      <c r="F63" s="38"/>
      <c r="H63" s="264">
        <v>0</v>
      </c>
      <c r="I63" s="265" t="s">
        <v>165</v>
      </c>
      <c r="J63" s="24"/>
      <c r="K63" s="24"/>
      <c r="L63" s="275"/>
    </row>
    <row r="64" spans="1:22" ht="16.5" thickBot="1" x14ac:dyDescent="0.3">
      <c r="A64" s="113" t="s">
        <v>63</v>
      </c>
      <c r="B64" s="114"/>
      <c r="C64" s="63"/>
      <c r="E64" s="38"/>
      <c r="F64" s="38"/>
      <c r="H64" s="396">
        <v>0</v>
      </c>
      <c r="I64" s="46" t="s">
        <v>497</v>
      </c>
      <c r="J64" s="24"/>
      <c r="K64" s="24"/>
      <c r="L64" s="275"/>
    </row>
    <row r="65" spans="1:12" x14ac:dyDescent="0.25">
      <c r="A65" s="59" t="s">
        <v>64</v>
      </c>
      <c r="B65" s="18"/>
      <c r="C65" s="115">
        <f>E57</f>
        <v>236325</v>
      </c>
      <c r="E65" s="38"/>
      <c r="F65" s="38"/>
      <c r="H65" s="264">
        <v>0</v>
      </c>
      <c r="I65" s="265" t="s">
        <v>163</v>
      </c>
      <c r="J65" s="24"/>
      <c r="K65" s="24"/>
      <c r="L65" s="275"/>
    </row>
    <row r="66" spans="1:12" ht="16.5" thickBot="1" x14ac:dyDescent="0.3">
      <c r="A66" s="59" t="s">
        <v>65</v>
      </c>
      <c r="B66" s="18"/>
      <c r="C66" s="250">
        <v>7.4999999999999997E-2</v>
      </c>
      <c r="D66" s="336"/>
      <c r="E66" s="38"/>
      <c r="F66" s="38"/>
      <c r="H66" s="264">
        <v>0</v>
      </c>
      <c r="I66" s="265" t="s">
        <v>206</v>
      </c>
      <c r="J66" s="24"/>
      <c r="K66" s="24"/>
      <c r="L66" s="275"/>
    </row>
    <row r="67" spans="1:12" ht="16.5" thickBot="1" x14ac:dyDescent="0.3">
      <c r="A67" s="19" t="s">
        <v>66</v>
      </c>
      <c r="B67" s="20"/>
      <c r="C67" s="117">
        <f>IFERROR(C65/C66,0)</f>
        <v>3151000</v>
      </c>
      <c r="E67" s="38"/>
      <c r="F67" s="38"/>
      <c r="H67" s="264">
        <v>0</v>
      </c>
      <c r="I67" s="265" t="s">
        <v>198</v>
      </c>
      <c r="J67" s="24"/>
      <c r="K67" s="24"/>
      <c r="L67" s="275"/>
    </row>
    <row r="68" spans="1:12" ht="16.5" thickBot="1" x14ac:dyDescent="0.3">
      <c r="A68" s="655" t="s">
        <v>559</v>
      </c>
      <c r="B68" s="36"/>
      <c r="C68" s="119">
        <f>C67-C25</f>
        <v>111000</v>
      </c>
      <c r="E68" s="120"/>
      <c r="F68" s="120"/>
      <c r="H68" s="264">
        <v>0</v>
      </c>
      <c r="I68" s="265" t="s">
        <v>201</v>
      </c>
      <c r="J68" s="24"/>
      <c r="K68" s="24"/>
      <c r="L68" s="275"/>
    </row>
    <row r="69" spans="1:12" ht="16.5" thickBot="1" x14ac:dyDescent="0.3">
      <c r="A69" s="101"/>
      <c r="B69" s="101"/>
      <c r="C69" s="101"/>
      <c r="E69" s="120"/>
      <c r="F69" s="120"/>
      <c r="H69" s="264">
        <v>0</v>
      </c>
      <c r="I69" s="265" t="s">
        <v>205</v>
      </c>
      <c r="J69" s="24"/>
      <c r="K69" s="24"/>
      <c r="L69" s="275"/>
    </row>
    <row r="70" spans="1:12" ht="16.5" thickBot="1" x14ac:dyDescent="0.3">
      <c r="A70" s="79" t="s">
        <v>96</v>
      </c>
      <c r="B70" s="51"/>
      <c r="C70" s="51"/>
      <c r="D70" s="80"/>
      <c r="E70" s="120"/>
      <c r="F70" s="120"/>
      <c r="H70" s="264">
        <v>0</v>
      </c>
      <c r="I70" s="265" t="s">
        <v>207</v>
      </c>
      <c r="J70" s="24"/>
      <c r="K70" s="24"/>
      <c r="L70" s="275"/>
    </row>
    <row r="71" spans="1:12" x14ac:dyDescent="0.25">
      <c r="A71" s="429" t="s">
        <v>425</v>
      </c>
      <c r="B71" s="122"/>
      <c r="C71" s="128" t="s">
        <v>96</v>
      </c>
      <c r="D71" s="250">
        <v>0.03</v>
      </c>
      <c r="E71" s="120"/>
      <c r="F71" s="120"/>
      <c r="H71" s="264">
        <v>0</v>
      </c>
      <c r="I71" s="265" t="s">
        <v>508</v>
      </c>
      <c r="J71" s="24"/>
      <c r="K71" s="24"/>
      <c r="L71" s="275"/>
    </row>
    <row r="72" spans="1:12" ht="16.5" thickBot="1" x14ac:dyDescent="0.3">
      <c r="A72" s="428" t="s">
        <v>438</v>
      </c>
      <c r="B72" s="31"/>
      <c r="C72" s="36" t="s">
        <v>96</v>
      </c>
      <c r="D72" s="257">
        <v>0.03</v>
      </c>
      <c r="E72" s="120"/>
      <c r="F72" s="120"/>
      <c r="H72" s="264">
        <v>400000</v>
      </c>
      <c r="I72" s="265" t="s">
        <v>509</v>
      </c>
      <c r="J72" s="24"/>
      <c r="K72" s="24"/>
      <c r="L72" s="275"/>
    </row>
    <row r="73" spans="1:12" ht="16.5" thickBot="1" x14ac:dyDescent="0.3">
      <c r="E73" s="120"/>
      <c r="F73" s="120"/>
      <c r="H73" s="273">
        <f>SUM(H74:H79)</f>
        <v>0</v>
      </c>
      <c r="I73" s="274" t="s">
        <v>208</v>
      </c>
      <c r="J73" s="128"/>
      <c r="K73" s="128"/>
      <c r="L73" s="267"/>
    </row>
    <row r="74" spans="1:12" ht="16.5" thickBot="1" x14ac:dyDescent="0.3">
      <c r="A74" s="79" t="s">
        <v>412</v>
      </c>
      <c r="B74" s="51"/>
      <c r="C74" s="51"/>
      <c r="D74" s="53" t="s">
        <v>85</v>
      </c>
      <c r="E74" s="120"/>
      <c r="F74" s="120"/>
      <c r="H74" s="264">
        <v>0</v>
      </c>
      <c r="I74" s="265" t="s">
        <v>188</v>
      </c>
      <c r="J74" s="24"/>
      <c r="K74" s="24"/>
      <c r="L74" s="275"/>
    </row>
    <row r="75" spans="1:12" x14ac:dyDescent="0.25">
      <c r="A75" s="327" t="s">
        <v>411</v>
      </c>
      <c r="B75" s="122"/>
      <c r="C75" s="128"/>
      <c r="D75" s="476">
        <v>0.06</v>
      </c>
      <c r="E75" s="120"/>
      <c r="F75" s="120"/>
      <c r="H75" s="264">
        <v>0</v>
      </c>
      <c r="I75" s="265" t="s">
        <v>184</v>
      </c>
      <c r="J75" s="24"/>
      <c r="K75" s="24"/>
      <c r="L75" s="275"/>
    </row>
    <row r="76" spans="1:12" ht="16.5" thickBot="1" x14ac:dyDescent="0.3">
      <c r="A76" s="35" t="s">
        <v>410</v>
      </c>
      <c r="B76" s="31"/>
      <c r="C76" s="31"/>
      <c r="D76" s="256">
        <v>0.05</v>
      </c>
      <c r="E76" s="120"/>
      <c r="F76" s="120"/>
      <c r="H76" s="264">
        <v>0</v>
      </c>
      <c r="I76" s="265" t="s">
        <v>186</v>
      </c>
      <c r="J76" s="24"/>
      <c r="K76" s="24"/>
      <c r="L76" s="275"/>
    </row>
    <row r="77" spans="1:12" ht="16.5" thickBot="1" x14ac:dyDescent="0.3">
      <c r="A77" s="101"/>
      <c r="B77" s="101"/>
      <c r="C77" s="101"/>
      <c r="E77" s="120"/>
      <c r="F77" s="120"/>
      <c r="H77" s="394">
        <v>0</v>
      </c>
      <c r="I77" s="46" t="s">
        <v>494</v>
      </c>
      <c r="J77" s="24"/>
      <c r="K77" s="24"/>
      <c r="L77" s="275"/>
    </row>
    <row r="78" spans="1:12" ht="16.5" thickBot="1" x14ac:dyDescent="0.3">
      <c r="A78" s="199" t="s">
        <v>526</v>
      </c>
      <c r="B78" s="51"/>
      <c r="C78" s="45" t="s">
        <v>202</v>
      </c>
      <c r="E78" s="120"/>
      <c r="F78" s="120"/>
      <c r="H78" s="264">
        <v>0</v>
      </c>
      <c r="I78" s="265" t="s">
        <v>458</v>
      </c>
      <c r="J78" s="24"/>
      <c r="K78" s="24"/>
      <c r="L78" s="275"/>
    </row>
    <row r="79" spans="1:12" ht="16.5" thickBot="1" x14ac:dyDescent="0.3">
      <c r="A79" s="64" t="s">
        <v>414</v>
      </c>
      <c r="B79" s="65"/>
      <c r="C79" s="66"/>
      <c r="E79" s="120"/>
      <c r="F79" s="120"/>
      <c r="H79" s="264">
        <v>0</v>
      </c>
      <c r="I79" s="265" t="s">
        <v>458</v>
      </c>
      <c r="J79" s="24"/>
      <c r="K79" s="24"/>
      <c r="L79" s="275"/>
    </row>
    <row r="80" spans="1:12" x14ac:dyDescent="0.25">
      <c r="A80" s="335" t="s">
        <v>513</v>
      </c>
      <c r="B80" s="65"/>
      <c r="C80" s="249">
        <v>0.7</v>
      </c>
      <c r="E80" s="120"/>
      <c r="F80" s="120"/>
      <c r="H80" s="273">
        <f>SUM(H81:H88)</f>
        <v>400000</v>
      </c>
      <c r="I80" s="274" t="s">
        <v>399</v>
      </c>
      <c r="J80" s="128"/>
      <c r="K80" s="128"/>
      <c r="L80" s="267"/>
    </row>
    <row r="81" spans="1:12" x14ac:dyDescent="0.25">
      <c r="A81" s="467" t="s">
        <v>514</v>
      </c>
      <c r="B81" s="468"/>
      <c r="C81" s="469">
        <f>(C80*C27)</f>
        <v>1847999.9999999998</v>
      </c>
      <c r="D81" s="261"/>
      <c r="E81" s="120"/>
      <c r="F81" s="120"/>
      <c r="H81" s="264">
        <v>0</v>
      </c>
      <c r="I81" s="265" t="s">
        <v>238</v>
      </c>
      <c r="J81" s="24"/>
      <c r="K81" s="24"/>
      <c r="L81" s="275"/>
    </row>
    <row r="82" spans="1:12" x14ac:dyDescent="0.25">
      <c r="A82" s="17" t="s">
        <v>515</v>
      </c>
      <c r="B82" s="18"/>
      <c r="C82" s="250">
        <v>0.05</v>
      </c>
      <c r="E82" s="120"/>
      <c r="F82" s="120"/>
      <c r="H82" s="264">
        <v>400000</v>
      </c>
      <c r="I82" s="265" t="s">
        <v>181</v>
      </c>
      <c r="J82" s="24"/>
      <c r="K82" s="24"/>
      <c r="L82" s="275"/>
    </row>
    <row r="83" spans="1:12" ht="16.5" thickBot="1" x14ac:dyDescent="0.3">
      <c r="A83" s="35" t="s">
        <v>516</v>
      </c>
      <c r="B83" s="31"/>
      <c r="C83" s="251">
        <v>30</v>
      </c>
      <c r="E83" s="120"/>
      <c r="F83" s="120"/>
      <c r="H83" s="396">
        <v>0</v>
      </c>
      <c r="I83" s="265" t="s">
        <v>492</v>
      </c>
      <c r="J83" s="24"/>
      <c r="K83" s="24"/>
      <c r="L83" s="275"/>
    </row>
    <row r="84" spans="1:12" ht="16.5" thickBot="1" x14ac:dyDescent="0.3">
      <c r="A84" s="68" t="s">
        <v>522</v>
      </c>
      <c r="B84" s="31"/>
      <c r="C84" s="69"/>
      <c r="E84" s="120"/>
      <c r="F84" s="120"/>
      <c r="H84" s="264">
        <v>0</v>
      </c>
      <c r="I84" s="265" t="s">
        <v>178</v>
      </c>
      <c r="J84" s="24"/>
      <c r="K84" s="24"/>
      <c r="L84" s="275"/>
    </row>
    <row r="85" spans="1:12" x14ac:dyDescent="0.25">
      <c r="A85" s="438" t="s">
        <v>523</v>
      </c>
      <c r="B85" s="122"/>
      <c r="C85" s="469">
        <f>H80</f>
        <v>400000</v>
      </c>
      <c r="D85" s="11" t="s">
        <v>524</v>
      </c>
      <c r="E85" s="120"/>
      <c r="F85" s="120"/>
      <c r="H85" s="264">
        <v>0</v>
      </c>
      <c r="I85" s="265" t="s">
        <v>180</v>
      </c>
      <c r="J85" s="24"/>
      <c r="K85" s="24"/>
      <c r="L85" s="275"/>
    </row>
    <row r="86" spans="1:12" x14ac:dyDescent="0.25">
      <c r="A86" s="17" t="s">
        <v>515</v>
      </c>
      <c r="B86" s="18"/>
      <c r="C86" s="250">
        <v>3.5000000000000003E-2</v>
      </c>
      <c r="E86" s="120"/>
      <c r="F86" s="120"/>
      <c r="H86" s="264">
        <v>0</v>
      </c>
      <c r="I86" s="265" t="s">
        <v>209</v>
      </c>
      <c r="J86" s="24"/>
      <c r="K86" s="24"/>
      <c r="L86" s="275"/>
    </row>
    <row r="87" spans="1:12" ht="16.5" thickBot="1" x14ac:dyDescent="0.3">
      <c r="A87" s="35" t="s">
        <v>516</v>
      </c>
      <c r="B87" s="31"/>
      <c r="C87" s="251">
        <v>30</v>
      </c>
      <c r="E87" s="120"/>
      <c r="F87" s="120"/>
      <c r="H87" s="264">
        <v>0</v>
      </c>
      <c r="I87" s="265" t="s">
        <v>458</v>
      </c>
      <c r="J87" s="24"/>
      <c r="K87" s="24"/>
      <c r="L87" s="275"/>
    </row>
    <row r="88" spans="1:12" ht="16.5" thickBot="1" x14ac:dyDescent="0.3">
      <c r="E88" s="120"/>
      <c r="F88" s="120"/>
      <c r="H88" s="264">
        <v>0</v>
      </c>
      <c r="I88" s="265" t="s">
        <v>458</v>
      </c>
      <c r="J88" s="24"/>
      <c r="K88" s="24"/>
      <c r="L88" s="275"/>
    </row>
    <row r="89" spans="1:12" ht="16.5" thickBot="1" x14ac:dyDescent="0.3">
      <c r="A89" s="199" t="s">
        <v>439</v>
      </c>
      <c r="B89" s="51"/>
      <c r="C89" s="51"/>
      <c r="D89" s="51"/>
      <c r="E89" s="80"/>
      <c r="F89" s="120"/>
      <c r="H89" s="273">
        <f>SUM(H90:H91)</f>
        <v>0</v>
      </c>
      <c r="I89" s="274" t="s">
        <v>377</v>
      </c>
      <c r="J89" s="128"/>
      <c r="K89" s="128"/>
      <c r="L89" s="267"/>
    </row>
    <row r="90" spans="1:12" x14ac:dyDescent="0.25">
      <c r="A90" s="121" t="s">
        <v>414</v>
      </c>
      <c r="B90" s="122"/>
      <c r="C90" s="122"/>
      <c r="D90" s="123"/>
      <c r="E90" s="124"/>
      <c r="F90" s="120"/>
      <c r="H90" s="264">
        <v>0</v>
      </c>
      <c r="I90" s="265" t="s">
        <v>379</v>
      </c>
      <c r="J90" s="24"/>
      <c r="K90" s="24"/>
      <c r="L90" s="275"/>
    </row>
    <row r="91" spans="1:12" ht="16.5" thickBot="1" x14ac:dyDescent="0.3">
      <c r="A91" s="17" t="s">
        <v>538</v>
      </c>
      <c r="B91" s="18"/>
      <c r="C91" s="18"/>
      <c r="D91" s="38"/>
      <c r="E91" s="111">
        <f>IF(C67&gt;C45,C45,C67)</f>
        <v>2640000</v>
      </c>
      <c r="H91" s="268">
        <v>0</v>
      </c>
      <c r="I91" s="269" t="s">
        <v>382</v>
      </c>
      <c r="J91" s="36"/>
      <c r="K91" s="36"/>
      <c r="L91" s="277"/>
    </row>
    <row r="92" spans="1:12" ht="16.5" thickBot="1" x14ac:dyDescent="0.3">
      <c r="A92" s="72" t="s">
        <v>518</v>
      </c>
      <c r="B92" s="18"/>
      <c r="C92" s="18"/>
      <c r="D92" s="365">
        <f>C80</f>
        <v>0.7</v>
      </c>
      <c r="E92" s="111">
        <f>C81</f>
        <v>1847999.9999999998</v>
      </c>
    </row>
    <row r="93" spans="1:12" ht="16.5" thickBot="1" x14ac:dyDescent="0.3">
      <c r="A93" s="17" t="s">
        <v>515</v>
      </c>
      <c r="B93" s="18"/>
      <c r="C93" s="18"/>
      <c r="D93" s="38"/>
      <c r="E93" s="116">
        <f>C82</f>
        <v>0.05</v>
      </c>
      <c r="H93" s="70" t="s">
        <v>443</v>
      </c>
      <c r="I93" s="71"/>
      <c r="J93" s="71"/>
      <c r="K93" s="71"/>
      <c r="L93" s="341" t="s">
        <v>407</v>
      </c>
    </row>
    <row r="94" spans="1:12" x14ac:dyDescent="0.25">
      <c r="A94" s="17" t="s">
        <v>516</v>
      </c>
      <c r="B94" s="18"/>
      <c r="C94" s="18"/>
      <c r="D94" s="38"/>
      <c r="E94" s="34">
        <f>C83</f>
        <v>30</v>
      </c>
      <c r="F94" s="336"/>
      <c r="H94" s="72" t="s">
        <v>77</v>
      </c>
      <c r="I94" s="24"/>
      <c r="J94" s="24"/>
      <c r="K94" s="24"/>
      <c r="L94" s="252">
        <v>100000</v>
      </c>
    </row>
    <row r="95" spans="1:12" ht="16.5" thickBot="1" x14ac:dyDescent="0.3">
      <c r="A95" s="125" t="s">
        <v>519</v>
      </c>
      <c r="B95" s="30"/>
      <c r="C95" s="30"/>
      <c r="D95" s="126"/>
      <c r="E95" s="127">
        <f>IFERROR(PMT(E93/12,E94*12,E92)*12,0)</f>
        <v>-119045.56311917194</v>
      </c>
      <c r="H95" s="72" t="s">
        <v>78</v>
      </c>
      <c r="I95" s="24"/>
      <c r="J95" s="24"/>
      <c r="K95" s="24"/>
      <c r="L95" s="252">
        <v>10000</v>
      </c>
    </row>
    <row r="96" spans="1:12" ht="16.5" thickBot="1" x14ac:dyDescent="0.3">
      <c r="A96" s="121" t="s">
        <v>415</v>
      </c>
      <c r="B96" s="122"/>
      <c r="C96" s="128"/>
      <c r="D96" s="129"/>
      <c r="E96" s="130"/>
      <c r="H96" s="72" t="s">
        <v>442</v>
      </c>
      <c r="I96" s="24"/>
      <c r="J96" s="24"/>
      <c r="K96" s="24"/>
      <c r="L96" s="252">
        <v>0</v>
      </c>
    </row>
    <row r="97" spans="1:34" x14ac:dyDescent="0.25">
      <c r="A97" s="335" t="s">
        <v>520</v>
      </c>
      <c r="B97" s="430"/>
      <c r="C97" s="430"/>
      <c r="D97" s="39"/>
      <c r="E97" s="431">
        <v>200000</v>
      </c>
      <c r="H97" s="72" t="s">
        <v>79</v>
      </c>
      <c r="I97" s="24"/>
      <c r="J97" s="24"/>
      <c r="K97" s="24"/>
      <c r="L97" s="250">
        <v>0.05</v>
      </c>
    </row>
    <row r="98" spans="1:34" ht="16.5" thickBot="1" x14ac:dyDescent="0.3">
      <c r="A98" s="17" t="s">
        <v>515</v>
      </c>
      <c r="B98" s="18"/>
      <c r="C98" s="18"/>
      <c r="D98" s="38"/>
      <c r="E98" s="116">
        <f>C86</f>
        <v>3.5000000000000003E-2</v>
      </c>
      <c r="H98" s="73" t="s">
        <v>424</v>
      </c>
      <c r="I98" s="36"/>
      <c r="J98" s="36"/>
      <c r="K98" s="36"/>
      <c r="L98" s="248">
        <v>0.05</v>
      </c>
    </row>
    <row r="99" spans="1:34" x14ac:dyDescent="0.25">
      <c r="A99" s="17" t="s">
        <v>516</v>
      </c>
      <c r="B99" s="18"/>
      <c r="C99" s="18"/>
      <c r="D99" s="38"/>
      <c r="E99" s="34">
        <f>C87</f>
        <v>30</v>
      </c>
      <c r="F99" s="336"/>
    </row>
    <row r="100" spans="1:34" x14ac:dyDescent="0.25">
      <c r="A100" s="17" t="s">
        <v>519</v>
      </c>
      <c r="B100" s="18"/>
      <c r="C100" s="18"/>
      <c r="D100" s="38"/>
      <c r="E100" s="131">
        <f>IFERROR(PMT(E98/12,E99*12,E97)*12,0)</f>
        <v>-10777.072507411787</v>
      </c>
      <c r="F100" s="336"/>
    </row>
    <row r="101" spans="1:34" x14ac:dyDescent="0.25">
      <c r="A101" s="49" t="s">
        <v>71</v>
      </c>
      <c r="B101" s="24"/>
      <c r="C101" s="24"/>
      <c r="D101" s="39"/>
      <c r="E101" s="132">
        <f>E92+E97</f>
        <v>2047999.9999999998</v>
      </c>
    </row>
    <row r="102" spans="1:34" ht="16.5" thickBot="1" x14ac:dyDescent="0.3">
      <c r="A102" s="17" t="s">
        <v>539</v>
      </c>
      <c r="B102" s="24"/>
      <c r="C102" s="24"/>
      <c r="D102" s="39"/>
      <c r="E102" s="132">
        <f>E95+E100</f>
        <v>-129822.63562658374</v>
      </c>
    </row>
    <row r="103" spans="1:34" ht="16.5" thickBot="1" x14ac:dyDescent="0.3">
      <c r="A103" s="102" t="s">
        <v>72</v>
      </c>
      <c r="B103" s="114"/>
      <c r="C103" s="114"/>
      <c r="D103" s="104"/>
      <c r="E103" s="63"/>
      <c r="F103" s="336"/>
    </row>
    <row r="104" spans="1:34" x14ac:dyDescent="0.25">
      <c r="A104" s="17" t="s">
        <v>449</v>
      </c>
      <c r="B104" s="18"/>
      <c r="C104" s="18"/>
      <c r="D104" s="38"/>
      <c r="E104" s="111">
        <f>C45</f>
        <v>2640000</v>
      </c>
      <c r="F104" s="336"/>
    </row>
    <row r="105" spans="1:34" ht="16.5" thickBot="1" x14ac:dyDescent="0.3">
      <c r="A105" s="118" t="s">
        <v>73</v>
      </c>
      <c r="B105" s="31"/>
      <c r="C105" s="31"/>
      <c r="D105" s="825"/>
      <c r="E105" s="826">
        <f>E104-E101</f>
        <v>592000.00000000023</v>
      </c>
    </row>
    <row r="107" spans="1:34" ht="16.5" thickBot="1" x14ac:dyDescent="0.3"/>
    <row r="108" spans="1:34" ht="16.5" thickBot="1" x14ac:dyDescent="0.3">
      <c r="A108" s="79" t="s">
        <v>95</v>
      </c>
      <c r="B108" s="51"/>
      <c r="C108" s="51"/>
      <c r="D108" s="51"/>
      <c r="E108" s="355" t="s">
        <v>85</v>
      </c>
      <c r="F108" s="356" t="s">
        <v>86</v>
      </c>
      <c r="G108" s="355" t="s">
        <v>87</v>
      </c>
      <c r="H108" s="356" t="s">
        <v>88</v>
      </c>
      <c r="I108" s="355" t="s">
        <v>89</v>
      </c>
      <c r="J108" s="356" t="s">
        <v>90</v>
      </c>
      <c r="K108" s="355" t="s">
        <v>91</v>
      </c>
      <c r="L108" s="356" t="s">
        <v>92</v>
      </c>
      <c r="M108" s="355" t="s">
        <v>93</v>
      </c>
      <c r="N108" s="355" t="s">
        <v>94</v>
      </c>
      <c r="O108" s="357" t="s">
        <v>239</v>
      </c>
      <c r="P108" s="358" t="s">
        <v>240</v>
      </c>
      <c r="Q108" s="358" t="s">
        <v>241</v>
      </c>
      <c r="R108" s="340" t="s">
        <v>242</v>
      </c>
      <c r="S108" s="358" t="s">
        <v>243</v>
      </c>
      <c r="T108" s="340" t="s">
        <v>244</v>
      </c>
      <c r="U108" s="358" t="s">
        <v>245</v>
      </c>
      <c r="V108" s="340" t="s">
        <v>246</v>
      </c>
      <c r="W108" s="358" t="s">
        <v>247</v>
      </c>
      <c r="X108" s="340" t="s">
        <v>248</v>
      </c>
      <c r="Y108" s="358" t="s">
        <v>249</v>
      </c>
      <c r="Z108" s="340" t="s">
        <v>250</v>
      </c>
      <c r="AA108" s="358" t="s">
        <v>251</v>
      </c>
      <c r="AB108" s="340" t="s">
        <v>252</v>
      </c>
      <c r="AC108" s="358" t="s">
        <v>253</v>
      </c>
      <c r="AD108" s="340" t="s">
        <v>254</v>
      </c>
      <c r="AE108" s="358" t="s">
        <v>255</v>
      </c>
      <c r="AF108" s="340" t="s">
        <v>256</v>
      </c>
      <c r="AG108" s="358" t="s">
        <v>257</v>
      </c>
      <c r="AH108" s="359" t="s">
        <v>258</v>
      </c>
    </row>
    <row r="109" spans="1:34" x14ac:dyDescent="0.25">
      <c r="A109" s="90" t="s">
        <v>425</v>
      </c>
      <c r="B109" s="18"/>
      <c r="C109" s="345" t="s">
        <v>96</v>
      </c>
      <c r="D109" s="25">
        <f>D71</f>
        <v>0.03</v>
      </c>
      <c r="E109" s="203">
        <f>E50</f>
        <v>360000</v>
      </c>
      <c r="F109" s="98">
        <f t="shared" ref="F109:AH109" si="0">E109*(1+$D$109)</f>
        <v>370800</v>
      </c>
      <c r="G109" s="203">
        <f t="shared" si="0"/>
        <v>381924</v>
      </c>
      <c r="H109" s="98">
        <f t="shared" si="0"/>
        <v>393381.72000000003</v>
      </c>
      <c r="I109" s="203">
        <f t="shared" si="0"/>
        <v>405183.17160000006</v>
      </c>
      <c r="J109" s="98">
        <f t="shared" si="0"/>
        <v>417338.66674800008</v>
      </c>
      <c r="K109" s="203">
        <f t="shared" si="0"/>
        <v>429858.82675044012</v>
      </c>
      <c r="L109" s="98">
        <f t="shared" si="0"/>
        <v>442754.59155295335</v>
      </c>
      <c r="M109" s="203">
        <f t="shared" si="0"/>
        <v>456037.22929954197</v>
      </c>
      <c r="N109" s="203">
        <f t="shared" si="0"/>
        <v>469718.34617852821</v>
      </c>
      <c r="O109" s="284">
        <f t="shared" si="0"/>
        <v>483809.89656388405</v>
      </c>
      <c r="P109" s="203">
        <f t="shared" si="0"/>
        <v>498324.19346080057</v>
      </c>
      <c r="Q109" s="203">
        <f t="shared" si="0"/>
        <v>513273.91926462459</v>
      </c>
      <c r="R109" s="98">
        <f t="shared" si="0"/>
        <v>528672.1368425634</v>
      </c>
      <c r="S109" s="287">
        <f t="shared" si="0"/>
        <v>544532.30094784033</v>
      </c>
      <c r="T109" s="98">
        <f t="shared" si="0"/>
        <v>560868.26997627551</v>
      </c>
      <c r="U109" s="287">
        <f t="shared" si="0"/>
        <v>577694.31807556376</v>
      </c>
      <c r="V109" s="98">
        <f t="shared" si="0"/>
        <v>595025.14761783066</v>
      </c>
      <c r="W109" s="203">
        <f t="shared" si="0"/>
        <v>612875.90204636555</v>
      </c>
      <c r="X109" s="98">
        <f t="shared" si="0"/>
        <v>631262.17910775659</v>
      </c>
      <c r="Y109" s="203">
        <f t="shared" si="0"/>
        <v>650200.04448098934</v>
      </c>
      <c r="Z109" s="98">
        <f t="shared" si="0"/>
        <v>669706.04581541906</v>
      </c>
      <c r="AA109" s="203">
        <f t="shared" si="0"/>
        <v>689797.22718988161</v>
      </c>
      <c r="AB109" s="98">
        <f t="shared" si="0"/>
        <v>710491.14400557813</v>
      </c>
      <c r="AC109" s="203">
        <f t="shared" si="0"/>
        <v>731805.87832574546</v>
      </c>
      <c r="AD109" s="98">
        <f t="shared" si="0"/>
        <v>753760.05467551784</v>
      </c>
      <c r="AE109" s="203">
        <f t="shared" si="0"/>
        <v>776372.85631578334</v>
      </c>
      <c r="AF109" s="98">
        <f t="shared" si="0"/>
        <v>799664.04200525687</v>
      </c>
      <c r="AG109" s="203">
        <f t="shared" si="0"/>
        <v>823653.96326541458</v>
      </c>
      <c r="AH109" s="217">
        <f t="shared" si="0"/>
        <v>848363.58216337708</v>
      </c>
    </row>
    <row r="110" spans="1:34" x14ac:dyDescent="0.25">
      <c r="A110" s="17" t="s">
        <v>421</v>
      </c>
      <c r="B110" s="24"/>
      <c r="C110" s="24"/>
      <c r="D110" s="278"/>
      <c r="E110" s="352">
        <f>E51</f>
        <v>9000</v>
      </c>
      <c r="F110" s="98">
        <f t="shared" ref="F110:AH110" si="1">E110*(1+$D$109)</f>
        <v>9270</v>
      </c>
      <c r="G110" s="203">
        <f t="shared" si="1"/>
        <v>9548.1</v>
      </c>
      <c r="H110" s="98">
        <f t="shared" si="1"/>
        <v>9834.5430000000015</v>
      </c>
      <c r="I110" s="203">
        <f t="shared" si="1"/>
        <v>10129.579290000001</v>
      </c>
      <c r="J110" s="98">
        <f t="shared" si="1"/>
        <v>10433.466668700003</v>
      </c>
      <c r="K110" s="203">
        <f t="shared" si="1"/>
        <v>10746.470668761003</v>
      </c>
      <c r="L110" s="98">
        <f t="shared" si="1"/>
        <v>11068.864788823834</v>
      </c>
      <c r="M110" s="203">
        <f t="shared" si="1"/>
        <v>11400.930732488549</v>
      </c>
      <c r="N110" s="203">
        <f t="shared" si="1"/>
        <v>11742.958654463206</v>
      </c>
      <c r="O110" s="284">
        <f t="shared" si="1"/>
        <v>12095.247414097103</v>
      </c>
      <c r="P110" s="283">
        <f t="shared" si="1"/>
        <v>12458.104836520017</v>
      </c>
      <c r="Q110" s="203">
        <f t="shared" si="1"/>
        <v>12831.847981615618</v>
      </c>
      <c r="R110" s="98">
        <f t="shared" si="1"/>
        <v>13216.803421064087</v>
      </c>
      <c r="S110" s="203">
        <f t="shared" si="1"/>
        <v>13613.30752369601</v>
      </c>
      <c r="T110" s="284">
        <f t="shared" si="1"/>
        <v>14021.706749406891</v>
      </c>
      <c r="U110" s="203">
        <f t="shared" si="1"/>
        <v>14442.357951889098</v>
      </c>
      <c r="V110" s="98">
        <f t="shared" si="1"/>
        <v>14875.628690445772</v>
      </c>
      <c r="W110" s="203">
        <f t="shared" si="1"/>
        <v>15321.897551159145</v>
      </c>
      <c r="X110" s="98">
        <f t="shared" si="1"/>
        <v>15781.55447769392</v>
      </c>
      <c r="Y110" s="203">
        <f t="shared" si="1"/>
        <v>16255.001112024738</v>
      </c>
      <c r="Z110" s="98">
        <f t="shared" si="1"/>
        <v>16742.65114538548</v>
      </c>
      <c r="AA110" s="203">
        <f t="shared" si="1"/>
        <v>17244.930679747045</v>
      </c>
      <c r="AB110" s="98">
        <f t="shared" si="1"/>
        <v>17762.278600139456</v>
      </c>
      <c r="AC110" s="203">
        <f t="shared" si="1"/>
        <v>18295.146958143639</v>
      </c>
      <c r="AD110" s="98">
        <f t="shared" si="1"/>
        <v>18844.001366887947</v>
      </c>
      <c r="AE110" s="203">
        <f t="shared" si="1"/>
        <v>19409.321407894586</v>
      </c>
      <c r="AF110" s="98">
        <f t="shared" si="1"/>
        <v>19991.601050131423</v>
      </c>
      <c r="AG110" s="203">
        <f t="shared" si="1"/>
        <v>20591.349081635366</v>
      </c>
      <c r="AH110" s="217">
        <f t="shared" si="1"/>
        <v>21209.089554084429</v>
      </c>
    </row>
    <row r="111" spans="1:34" ht="16.5" thickBot="1" x14ac:dyDescent="0.3">
      <c r="A111" s="29" t="s">
        <v>444</v>
      </c>
      <c r="B111" s="30"/>
      <c r="C111" s="83"/>
      <c r="D111" s="279"/>
      <c r="E111" s="232">
        <f>E109+E110</f>
        <v>369000</v>
      </c>
      <c r="F111" s="231">
        <f>F109+F110</f>
        <v>380070</v>
      </c>
      <c r="G111" s="232">
        <f>G109+G110</f>
        <v>391472.1</v>
      </c>
      <c r="H111" s="231">
        <f>H109+H110</f>
        <v>403216.26300000004</v>
      </c>
      <c r="I111" s="232">
        <f>I109+I110</f>
        <v>415312.75089000008</v>
      </c>
      <c r="J111" s="231">
        <f t="shared" ref="J111:O111" si="2">J109+J110</f>
        <v>427772.13341670006</v>
      </c>
      <c r="K111" s="232">
        <f t="shared" si="2"/>
        <v>440605.29741920112</v>
      </c>
      <c r="L111" s="231">
        <f t="shared" si="2"/>
        <v>453823.45634177717</v>
      </c>
      <c r="M111" s="232">
        <f t="shared" si="2"/>
        <v>467438.16003203054</v>
      </c>
      <c r="N111" s="232">
        <f t="shared" si="2"/>
        <v>481461.30483299145</v>
      </c>
      <c r="O111" s="285">
        <f t="shared" si="2"/>
        <v>495905.14397798118</v>
      </c>
      <c r="P111" s="232">
        <f t="shared" ref="P111:AH111" si="3">P109+P110</f>
        <v>510782.29829732061</v>
      </c>
      <c r="Q111" s="232">
        <f t="shared" si="3"/>
        <v>526105.76724624017</v>
      </c>
      <c r="R111" s="231">
        <f t="shared" si="3"/>
        <v>541888.94026362745</v>
      </c>
      <c r="S111" s="232">
        <f t="shared" si="3"/>
        <v>558145.60847153631</v>
      </c>
      <c r="T111" s="231">
        <f t="shared" si="3"/>
        <v>574889.97672568238</v>
      </c>
      <c r="U111" s="232">
        <f t="shared" si="3"/>
        <v>592136.67602745281</v>
      </c>
      <c r="V111" s="231">
        <f t="shared" si="3"/>
        <v>609900.77630827646</v>
      </c>
      <c r="W111" s="232">
        <f t="shared" si="3"/>
        <v>628197.79959752469</v>
      </c>
      <c r="X111" s="231">
        <f t="shared" si="3"/>
        <v>647043.73358545057</v>
      </c>
      <c r="Y111" s="232">
        <f t="shared" si="3"/>
        <v>666455.0455930141</v>
      </c>
      <c r="Z111" s="231">
        <f t="shared" si="3"/>
        <v>686448.69696080452</v>
      </c>
      <c r="AA111" s="232">
        <f t="shared" si="3"/>
        <v>707042.15786962863</v>
      </c>
      <c r="AB111" s="231">
        <f t="shared" si="3"/>
        <v>728253.42260571755</v>
      </c>
      <c r="AC111" s="232">
        <f t="shared" si="3"/>
        <v>750101.02528388915</v>
      </c>
      <c r="AD111" s="231">
        <f t="shared" si="3"/>
        <v>772604.05604240578</v>
      </c>
      <c r="AE111" s="232">
        <f t="shared" si="3"/>
        <v>795782.17772367795</v>
      </c>
      <c r="AF111" s="231">
        <f t="shared" si="3"/>
        <v>819655.64305538824</v>
      </c>
      <c r="AG111" s="232">
        <f t="shared" si="3"/>
        <v>844245.31234704994</v>
      </c>
      <c r="AH111" s="245">
        <f t="shared" si="3"/>
        <v>869572.67171746155</v>
      </c>
    </row>
    <row r="112" spans="1:34" x14ac:dyDescent="0.25">
      <c r="A112" s="17" t="s">
        <v>54</v>
      </c>
      <c r="B112" s="18"/>
      <c r="C112" s="24"/>
      <c r="D112" s="280">
        <f>C53</f>
        <v>0.06</v>
      </c>
      <c r="E112" s="203">
        <f t="shared" ref="E112:AH112" si="4">$D$112*E111</f>
        <v>22140</v>
      </c>
      <c r="F112" s="98">
        <f t="shared" si="4"/>
        <v>22804.2</v>
      </c>
      <c r="G112" s="203">
        <f t="shared" si="4"/>
        <v>23488.325999999997</v>
      </c>
      <c r="H112" s="98">
        <f t="shared" si="4"/>
        <v>24192.975780000001</v>
      </c>
      <c r="I112" s="203">
        <f t="shared" si="4"/>
        <v>24918.765053400006</v>
      </c>
      <c r="J112" s="98">
        <f t="shared" si="4"/>
        <v>25666.328005002004</v>
      </c>
      <c r="K112" s="203">
        <f t="shared" si="4"/>
        <v>26436.317845152065</v>
      </c>
      <c r="L112" s="98">
        <f t="shared" si="4"/>
        <v>27229.407380506629</v>
      </c>
      <c r="M112" s="203">
        <f t="shared" si="4"/>
        <v>28046.289601921831</v>
      </c>
      <c r="N112" s="203">
        <f t="shared" si="4"/>
        <v>28887.678289979485</v>
      </c>
      <c r="O112" s="284">
        <f t="shared" si="4"/>
        <v>29754.308638678871</v>
      </c>
      <c r="P112" s="203">
        <f t="shared" si="4"/>
        <v>30646.937897839234</v>
      </c>
      <c r="Q112" s="203">
        <f t="shared" si="4"/>
        <v>31566.346034774408</v>
      </c>
      <c r="R112" s="98">
        <f t="shared" si="4"/>
        <v>32513.336415817645</v>
      </c>
      <c r="S112" s="203">
        <f t="shared" si="4"/>
        <v>33488.736508292175</v>
      </c>
      <c r="T112" s="98">
        <f t="shared" si="4"/>
        <v>34493.39860354094</v>
      </c>
      <c r="U112" s="203">
        <f t="shared" si="4"/>
        <v>35528.200561647165</v>
      </c>
      <c r="V112" s="98">
        <f t="shared" si="4"/>
        <v>36594.046578496585</v>
      </c>
      <c r="W112" s="203">
        <f t="shared" si="4"/>
        <v>37691.867975851477</v>
      </c>
      <c r="X112" s="98">
        <f t="shared" si="4"/>
        <v>38822.624015127032</v>
      </c>
      <c r="Y112" s="203">
        <f t="shared" si="4"/>
        <v>39987.302735580844</v>
      </c>
      <c r="Z112" s="98">
        <f t="shared" si="4"/>
        <v>41186.921817648268</v>
      </c>
      <c r="AA112" s="203">
        <f t="shared" si="4"/>
        <v>42422.529472177717</v>
      </c>
      <c r="AB112" s="98">
        <f t="shared" si="4"/>
        <v>43695.205356343053</v>
      </c>
      <c r="AC112" s="203">
        <f t="shared" si="4"/>
        <v>45006.061517033348</v>
      </c>
      <c r="AD112" s="98">
        <f t="shared" si="4"/>
        <v>46356.243362544345</v>
      </c>
      <c r="AE112" s="203">
        <f t="shared" si="4"/>
        <v>47746.930663420673</v>
      </c>
      <c r="AF112" s="98">
        <f t="shared" si="4"/>
        <v>49179.33858332329</v>
      </c>
      <c r="AG112" s="203">
        <f t="shared" si="4"/>
        <v>50654.718740822995</v>
      </c>
      <c r="AH112" s="217">
        <f t="shared" si="4"/>
        <v>52174.360303047688</v>
      </c>
    </row>
    <row r="113" spans="1:34" x14ac:dyDescent="0.25">
      <c r="A113" s="17" t="s">
        <v>55</v>
      </c>
      <c r="B113" s="18"/>
      <c r="C113" s="24"/>
      <c r="D113" s="280">
        <f>C54</f>
        <v>1.4999999999999999E-2</v>
      </c>
      <c r="E113" s="352">
        <f t="shared" ref="E113:AH113" si="5">$D$113*E111</f>
        <v>5535</v>
      </c>
      <c r="F113" s="353">
        <f t="shared" si="5"/>
        <v>5701.05</v>
      </c>
      <c r="G113" s="352">
        <f t="shared" si="5"/>
        <v>5872.0814999999993</v>
      </c>
      <c r="H113" s="353">
        <f t="shared" si="5"/>
        <v>6048.2439450000002</v>
      </c>
      <c r="I113" s="352">
        <f t="shared" si="5"/>
        <v>6229.6912633500015</v>
      </c>
      <c r="J113" s="353">
        <f t="shared" si="5"/>
        <v>6416.582001250501</v>
      </c>
      <c r="K113" s="352">
        <f t="shared" si="5"/>
        <v>6609.0794612880163</v>
      </c>
      <c r="L113" s="353">
        <f t="shared" si="5"/>
        <v>6807.3518451266573</v>
      </c>
      <c r="M113" s="352">
        <f t="shared" si="5"/>
        <v>7011.5724004804579</v>
      </c>
      <c r="N113" s="352">
        <f t="shared" si="5"/>
        <v>7221.9195724948713</v>
      </c>
      <c r="O113" s="354">
        <f t="shared" si="5"/>
        <v>7438.5771596697177</v>
      </c>
      <c r="P113" s="352">
        <f t="shared" si="5"/>
        <v>7661.7344744598086</v>
      </c>
      <c r="Q113" s="352">
        <f t="shared" si="5"/>
        <v>7891.5865086936019</v>
      </c>
      <c r="R113" s="353">
        <f t="shared" si="5"/>
        <v>8128.3341039544111</v>
      </c>
      <c r="S113" s="352">
        <f t="shared" si="5"/>
        <v>8372.1841270730438</v>
      </c>
      <c r="T113" s="353">
        <f t="shared" si="5"/>
        <v>8623.349650885235</v>
      </c>
      <c r="U113" s="352">
        <f t="shared" si="5"/>
        <v>8882.0501404117913</v>
      </c>
      <c r="V113" s="353">
        <f t="shared" si="5"/>
        <v>9148.5116446241464</v>
      </c>
      <c r="W113" s="352">
        <f t="shared" si="5"/>
        <v>9422.9669939628693</v>
      </c>
      <c r="X113" s="353">
        <f t="shared" si="5"/>
        <v>9705.656003781758</v>
      </c>
      <c r="Y113" s="352">
        <f t="shared" si="5"/>
        <v>9996.8256838952111</v>
      </c>
      <c r="Z113" s="353">
        <f t="shared" si="5"/>
        <v>10296.730454412067</v>
      </c>
      <c r="AA113" s="352">
        <f t="shared" si="5"/>
        <v>10605.632368044429</v>
      </c>
      <c r="AB113" s="353">
        <f t="shared" si="5"/>
        <v>10923.801339085763</v>
      </c>
      <c r="AC113" s="352">
        <f t="shared" si="5"/>
        <v>11251.515379258337</v>
      </c>
      <c r="AD113" s="353">
        <f t="shared" si="5"/>
        <v>11589.060840636086</v>
      </c>
      <c r="AE113" s="352">
        <f t="shared" si="5"/>
        <v>11936.732665855168</v>
      </c>
      <c r="AF113" s="353">
        <f t="shared" si="5"/>
        <v>12294.834645830822</v>
      </c>
      <c r="AG113" s="352">
        <f t="shared" si="5"/>
        <v>12663.679685205749</v>
      </c>
      <c r="AH113" s="317">
        <f t="shared" si="5"/>
        <v>13043.590075761922</v>
      </c>
    </row>
    <row r="114" spans="1:34" ht="16.5" thickBot="1" x14ac:dyDescent="0.3">
      <c r="A114" s="29" t="s">
        <v>99</v>
      </c>
      <c r="B114" s="30"/>
      <c r="C114" s="83"/>
      <c r="D114" s="279"/>
      <c r="E114" s="232">
        <f>E111-E112-E113</f>
        <v>341325</v>
      </c>
      <c r="F114" s="231">
        <f>F111-F112-F113</f>
        <v>351564.75</v>
      </c>
      <c r="G114" s="232">
        <f>G111-G112-G113</f>
        <v>362111.6925</v>
      </c>
      <c r="H114" s="231">
        <f>H111-H112-H113</f>
        <v>372975.04327500006</v>
      </c>
      <c r="I114" s="232">
        <f>I111-I112-I113</f>
        <v>384164.29457325005</v>
      </c>
      <c r="J114" s="231">
        <f t="shared" ref="J114:O114" si="6">J111-J112-J113</f>
        <v>395689.22341044754</v>
      </c>
      <c r="K114" s="232">
        <f t="shared" si="6"/>
        <v>407559.90011276107</v>
      </c>
      <c r="L114" s="231">
        <f t="shared" si="6"/>
        <v>419786.69711614389</v>
      </c>
      <c r="M114" s="232">
        <f t="shared" si="6"/>
        <v>432380.29802962829</v>
      </c>
      <c r="N114" s="232">
        <f t="shared" si="6"/>
        <v>445351.70697051712</v>
      </c>
      <c r="O114" s="285">
        <f t="shared" si="6"/>
        <v>458712.2581796326</v>
      </c>
      <c r="P114" s="232">
        <f t="shared" ref="P114:AH114" si="7">P111-P112-P113</f>
        <v>472473.6259250216</v>
      </c>
      <c r="Q114" s="232">
        <f t="shared" si="7"/>
        <v>486647.8347027722</v>
      </c>
      <c r="R114" s="231">
        <f t="shared" si="7"/>
        <v>501247.26974385534</v>
      </c>
      <c r="S114" s="232">
        <f t="shared" si="7"/>
        <v>516284.68783617113</v>
      </c>
      <c r="T114" s="231">
        <f t="shared" si="7"/>
        <v>531773.22847125621</v>
      </c>
      <c r="U114" s="232">
        <f t="shared" si="7"/>
        <v>547726.42532539379</v>
      </c>
      <c r="V114" s="231">
        <f t="shared" si="7"/>
        <v>564158.21808515571</v>
      </c>
      <c r="W114" s="232">
        <f t="shared" si="7"/>
        <v>581082.96462771029</v>
      </c>
      <c r="X114" s="231">
        <f t="shared" si="7"/>
        <v>598515.45356654178</v>
      </c>
      <c r="Y114" s="232">
        <f t="shared" si="7"/>
        <v>616470.91717353801</v>
      </c>
      <c r="Z114" s="231">
        <f t="shared" si="7"/>
        <v>634965.04468874424</v>
      </c>
      <c r="AA114" s="232">
        <f t="shared" si="7"/>
        <v>654013.99602940644</v>
      </c>
      <c r="AB114" s="231">
        <f t="shared" si="7"/>
        <v>673634.41591028869</v>
      </c>
      <c r="AC114" s="232">
        <f t="shared" si="7"/>
        <v>693843.44838759745</v>
      </c>
      <c r="AD114" s="231">
        <f t="shared" si="7"/>
        <v>714658.7518392253</v>
      </c>
      <c r="AE114" s="232">
        <f t="shared" si="7"/>
        <v>736098.51439440204</v>
      </c>
      <c r="AF114" s="231">
        <f t="shared" si="7"/>
        <v>758181.46982623416</v>
      </c>
      <c r="AG114" s="232">
        <f t="shared" si="7"/>
        <v>780926.91392102116</v>
      </c>
      <c r="AH114" s="245">
        <f t="shared" si="7"/>
        <v>804354.72133865196</v>
      </c>
    </row>
    <row r="115" spans="1:34" x14ac:dyDescent="0.25">
      <c r="A115" s="17" t="s">
        <v>57</v>
      </c>
      <c r="B115" s="18"/>
      <c r="C115" s="345" t="s">
        <v>96</v>
      </c>
      <c r="D115" s="25">
        <f>D72</f>
        <v>0.03</v>
      </c>
      <c r="E115" s="352">
        <f>E56</f>
        <v>105000</v>
      </c>
      <c r="F115" s="353">
        <f t="shared" ref="F115:AH115" si="8">E115*(1+$D$115)</f>
        <v>108150</v>
      </c>
      <c r="G115" s="352">
        <f t="shared" si="8"/>
        <v>111394.5</v>
      </c>
      <c r="H115" s="353">
        <f t="shared" si="8"/>
        <v>114736.33500000001</v>
      </c>
      <c r="I115" s="352">
        <f t="shared" si="8"/>
        <v>118178.42505000001</v>
      </c>
      <c r="J115" s="353">
        <f t="shared" si="8"/>
        <v>121723.77780150001</v>
      </c>
      <c r="K115" s="352">
        <f t="shared" si="8"/>
        <v>125375.49113554502</v>
      </c>
      <c r="L115" s="353">
        <f t="shared" si="8"/>
        <v>129136.75586961137</v>
      </c>
      <c r="M115" s="352">
        <f t="shared" si="8"/>
        <v>133010.85854569971</v>
      </c>
      <c r="N115" s="352">
        <f t="shared" si="8"/>
        <v>137001.1843020707</v>
      </c>
      <c r="O115" s="354">
        <f t="shared" si="8"/>
        <v>141111.21983113282</v>
      </c>
      <c r="P115" s="352">
        <f t="shared" si="8"/>
        <v>145344.55642606682</v>
      </c>
      <c r="Q115" s="352">
        <f t="shared" si="8"/>
        <v>149704.89311884882</v>
      </c>
      <c r="R115" s="353">
        <f t="shared" si="8"/>
        <v>154196.0399124143</v>
      </c>
      <c r="S115" s="352">
        <f t="shared" si="8"/>
        <v>158821.92110978672</v>
      </c>
      <c r="T115" s="353">
        <f t="shared" si="8"/>
        <v>163586.57874308032</v>
      </c>
      <c r="U115" s="352">
        <f t="shared" si="8"/>
        <v>168494.17610537272</v>
      </c>
      <c r="V115" s="353">
        <f t="shared" si="8"/>
        <v>173549.00138853391</v>
      </c>
      <c r="W115" s="352">
        <f t="shared" si="8"/>
        <v>178755.47143018994</v>
      </c>
      <c r="X115" s="353">
        <f t="shared" si="8"/>
        <v>184118.13557309564</v>
      </c>
      <c r="Y115" s="352">
        <f t="shared" si="8"/>
        <v>189641.67964028852</v>
      </c>
      <c r="Z115" s="353">
        <f t="shared" si="8"/>
        <v>195330.93002949719</v>
      </c>
      <c r="AA115" s="352">
        <f t="shared" si="8"/>
        <v>201190.8579303821</v>
      </c>
      <c r="AB115" s="353">
        <f t="shared" si="8"/>
        <v>207226.58366829358</v>
      </c>
      <c r="AC115" s="352">
        <f t="shared" si="8"/>
        <v>213443.38117834239</v>
      </c>
      <c r="AD115" s="353">
        <f t="shared" si="8"/>
        <v>219846.68261369265</v>
      </c>
      <c r="AE115" s="352">
        <f t="shared" si="8"/>
        <v>226442.08309210345</v>
      </c>
      <c r="AF115" s="353">
        <f t="shared" si="8"/>
        <v>233235.34558486656</v>
      </c>
      <c r="AG115" s="352">
        <f t="shared" si="8"/>
        <v>240232.40595241258</v>
      </c>
      <c r="AH115" s="317">
        <f t="shared" si="8"/>
        <v>247439.37813098496</v>
      </c>
    </row>
    <row r="116" spans="1:34" x14ac:dyDescent="0.25">
      <c r="A116" s="17" t="s">
        <v>100</v>
      </c>
      <c r="B116" s="24"/>
      <c r="C116" s="24"/>
      <c r="D116" s="39"/>
      <c r="E116" s="149">
        <f>$L$12*$C$67*I15</f>
        <v>0</v>
      </c>
      <c r="F116" s="200">
        <f>$L$12*$C$67*(1+$D$109)*I16</f>
        <v>0</v>
      </c>
      <c r="G116" s="149">
        <f>$L$12*$C$67*(1+$D$109)^2*I17</f>
        <v>0</v>
      </c>
      <c r="H116" s="200">
        <f>$L$12*$C$67*(1+$D$109)^3*I18</f>
        <v>0</v>
      </c>
      <c r="I116" s="149">
        <f>$L$12*$C$67*(1+$D$109)^4*I19</f>
        <v>0</v>
      </c>
      <c r="J116" s="200">
        <f>$L$12*$C$67*(1+$D$109)^5*I20</f>
        <v>0</v>
      </c>
      <c r="K116" s="149">
        <f>$L$12*$C$67*(1+$D$109)^6*I21</f>
        <v>0</v>
      </c>
      <c r="L116" s="200">
        <f>$L$12*$C$67*(1+$D$109)^7*I22</f>
        <v>0</v>
      </c>
      <c r="M116" s="149">
        <f>$L$12*$C$67*(1+$D$109)^8*I23</f>
        <v>0</v>
      </c>
      <c r="N116" s="149">
        <f>$L$12*$C$67*(1+$D$109)^9*I24</f>
        <v>0</v>
      </c>
      <c r="O116" s="149">
        <f>$L$12*$C$67*(1+$D$109)^10*I25</f>
        <v>0</v>
      </c>
      <c r="P116" s="149">
        <f>$L$12*$C$67*(1+$D$109)^11*I26</f>
        <v>0</v>
      </c>
      <c r="Q116" s="149">
        <f>$L$12*$C$67*(1+$D$109)^12*I27</f>
        <v>0</v>
      </c>
      <c r="R116" s="149">
        <f>$L$12*$C$67*(1+$D$109)^13*I28</f>
        <v>0</v>
      </c>
      <c r="S116" s="149">
        <f>$L$12*$C$67*(1+$D$109)^14*I29</f>
        <v>0</v>
      </c>
      <c r="T116" s="149">
        <f>$L$12*$C$67*(1+$D$109)^15*I30</f>
        <v>0</v>
      </c>
      <c r="U116" s="149">
        <f>$L$12*$C$67*(1+$D$109)^16*I31</f>
        <v>0</v>
      </c>
      <c r="V116" s="149">
        <f>$L$12*$C$67*(1+$D$109)^17*I32</f>
        <v>0</v>
      </c>
      <c r="W116" s="149">
        <f>$L$12*$C$67*(1+$D$109)^18*I33</f>
        <v>0</v>
      </c>
      <c r="X116" s="149">
        <f>$L$12*$C$67*(1+$D$109)^19*I34</f>
        <v>0</v>
      </c>
      <c r="Y116" s="149">
        <f>$L$12*$C$67*(1+$D$109)^20*I35</f>
        <v>0</v>
      </c>
      <c r="Z116" s="149">
        <f>$L$12*$C$67*(1+$D$109)^21*I36</f>
        <v>0</v>
      </c>
      <c r="AA116" s="149">
        <f>$L$12*$C$67*(1+$D$109)^22*I37</f>
        <v>0</v>
      </c>
      <c r="AB116" s="149">
        <f>$L$12*$C$67*(1+$D$109)^23*I38</f>
        <v>0</v>
      </c>
      <c r="AC116" s="149">
        <f>$L$12*$C$67*(1+$D$109)^24*I39</f>
        <v>0</v>
      </c>
      <c r="AD116" s="149">
        <f>$L$12*$C$67*(1+$D$109)^25*I40</f>
        <v>0</v>
      </c>
      <c r="AE116" s="149">
        <f>$L$12*$C$67*(1+$D$109)^26*I41</f>
        <v>0</v>
      </c>
      <c r="AF116" s="149">
        <f>$L$12*$C$67*(1+$D$109)^27*I42</f>
        <v>0</v>
      </c>
      <c r="AG116" s="149">
        <f>$L$12*$C$67*(1+$D$109)^28*I43</f>
        <v>0</v>
      </c>
      <c r="AH116" s="205">
        <f>$L$12*$C$67*(1+$D$109)^29*I44</f>
        <v>0</v>
      </c>
    </row>
    <row r="117" spans="1:34" x14ac:dyDescent="0.25">
      <c r="A117" s="17" t="s">
        <v>447</v>
      </c>
      <c r="B117" s="24"/>
      <c r="C117" s="24"/>
      <c r="D117" s="39"/>
      <c r="E117" s="149">
        <f t="shared" ref="E117:AH117" si="9">-$L$95</f>
        <v>-10000</v>
      </c>
      <c r="F117" s="149">
        <f t="shared" si="9"/>
        <v>-10000</v>
      </c>
      <c r="G117" s="149">
        <f t="shared" si="9"/>
        <v>-10000</v>
      </c>
      <c r="H117" s="149">
        <f t="shared" si="9"/>
        <v>-10000</v>
      </c>
      <c r="I117" s="149">
        <f t="shared" si="9"/>
        <v>-10000</v>
      </c>
      <c r="J117" s="149">
        <f t="shared" si="9"/>
        <v>-10000</v>
      </c>
      <c r="K117" s="149">
        <f t="shared" si="9"/>
        <v>-10000</v>
      </c>
      <c r="L117" s="149">
        <f t="shared" si="9"/>
        <v>-10000</v>
      </c>
      <c r="M117" s="149">
        <f t="shared" si="9"/>
        <v>-10000</v>
      </c>
      <c r="N117" s="149">
        <f t="shared" si="9"/>
        <v>-10000</v>
      </c>
      <c r="O117" s="149">
        <f t="shared" si="9"/>
        <v>-10000</v>
      </c>
      <c r="P117" s="149">
        <f t="shared" si="9"/>
        <v>-10000</v>
      </c>
      <c r="Q117" s="149">
        <f t="shared" si="9"/>
        <v>-10000</v>
      </c>
      <c r="R117" s="149">
        <f t="shared" si="9"/>
        <v>-10000</v>
      </c>
      <c r="S117" s="149">
        <f t="shared" si="9"/>
        <v>-10000</v>
      </c>
      <c r="T117" s="149">
        <f t="shared" si="9"/>
        <v>-10000</v>
      </c>
      <c r="U117" s="149">
        <f t="shared" si="9"/>
        <v>-10000</v>
      </c>
      <c r="V117" s="149">
        <f t="shared" si="9"/>
        <v>-10000</v>
      </c>
      <c r="W117" s="149">
        <f t="shared" si="9"/>
        <v>-10000</v>
      </c>
      <c r="X117" s="149">
        <f t="shared" si="9"/>
        <v>-10000</v>
      </c>
      <c r="Y117" s="149">
        <f t="shared" si="9"/>
        <v>-10000</v>
      </c>
      <c r="Z117" s="149">
        <f t="shared" si="9"/>
        <v>-10000</v>
      </c>
      <c r="AA117" s="149">
        <f t="shared" si="9"/>
        <v>-10000</v>
      </c>
      <c r="AB117" s="149">
        <f t="shared" si="9"/>
        <v>-10000</v>
      </c>
      <c r="AC117" s="149">
        <f t="shared" si="9"/>
        <v>-10000</v>
      </c>
      <c r="AD117" s="149">
        <f t="shared" si="9"/>
        <v>-10000</v>
      </c>
      <c r="AE117" s="149">
        <f t="shared" si="9"/>
        <v>-10000</v>
      </c>
      <c r="AF117" s="149">
        <f t="shared" si="9"/>
        <v>-10000</v>
      </c>
      <c r="AG117" s="149">
        <f t="shared" si="9"/>
        <v>-10000</v>
      </c>
      <c r="AH117" s="205">
        <f t="shared" si="9"/>
        <v>-10000</v>
      </c>
    </row>
    <row r="118" spans="1:34" x14ac:dyDescent="0.25">
      <c r="A118" s="17" t="s">
        <v>446</v>
      </c>
      <c r="B118" s="24"/>
      <c r="C118" s="24"/>
      <c r="D118" s="39"/>
      <c r="E118" s="149">
        <f t="shared" ref="E118:AH118" si="10">-$L$96</f>
        <v>0</v>
      </c>
      <c r="F118" s="149">
        <f t="shared" si="10"/>
        <v>0</v>
      </c>
      <c r="G118" s="149">
        <f t="shared" si="10"/>
        <v>0</v>
      </c>
      <c r="H118" s="149">
        <f t="shared" si="10"/>
        <v>0</v>
      </c>
      <c r="I118" s="149">
        <f t="shared" si="10"/>
        <v>0</v>
      </c>
      <c r="J118" s="149">
        <f t="shared" si="10"/>
        <v>0</v>
      </c>
      <c r="K118" s="149">
        <f t="shared" si="10"/>
        <v>0</v>
      </c>
      <c r="L118" s="149">
        <f t="shared" si="10"/>
        <v>0</v>
      </c>
      <c r="M118" s="149">
        <f t="shared" si="10"/>
        <v>0</v>
      </c>
      <c r="N118" s="149">
        <f t="shared" si="10"/>
        <v>0</v>
      </c>
      <c r="O118" s="149">
        <f t="shared" si="10"/>
        <v>0</v>
      </c>
      <c r="P118" s="149">
        <f t="shared" si="10"/>
        <v>0</v>
      </c>
      <c r="Q118" s="149">
        <f t="shared" si="10"/>
        <v>0</v>
      </c>
      <c r="R118" s="149">
        <f t="shared" si="10"/>
        <v>0</v>
      </c>
      <c r="S118" s="149">
        <f t="shared" si="10"/>
        <v>0</v>
      </c>
      <c r="T118" s="149">
        <f t="shared" si="10"/>
        <v>0</v>
      </c>
      <c r="U118" s="149">
        <f t="shared" si="10"/>
        <v>0</v>
      </c>
      <c r="V118" s="149">
        <f t="shared" si="10"/>
        <v>0</v>
      </c>
      <c r="W118" s="149">
        <f t="shared" si="10"/>
        <v>0</v>
      </c>
      <c r="X118" s="149">
        <f t="shared" si="10"/>
        <v>0</v>
      </c>
      <c r="Y118" s="149">
        <f t="shared" si="10"/>
        <v>0</v>
      </c>
      <c r="Z118" s="149">
        <f t="shared" si="10"/>
        <v>0</v>
      </c>
      <c r="AA118" s="149">
        <f t="shared" si="10"/>
        <v>0</v>
      </c>
      <c r="AB118" s="149">
        <f t="shared" si="10"/>
        <v>0</v>
      </c>
      <c r="AC118" s="149">
        <f t="shared" si="10"/>
        <v>0</v>
      </c>
      <c r="AD118" s="149">
        <f t="shared" si="10"/>
        <v>0</v>
      </c>
      <c r="AE118" s="149">
        <f t="shared" si="10"/>
        <v>0</v>
      </c>
      <c r="AF118" s="149">
        <f t="shared" si="10"/>
        <v>0</v>
      </c>
      <c r="AG118" s="149">
        <f t="shared" si="10"/>
        <v>0</v>
      </c>
      <c r="AH118" s="205">
        <f t="shared" si="10"/>
        <v>0</v>
      </c>
    </row>
    <row r="119" spans="1:34" x14ac:dyDescent="0.25">
      <c r="A119" s="17" t="s">
        <v>445</v>
      </c>
      <c r="B119" s="24"/>
      <c r="C119" s="24"/>
      <c r="D119" s="39"/>
      <c r="E119" s="149">
        <f>K15+L15</f>
        <v>0</v>
      </c>
      <c r="F119" s="200">
        <f>K16+L16</f>
        <v>0</v>
      </c>
      <c r="G119" s="149">
        <f>K17+L17</f>
        <v>0</v>
      </c>
      <c r="H119" s="200">
        <f>K18+L18</f>
        <v>0</v>
      </c>
      <c r="I119" s="149">
        <f>K19+L19</f>
        <v>0</v>
      </c>
      <c r="J119" s="200">
        <f>K20+L20</f>
        <v>0</v>
      </c>
      <c r="K119" s="149">
        <f>K21+L21</f>
        <v>0</v>
      </c>
      <c r="L119" s="200">
        <f>K22+L22</f>
        <v>0</v>
      </c>
      <c r="M119" s="149">
        <f>K23+L23</f>
        <v>0</v>
      </c>
      <c r="N119" s="149">
        <f>K24+L24</f>
        <v>0</v>
      </c>
      <c r="O119" s="149">
        <f>K25+L25</f>
        <v>0</v>
      </c>
      <c r="P119" s="149">
        <f>K26+L26</f>
        <v>0</v>
      </c>
      <c r="Q119" s="149">
        <f>K27+L27</f>
        <v>0</v>
      </c>
      <c r="R119" s="200">
        <f>K28+L28</f>
        <v>0</v>
      </c>
      <c r="S119" s="149">
        <f>K29+L29</f>
        <v>0</v>
      </c>
      <c r="T119" s="200">
        <f>K30+L30</f>
        <v>0</v>
      </c>
      <c r="U119" s="149">
        <f>K31+L31</f>
        <v>0</v>
      </c>
      <c r="V119" s="200">
        <f>K32+L32</f>
        <v>0</v>
      </c>
      <c r="W119" s="149">
        <f>K33+L33</f>
        <v>0</v>
      </c>
      <c r="X119" s="200">
        <f>K34+L34</f>
        <v>0</v>
      </c>
      <c r="Y119" s="149">
        <f>K35+L35</f>
        <v>0</v>
      </c>
      <c r="Z119" s="200">
        <f>K36+L36</f>
        <v>0</v>
      </c>
      <c r="AA119" s="149">
        <f>K37+L37</f>
        <v>0</v>
      </c>
      <c r="AB119" s="200">
        <f>K38+L38</f>
        <v>0</v>
      </c>
      <c r="AC119" s="149">
        <f>K39+L39</f>
        <v>0</v>
      </c>
      <c r="AD119" s="200">
        <f>K40+L40</f>
        <v>0</v>
      </c>
      <c r="AE119" s="149">
        <f>K41+L41</f>
        <v>0</v>
      </c>
      <c r="AF119" s="200">
        <f>K42+L42</f>
        <v>0</v>
      </c>
      <c r="AG119" s="149">
        <f>K43+L43</f>
        <v>0</v>
      </c>
      <c r="AH119" s="134">
        <f>K44+L44</f>
        <v>0</v>
      </c>
    </row>
    <row r="120" spans="1:34" ht="16.5" thickBot="1" x14ac:dyDescent="0.3">
      <c r="A120" s="29" t="s">
        <v>64</v>
      </c>
      <c r="B120" s="30"/>
      <c r="C120" s="83"/>
      <c r="D120" s="126"/>
      <c r="E120" s="232">
        <f t="shared" ref="E120:AH120" si="11">E114-E115+E116+E117+E118+E119</f>
        <v>226325</v>
      </c>
      <c r="F120" s="232">
        <f t="shared" si="11"/>
        <v>233414.75</v>
      </c>
      <c r="G120" s="232">
        <f t="shared" si="11"/>
        <v>240717.1925</v>
      </c>
      <c r="H120" s="232">
        <f t="shared" si="11"/>
        <v>248238.70827500004</v>
      </c>
      <c r="I120" s="232">
        <f t="shared" si="11"/>
        <v>255985.86952325003</v>
      </c>
      <c r="J120" s="232">
        <f t="shared" si="11"/>
        <v>263965.44560894754</v>
      </c>
      <c r="K120" s="232">
        <f t="shared" si="11"/>
        <v>272184.40897721605</v>
      </c>
      <c r="L120" s="232">
        <f t="shared" si="11"/>
        <v>280649.94124653249</v>
      </c>
      <c r="M120" s="232">
        <f t="shared" si="11"/>
        <v>289369.43948392861</v>
      </c>
      <c r="N120" s="232">
        <f t="shared" si="11"/>
        <v>298350.52266844641</v>
      </c>
      <c r="O120" s="232">
        <f t="shared" si="11"/>
        <v>307601.0383484998</v>
      </c>
      <c r="P120" s="232">
        <f t="shared" si="11"/>
        <v>317129.06949895481</v>
      </c>
      <c r="Q120" s="232">
        <f t="shared" si="11"/>
        <v>326942.94158392341</v>
      </c>
      <c r="R120" s="232">
        <f t="shared" si="11"/>
        <v>337051.22983144107</v>
      </c>
      <c r="S120" s="232">
        <f t="shared" si="11"/>
        <v>347462.76672638441</v>
      </c>
      <c r="T120" s="232">
        <f t="shared" si="11"/>
        <v>358186.64972817589</v>
      </c>
      <c r="U120" s="232">
        <f t="shared" si="11"/>
        <v>369232.24922002107</v>
      </c>
      <c r="V120" s="232">
        <f t="shared" si="11"/>
        <v>380609.21669662179</v>
      </c>
      <c r="W120" s="232">
        <f t="shared" si="11"/>
        <v>392327.49319752038</v>
      </c>
      <c r="X120" s="232">
        <f t="shared" si="11"/>
        <v>404397.31799344614</v>
      </c>
      <c r="Y120" s="232">
        <f t="shared" si="11"/>
        <v>416829.23753324948</v>
      </c>
      <c r="Z120" s="232">
        <f t="shared" si="11"/>
        <v>429634.11465924705</v>
      </c>
      <c r="AA120" s="232">
        <f t="shared" si="11"/>
        <v>442823.13809902431</v>
      </c>
      <c r="AB120" s="232">
        <f t="shared" si="11"/>
        <v>456407.83224199514</v>
      </c>
      <c r="AC120" s="232">
        <f t="shared" si="11"/>
        <v>470400.06720925507</v>
      </c>
      <c r="AD120" s="232">
        <f t="shared" si="11"/>
        <v>484812.06922553264</v>
      </c>
      <c r="AE120" s="232">
        <f t="shared" si="11"/>
        <v>499656.43130229856</v>
      </c>
      <c r="AF120" s="232">
        <f t="shared" si="11"/>
        <v>514946.12424136756</v>
      </c>
      <c r="AG120" s="232">
        <f t="shared" si="11"/>
        <v>530694.50796860852</v>
      </c>
      <c r="AH120" s="204">
        <f t="shared" si="11"/>
        <v>546915.343207667</v>
      </c>
    </row>
    <row r="121" spans="1:34" x14ac:dyDescent="0.25">
      <c r="A121" s="17"/>
      <c r="B121" s="18"/>
      <c r="C121" s="24"/>
      <c r="D121" s="38"/>
      <c r="E121" s="203"/>
      <c r="F121" s="98"/>
      <c r="G121" s="203"/>
      <c r="H121" s="98"/>
      <c r="I121" s="203"/>
      <c r="J121" s="98"/>
      <c r="K121" s="203"/>
      <c r="L121" s="98"/>
      <c r="M121" s="203"/>
      <c r="N121" s="203"/>
      <c r="O121" s="200"/>
      <c r="P121" s="149"/>
      <c r="Q121" s="149"/>
      <c r="R121" s="200"/>
      <c r="S121" s="149"/>
      <c r="T121" s="200"/>
      <c r="U121" s="149"/>
      <c r="V121" s="200"/>
      <c r="W121" s="149"/>
      <c r="X121" s="200"/>
      <c r="Y121" s="149"/>
      <c r="Z121" s="200"/>
      <c r="AA121" s="149"/>
      <c r="AB121" s="200"/>
      <c r="AC121" s="149"/>
      <c r="AD121" s="200"/>
      <c r="AE121" s="149"/>
      <c r="AF121" s="200"/>
      <c r="AG121" s="149"/>
      <c r="AH121" s="134"/>
    </row>
    <row r="122" spans="1:34" x14ac:dyDescent="0.25">
      <c r="A122" s="17" t="s">
        <v>101</v>
      </c>
      <c r="B122" s="18"/>
      <c r="C122" s="18"/>
      <c r="D122" s="38"/>
      <c r="E122" s="352">
        <f>-$E$102+(IF($L$102&gt;=1,$L$104,0))+(IF($L$107&gt;=1,#REF!,0))</f>
        <v>129822.63562658374</v>
      </c>
      <c r="F122" s="352">
        <f>-$E$102+(IF($L$102&gt;=2,$L$104,0))+(IF($L$107&gt;=2,#REF!,0))</f>
        <v>129822.63562658374</v>
      </c>
      <c r="G122" s="352">
        <f>-$E$102+(IF($L$102&gt;=3,$L$104,0))+(IF($L$107&gt;=3,#REF!,0))</f>
        <v>129822.63562658374</v>
      </c>
      <c r="H122" s="352">
        <f>-$E$102+(IF($L$102&gt;=4,$L$104,0))+(IF($L$107&gt;=4,#REF!,0))</f>
        <v>129822.63562658374</v>
      </c>
      <c r="I122" s="352">
        <f>-$E$102+(IF($L$102&gt;=5,$L$104,0))+(IF($L$107&gt;=5,#REF!,0))</f>
        <v>129822.63562658374</v>
      </c>
      <c r="J122" s="352">
        <f>-$E$102+(IF($L$102&gt;=6,$L$104,0))+(IF($L$107&gt;=6,#REF!,0))</f>
        <v>129822.63562658374</v>
      </c>
      <c r="K122" s="352">
        <f>-$E$102+(IF($L$102&gt;=7,$L$104,0))+(IF($L$107&gt;=7,#REF!,0))</f>
        <v>129822.63562658374</v>
      </c>
      <c r="L122" s="352">
        <f>-$E$102+(IF($L$102&gt;=8,$L$104,0))+(IF($L$107&gt;=8,#REF!,0))</f>
        <v>129822.63562658374</v>
      </c>
      <c r="M122" s="352">
        <f>-$E$102+(IF($L$102&gt;=9,$L$104,0))+(IF($L$107&gt;=9,#REF!,0))</f>
        <v>129822.63562658374</v>
      </c>
      <c r="N122" s="352">
        <f>-$E$102+(IF($L$102&gt;=10,$L$104,0))+(IF($L$107&gt;=10,#REF!,0))</f>
        <v>129822.63562658374</v>
      </c>
      <c r="O122" s="352">
        <f>-$E$102+(IF($L$102&gt;=11,$L$104,0))+(IF($L$107&gt;=11,#REF!,0))</f>
        <v>129822.63562658374</v>
      </c>
      <c r="P122" s="352">
        <f>-$E$102+(IF($L$102&gt;=12,$L$104,0))+(IF($L$107&gt;=12,#REF!,0))</f>
        <v>129822.63562658374</v>
      </c>
      <c r="Q122" s="352">
        <f>-$E$102+(IF($L$102&gt;=13,$L$104,0))+(IF($L$107&gt;=13,#REF!,0))</f>
        <v>129822.63562658374</v>
      </c>
      <c r="R122" s="352">
        <f>-$E$102+(IF($L$102&gt;=14,$L$104,0))+(IF($L$107&gt;=14,#REF!,0))</f>
        <v>129822.63562658374</v>
      </c>
      <c r="S122" s="352">
        <f>-$E$102+(IF($L$102&gt;=15,$L$104,0))+(IF($L$107&gt;=15,#REF!,0))</f>
        <v>129822.63562658374</v>
      </c>
      <c r="T122" s="352">
        <f>-$E$102+(IF($L$102&gt;=16,$L$104,0))+(IF($L$107&gt;=16,#REF!,0))</f>
        <v>129822.63562658374</v>
      </c>
      <c r="U122" s="352">
        <f>-$E$102+(IF($L$102&gt;=17,$L$104,0))+(IF($L$107&gt;=17,#REF!,0))</f>
        <v>129822.63562658374</v>
      </c>
      <c r="V122" s="352">
        <f>-$E$102+(IF($L$102&gt;=18,$L$104,0))+(IF($L$107&gt;=18,#REF!,0))</f>
        <v>129822.63562658374</v>
      </c>
      <c r="W122" s="352">
        <f>-$E$102+(IF($L$102&gt;=19,$L$104,0))+(IF($L$107&gt;=19,#REF!,0))</f>
        <v>129822.63562658374</v>
      </c>
      <c r="X122" s="352">
        <f>-$E$102+(IF($L$102&gt;=20,$L$104,0))+(IF($L$107&gt;=20,#REF!,0))</f>
        <v>129822.63562658374</v>
      </c>
      <c r="Y122" s="352">
        <f>-$E$102+(IF($L$102&gt;=21,$L$104,0))+(IF($L$107&gt;=21,#REF!,0))</f>
        <v>129822.63562658374</v>
      </c>
      <c r="Z122" s="352">
        <f>-$E$102+(IF($L$102&gt;=22,$L$104,0))+(IF($L$107&gt;=22,#REF!,0))</f>
        <v>129822.63562658374</v>
      </c>
      <c r="AA122" s="352">
        <f>-$E$102+(IF($L$102&gt;=23,$L$104,0))+(IF($L$107&gt;=23,#REF!,0))</f>
        <v>129822.63562658374</v>
      </c>
      <c r="AB122" s="352">
        <f>-$E$102+(IF($L$102&gt;=24,$L$104,0))+(IF($L$107&gt;=24,#REF!,0))</f>
        <v>129822.63562658374</v>
      </c>
      <c r="AC122" s="352">
        <f>-$E$102+(IF($L$102&gt;=25,$L$104,0))+(IF($L$107&gt;=25,#REF!,0))</f>
        <v>129822.63562658374</v>
      </c>
      <c r="AD122" s="352">
        <f>-$E$102+(IF($L$102&gt;=26,$L$104,0))+(IF($L$107&gt;=26,#REF!,0))</f>
        <v>129822.63562658374</v>
      </c>
      <c r="AE122" s="352">
        <f>-$E$102+(IF($L$102&gt;=27,$L$104,0))+(IF($L$107&gt;=27,#REF!,0))</f>
        <v>129822.63562658374</v>
      </c>
      <c r="AF122" s="352">
        <f>-$E$102+(IF($L$102&gt;=28,$L$104,0))+(IF($L$107&gt;=28,#REF!,0))</f>
        <v>129822.63562658374</v>
      </c>
      <c r="AG122" s="352">
        <f>-$E$102+(IF($L$102&gt;=29,$L$104,0))+(IF($L$107&gt;=29,#REF!,0))</f>
        <v>129822.63562658374</v>
      </c>
      <c r="AH122" s="317">
        <f>-$E$102+(IF($L$102&gt;=30,$L$104,0))+(IF($L$107&gt;=30,#REF!,0))</f>
        <v>129822.63562658374</v>
      </c>
    </row>
    <row r="123" spans="1:34" ht="16.5" thickBot="1" x14ac:dyDescent="0.3">
      <c r="A123" s="29" t="s">
        <v>436</v>
      </c>
      <c r="B123" s="30"/>
      <c r="C123" s="30"/>
      <c r="D123" s="126"/>
      <c r="E123" s="232">
        <f>E120-E122</f>
        <v>96502.364373416262</v>
      </c>
      <c r="F123" s="231">
        <f t="shared" ref="F123:O123" si="12">F120-F122</f>
        <v>103592.11437341626</v>
      </c>
      <c r="G123" s="232">
        <f t="shared" si="12"/>
        <v>110894.55687341627</v>
      </c>
      <c r="H123" s="231">
        <f t="shared" si="12"/>
        <v>118416.0726484163</v>
      </c>
      <c r="I123" s="232">
        <f t="shared" si="12"/>
        <v>126163.23389666629</v>
      </c>
      <c r="J123" s="231">
        <f t="shared" si="12"/>
        <v>134142.8099823638</v>
      </c>
      <c r="K123" s="232">
        <f t="shared" si="12"/>
        <v>142361.77335063231</v>
      </c>
      <c r="L123" s="231">
        <f t="shared" si="12"/>
        <v>150827.30561994875</v>
      </c>
      <c r="M123" s="232">
        <f t="shared" si="12"/>
        <v>159546.80385734487</v>
      </c>
      <c r="N123" s="232">
        <f t="shared" si="12"/>
        <v>168527.88704186268</v>
      </c>
      <c r="O123" s="231">
        <f t="shared" si="12"/>
        <v>177778.40272191606</v>
      </c>
      <c r="P123" s="232">
        <f t="shared" ref="P123:AH123" si="13">P120-P122</f>
        <v>187306.43387237107</v>
      </c>
      <c r="Q123" s="232">
        <f t="shared" si="13"/>
        <v>197120.30595733967</v>
      </c>
      <c r="R123" s="231">
        <f t="shared" si="13"/>
        <v>207228.59420485733</v>
      </c>
      <c r="S123" s="232">
        <f t="shared" si="13"/>
        <v>217640.13109980067</v>
      </c>
      <c r="T123" s="231">
        <f t="shared" si="13"/>
        <v>228364.01410159215</v>
      </c>
      <c r="U123" s="232">
        <f t="shared" si="13"/>
        <v>239409.61359343733</v>
      </c>
      <c r="V123" s="231">
        <f t="shared" si="13"/>
        <v>250786.58107003805</v>
      </c>
      <c r="W123" s="232">
        <f t="shared" si="13"/>
        <v>262504.85757093667</v>
      </c>
      <c r="X123" s="231">
        <f t="shared" si="13"/>
        <v>274574.68236686243</v>
      </c>
      <c r="Y123" s="232">
        <f t="shared" si="13"/>
        <v>287006.60190666572</v>
      </c>
      <c r="Z123" s="231">
        <f t="shared" si="13"/>
        <v>299811.47903266328</v>
      </c>
      <c r="AA123" s="232">
        <f t="shared" si="13"/>
        <v>313000.5024724406</v>
      </c>
      <c r="AB123" s="231">
        <f t="shared" si="13"/>
        <v>326585.19661541143</v>
      </c>
      <c r="AC123" s="232">
        <f t="shared" si="13"/>
        <v>340577.43158267136</v>
      </c>
      <c r="AD123" s="231">
        <f t="shared" si="13"/>
        <v>354989.43359894888</v>
      </c>
      <c r="AE123" s="232">
        <f t="shared" si="13"/>
        <v>369833.79567571485</v>
      </c>
      <c r="AF123" s="231">
        <f t="shared" si="13"/>
        <v>385123.48861478386</v>
      </c>
      <c r="AG123" s="232">
        <f t="shared" si="13"/>
        <v>400871.87234202481</v>
      </c>
      <c r="AH123" s="245">
        <f t="shared" si="13"/>
        <v>417092.70758108329</v>
      </c>
    </row>
    <row r="124" spans="1:34" x14ac:dyDescent="0.25">
      <c r="A124" s="90"/>
      <c r="B124" s="18"/>
      <c r="C124" s="18"/>
      <c r="D124" s="38"/>
      <c r="E124" s="206"/>
      <c r="F124" s="133"/>
      <c r="G124" s="206"/>
      <c r="H124" s="133"/>
      <c r="I124" s="206"/>
      <c r="J124" s="133"/>
      <c r="K124" s="206"/>
      <c r="L124" s="133"/>
      <c r="M124" s="206"/>
      <c r="N124" s="206"/>
      <c r="O124" s="39"/>
      <c r="P124" s="159"/>
      <c r="Q124" s="159"/>
      <c r="R124" s="39"/>
      <c r="S124" s="159"/>
      <c r="T124" s="39"/>
      <c r="U124" s="159"/>
      <c r="V124" s="39"/>
      <c r="W124" s="159"/>
      <c r="X124" s="39"/>
      <c r="Y124" s="159"/>
      <c r="Z124" s="39"/>
      <c r="AA124" s="159"/>
      <c r="AB124" s="39"/>
      <c r="AC124" s="159"/>
      <c r="AD124" s="39"/>
      <c r="AE124" s="159"/>
      <c r="AF124" s="39"/>
      <c r="AG124" s="159"/>
      <c r="AH124" s="26"/>
    </row>
    <row r="125" spans="1:34" x14ac:dyDescent="0.25">
      <c r="A125" s="17" t="s">
        <v>6</v>
      </c>
      <c r="B125" s="18"/>
      <c r="C125" s="18"/>
      <c r="D125" s="38"/>
      <c r="E125" s="207">
        <f t="shared" ref="E125:AH125" si="14">IFERROR(E120/$E$104,0)</f>
        <v>8.5729166666666662E-2</v>
      </c>
      <c r="F125" s="209">
        <f t="shared" si="14"/>
        <v>8.8414678030303034E-2</v>
      </c>
      <c r="G125" s="207">
        <f t="shared" si="14"/>
        <v>9.118075473484849E-2</v>
      </c>
      <c r="H125" s="209">
        <f t="shared" si="14"/>
        <v>9.4029813740530321E-2</v>
      </c>
      <c r="I125" s="207">
        <f t="shared" si="14"/>
        <v>9.6964344516382583E-2</v>
      </c>
      <c r="J125" s="209">
        <f t="shared" si="14"/>
        <v>9.9986911215510427E-2</v>
      </c>
      <c r="K125" s="207">
        <f t="shared" si="14"/>
        <v>0.10310015491561214</v>
      </c>
      <c r="L125" s="209">
        <f t="shared" si="14"/>
        <v>0.10630679592671685</v>
      </c>
      <c r="M125" s="207">
        <f t="shared" si="14"/>
        <v>0.10960963616815478</v>
      </c>
      <c r="N125" s="207">
        <f t="shared" si="14"/>
        <v>0.11301156161683576</v>
      </c>
      <c r="O125" s="209">
        <f t="shared" si="14"/>
        <v>0.11651554482897719</v>
      </c>
      <c r="P125" s="207">
        <f t="shared" si="14"/>
        <v>0.12012464753748288</v>
      </c>
      <c r="Q125" s="207">
        <f t="shared" si="14"/>
        <v>0.12384202332724371</v>
      </c>
      <c r="R125" s="209">
        <f t="shared" si="14"/>
        <v>0.12767092039069738</v>
      </c>
      <c r="S125" s="207">
        <f t="shared" si="14"/>
        <v>0.1316146843660547</v>
      </c>
      <c r="T125" s="209">
        <f t="shared" si="14"/>
        <v>0.13567676126067268</v>
      </c>
      <c r="U125" s="207">
        <f t="shared" si="14"/>
        <v>0.1398607004621292</v>
      </c>
      <c r="V125" s="209">
        <f t="shared" si="14"/>
        <v>0.14417015783962947</v>
      </c>
      <c r="W125" s="207">
        <f t="shared" si="14"/>
        <v>0.14860889893845469</v>
      </c>
      <c r="X125" s="209">
        <f t="shared" si="14"/>
        <v>0.15318080227024475</v>
      </c>
      <c r="Y125" s="207">
        <f t="shared" si="14"/>
        <v>0.15788986270198843</v>
      </c>
      <c r="Z125" s="209">
        <f t="shared" si="14"/>
        <v>0.16274019494668449</v>
      </c>
      <c r="AA125" s="207">
        <f t="shared" si="14"/>
        <v>0.16773603715872132</v>
      </c>
      <c r="AB125" s="209">
        <f t="shared" si="14"/>
        <v>0.17288175463711938</v>
      </c>
      <c r="AC125" s="207">
        <f t="shared" si="14"/>
        <v>0.17818184363986933</v>
      </c>
      <c r="AD125" s="209">
        <f t="shared" si="14"/>
        <v>0.18364093531270176</v>
      </c>
      <c r="AE125" s="207">
        <f t="shared" si="14"/>
        <v>0.18926379973571916</v>
      </c>
      <c r="AF125" s="209">
        <f t="shared" si="14"/>
        <v>0.1950553500914271</v>
      </c>
      <c r="AG125" s="207">
        <f t="shared" si="14"/>
        <v>0.20102064695780625</v>
      </c>
      <c r="AH125" s="282">
        <f t="shared" si="14"/>
        <v>0.2071649027301769</v>
      </c>
    </row>
    <row r="126" spans="1:34" ht="16.5" thickBot="1" x14ac:dyDescent="0.3">
      <c r="A126" s="135" t="s">
        <v>451</v>
      </c>
      <c r="B126" s="136"/>
      <c r="C126" s="349" t="s">
        <v>19</v>
      </c>
      <c r="D126" s="350">
        <f>D5</f>
        <v>0.1</v>
      </c>
      <c r="E126" s="225">
        <f t="shared" ref="E126:AH126" si="15">IFERROR(E123/$E$105,0)</f>
        <v>0.16301075063077064</v>
      </c>
      <c r="F126" s="225">
        <f t="shared" si="15"/>
        <v>0.1749866796848247</v>
      </c>
      <c r="G126" s="225">
        <f t="shared" si="15"/>
        <v>0.18732188661050037</v>
      </c>
      <c r="H126" s="225">
        <f t="shared" si="15"/>
        <v>0.20002714974394639</v>
      </c>
      <c r="I126" s="225">
        <f t="shared" si="15"/>
        <v>0.21311357077139567</v>
      </c>
      <c r="J126" s="225">
        <f t="shared" si="15"/>
        <v>0.22659258442966851</v>
      </c>
      <c r="K126" s="225">
        <f t="shared" si="15"/>
        <v>0.24047596849768962</v>
      </c>
      <c r="L126" s="225">
        <f t="shared" si="15"/>
        <v>0.25477585408775116</v>
      </c>
      <c r="M126" s="225">
        <f t="shared" si="15"/>
        <v>0.26950473624551485</v>
      </c>
      <c r="N126" s="225">
        <f t="shared" si="15"/>
        <v>0.28467548486801114</v>
      </c>
      <c r="O126" s="225">
        <f t="shared" si="15"/>
        <v>0.30030135594918245</v>
      </c>
      <c r="P126" s="225">
        <f t="shared" si="15"/>
        <v>0.31639600316278882</v>
      </c>
      <c r="Q126" s="225">
        <f t="shared" si="15"/>
        <v>0.33297348979280339</v>
      </c>
      <c r="R126" s="225">
        <f t="shared" si="15"/>
        <v>0.35004830102171836</v>
      </c>
      <c r="S126" s="225">
        <f t="shared" si="15"/>
        <v>0.36763535658750096</v>
      </c>
      <c r="T126" s="225">
        <f t="shared" si="15"/>
        <v>0.38575002382025686</v>
      </c>
      <c r="U126" s="225">
        <f t="shared" si="15"/>
        <v>0.40440813106999535</v>
      </c>
      <c r="V126" s="225">
        <f t="shared" si="15"/>
        <v>0.42362598153722625</v>
      </c>
      <c r="W126" s="225">
        <f t="shared" si="15"/>
        <v>0.44342036751847391</v>
      </c>
      <c r="X126" s="225">
        <f t="shared" si="15"/>
        <v>0.46380858507915934</v>
      </c>
      <c r="Y126" s="225">
        <f t="shared" si="15"/>
        <v>0.48480844916666488</v>
      </c>
      <c r="Z126" s="225">
        <f t="shared" si="15"/>
        <v>0.50643830917679589</v>
      </c>
      <c r="AA126" s="225">
        <f t="shared" si="15"/>
        <v>0.52871706498723048</v>
      </c>
      <c r="AB126" s="225">
        <f t="shared" si="15"/>
        <v>0.55166418347197854</v>
      </c>
      <c r="AC126" s="225">
        <f t="shared" si="15"/>
        <v>0.57529971551126891</v>
      </c>
      <c r="AD126" s="225">
        <f t="shared" si="15"/>
        <v>0.59964431351173775</v>
      </c>
      <c r="AE126" s="225">
        <f t="shared" si="15"/>
        <v>0.62471924945222079</v>
      </c>
      <c r="AF126" s="225">
        <f t="shared" si="15"/>
        <v>0.65054643347091845</v>
      </c>
      <c r="AG126" s="225">
        <f t="shared" si="15"/>
        <v>0.6771484330101768</v>
      </c>
      <c r="AH126" s="225">
        <f t="shared" si="15"/>
        <v>0.70454849253561336</v>
      </c>
    </row>
    <row r="127" spans="1:34" ht="16.5" thickBot="1" x14ac:dyDescent="0.3">
      <c r="A127" s="38"/>
      <c r="B127" s="38"/>
      <c r="C127" s="38"/>
      <c r="D127" s="38"/>
      <c r="E127" s="38"/>
      <c r="F127" s="38"/>
      <c r="G127" s="38"/>
      <c r="H127" s="38"/>
      <c r="I127" s="38"/>
      <c r="J127" s="38"/>
      <c r="K127" s="38"/>
      <c r="L127" s="38"/>
      <c r="M127" s="38"/>
      <c r="N127" s="38"/>
    </row>
    <row r="128" spans="1:34" ht="16.5" thickBot="1" x14ac:dyDescent="0.3">
      <c r="A128" s="79" t="s">
        <v>448</v>
      </c>
      <c r="B128" s="51"/>
      <c r="C128" s="51"/>
      <c r="D128" s="360" t="s">
        <v>104</v>
      </c>
      <c r="E128" s="360" t="s">
        <v>85</v>
      </c>
      <c r="F128" s="360" t="s">
        <v>86</v>
      </c>
      <c r="G128" s="360" t="s">
        <v>87</v>
      </c>
      <c r="H128" s="360" t="s">
        <v>88</v>
      </c>
      <c r="I128" s="360" t="s">
        <v>89</v>
      </c>
      <c r="J128" s="360" t="s">
        <v>90</v>
      </c>
      <c r="K128" s="360" t="s">
        <v>91</v>
      </c>
      <c r="L128" s="360" t="s">
        <v>92</v>
      </c>
      <c r="M128" s="360" t="s">
        <v>93</v>
      </c>
      <c r="N128" s="356" t="s">
        <v>94</v>
      </c>
      <c r="O128" s="357" t="s">
        <v>239</v>
      </c>
      <c r="P128" s="358" t="s">
        <v>240</v>
      </c>
      <c r="Q128" s="358" t="s">
        <v>241</v>
      </c>
      <c r="R128" s="340" t="s">
        <v>242</v>
      </c>
      <c r="S128" s="358" t="s">
        <v>243</v>
      </c>
      <c r="T128" s="340" t="s">
        <v>244</v>
      </c>
      <c r="U128" s="358" t="s">
        <v>245</v>
      </c>
      <c r="V128" s="340" t="s">
        <v>246</v>
      </c>
      <c r="W128" s="358" t="s">
        <v>247</v>
      </c>
      <c r="X128" s="340" t="s">
        <v>248</v>
      </c>
      <c r="Y128" s="358" t="s">
        <v>249</v>
      </c>
      <c r="Z128" s="340" t="s">
        <v>250</v>
      </c>
      <c r="AA128" s="358" t="s">
        <v>251</v>
      </c>
      <c r="AB128" s="340" t="s">
        <v>252</v>
      </c>
      <c r="AC128" s="358" t="s">
        <v>253</v>
      </c>
      <c r="AD128" s="340" t="s">
        <v>254</v>
      </c>
      <c r="AE128" s="358" t="s">
        <v>255</v>
      </c>
      <c r="AF128" s="340" t="s">
        <v>256</v>
      </c>
      <c r="AG128" s="358" t="s">
        <v>257</v>
      </c>
      <c r="AH128" s="359" t="s">
        <v>258</v>
      </c>
    </row>
    <row r="129" spans="1:35" x14ac:dyDescent="0.25">
      <c r="A129" s="17" t="s">
        <v>105</v>
      </c>
      <c r="B129" s="18"/>
      <c r="C129" s="24"/>
      <c r="D129" s="342">
        <f>D75</f>
        <v>0.06</v>
      </c>
      <c r="E129" s="336"/>
      <c r="F129" s="143"/>
      <c r="G129" s="143"/>
      <c r="H129" s="143"/>
      <c r="I129" s="142"/>
      <c r="J129" s="144"/>
      <c r="K129" s="144"/>
      <c r="L129" s="144"/>
      <c r="M129" s="158"/>
      <c r="N129" s="98">
        <f>IFERROR(IF($C$11=10,N120/$D$129,0),0)</f>
        <v>4972508.7111407742</v>
      </c>
      <c r="O129" s="203"/>
      <c r="P129" s="98"/>
      <c r="Q129" s="203"/>
      <c r="R129" s="98"/>
      <c r="S129" s="203">
        <f>IFERROR(IF($C$11=15,S120/$D$129,0),0)</f>
        <v>0</v>
      </c>
      <c r="T129" s="98"/>
      <c r="U129" s="149"/>
      <c r="V129" s="200"/>
      <c r="W129" s="149"/>
      <c r="X129" s="98">
        <f>IFERROR(IF($C$11=20,X120/$D$129,0),0)</f>
        <v>0</v>
      </c>
      <c r="Y129" s="149"/>
      <c r="Z129" s="200"/>
      <c r="AA129" s="149"/>
      <c r="AB129" s="200"/>
      <c r="AC129" s="203">
        <f>IFERROR(IF($C$11=25,AC120/$D$129,0),0)</f>
        <v>0</v>
      </c>
      <c r="AD129" s="200"/>
      <c r="AE129" s="149"/>
      <c r="AF129" s="200"/>
      <c r="AG129" s="149"/>
      <c r="AH129" s="217">
        <f>IFERROR(IF($C$11=30,AH120/$D$129,0),0)</f>
        <v>0</v>
      </c>
    </row>
    <row r="130" spans="1:35" ht="18" x14ac:dyDescent="0.4">
      <c r="A130" s="17" t="s">
        <v>106</v>
      </c>
      <c r="B130" s="18"/>
      <c r="C130" s="18"/>
      <c r="D130" s="343">
        <f>D76</f>
        <v>0.05</v>
      </c>
      <c r="E130" s="336"/>
      <c r="F130" s="143"/>
      <c r="G130" s="143"/>
      <c r="H130" s="143"/>
      <c r="I130" s="142"/>
      <c r="J130" s="145"/>
      <c r="K130" s="145"/>
      <c r="L130" s="145"/>
      <c r="M130" s="462"/>
      <c r="N130" s="353">
        <f>N129*(1-$D$130)</f>
        <v>4723883.2755837357</v>
      </c>
      <c r="O130" s="352"/>
      <c r="P130" s="353"/>
      <c r="Q130" s="352"/>
      <c r="R130" s="353"/>
      <c r="S130" s="352">
        <f>S129*(1-$D$130)</f>
        <v>0</v>
      </c>
      <c r="T130" s="200"/>
      <c r="U130" s="149"/>
      <c r="V130" s="200"/>
      <c r="W130" s="149"/>
      <c r="X130" s="353">
        <f>X129*(1-$D$130)</f>
        <v>0</v>
      </c>
      <c r="Y130" s="149"/>
      <c r="Z130" s="200"/>
      <c r="AA130" s="149"/>
      <c r="AB130" s="200"/>
      <c r="AC130" s="352">
        <f>AC129*(1-$D$130)</f>
        <v>0</v>
      </c>
      <c r="AD130" s="200"/>
      <c r="AE130" s="149"/>
      <c r="AF130" s="200"/>
      <c r="AG130" s="149"/>
      <c r="AH130" s="317">
        <f>AH129*(1-$D$130)</f>
        <v>0</v>
      </c>
    </row>
    <row r="131" spans="1:35" x14ac:dyDescent="0.25">
      <c r="A131" s="17" t="s">
        <v>107</v>
      </c>
      <c r="B131" s="24"/>
      <c r="C131" s="24"/>
      <c r="D131" s="142"/>
      <c r="E131" s="142"/>
      <c r="F131" s="142"/>
      <c r="G131" s="142"/>
      <c r="H131" s="142"/>
      <c r="I131" s="142"/>
      <c r="J131" s="142"/>
      <c r="K131" s="142"/>
      <c r="L131" s="142"/>
      <c r="M131" s="161"/>
      <c r="N131" s="200">
        <f>IF($C$11=10,-AA176,0)</f>
        <v>-1658055.1024724317</v>
      </c>
      <c r="O131" s="149"/>
      <c r="P131" s="200"/>
      <c r="Q131" s="149"/>
      <c r="R131" s="200"/>
      <c r="S131" s="149">
        <f>IF($C$11=15,-AA181,0)</f>
        <v>0</v>
      </c>
      <c r="T131" s="200"/>
      <c r="U131" s="149"/>
      <c r="V131" s="200"/>
      <c r="W131" s="149"/>
      <c r="X131" s="200">
        <f>IF($C$11=20,-AA186,0)</f>
        <v>0</v>
      </c>
      <c r="Y131" s="149"/>
      <c r="Z131" s="200"/>
      <c r="AA131" s="149"/>
      <c r="AB131" s="200"/>
      <c r="AC131" s="149">
        <f>IF($C$11=25,-AA191,0)</f>
        <v>0</v>
      </c>
      <c r="AD131" s="200"/>
      <c r="AE131" s="149"/>
      <c r="AF131" s="200"/>
      <c r="AG131" s="149"/>
      <c r="AH131" s="316">
        <f>V196</f>
        <v>2.3339907784247771E-10</v>
      </c>
    </row>
    <row r="132" spans="1:35" ht="16.5" thickBot="1" x14ac:dyDescent="0.3">
      <c r="A132" s="125" t="s">
        <v>108</v>
      </c>
      <c r="B132" s="83"/>
      <c r="C132" s="83"/>
      <c r="D132" s="146"/>
      <c r="E132" s="147"/>
      <c r="F132" s="147"/>
      <c r="G132" s="147"/>
      <c r="H132" s="147"/>
      <c r="I132" s="147"/>
      <c r="J132" s="147"/>
      <c r="K132" s="147"/>
      <c r="L132" s="147"/>
      <c r="M132" s="451"/>
      <c r="N132" s="231">
        <f>N130+N131</f>
        <v>3065828.1731113037</v>
      </c>
      <c r="O132" s="442"/>
      <c r="P132" s="443"/>
      <c r="Q132" s="442"/>
      <c r="R132" s="443"/>
      <c r="S132" s="232">
        <f>S130+S131</f>
        <v>0</v>
      </c>
      <c r="T132" s="443"/>
      <c r="U132" s="442"/>
      <c r="V132" s="443"/>
      <c r="W132" s="442"/>
      <c r="X132" s="231">
        <f>X130+X131</f>
        <v>0</v>
      </c>
      <c r="Y132" s="442"/>
      <c r="Z132" s="443"/>
      <c r="AA132" s="442"/>
      <c r="AB132" s="443"/>
      <c r="AC132" s="232">
        <f>AC130+AC131</f>
        <v>0</v>
      </c>
      <c r="AD132" s="443"/>
      <c r="AE132" s="442"/>
      <c r="AF132" s="443"/>
      <c r="AG132" s="442"/>
      <c r="AH132" s="245">
        <f>AH130+AH131</f>
        <v>2.3339907784247771E-10</v>
      </c>
    </row>
    <row r="133" spans="1:35" ht="16.5" thickBot="1" x14ac:dyDescent="0.3"/>
    <row r="134" spans="1:35" ht="16.5" thickBot="1" x14ac:dyDescent="0.3">
      <c r="A134" s="79" t="s">
        <v>433</v>
      </c>
      <c r="B134" s="44"/>
      <c r="C134" s="44"/>
      <c r="D134" s="360" t="s">
        <v>104</v>
      </c>
      <c r="E134" s="355" t="s">
        <v>85</v>
      </c>
      <c r="F134" s="355" t="s">
        <v>86</v>
      </c>
      <c r="G134" s="355" t="s">
        <v>87</v>
      </c>
      <c r="H134" s="355" t="s">
        <v>88</v>
      </c>
      <c r="I134" s="355" t="s">
        <v>89</v>
      </c>
      <c r="J134" s="355" t="s">
        <v>90</v>
      </c>
      <c r="K134" s="355" t="s">
        <v>91</v>
      </c>
      <c r="L134" s="355" t="s">
        <v>92</v>
      </c>
      <c r="M134" s="355" t="s">
        <v>93</v>
      </c>
      <c r="N134" s="356" t="s">
        <v>94</v>
      </c>
      <c r="O134" s="357" t="s">
        <v>239</v>
      </c>
      <c r="P134" s="358" t="s">
        <v>240</v>
      </c>
      <c r="Q134" s="358" t="s">
        <v>241</v>
      </c>
      <c r="R134" s="340" t="s">
        <v>242</v>
      </c>
      <c r="S134" s="358" t="s">
        <v>243</v>
      </c>
      <c r="T134" s="340" t="s">
        <v>244</v>
      </c>
      <c r="U134" s="358" t="s">
        <v>245</v>
      </c>
      <c r="V134" s="340" t="s">
        <v>246</v>
      </c>
      <c r="W134" s="358" t="s">
        <v>247</v>
      </c>
      <c r="X134" s="340" t="s">
        <v>248</v>
      </c>
      <c r="Y134" s="358" t="s">
        <v>249</v>
      </c>
      <c r="Z134" s="340" t="s">
        <v>250</v>
      </c>
      <c r="AA134" s="358" t="s">
        <v>251</v>
      </c>
      <c r="AB134" s="340" t="s">
        <v>252</v>
      </c>
      <c r="AC134" s="358" t="s">
        <v>253</v>
      </c>
      <c r="AD134" s="340" t="s">
        <v>254</v>
      </c>
      <c r="AE134" s="358" t="s">
        <v>255</v>
      </c>
      <c r="AF134" s="340" t="s">
        <v>256</v>
      </c>
      <c r="AG134" s="358" t="s">
        <v>257</v>
      </c>
      <c r="AH134" s="359" t="s">
        <v>258</v>
      </c>
      <c r="AI134" s="262"/>
    </row>
    <row r="135" spans="1:35" x14ac:dyDescent="0.25">
      <c r="A135" s="17" t="s">
        <v>449</v>
      </c>
      <c r="B135" s="24"/>
      <c r="C135" s="24"/>
      <c r="D135" s="161">
        <f>-E104</f>
        <v>-2640000</v>
      </c>
      <c r="E135" s="149"/>
      <c r="F135" s="149"/>
      <c r="G135" s="149"/>
      <c r="H135" s="149"/>
      <c r="I135" s="149"/>
      <c r="J135" s="149"/>
      <c r="K135" s="149"/>
      <c r="L135" s="149"/>
      <c r="M135" s="149"/>
      <c r="N135" s="200"/>
      <c r="O135" s="149"/>
      <c r="P135" s="200"/>
      <c r="Q135" s="149"/>
      <c r="R135" s="200"/>
      <c r="S135" s="149"/>
      <c r="T135" s="200"/>
      <c r="U135" s="149"/>
      <c r="V135" s="200"/>
      <c r="W135" s="149"/>
      <c r="X135" s="200"/>
      <c r="Y135" s="149"/>
      <c r="Z135" s="200"/>
      <c r="AA135" s="149"/>
      <c r="AB135" s="200"/>
      <c r="AC135" s="149"/>
      <c r="AD135" s="200"/>
      <c r="AE135" s="149"/>
      <c r="AF135" s="200"/>
      <c r="AG135" s="149"/>
      <c r="AH135" s="134"/>
      <c r="AI135" s="157"/>
    </row>
    <row r="136" spans="1:35" x14ac:dyDescent="0.25">
      <c r="A136" s="17" t="s">
        <v>110</v>
      </c>
      <c r="B136" s="24"/>
      <c r="C136" s="24"/>
      <c r="D136" s="161"/>
      <c r="E136" s="149">
        <f t="shared" ref="E136:AH136" si="16">E120</f>
        <v>226325</v>
      </c>
      <c r="F136" s="149">
        <f t="shared" si="16"/>
        <v>233414.75</v>
      </c>
      <c r="G136" s="149">
        <f t="shared" si="16"/>
        <v>240717.1925</v>
      </c>
      <c r="H136" s="149">
        <f t="shared" si="16"/>
        <v>248238.70827500004</v>
      </c>
      <c r="I136" s="149">
        <f t="shared" si="16"/>
        <v>255985.86952325003</v>
      </c>
      <c r="J136" s="149">
        <f t="shared" si="16"/>
        <v>263965.44560894754</v>
      </c>
      <c r="K136" s="149">
        <f t="shared" si="16"/>
        <v>272184.40897721605</v>
      </c>
      <c r="L136" s="149">
        <f t="shared" si="16"/>
        <v>280649.94124653249</v>
      </c>
      <c r="M136" s="149">
        <f t="shared" si="16"/>
        <v>289369.43948392861</v>
      </c>
      <c r="N136" s="200">
        <f t="shared" si="16"/>
        <v>298350.52266844641</v>
      </c>
      <c r="O136" s="149">
        <f t="shared" si="16"/>
        <v>307601.0383484998</v>
      </c>
      <c r="P136" s="200">
        <f t="shared" si="16"/>
        <v>317129.06949895481</v>
      </c>
      <c r="Q136" s="149">
        <f t="shared" si="16"/>
        <v>326942.94158392341</v>
      </c>
      <c r="R136" s="200">
        <f t="shared" si="16"/>
        <v>337051.22983144107</v>
      </c>
      <c r="S136" s="149">
        <f t="shared" si="16"/>
        <v>347462.76672638441</v>
      </c>
      <c r="T136" s="200">
        <f t="shared" si="16"/>
        <v>358186.64972817589</v>
      </c>
      <c r="U136" s="149">
        <f t="shared" si="16"/>
        <v>369232.24922002107</v>
      </c>
      <c r="V136" s="200">
        <f t="shared" si="16"/>
        <v>380609.21669662179</v>
      </c>
      <c r="W136" s="149">
        <f t="shared" si="16"/>
        <v>392327.49319752038</v>
      </c>
      <c r="X136" s="200">
        <f t="shared" si="16"/>
        <v>404397.31799344614</v>
      </c>
      <c r="Y136" s="149">
        <f t="shared" si="16"/>
        <v>416829.23753324948</v>
      </c>
      <c r="Z136" s="200">
        <f t="shared" si="16"/>
        <v>429634.11465924705</v>
      </c>
      <c r="AA136" s="149">
        <f t="shared" si="16"/>
        <v>442823.13809902431</v>
      </c>
      <c r="AB136" s="200">
        <f t="shared" si="16"/>
        <v>456407.83224199514</v>
      </c>
      <c r="AC136" s="149">
        <f t="shared" si="16"/>
        <v>470400.06720925507</v>
      </c>
      <c r="AD136" s="200">
        <f t="shared" si="16"/>
        <v>484812.06922553264</v>
      </c>
      <c r="AE136" s="149">
        <f t="shared" si="16"/>
        <v>499656.43130229856</v>
      </c>
      <c r="AF136" s="200">
        <f t="shared" si="16"/>
        <v>514946.12424136756</v>
      </c>
      <c r="AG136" s="149">
        <f t="shared" si="16"/>
        <v>530694.50796860852</v>
      </c>
      <c r="AH136" s="134">
        <f t="shared" si="16"/>
        <v>546915.343207667</v>
      </c>
    </row>
    <row r="137" spans="1:35" x14ac:dyDescent="0.25">
      <c r="A137" s="17" t="s">
        <v>111</v>
      </c>
      <c r="B137" s="24"/>
      <c r="C137" s="24"/>
      <c r="D137" s="161"/>
      <c r="E137" s="149"/>
      <c r="F137" s="149"/>
      <c r="G137" s="149"/>
      <c r="H137" s="149"/>
      <c r="I137" s="149"/>
      <c r="J137" s="149"/>
      <c r="K137" s="149"/>
      <c r="L137" s="149"/>
      <c r="M137" s="149"/>
      <c r="N137" s="200">
        <f>N130</f>
        <v>4723883.2755837357</v>
      </c>
      <c r="O137" s="149"/>
      <c r="P137" s="200"/>
      <c r="Q137" s="149"/>
      <c r="R137" s="200"/>
      <c r="S137" s="149">
        <f>S130</f>
        <v>0</v>
      </c>
      <c r="T137" s="200"/>
      <c r="U137" s="149"/>
      <c r="V137" s="200"/>
      <c r="W137" s="149"/>
      <c r="X137" s="200">
        <f>X130</f>
        <v>0</v>
      </c>
      <c r="Y137" s="149"/>
      <c r="Z137" s="200"/>
      <c r="AA137" s="149"/>
      <c r="AB137" s="200"/>
      <c r="AC137" s="149">
        <f>AC130</f>
        <v>0</v>
      </c>
      <c r="AD137" s="200"/>
      <c r="AE137" s="149"/>
      <c r="AF137" s="200"/>
      <c r="AG137" s="149"/>
      <c r="AH137" s="134">
        <f>AH130</f>
        <v>0</v>
      </c>
    </row>
    <row r="138" spans="1:35" ht="16.5" thickBot="1" x14ac:dyDescent="0.3">
      <c r="A138" s="125" t="s">
        <v>3</v>
      </c>
      <c r="B138" s="83"/>
      <c r="C138" s="83"/>
      <c r="D138" s="441">
        <f>SUM(D135:D137)</f>
        <v>-2640000</v>
      </c>
      <c r="E138" s="442">
        <f>SUM(E135:E137)</f>
        <v>226325</v>
      </c>
      <c r="F138" s="442">
        <f t="shared" ref="F138:AH138" si="17">SUM(F135:F137)</f>
        <v>233414.75</v>
      </c>
      <c r="G138" s="442">
        <f t="shared" si="17"/>
        <v>240717.1925</v>
      </c>
      <c r="H138" s="442">
        <f t="shared" si="17"/>
        <v>248238.70827500004</v>
      </c>
      <c r="I138" s="442">
        <f t="shared" si="17"/>
        <v>255985.86952325003</v>
      </c>
      <c r="J138" s="442">
        <f t="shared" si="17"/>
        <v>263965.44560894754</v>
      </c>
      <c r="K138" s="442">
        <f t="shared" si="17"/>
        <v>272184.40897721605</v>
      </c>
      <c r="L138" s="442">
        <f t="shared" si="17"/>
        <v>280649.94124653249</v>
      </c>
      <c r="M138" s="442">
        <f t="shared" si="17"/>
        <v>289369.43948392861</v>
      </c>
      <c r="N138" s="443">
        <f t="shared" si="17"/>
        <v>5022233.7982521821</v>
      </c>
      <c r="O138" s="442">
        <f t="shared" si="17"/>
        <v>307601.0383484998</v>
      </c>
      <c r="P138" s="443">
        <f t="shared" si="17"/>
        <v>317129.06949895481</v>
      </c>
      <c r="Q138" s="442">
        <f t="shared" si="17"/>
        <v>326942.94158392341</v>
      </c>
      <c r="R138" s="443">
        <f t="shared" si="17"/>
        <v>337051.22983144107</v>
      </c>
      <c r="S138" s="442">
        <f t="shared" si="17"/>
        <v>347462.76672638441</v>
      </c>
      <c r="T138" s="443">
        <f t="shared" si="17"/>
        <v>358186.64972817589</v>
      </c>
      <c r="U138" s="442">
        <f t="shared" si="17"/>
        <v>369232.24922002107</v>
      </c>
      <c r="V138" s="443">
        <f t="shared" si="17"/>
        <v>380609.21669662179</v>
      </c>
      <c r="W138" s="442">
        <f t="shared" si="17"/>
        <v>392327.49319752038</v>
      </c>
      <c r="X138" s="443">
        <f t="shared" si="17"/>
        <v>404397.31799344614</v>
      </c>
      <c r="Y138" s="442">
        <f t="shared" si="17"/>
        <v>416829.23753324948</v>
      </c>
      <c r="Z138" s="443">
        <f t="shared" si="17"/>
        <v>429634.11465924705</v>
      </c>
      <c r="AA138" s="442">
        <f t="shared" si="17"/>
        <v>442823.13809902431</v>
      </c>
      <c r="AB138" s="443">
        <f t="shared" si="17"/>
        <v>456407.83224199514</v>
      </c>
      <c r="AC138" s="442">
        <f t="shared" si="17"/>
        <v>470400.06720925507</v>
      </c>
      <c r="AD138" s="443">
        <f t="shared" si="17"/>
        <v>484812.06922553264</v>
      </c>
      <c r="AE138" s="442">
        <f t="shared" si="17"/>
        <v>499656.43130229856</v>
      </c>
      <c r="AF138" s="443">
        <f t="shared" si="17"/>
        <v>514946.12424136756</v>
      </c>
      <c r="AG138" s="442">
        <f t="shared" si="17"/>
        <v>530694.50796860852</v>
      </c>
      <c r="AH138" s="444">
        <f t="shared" si="17"/>
        <v>546915.343207667</v>
      </c>
    </row>
    <row r="139" spans="1:35" ht="16.5" thickBot="1" x14ac:dyDescent="0.3">
      <c r="A139" s="19" t="s">
        <v>112</v>
      </c>
      <c r="B139" s="71"/>
      <c r="C139" s="346" t="s">
        <v>19</v>
      </c>
      <c r="D139" s="347">
        <f>D6</f>
        <v>0.12</v>
      </c>
      <c r="E139" s="151"/>
      <c r="F139" s="151"/>
      <c r="G139" s="151"/>
      <c r="H139" s="151"/>
      <c r="I139" s="151"/>
      <c r="J139" s="151"/>
      <c r="K139" s="151"/>
      <c r="L139" s="151"/>
      <c r="M139" s="151"/>
      <c r="N139" s="294">
        <f>IFERROR(IF($C$11=10,IRR(D138:N138),0),0)</f>
        <v>0.13712266074556978</v>
      </c>
      <c r="O139" s="295"/>
      <c r="P139" s="276"/>
      <c r="Q139" s="151"/>
      <c r="R139" s="276"/>
      <c r="S139" s="293">
        <f>IFERROR(IF($C$11=15,IRR(D138:S138),0),0)</f>
        <v>0</v>
      </c>
      <c r="T139" s="296"/>
      <c r="U139" s="151"/>
      <c r="V139" s="276"/>
      <c r="W139" s="151"/>
      <c r="X139" s="292">
        <f>IFERROR(IF($C$11=20,IRR(D138:X138),0),0)</f>
        <v>0</v>
      </c>
      <c r="Y139" s="295"/>
      <c r="Z139" s="276"/>
      <c r="AA139" s="151"/>
      <c r="AB139" s="276"/>
      <c r="AC139" s="293">
        <f>IFERROR(IF($C$11=25,IRR(D138:AC138),0),0)</f>
        <v>0</v>
      </c>
      <c r="AD139" s="296"/>
      <c r="AE139" s="151"/>
      <c r="AF139" s="276"/>
      <c r="AG139" s="151"/>
      <c r="AH139" s="152">
        <f>IFERROR(IF($C$11=30,IRR(D138:AH138),0),0)</f>
        <v>0</v>
      </c>
    </row>
    <row r="140" spans="1:35" ht="16.5" thickBot="1" x14ac:dyDescent="0.3">
      <c r="A140" s="19" t="s">
        <v>113</v>
      </c>
      <c r="B140" s="114"/>
      <c r="C140" s="346" t="s">
        <v>19</v>
      </c>
      <c r="D140" s="348">
        <f>D6</f>
        <v>0.12</v>
      </c>
      <c r="E140" s="153"/>
      <c r="F140" s="153"/>
      <c r="G140" s="153"/>
      <c r="H140" s="153"/>
      <c r="I140" s="153"/>
      <c r="J140" s="153"/>
      <c r="K140" s="153"/>
      <c r="L140" s="153"/>
      <c r="M140" s="153"/>
      <c r="N140" s="445">
        <f>IF($C$11=10,(NPV(D6,E138:N138))+D138,0)</f>
        <v>314083.59876966476</v>
      </c>
      <c r="O140" s="446"/>
      <c r="P140" s="447"/>
      <c r="Q140" s="446"/>
      <c r="R140" s="447"/>
      <c r="S140" s="448">
        <f>IF($C$11=15,(NPV(D6,E138:S138))+D138,0)</f>
        <v>0</v>
      </c>
      <c r="T140" s="447"/>
      <c r="U140" s="446"/>
      <c r="V140" s="447"/>
      <c r="W140" s="446"/>
      <c r="X140" s="449">
        <f>IF($C$11=20,(NPV(D6,E138:X138))+D138,0)</f>
        <v>0</v>
      </c>
      <c r="Y140" s="446"/>
      <c r="Z140" s="447"/>
      <c r="AA140" s="446"/>
      <c r="AB140" s="447"/>
      <c r="AC140" s="448">
        <f>IF($C$11=25,(NPV(D6,E138:AC138))+D138,0)</f>
        <v>0</v>
      </c>
      <c r="AD140" s="447"/>
      <c r="AE140" s="446"/>
      <c r="AF140" s="447"/>
      <c r="AG140" s="446"/>
      <c r="AH140" s="450">
        <f>IF($C$11=30,(NPV(D6,E138:AH138))+D138,0)</f>
        <v>0</v>
      </c>
    </row>
    <row r="141" spans="1:35" ht="16.5" thickBot="1" x14ac:dyDescent="0.3">
      <c r="A141" s="154"/>
      <c r="B141" s="38"/>
      <c r="C141" s="38"/>
      <c r="D141" s="38"/>
      <c r="E141" s="38"/>
      <c r="F141" s="38"/>
      <c r="G141" s="38"/>
      <c r="H141" s="38"/>
      <c r="I141" s="38"/>
      <c r="J141" s="38"/>
      <c r="K141" s="38"/>
      <c r="L141" s="38"/>
      <c r="M141" s="38"/>
      <c r="N141" s="155"/>
    </row>
    <row r="142" spans="1:35" ht="16.5" thickBot="1" x14ac:dyDescent="0.3">
      <c r="A142" s="79" t="s">
        <v>434</v>
      </c>
      <c r="B142" s="51"/>
      <c r="C142" s="51"/>
      <c r="D142" s="360" t="s">
        <v>104</v>
      </c>
      <c r="E142" s="360" t="s">
        <v>85</v>
      </c>
      <c r="F142" s="360" t="s">
        <v>86</v>
      </c>
      <c r="G142" s="360" t="s">
        <v>87</v>
      </c>
      <c r="H142" s="360" t="s">
        <v>88</v>
      </c>
      <c r="I142" s="360" t="s">
        <v>89</v>
      </c>
      <c r="J142" s="360" t="s">
        <v>90</v>
      </c>
      <c r="K142" s="360" t="s">
        <v>91</v>
      </c>
      <c r="L142" s="360" t="s">
        <v>92</v>
      </c>
      <c r="M142" s="360" t="s">
        <v>93</v>
      </c>
      <c r="N142" s="356" t="s">
        <v>94</v>
      </c>
      <c r="O142" s="358" t="s">
        <v>239</v>
      </c>
      <c r="P142" s="340" t="s">
        <v>240</v>
      </c>
      <c r="Q142" s="358" t="s">
        <v>241</v>
      </c>
      <c r="R142" s="340" t="s">
        <v>242</v>
      </c>
      <c r="S142" s="358" t="s">
        <v>243</v>
      </c>
      <c r="T142" s="340" t="s">
        <v>244</v>
      </c>
      <c r="U142" s="358" t="s">
        <v>245</v>
      </c>
      <c r="V142" s="340" t="s">
        <v>246</v>
      </c>
      <c r="W142" s="358" t="s">
        <v>247</v>
      </c>
      <c r="X142" s="340" t="s">
        <v>248</v>
      </c>
      <c r="Y142" s="358" t="s">
        <v>249</v>
      </c>
      <c r="Z142" s="340" t="s">
        <v>250</v>
      </c>
      <c r="AA142" s="358" t="s">
        <v>251</v>
      </c>
      <c r="AB142" s="340" t="s">
        <v>252</v>
      </c>
      <c r="AC142" s="358" t="s">
        <v>253</v>
      </c>
      <c r="AD142" s="340" t="s">
        <v>254</v>
      </c>
      <c r="AE142" s="358" t="s">
        <v>255</v>
      </c>
      <c r="AF142" s="340" t="s">
        <v>256</v>
      </c>
      <c r="AG142" s="358" t="s">
        <v>257</v>
      </c>
      <c r="AH142" s="359" t="s">
        <v>258</v>
      </c>
      <c r="AI142" s="262"/>
    </row>
    <row r="143" spans="1:35" x14ac:dyDescent="0.25">
      <c r="A143" s="17" t="s">
        <v>450</v>
      </c>
      <c r="B143" s="18"/>
      <c r="C143" s="18"/>
      <c r="D143" s="158">
        <f>-E105</f>
        <v>-592000.00000000023</v>
      </c>
      <c r="E143" s="161"/>
      <c r="F143" s="158"/>
      <c r="G143" s="158"/>
      <c r="H143" s="158"/>
      <c r="I143" s="158"/>
      <c r="J143" s="158"/>
      <c r="K143" s="158"/>
      <c r="L143" s="158"/>
      <c r="M143" s="158"/>
      <c r="N143" s="98"/>
      <c r="O143" s="149"/>
      <c r="P143" s="200"/>
      <c r="Q143" s="149"/>
      <c r="R143" s="200"/>
      <c r="S143" s="149"/>
      <c r="T143" s="200"/>
      <c r="U143" s="149"/>
      <c r="V143" s="200"/>
      <c r="W143" s="149"/>
      <c r="X143" s="200"/>
      <c r="Y143" s="149"/>
      <c r="Z143" s="200"/>
      <c r="AA143" s="149"/>
      <c r="AB143" s="200"/>
      <c r="AC143" s="149"/>
      <c r="AD143" s="200"/>
      <c r="AE143" s="149"/>
      <c r="AF143" s="200"/>
      <c r="AG143" s="149"/>
      <c r="AH143" s="134"/>
      <c r="AI143" s="157"/>
    </row>
    <row r="144" spans="1:35" x14ac:dyDescent="0.25">
      <c r="A144" s="17" t="s">
        <v>436</v>
      </c>
      <c r="B144" s="18"/>
      <c r="C144" s="18"/>
      <c r="D144" s="158"/>
      <c r="E144" s="158">
        <f t="shared" ref="E144:AH144" si="18">E123</f>
        <v>96502.364373416262</v>
      </c>
      <c r="F144" s="158">
        <f t="shared" si="18"/>
        <v>103592.11437341626</v>
      </c>
      <c r="G144" s="158">
        <f t="shared" si="18"/>
        <v>110894.55687341627</v>
      </c>
      <c r="H144" s="158">
        <f t="shared" si="18"/>
        <v>118416.0726484163</v>
      </c>
      <c r="I144" s="158">
        <f t="shared" si="18"/>
        <v>126163.23389666629</v>
      </c>
      <c r="J144" s="158">
        <f t="shared" si="18"/>
        <v>134142.8099823638</v>
      </c>
      <c r="K144" s="158">
        <f t="shared" si="18"/>
        <v>142361.77335063231</v>
      </c>
      <c r="L144" s="158">
        <f t="shared" si="18"/>
        <v>150827.30561994875</v>
      </c>
      <c r="M144" s="158">
        <f t="shared" si="18"/>
        <v>159546.80385734487</v>
      </c>
      <c r="N144" s="98">
        <f t="shared" si="18"/>
        <v>168527.88704186268</v>
      </c>
      <c r="O144" s="203">
        <f t="shared" si="18"/>
        <v>177778.40272191606</v>
      </c>
      <c r="P144" s="98">
        <f t="shared" si="18"/>
        <v>187306.43387237107</v>
      </c>
      <c r="Q144" s="203">
        <f t="shared" si="18"/>
        <v>197120.30595733967</v>
      </c>
      <c r="R144" s="98">
        <f t="shared" si="18"/>
        <v>207228.59420485733</v>
      </c>
      <c r="S144" s="203">
        <f t="shared" si="18"/>
        <v>217640.13109980067</v>
      </c>
      <c r="T144" s="98">
        <f t="shared" si="18"/>
        <v>228364.01410159215</v>
      </c>
      <c r="U144" s="203">
        <f t="shared" si="18"/>
        <v>239409.61359343733</v>
      </c>
      <c r="V144" s="98">
        <f t="shared" si="18"/>
        <v>250786.58107003805</v>
      </c>
      <c r="W144" s="203">
        <f t="shared" si="18"/>
        <v>262504.85757093667</v>
      </c>
      <c r="X144" s="98">
        <f t="shared" si="18"/>
        <v>274574.68236686243</v>
      </c>
      <c r="Y144" s="203">
        <f t="shared" si="18"/>
        <v>287006.60190666572</v>
      </c>
      <c r="Z144" s="98">
        <f t="shared" si="18"/>
        <v>299811.47903266328</v>
      </c>
      <c r="AA144" s="203">
        <f t="shared" si="18"/>
        <v>313000.5024724406</v>
      </c>
      <c r="AB144" s="98">
        <f t="shared" si="18"/>
        <v>326585.19661541143</v>
      </c>
      <c r="AC144" s="203">
        <f t="shared" si="18"/>
        <v>340577.43158267136</v>
      </c>
      <c r="AD144" s="98">
        <f t="shared" si="18"/>
        <v>354989.43359894888</v>
      </c>
      <c r="AE144" s="203">
        <f t="shared" si="18"/>
        <v>369833.79567571485</v>
      </c>
      <c r="AF144" s="98">
        <f t="shared" si="18"/>
        <v>385123.48861478386</v>
      </c>
      <c r="AG144" s="203">
        <f t="shared" si="18"/>
        <v>400871.87234202481</v>
      </c>
      <c r="AH144" s="217">
        <f t="shared" si="18"/>
        <v>417092.70758108329</v>
      </c>
    </row>
    <row r="145" spans="1:35" x14ac:dyDescent="0.25">
      <c r="A145" s="17" t="s">
        <v>108</v>
      </c>
      <c r="B145" s="18"/>
      <c r="C145" s="18"/>
      <c r="D145" s="158"/>
      <c r="E145" s="462"/>
      <c r="F145" s="462"/>
      <c r="G145" s="462"/>
      <c r="H145" s="462"/>
      <c r="I145" s="462"/>
      <c r="J145" s="462"/>
      <c r="K145" s="462"/>
      <c r="L145" s="462"/>
      <c r="M145" s="462"/>
      <c r="N145" s="353">
        <f>N132</f>
        <v>3065828.1731113037</v>
      </c>
      <c r="O145" s="149"/>
      <c r="P145" s="200"/>
      <c r="Q145" s="149"/>
      <c r="R145" s="200"/>
      <c r="S145" s="149">
        <f>S132</f>
        <v>0</v>
      </c>
      <c r="T145" s="200"/>
      <c r="U145" s="149"/>
      <c r="V145" s="200"/>
      <c r="W145" s="149"/>
      <c r="X145" s="200">
        <f>X132</f>
        <v>0</v>
      </c>
      <c r="Y145" s="149"/>
      <c r="Z145" s="200"/>
      <c r="AA145" s="149"/>
      <c r="AB145" s="200"/>
      <c r="AC145" s="149">
        <f>AC132</f>
        <v>0</v>
      </c>
      <c r="AD145" s="200"/>
      <c r="AE145" s="149"/>
      <c r="AF145" s="200"/>
      <c r="AG145" s="149"/>
      <c r="AH145" s="134">
        <f>AH132</f>
        <v>2.3339907784247771E-10</v>
      </c>
    </row>
    <row r="146" spans="1:35" ht="16.5" thickBot="1" x14ac:dyDescent="0.3">
      <c r="A146" s="125" t="s">
        <v>3</v>
      </c>
      <c r="B146" s="30"/>
      <c r="C146" s="30"/>
      <c r="D146" s="451">
        <f t="shared" ref="D146:I146" si="19">SUM(D143:D145)</f>
        <v>-592000.00000000023</v>
      </c>
      <c r="E146" s="451">
        <f t="shared" si="19"/>
        <v>96502.364373416262</v>
      </c>
      <c r="F146" s="451">
        <f t="shared" si="19"/>
        <v>103592.11437341626</v>
      </c>
      <c r="G146" s="451">
        <f t="shared" si="19"/>
        <v>110894.55687341627</v>
      </c>
      <c r="H146" s="451">
        <f t="shared" si="19"/>
        <v>118416.0726484163</v>
      </c>
      <c r="I146" s="451">
        <f t="shared" si="19"/>
        <v>126163.23389666629</v>
      </c>
      <c r="J146" s="451">
        <f t="shared" ref="J146:W146" si="20">SUM(J143:J145)</f>
        <v>134142.8099823638</v>
      </c>
      <c r="K146" s="451">
        <f t="shared" si="20"/>
        <v>142361.77335063231</v>
      </c>
      <c r="L146" s="451">
        <f t="shared" si="20"/>
        <v>150827.30561994875</v>
      </c>
      <c r="M146" s="451">
        <f t="shared" si="20"/>
        <v>159546.80385734487</v>
      </c>
      <c r="N146" s="454">
        <f t="shared" si="20"/>
        <v>3234356.0601531663</v>
      </c>
      <c r="O146" s="162">
        <f t="shared" si="20"/>
        <v>177778.40272191606</v>
      </c>
      <c r="P146" s="454">
        <f t="shared" si="20"/>
        <v>187306.43387237107</v>
      </c>
      <c r="Q146" s="162">
        <f t="shared" si="20"/>
        <v>197120.30595733967</v>
      </c>
      <c r="R146" s="454">
        <f t="shared" si="20"/>
        <v>207228.59420485733</v>
      </c>
      <c r="S146" s="162">
        <f t="shared" ref="S146" si="21">SUM(S143:S145)</f>
        <v>217640.13109980067</v>
      </c>
      <c r="T146" s="454">
        <f t="shared" si="20"/>
        <v>228364.01410159215</v>
      </c>
      <c r="U146" s="162">
        <f t="shared" si="20"/>
        <v>239409.61359343733</v>
      </c>
      <c r="V146" s="454">
        <f t="shared" si="20"/>
        <v>250786.58107003805</v>
      </c>
      <c r="W146" s="162">
        <f t="shared" si="20"/>
        <v>262504.85757093667</v>
      </c>
      <c r="X146" s="454">
        <f t="shared" ref="X146:AB146" si="22">SUM(X143:X145)</f>
        <v>274574.68236686243</v>
      </c>
      <c r="Y146" s="162">
        <f t="shared" si="22"/>
        <v>287006.60190666572</v>
      </c>
      <c r="Z146" s="454">
        <f t="shared" si="22"/>
        <v>299811.47903266328</v>
      </c>
      <c r="AA146" s="162">
        <f t="shared" si="22"/>
        <v>313000.5024724406</v>
      </c>
      <c r="AB146" s="454">
        <f t="shared" si="22"/>
        <v>326585.19661541143</v>
      </c>
      <c r="AC146" s="162">
        <f t="shared" ref="AC146:AG146" si="23">SUM(AC143:AC145)</f>
        <v>340577.43158267136</v>
      </c>
      <c r="AD146" s="454">
        <f t="shared" si="23"/>
        <v>354989.43359894888</v>
      </c>
      <c r="AE146" s="162">
        <f t="shared" si="23"/>
        <v>369833.79567571485</v>
      </c>
      <c r="AF146" s="454">
        <f t="shared" si="23"/>
        <v>385123.48861478386</v>
      </c>
      <c r="AG146" s="162">
        <f t="shared" si="23"/>
        <v>400871.87234202481</v>
      </c>
      <c r="AH146" s="455">
        <f t="shared" ref="AH146" si="24">SUM(AH143:AH145)</f>
        <v>417092.70758108352</v>
      </c>
    </row>
    <row r="147" spans="1:35" ht="16.5" thickBot="1" x14ac:dyDescent="0.3">
      <c r="A147" s="49" t="s">
        <v>116</v>
      </c>
      <c r="B147" s="139"/>
      <c r="C147" s="346" t="s">
        <v>19</v>
      </c>
      <c r="D147" s="208">
        <f>D7</f>
        <v>0.25</v>
      </c>
      <c r="E147" s="156"/>
      <c r="F147" s="156"/>
      <c r="G147" s="156"/>
      <c r="H147" s="156"/>
      <c r="I147" s="156"/>
      <c r="J147" s="156"/>
      <c r="K147" s="156"/>
      <c r="L147" s="156"/>
      <c r="M147" s="156"/>
      <c r="N147" s="292">
        <f>IFERROR(IF($C$11=10,IRR(D146:N146),0),0)</f>
        <v>0.29580323951731313</v>
      </c>
      <c r="O147" s="299"/>
      <c r="P147" s="141"/>
      <c r="Q147" s="291"/>
      <c r="R147" s="141"/>
      <c r="S147" s="293">
        <f>IFERROR(IF($C$11=15,IRR(D146:S146),0),0)</f>
        <v>0</v>
      </c>
      <c r="T147" s="300"/>
      <c r="U147" s="291"/>
      <c r="V147" s="141"/>
      <c r="W147" s="291"/>
      <c r="X147" s="292">
        <f>IFERROR(IF($C$11=20,IRR(D146:X146),0),0)</f>
        <v>0</v>
      </c>
      <c r="Y147" s="299"/>
      <c r="Z147" s="141"/>
      <c r="AA147" s="291"/>
      <c r="AB147" s="141"/>
      <c r="AC147" s="293">
        <f>IFERROR(IF($C$11=25,IRR(D146:AC146),0),0)</f>
        <v>0</v>
      </c>
      <c r="AD147" s="300"/>
      <c r="AE147" s="291"/>
      <c r="AF147" s="141"/>
      <c r="AG147" s="291"/>
      <c r="AH147" s="152">
        <f>IFERROR(IF($C$11=30,IRR(D146:AH146),0),0)</f>
        <v>0</v>
      </c>
    </row>
    <row r="148" spans="1:35" ht="16.5" thickBot="1" x14ac:dyDescent="0.3">
      <c r="A148" s="19" t="s">
        <v>117</v>
      </c>
      <c r="B148" s="71"/>
      <c r="C148" s="346" t="s">
        <v>19</v>
      </c>
      <c r="D148" s="347">
        <f>D7</f>
        <v>0.25</v>
      </c>
      <c r="E148" s="150"/>
      <c r="F148" s="150"/>
      <c r="G148" s="150"/>
      <c r="H148" s="150"/>
      <c r="I148" s="150"/>
      <c r="J148" s="150"/>
      <c r="K148" s="150"/>
      <c r="L148" s="150"/>
      <c r="M148" s="150"/>
      <c r="N148" s="449">
        <f>IF($C$11=10,(NPV(D7,E146:N146))+D146,0)</f>
        <v>157148.38013122336</v>
      </c>
      <c r="O148" s="195"/>
      <c r="P148" s="306"/>
      <c r="Q148" s="195"/>
      <c r="R148" s="306"/>
      <c r="S148" s="456">
        <f>IF($C$11=15,(NPV(D7,E146:S146))+D146,0)</f>
        <v>0</v>
      </c>
      <c r="T148" s="306"/>
      <c r="U148" s="195"/>
      <c r="V148" s="306"/>
      <c r="W148" s="195"/>
      <c r="X148" s="445">
        <f>IF($C$11=20,(NPV(D7,E146:X146))+D146,0)</f>
        <v>0</v>
      </c>
      <c r="Y148" s="195"/>
      <c r="Z148" s="306"/>
      <c r="AA148" s="195"/>
      <c r="AB148" s="306"/>
      <c r="AC148" s="456">
        <f>IF($C$11=25,(NPV(D7,E146:AC146))+D146,0)</f>
        <v>0</v>
      </c>
      <c r="AD148" s="306"/>
      <c r="AE148" s="195"/>
      <c r="AF148" s="306"/>
      <c r="AG148" s="195"/>
      <c r="AH148" s="457">
        <f>IF($C$11=30,(NPV(D7,E146:AH146))+D146,0)</f>
        <v>0</v>
      </c>
    </row>
    <row r="149" spans="1:35" ht="16.5" thickBot="1" x14ac:dyDescent="0.3">
      <c r="A149" s="154"/>
      <c r="N149" s="157"/>
    </row>
    <row r="150" spans="1:35" ht="16.5" thickBot="1" x14ac:dyDescent="0.3">
      <c r="A150" s="79" t="s">
        <v>435</v>
      </c>
      <c r="B150" s="51"/>
      <c r="C150" s="51"/>
      <c r="D150" s="360" t="s">
        <v>104</v>
      </c>
      <c r="E150" s="355" t="s">
        <v>85</v>
      </c>
      <c r="F150" s="355" t="s">
        <v>86</v>
      </c>
      <c r="G150" s="355" t="s">
        <v>87</v>
      </c>
      <c r="H150" s="355" t="s">
        <v>88</v>
      </c>
      <c r="I150" s="355" t="s">
        <v>89</v>
      </c>
      <c r="J150" s="355" t="s">
        <v>90</v>
      </c>
      <c r="K150" s="355" t="s">
        <v>91</v>
      </c>
      <c r="L150" s="355" t="s">
        <v>92</v>
      </c>
      <c r="M150" s="361" t="s">
        <v>93</v>
      </c>
      <c r="N150" s="356" t="s">
        <v>94</v>
      </c>
      <c r="O150" s="358" t="s">
        <v>239</v>
      </c>
      <c r="P150" s="340" t="s">
        <v>240</v>
      </c>
      <c r="Q150" s="358" t="s">
        <v>241</v>
      </c>
      <c r="R150" s="340" t="s">
        <v>242</v>
      </c>
      <c r="S150" s="358" t="s">
        <v>243</v>
      </c>
      <c r="T150" s="340" t="s">
        <v>244</v>
      </c>
      <c r="U150" s="358" t="s">
        <v>245</v>
      </c>
      <c r="V150" s="340" t="s">
        <v>246</v>
      </c>
      <c r="W150" s="358" t="s">
        <v>247</v>
      </c>
      <c r="X150" s="340" t="s">
        <v>248</v>
      </c>
      <c r="Y150" s="358" t="s">
        <v>249</v>
      </c>
      <c r="Z150" s="340" t="s">
        <v>250</v>
      </c>
      <c r="AA150" s="358" t="s">
        <v>251</v>
      </c>
      <c r="AB150" s="340" t="s">
        <v>252</v>
      </c>
      <c r="AC150" s="358" t="s">
        <v>253</v>
      </c>
      <c r="AD150" s="340" t="s">
        <v>254</v>
      </c>
      <c r="AE150" s="358" t="s">
        <v>255</v>
      </c>
      <c r="AF150" s="340" t="s">
        <v>256</v>
      </c>
      <c r="AG150" s="358" t="s">
        <v>257</v>
      </c>
      <c r="AH150" s="359" t="s">
        <v>258</v>
      </c>
    </row>
    <row r="151" spans="1:35" x14ac:dyDescent="0.25">
      <c r="A151" s="17" t="s">
        <v>452</v>
      </c>
      <c r="B151" s="18"/>
      <c r="C151" s="18"/>
      <c r="D151" s="158">
        <f>-E97</f>
        <v>-200000</v>
      </c>
      <c r="E151" s="243"/>
      <c r="F151" s="203"/>
      <c r="G151" s="203"/>
      <c r="H151" s="203"/>
      <c r="I151" s="203"/>
      <c r="J151" s="203"/>
      <c r="K151" s="203"/>
      <c r="L151" s="203"/>
      <c r="M151" s="203"/>
      <c r="N151" s="98"/>
      <c r="O151" s="149"/>
      <c r="P151" s="200"/>
      <c r="Q151" s="149"/>
      <c r="R151" s="200"/>
      <c r="S151" s="149"/>
      <c r="T151" s="200"/>
      <c r="U151" s="149"/>
      <c r="V151" s="200"/>
      <c r="W151" s="149"/>
      <c r="X151" s="200"/>
      <c r="Y151" s="149"/>
      <c r="Z151" s="200"/>
      <c r="AA151" s="149"/>
      <c r="AB151" s="200"/>
      <c r="AC151" s="149"/>
      <c r="AD151" s="200"/>
      <c r="AE151" s="149"/>
      <c r="AF151" s="200"/>
      <c r="AG151" s="149"/>
      <c r="AH151" s="134"/>
    </row>
    <row r="152" spans="1:35" x14ac:dyDescent="0.25">
      <c r="A152" s="72" t="s">
        <v>77</v>
      </c>
      <c r="B152" s="18"/>
      <c r="C152" s="18"/>
      <c r="D152" s="158">
        <f>-L94</f>
        <v>-100000</v>
      </c>
      <c r="E152" s="458"/>
      <c r="F152" s="203"/>
      <c r="G152" s="203"/>
      <c r="H152" s="203"/>
      <c r="I152" s="203"/>
      <c r="J152" s="203"/>
      <c r="K152" s="203"/>
      <c r="L152" s="203"/>
      <c r="M152" s="203"/>
      <c r="N152" s="98"/>
      <c r="O152" s="149"/>
      <c r="P152" s="200"/>
      <c r="Q152" s="149"/>
      <c r="R152" s="200"/>
      <c r="S152" s="149"/>
      <c r="T152" s="200"/>
      <c r="U152" s="149"/>
      <c r="V152" s="200"/>
      <c r="W152" s="149"/>
      <c r="X152" s="200"/>
      <c r="Y152" s="149"/>
      <c r="Z152" s="200"/>
      <c r="AA152" s="149"/>
      <c r="AB152" s="200"/>
      <c r="AC152" s="149"/>
      <c r="AD152" s="200"/>
      <c r="AE152" s="149"/>
      <c r="AF152" s="200"/>
      <c r="AG152" s="149"/>
      <c r="AH152" s="134"/>
    </row>
    <row r="153" spans="1:35" x14ac:dyDescent="0.25">
      <c r="A153" s="72" t="s">
        <v>453</v>
      </c>
      <c r="B153" s="18"/>
      <c r="C153" s="18"/>
      <c r="D153" s="158">
        <f>D151+D152</f>
        <v>-300000</v>
      </c>
      <c r="E153" s="458"/>
      <c r="F153" s="203"/>
      <c r="G153" s="203"/>
      <c r="H153" s="203"/>
      <c r="I153" s="203"/>
      <c r="J153" s="203"/>
      <c r="K153" s="203"/>
      <c r="L153" s="203"/>
      <c r="M153" s="203"/>
      <c r="N153" s="98"/>
      <c r="O153" s="149"/>
      <c r="P153" s="200"/>
      <c r="Q153" s="149"/>
      <c r="R153" s="200"/>
      <c r="S153" s="149"/>
      <c r="T153" s="200"/>
      <c r="U153" s="149"/>
      <c r="V153" s="200"/>
      <c r="W153" s="149"/>
      <c r="X153" s="200"/>
      <c r="Y153" s="149"/>
      <c r="Z153" s="200"/>
      <c r="AA153" s="149"/>
      <c r="AB153" s="200"/>
      <c r="AC153" s="149"/>
      <c r="AD153" s="200"/>
      <c r="AE153" s="149"/>
      <c r="AF153" s="200"/>
      <c r="AG153" s="149"/>
      <c r="AH153" s="134"/>
    </row>
    <row r="154" spans="1:35" x14ac:dyDescent="0.25">
      <c r="A154" s="17" t="s">
        <v>454</v>
      </c>
      <c r="B154" s="18"/>
      <c r="C154" s="18"/>
      <c r="D154" s="158"/>
      <c r="E154" s="203">
        <f t="shared" ref="E154:AH154" si="25">-$E$100</f>
        <v>10777.072507411787</v>
      </c>
      <c r="F154" s="203">
        <f t="shared" si="25"/>
        <v>10777.072507411787</v>
      </c>
      <c r="G154" s="203">
        <f t="shared" si="25"/>
        <v>10777.072507411787</v>
      </c>
      <c r="H154" s="203">
        <f t="shared" si="25"/>
        <v>10777.072507411787</v>
      </c>
      <c r="I154" s="203">
        <f t="shared" si="25"/>
        <v>10777.072507411787</v>
      </c>
      <c r="J154" s="203">
        <f t="shared" si="25"/>
        <v>10777.072507411787</v>
      </c>
      <c r="K154" s="203">
        <f t="shared" si="25"/>
        <v>10777.072507411787</v>
      </c>
      <c r="L154" s="203">
        <f t="shared" si="25"/>
        <v>10777.072507411787</v>
      </c>
      <c r="M154" s="203">
        <f t="shared" si="25"/>
        <v>10777.072507411787</v>
      </c>
      <c r="N154" s="98">
        <f t="shared" si="25"/>
        <v>10777.072507411787</v>
      </c>
      <c r="O154" s="203">
        <f t="shared" si="25"/>
        <v>10777.072507411787</v>
      </c>
      <c r="P154" s="98">
        <f t="shared" si="25"/>
        <v>10777.072507411787</v>
      </c>
      <c r="Q154" s="203">
        <f t="shared" si="25"/>
        <v>10777.072507411787</v>
      </c>
      <c r="R154" s="98">
        <f t="shared" si="25"/>
        <v>10777.072507411787</v>
      </c>
      <c r="S154" s="203">
        <f t="shared" si="25"/>
        <v>10777.072507411787</v>
      </c>
      <c r="T154" s="98">
        <f t="shared" si="25"/>
        <v>10777.072507411787</v>
      </c>
      <c r="U154" s="203">
        <f t="shared" si="25"/>
        <v>10777.072507411787</v>
      </c>
      <c r="V154" s="98">
        <f t="shared" si="25"/>
        <v>10777.072507411787</v>
      </c>
      <c r="W154" s="203">
        <f t="shared" si="25"/>
        <v>10777.072507411787</v>
      </c>
      <c r="X154" s="98">
        <f t="shared" si="25"/>
        <v>10777.072507411787</v>
      </c>
      <c r="Y154" s="203">
        <f t="shared" si="25"/>
        <v>10777.072507411787</v>
      </c>
      <c r="Z154" s="98">
        <f t="shared" si="25"/>
        <v>10777.072507411787</v>
      </c>
      <c r="AA154" s="203">
        <f t="shared" si="25"/>
        <v>10777.072507411787</v>
      </c>
      <c r="AB154" s="98">
        <f t="shared" si="25"/>
        <v>10777.072507411787</v>
      </c>
      <c r="AC154" s="203">
        <f t="shared" si="25"/>
        <v>10777.072507411787</v>
      </c>
      <c r="AD154" s="98">
        <f t="shared" si="25"/>
        <v>10777.072507411787</v>
      </c>
      <c r="AE154" s="203">
        <f t="shared" si="25"/>
        <v>10777.072507411787</v>
      </c>
      <c r="AF154" s="98">
        <f t="shared" si="25"/>
        <v>10777.072507411787</v>
      </c>
      <c r="AG154" s="203">
        <f t="shared" si="25"/>
        <v>10777.072507411787</v>
      </c>
      <c r="AH154" s="217">
        <f t="shared" si="25"/>
        <v>10777.072507411787</v>
      </c>
    </row>
    <row r="155" spans="1:35" x14ac:dyDescent="0.25">
      <c r="A155" s="17" t="s">
        <v>455</v>
      </c>
      <c r="B155" s="18"/>
      <c r="C155" s="18"/>
      <c r="D155" s="158"/>
      <c r="E155" s="352">
        <f t="shared" ref="E155:AH155" si="26">$L$95</f>
        <v>10000</v>
      </c>
      <c r="F155" s="352">
        <f t="shared" si="26"/>
        <v>10000</v>
      </c>
      <c r="G155" s="352">
        <f t="shared" si="26"/>
        <v>10000</v>
      </c>
      <c r="H155" s="352">
        <f t="shared" si="26"/>
        <v>10000</v>
      </c>
      <c r="I155" s="352">
        <f t="shared" si="26"/>
        <v>10000</v>
      </c>
      <c r="J155" s="352">
        <f t="shared" si="26"/>
        <v>10000</v>
      </c>
      <c r="K155" s="352">
        <f t="shared" si="26"/>
        <v>10000</v>
      </c>
      <c r="L155" s="352">
        <f t="shared" si="26"/>
        <v>10000</v>
      </c>
      <c r="M155" s="352">
        <f t="shared" si="26"/>
        <v>10000</v>
      </c>
      <c r="N155" s="352">
        <f t="shared" si="26"/>
        <v>10000</v>
      </c>
      <c r="O155" s="352">
        <f t="shared" si="26"/>
        <v>10000</v>
      </c>
      <c r="P155" s="352">
        <f t="shared" si="26"/>
        <v>10000</v>
      </c>
      <c r="Q155" s="352">
        <f t="shared" si="26"/>
        <v>10000</v>
      </c>
      <c r="R155" s="352">
        <f t="shared" si="26"/>
        <v>10000</v>
      </c>
      <c r="S155" s="352">
        <f t="shared" si="26"/>
        <v>10000</v>
      </c>
      <c r="T155" s="352">
        <f t="shared" si="26"/>
        <v>10000</v>
      </c>
      <c r="U155" s="352">
        <f t="shared" si="26"/>
        <v>10000</v>
      </c>
      <c r="V155" s="352">
        <f t="shared" si="26"/>
        <v>10000</v>
      </c>
      <c r="W155" s="352">
        <f t="shared" si="26"/>
        <v>10000</v>
      </c>
      <c r="X155" s="352">
        <f t="shared" si="26"/>
        <v>10000</v>
      </c>
      <c r="Y155" s="352">
        <f t="shared" si="26"/>
        <v>10000</v>
      </c>
      <c r="Z155" s="352">
        <f t="shared" si="26"/>
        <v>10000</v>
      </c>
      <c r="AA155" s="352">
        <f t="shared" si="26"/>
        <v>10000</v>
      </c>
      <c r="AB155" s="352">
        <f t="shared" si="26"/>
        <v>10000</v>
      </c>
      <c r="AC155" s="352">
        <f t="shared" si="26"/>
        <v>10000</v>
      </c>
      <c r="AD155" s="352">
        <f t="shared" si="26"/>
        <v>10000</v>
      </c>
      <c r="AE155" s="352">
        <f t="shared" si="26"/>
        <v>10000</v>
      </c>
      <c r="AF155" s="352">
        <f t="shared" si="26"/>
        <v>10000</v>
      </c>
      <c r="AG155" s="352">
        <f t="shared" si="26"/>
        <v>10000</v>
      </c>
      <c r="AH155" s="459">
        <f t="shared" si="26"/>
        <v>10000</v>
      </c>
      <c r="AI155" s="262"/>
    </row>
    <row r="156" spans="1:35" x14ac:dyDescent="0.25">
      <c r="A156" s="17" t="s">
        <v>456</v>
      </c>
      <c r="B156" s="18"/>
      <c r="C156" s="18"/>
      <c r="D156" s="158"/>
      <c r="E156" s="352">
        <f t="shared" ref="E156:AH156" si="27">$L$96</f>
        <v>0</v>
      </c>
      <c r="F156" s="352">
        <f t="shared" si="27"/>
        <v>0</v>
      </c>
      <c r="G156" s="352">
        <f t="shared" si="27"/>
        <v>0</v>
      </c>
      <c r="H156" s="352">
        <f t="shared" si="27"/>
        <v>0</v>
      </c>
      <c r="I156" s="352">
        <f t="shared" si="27"/>
        <v>0</v>
      </c>
      <c r="J156" s="352">
        <f t="shared" si="27"/>
        <v>0</v>
      </c>
      <c r="K156" s="352">
        <f t="shared" si="27"/>
        <v>0</v>
      </c>
      <c r="L156" s="352">
        <f t="shared" si="27"/>
        <v>0</v>
      </c>
      <c r="M156" s="352">
        <f t="shared" si="27"/>
        <v>0</v>
      </c>
      <c r="N156" s="352">
        <f t="shared" si="27"/>
        <v>0</v>
      </c>
      <c r="O156" s="352">
        <f t="shared" si="27"/>
        <v>0</v>
      </c>
      <c r="P156" s="352">
        <f t="shared" si="27"/>
        <v>0</v>
      </c>
      <c r="Q156" s="352">
        <f t="shared" si="27"/>
        <v>0</v>
      </c>
      <c r="R156" s="352">
        <f t="shared" si="27"/>
        <v>0</v>
      </c>
      <c r="S156" s="352">
        <f t="shared" si="27"/>
        <v>0</v>
      </c>
      <c r="T156" s="352">
        <f t="shared" si="27"/>
        <v>0</v>
      </c>
      <c r="U156" s="352">
        <f t="shared" si="27"/>
        <v>0</v>
      </c>
      <c r="V156" s="352">
        <f t="shared" si="27"/>
        <v>0</v>
      </c>
      <c r="W156" s="352">
        <f t="shared" si="27"/>
        <v>0</v>
      </c>
      <c r="X156" s="352">
        <f t="shared" si="27"/>
        <v>0</v>
      </c>
      <c r="Y156" s="352">
        <f t="shared" si="27"/>
        <v>0</v>
      </c>
      <c r="Z156" s="352">
        <f t="shared" si="27"/>
        <v>0</v>
      </c>
      <c r="AA156" s="352">
        <f t="shared" si="27"/>
        <v>0</v>
      </c>
      <c r="AB156" s="352">
        <f t="shared" si="27"/>
        <v>0</v>
      </c>
      <c r="AC156" s="352">
        <f t="shared" si="27"/>
        <v>0</v>
      </c>
      <c r="AD156" s="352">
        <f t="shared" si="27"/>
        <v>0</v>
      </c>
      <c r="AE156" s="352">
        <f t="shared" si="27"/>
        <v>0</v>
      </c>
      <c r="AF156" s="352">
        <f t="shared" si="27"/>
        <v>0</v>
      </c>
      <c r="AG156" s="352">
        <f t="shared" si="27"/>
        <v>0</v>
      </c>
      <c r="AH156" s="459">
        <f t="shared" si="27"/>
        <v>0</v>
      </c>
      <c r="AI156" s="157"/>
    </row>
    <row r="157" spans="1:35" x14ac:dyDescent="0.25">
      <c r="A157" s="17" t="s">
        <v>121</v>
      </c>
      <c r="B157" s="24"/>
      <c r="C157" s="24"/>
      <c r="D157" s="161"/>
      <c r="E157" s="149"/>
      <c r="F157" s="149"/>
      <c r="G157" s="149"/>
      <c r="H157" s="149"/>
      <c r="I157" s="149"/>
      <c r="J157" s="149"/>
      <c r="K157" s="149"/>
      <c r="L157" s="149"/>
      <c r="M157" s="149"/>
      <c r="N157" s="200">
        <f>N145*$L$97</f>
        <v>153291.4086555652</v>
      </c>
      <c r="O157" s="149"/>
      <c r="P157" s="200"/>
      <c r="Q157" s="149"/>
      <c r="R157" s="200"/>
      <c r="S157" s="149">
        <f>S145*$L$97</f>
        <v>0</v>
      </c>
      <c r="T157" s="200"/>
      <c r="U157" s="149"/>
      <c r="V157" s="200"/>
      <c r="W157" s="149"/>
      <c r="X157" s="200">
        <f>X145*$L$97</f>
        <v>0</v>
      </c>
      <c r="Y157" s="149"/>
      <c r="Z157" s="200"/>
      <c r="AA157" s="149"/>
      <c r="AB157" s="200"/>
      <c r="AC157" s="149">
        <f>AC145*$L$97</f>
        <v>0</v>
      </c>
      <c r="AD157" s="200"/>
      <c r="AE157" s="149"/>
      <c r="AF157" s="200"/>
      <c r="AG157" s="149"/>
      <c r="AH157" s="134">
        <f>AH145*$L$97</f>
        <v>1.1669953892123886E-11</v>
      </c>
    </row>
    <row r="158" spans="1:35" x14ac:dyDescent="0.25">
      <c r="A158" s="17" t="s">
        <v>122</v>
      </c>
      <c r="B158" s="24"/>
      <c r="C158" s="24"/>
      <c r="D158" s="161"/>
      <c r="E158" s="149"/>
      <c r="F158" s="149"/>
      <c r="G158" s="149"/>
      <c r="H158" s="149"/>
      <c r="I158" s="149"/>
      <c r="J158" s="149"/>
      <c r="K158" s="149"/>
      <c r="L158" s="149"/>
      <c r="M158" s="149"/>
      <c r="N158" s="200">
        <f>IF($C$11=10,V176,0)</f>
        <v>154853.750660633</v>
      </c>
      <c r="O158" s="149"/>
      <c r="P158" s="201"/>
      <c r="Q158" s="149"/>
      <c r="R158" s="200"/>
      <c r="S158" s="149">
        <f>IF($C$11=15,V181,0)</f>
        <v>0</v>
      </c>
      <c r="T158" s="200"/>
      <c r="U158" s="149"/>
      <c r="V158" s="200"/>
      <c r="W158" s="149"/>
      <c r="X158" s="200">
        <f>IF($C$11=20,V186,0)</f>
        <v>0</v>
      </c>
      <c r="Y158" s="149"/>
      <c r="Z158" s="200"/>
      <c r="AA158" s="149"/>
      <c r="AB158" s="200"/>
      <c r="AC158" s="149">
        <f>IF($C$11=25,V191,0)</f>
        <v>0</v>
      </c>
      <c r="AD158" s="200"/>
      <c r="AE158" s="149"/>
      <c r="AF158" s="200"/>
      <c r="AG158" s="149"/>
      <c r="AH158" s="134">
        <f>IF($C$11=30,V196,0)</f>
        <v>0</v>
      </c>
    </row>
    <row r="159" spans="1:35" ht="16.5" thickBot="1" x14ac:dyDescent="0.3">
      <c r="A159" s="125" t="s">
        <v>3</v>
      </c>
      <c r="B159" s="30"/>
      <c r="C159" s="30"/>
      <c r="D159" s="451">
        <f>D153</f>
        <v>-300000</v>
      </c>
      <c r="E159" s="162">
        <f>SUM(E154:E158)</f>
        <v>20777.072507411787</v>
      </c>
      <c r="F159" s="162">
        <f t="shared" ref="F159:AH159" si="28">SUM(F154:F158)</f>
        <v>20777.072507411787</v>
      </c>
      <c r="G159" s="162">
        <f t="shared" si="28"/>
        <v>20777.072507411787</v>
      </c>
      <c r="H159" s="162">
        <f t="shared" si="28"/>
        <v>20777.072507411787</v>
      </c>
      <c r="I159" s="162">
        <f t="shared" si="28"/>
        <v>20777.072507411787</v>
      </c>
      <c r="J159" s="162">
        <f t="shared" si="28"/>
        <v>20777.072507411787</v>
      </c>
      <c r="K159" s="162">
        <f t="shared" si="28"/>
        <v>20777.072507411787</v>
      </c>
      <c r="L159" s="162">
        <f t="shared" si="28"/>
        <v>20777.072507411787</v>
      </c>
      <c r="M159" s="162">
        <f t="shared" si="28"/>
        <v>20777.072507411787</v>
      </c>
      <c r="N159" s="162">
        <f t="shared" si="28"/>
        <v>328922.23182361003</v>
      </c>
      <c r="O159" s="162">
        <f t="shared" si="28"/>
        <v>20777.072507411787</v>
      </c>
      <c r="P159" s="162">
        <f t="shared" si="28"/>
        <v>20777.072507411787</v>
      </c>
      <c r="Q159" s="162">
        <f t="shared" si="28"/>
        <v>20777.072507411787</v>
      </c>
      <c r="R159" s="162">
        <f t="shared" si="28"/>
        <v>20777.072507411787</v>
      </c>
      <c r="S159" s="162">
        <f t="shared" si="28"/>
        <v>20777.072507411787</v>
      </c>
      <c r="T159" s="162">
        <f t="shared" si="28"/>
        <v>20777.072507411787</v>
      </c>
      <c r="U159" s="162">
        <f t="shared" si="28"/>
        <v>20777.072507411787</v>
      </c>
      <c r="V159" s="162">
        <f t="shared" si="28"/>
        <v>20777.072507411787</v>
      </c>
      <c r="W159" s="162">
        <f t="shared" si="28"/>
        <v>20777.072507411787</v>
      </c>
      <c r="X159" s="162">
        <f t="shared" si="28"/>
        <v>20777.072507411787</v>
      </c>
      <c r="Y159" s="162">
        <f t="shared" si="28"/>
        <v>20777.072507411787</v>
      </c>
      <c r="Z159" s="162">
        <f t="shared" si="28"/>
        <v>20777.072507411787</v>
      </c>
      <c r="AA159" s="162">
        <f t="shared" si="28"/>
        <v>20777.072507411787</v>
      </c>
      <c r="AB159" s="162">
        <f t="shared" si="28"/>
        <v>20777.072507411787</v>
      </c>
      <c r="AC159" s="162">
        <f t="shared" si="28"/>
        <v>20777.072507411787</v>
      </c>
      <c r="AD159" s="162">
        <f t="shared" si="28"/>
        <v>20777.072507411787</v>
      </c>
      <c r="AE159" s="162">
        <f t="shared" si="28"/>
        <v>20777.072507411787</v>
      </c>
      <c r="AF159" s="162">
        <f t="shared" si="28"/>
        <v>20777.072507411787</v>
      </c>
      <c r="AG159" s="162">
        <f t="shared" si="28"/>
        <v>20777.072507411787</v>
      </c>
      <c r="AH159" s="440">
        <f t="shared" si="28"/>
        <v>20777.072507411798</v>
      </c>
    </row>
    <row r="160" spans="1:35" ht="16.5" thickBot="1" x14ac:dyDescent="0.3">
      <c r="A160" s="19" t="s">
        <v>116</v>
      </c>
      <c r="B160" s="20"/>
      <c r="C160" s="346" t="s">
        <v>19</v>
      </c>
      <c r="D160" s="347">
        <f>D9</f>
        <v>0.05</v>
      </c>
      <c r="E160" s="163"/>
      <c r="F160" s="163"/>
      <c r="G160" s="163"/>
      <c r="H160" s="163"/>
      <c r="I160" s="163"/>
      <c r="J160" s="163"/>
      <c r="K160" s="163"/>
      <c r="L160" s="163"/>
      <c r="M160" s="163"/>
      <c r="N160" s="292">
        <f>IFERROR(IF($C$11=10,IRR(D159:N159),0),0)</f>
        <v>7.1210786165145423E-2</v>
      </c>
      <c r="O160" s="299"/>
      <c r="P160" s="141"/>
      <c r="Q160" s="291"/>
      <c r="R160" s="141"/>
      <c r="S160" s="293">
        <f>IFERROR(IF($C$11=15,IRR(D159:S159),0),0)</f>
        <v>0</v>
      </c>
      <c r="T160" s="300"/>
      <c r="U160" s="291"/>
      <c r="V160" s="141"/>
      <c r="W160" s="291"/>
      <c r="X160" s="292">
        <f>IFERROR(IF($C$11=20,IRR(D159:X159),0),0)</f>
        <v>0</v>
      </c>
      <c r="Y160" s="299"/>
      <c r="Z160" s="141"/>
      <c r="AA160" s="291"/>
      <c r="AB160" s="141"/>
      <c r="AC160" s="293">
        <f>IFERROR(IF($C$11=25,IRR(D159:AC159),0),0)</f>
        <v>0</v>
      </c>
      <c r="AD160" s="300"/>
      <c r="AE160" s="291"/>
      <c r="AF160" s="141"/>
      <c r="AG160" s="291"/>
      <c r="AH160" s="152">
        <f>IFERROR(IF($C$11=30,IRR(D159:AH159),0),0)</f>
        <v>0</v>
      </c>
    </row>
    <row r="161" spans="1:34" ht="16.5" thickBot="1" x14ac:dyDescent="0.3">
      <c r="A161" s="118" t="s">
        <v>117</v>
      </c>
      <c r="B161" s="31"/>
      <c r="C161" s="346" t="s">
        <v>19</v>
      </c>
      <c r="D161" s="351">
        <f>D9</f>
        <v>0.05</v>
      </c>
      <c r="E161" s="164"/>
      <c r="F161" s="460"/>
      <c r="G161" s="460"/>
      <c r="H161" s="460"/>
      <c r="I161" s="460"/>
      <c r="J161" s="460"/>
      <c r="K161" s="460"/>
      <c r="L161" s="460"/>
      <c r="M161" s="460"/>
      <c r="N161" s="445">
        <f>IF(C11=10,(NPV(L98,E159:N159))+D159,0)</f>
        <v>49609.443825329887</v>
      </c>
      <c r="O161" s="446"/>
      <c r="P161" s="447"/>
      <c r="Q161" s="446"/>
      <c r="R161" s="447"/>
      <c r="S161" s="448">
        <f>IF($C$11=15,(NPV(L98,E159:S159))+D159,0)</f>
        <v>0</v>
      </c>
      <c r="T161" s="447"/>
      <c r="U161" s="446"/>
      <c r="V161" s="447"/>
      <c r="W161" s="446"/>
      <c r="X161" s="449">
        <f>IF($C$11=20,(NPV(L98,E159:X159))+D159,0)</f>
        <v>0</v>
      </c>
      <c r="Y161" s="446"/>
      <c r="Z161" s="447"/>
      <c r="AA161" s="446"/>
      <c r="AB161" s="447"/>
      <c r="AC161" s="448">
        <f>IF($C$11=25,(NPV(L98,E159:AC159))+D159,0)</f>
        <v>0</v>
      </c>
      <c r="AD161" s="447"/>
      <c r="AE161" s="446"/>
      <c r="AF161" s="447"/>
      <c r="AG161" s="446"/>
      <c r="AH161" s="450">
        <f>IF($C$11=30,(NPV(L98,E159:AH159))+D159,0)</f>
        <v>0</v>
      </c>
    </row>
    <row r="163" spans="1:34" ht="16.5" thickBot="1" x14ac:dyDescent="0.3">
      <c r="A163" s="166" t="s">
        <v>123</v>
      </c>
      <c r="D163" s="165"/>
    </row>
    <row r="164" spans="1:34" ht="16.5" thickBot="1" x14ac:dyDescent="0.3">
      <c r="A164" s="50" t="s">
        <v>540</v>
      </c>
      <c r="B164" s="44"/>
      <c r="C164" s="44"/>
      <c r="D164" s="44"/>
      <c r="E164" s="45"/>
      <c r="F164" s="50" t="s">
        <v>541</v>
      </c>
      <c r="G164" s="44"/>
      <c r="H164" s="44"/>
      <c r="I164" s="44"/>
      <c r="J164" s="45"/>
      <c r="K164" s="50" t="s">
        <v>124</v>
      </c>
      <c r="L164" s="44"/>
      <c r="M164" s="44"/>
      <c r="N164" s="44"/>
      <c r="O164" s="45"/>
      <c r="P164" s="50" t="s">
        <v>235</v>
      </c>
      <c r="Q164" s="44"/>
      <c r="R164" s="44"/>
      <c r="S164" s="44"/>
      <c r="T164" s="45"/>
      <c r="U164" s="50" t="s">
        <v>236</v>
      </c>
      <c r="V164" s="44"/>
      <c r="W164" s="44"/>
      <c r="X164" s="44"/>
      <c r="Y164" s="45"/>
      <c r="Z164" s="50" t="s">
        <v>237</v>
      </c>
      <c r="AA164" s="44"/>
      <c r="AB164" s="44"/>
      <c r="AC164" s="44"/>
      <c r="AD164" s="45"/>
    </row>
    <row r="165" spans="1:34" x14ac:dyDescent="0.25">
      <c r="A165" s="167"/>
      <c r="B165" s="168"/>
      <c r="C165" s="168"/>
      <c r="D165" s="168"/>
      <c r="E165" s="169"/>
      <c r="F165" s="167"/>
      <c r="G165" s="168"/>
      <c r="H165" s="168"/>
      <c r="I165" s="168"/>
      <c r="J165" s="169"/>
      <c r="K165" s="167"/>
      <c r="L165" s="168"/>
      <c r="M165" s="168"/>
      <c r="N165" s="168"/>
      <c r="O165" s="170"/>
      <c r="P165" s="218"/>
      <c r="Q165" s="171"/>
      <c r="R165" s="171"/>
      <c r="S165" s="171"/>
      <c r="T165" s="172"/>
      <c r="U165" s="218"/>
      <c r="V165" s="171"/>
      <c r="W165" s="171"/>
      <c r="X165" s="171"/>
      <c r="Y165" s="172"/>
      <c r="Z165" s="218"/>
      <c r="AA165" s="171"/>
      <c r="AB165" s="171"/>
      <c r="AC165" s="171"/>
      <c r="AD165" s="172"/>
    </row>
    <row r="166" spans="1:34" ht="16.5" thickBot="1" x14ac:dyDescent="0.3">
      <c r="A166" s="173" t="s">
        <v>125</v>
      </c>
      <c r="B166" s="174" t="s">
        <v>126</v>
      </c>
      <c r="C166" s="175" t="s">
        <v>127</v>
      </c>
      <c r="D166" s="174" t="s">
        <v>128</v>
      </c>
      <c r="E166" s="176" t="s">
        <v>129</v>
      </c>
      <c r="F166" s="173" t="s">
        <v>125</v>
      </c>
      <c r="G166" s="174" t="s">
        <v>126</v>
      </c>
      <c r="H166" s="175" t="s">
        <v>127</v>
      </c>
      <c r="I166" s="174" t="s">
        <v>128</v>
      </c>
      <c r="J166" s="176" t="s">
        <v>129</v>
      </c>
      <c r="K166" s="173" t="s">
        <v>125</v>
      </c>
      <c r="L166" s="174" t="s">
        <v>126</v>
      </c>
      <c r="M166" s="175" t="s">
        <v>127</v>
      </c>
      <c r="N166" s="174" t="s">
        <v>128</v>
      </c>
      <c r="O166" s="176" t="s">
        <v>129</v>
      </c>
      <c r="P166" s="173" t="s">
        <v>130</v>
      </c>
      <c r="Q166" s="177" t="s">
        <v>126</v>
      </c>
      <c r="R166" s="178" t="s">
        <v>127</v>
      </c>
      <c r="S166" s="177" t="s">
        <v>128</v>
      </c>
      <c r="T166" s="179" t="s">
        <v>129</v>
      </c>
      <c r="U166" s="173" t="s">
        <v>130</v>
      </c>
      <c r="V166" s="177" t="s">
        <v>126</v>
      </c>
      <c r="W166" s="178" t="s">
        <v>127</v>
      </c>
      <c r="X166" s="177" t="s">
        <v>128</v>
      </c>
      <c r="Y166" s="179" t="s">
        <v>129</v>
      </c>
      <c r="Z166" s="173" t="s">
        <v>130</v>
      </c>
      <c r="AA166" s="177" t="s">
        <v>126</v>
      </c>
      <c r="AB166" s="178" t="s">
        <v>127</v>
      </c>
      <c r="AC166" s="177" t="s">
        <v>128</v>
      </c>
      <c r="AD166" s="179" t="s">
        <v>129</v>
      </c>
    </row>
    <row r="167" spans="1:34" x14ac:dyDescent="0.25">
      <c r="A167" s="72">
        <v>0</v>
      </c>
      <c r="B167" s="180">
        <f>E92</f>
        <v>1847999.9999999998</v>
      </c>
      <c r="C167" s="39"/>
      <c r="D167" s="159"/>
      <c r="E167" s="26"/>
      <c r="F167" s="72">
        <v>0</v>
      </c>
      <c r="G167" s="180">
        <f>E97</f>
        <v>200000</v>
      </c>
      <c r="H167" s="39"/>
      <c r="I167" s="159"/>
      <c r="J167" s="26"/>
      <c r="K167" s="72">
        <v>0</v>
      </c>
      <c r="L167" s="180">
        <f>B167+G167</f>
        <v>2047999.9999999998</v>
      </c>
      <c r="M167" s="39"/>
      <c r="N167" s="159"/>
      <c r="O167" s="26"/>
      <c r="P167" s="72">
        <v>1</v>
      </c>
      <c r="Q167" s="149">
        <f>B179</f>
        <v>1820735.2484139132</v>
      </c>
      <c r="R167" s="200">
        <f>SUM(C168:C179)</f>
        <v>119045.56311917194</v>
      </c>
      <c r="S167" s="259">
        <f>SUM(D168:D179)</f>
        <v>91780.81153308491</v>
      </c>
      <c r="T167" s="134">
        <f>SUM(E168:E179)</f>
        <v>27264.751586087019</v>
      </c>
      <c r="U167" s="72">
        <v>1</v>
      </c>
      <c r="V167" s="180">
        <f>G179</f>
        <v>196161.74399586758</v>
      </c>
      <c r="W167" s="181">
        <f>SUM(H168:H179)</f>
        <v>10777.072507411787</v>
      </c>
      <c r="X167" s="182">
        <f>SUM(I168:I179)</f>
        <v>6938.8165032793941</v>
      </c>
      <c r="Y167" s="132">
        <f>SUM(J168:J179)</f>
        <v>3838.2560041323927</v>
      </c>
      <c r="Z167" s="72">
        <v>1</v>
      </c>
      <c r="AA167" s="180">
        <f>Q167+V167</f>
        <v>2016896.9924097809</v>
      </c>
      <c r="AB167" s="180">
        <f t="shared" ref="AB167:AD167" si="29">R167+W167</f>
        <v>129822.63562658374</v>
      </c>
      <c r="AC167" s="180">
        <f t="shared" si="29"/>
        <v>98719.628036364302</v>
      </c>
      <c r="AD167" s="212">
        <f t="shared" si="29"/>
        <v>31103.007590219411</v>
      </c>
    </row>
    <row r="168" spans="1:34" x14ac:dyDescent="0.25">
      <c r="A168" s="72">
        <v>1</v>
      </c>
      <c r="B168" s="183">
        <f t="shared" ref="B168:B231" si="30">B167-E168</f>
        <v>1845779.5364067354</v>
      </c>
      <c r="C168" s="184">
        <f>-'Residential Rental'!$E$95/12</f>
        <v>9920.4635932643287</v>
      </c>
      <c r="D168" s="183">
        <f>'Residential Rental'!$E$93/12*B167</f>
        <v>7699.9999999999991</v>
      </c>
      <c r="E168" s="185">
        <f t="shared" ref="E168:E231" si="31">C168-D168</f>
        <v>2220.4635932643296</v>
      </c>
      <c r="F168" s="72">
        <v>1</v>
      </c>
      <c r="G168" s="180">
        <f t="shared" ref="G168:G231" si="32">G167-J168</f>
        <v>199685.24395771569</v>
      </c>
      <c r="H168" s="186">
        <f>-'Residential Rental'!$E$100/12</f>
        <v>898.0893756176489</v>
      </c>
      <c r="I168" s="149">
        <f>'Residential Rental'!$E$98/12*G167</f>
        <v>583.33333333333337</v>
      </c>
      <c r="J168" s="187">
        <f t="shared" ref="J168:J231" si="33">H168-I168</f>
        <v>314.75604228431553</v>
      </c>
      <c r="K168" s="72">
        <v>1</v>
      </c>
      <c r="L168" s="180">
        <f t="shared" ref="L168:O231" si="34">G168+B168</f>
        <v>2045464.780364451</v>
      </c>
      <c r="M168" s="181">
        <f t="shared" si="34"/>
        <v>10818.552968881977</v>
      </c>
      <c r="N168" s="180">
        <f t="shared" si="34"/>
        <v>8283.3333333333321</v>
      </c>
      <c r="O168" s="132">
        <f t="shared" si="34"/>
        <v>2535.2196355486449</v>
      </c>
      <c r="P168" s="72">
        <v>2</v>
      </c>
      <c r="Q168" s="149">
        <f>B191</f>
        <v>1792075.5803914084</v>
      </c>
      <c r="R168" s="200">
        <f>SUM(C180:C191)</f>
        <v>119045.56311917194</v>
      </c>
      <c r="S168" s="149">
        <f>SUM(D180:D191)</f>
        <v>90385.895096666733</v>
      </c>
      <c r="T168" s="134">
        <f>SUM(E180:E191)</f>
        <v>28659.668022505204</v>
      </c>
      <c r="U168" s="72">
        <v>2</v>
      </c>
      <c r="V168" s="180">
        <f>G191</f>
        <v>192186.97292104166</v>
      </c>
      <c r="W168" s="181">
        <f>SUM(H180:H191)</f>
        <v>10777.072507411787</v>
      </c>
      <c r="X168" s="180">
        <f>SUM(I180:I191)</f>
        <v>6802.3014325858276</v>
      </c>
      <c r="Y168" s="132">
        <f>SUM(J180:J191)</f>
        <v>3974.7710748259587</v>
      </c>
      <c r="Z168" s="72">
        <v>2</v>
      </c>
      <c r="AA168" s="180">
        <f t="shared" ref="AA168:AA176" si="35">Q168+V168</f>
        <v>1984262.5533124502</v>
      </c>
      <c r="AB168" s="180">
        <f t="shared" ref="AB168:AB176" si="36">R168+W168</f>
        <v>129822.63562658374</v>
      </c>
      <c r="AC168" s="180">
        <f t="shared" ref="AC168:AC176" si="37">S168+X168</f>
        <v>97188.196529252557</v>
      </c>
      <c r="AD168" s="212">
        <f t="shared" ref="AD168:AD176" si="38">T168+Y168</f>
        <v>32634.439097331164</v>
      </c>
    </row>
    <row r="169" spans="1:34" x14ac:dyDescent="0.25">
      <c r="A169" s="72">
        <f t="shared" ref="A169:A232" si="39">A168+1</f>
        <v>2</v>
      </c>
      <c r="B169" s="183">
        <f t="shared" si="30"/>
        <v>1843549.8208818324</v>
      </c>
      <c r="C169" s="184">
        <f>-'Residential Rental'!$E$95/12</f>
        <v>9920.4635932643287</v>
      </c>
      <c r="D169" s="183">
        <f>'Residential Rental'!$E$93/12*B168</f>
        <v>7690.7480683613976</v>
      </c>
      <c r="E169" s="185">
        <f t="shared" si="31"/>
        <v>2229.7155249029311</v>
      </c>
      <c r="F169" s="72">
        <f t="shared" ref="F169:F232" si="40">F168+1</f>
        <v>2</v>
      </c>
      <c r="G169" s="180">
        <f t="shared" si="32"/>
        <v>199369.56987697471</v>
      </c>
      <c r="H169" s="186">
        <f>-'Residential Rental'!$E$100/12</f>
        <v>898.0893756176489</v>
      </c>
      <c r="I169" s="149">
        <f>'Residential Rental'!$E$98/12*G168</f>
        <v>582.41529487667083</v>
      </c>
      <c r="J169" s="187">
        <f t="shared" si="33"/>
        <v>315.67408074097807</v>
      </c>
      <c r="K169" s="72">
        <f t="shared" ref="K169:K232" si="41">K168+1</f>
        <v>2</v>
      </c>
      <c r="L169" s="180">
        <f t="shared" si="34"/>
        <v>2042919.3907588071</v>
      </c>
      <c r="M169" s="181">
        <f t="shared" si="34"/>
        <v>10818.552968881977</v>
      </c>
      <c r="N169" s="180">
        <f t="shared" si="34"/>
        <v>8273.163363238069</v>
      </c>
      <c r="O169" s="132">
        <f t="shared" si="34"/>
        <v>2545.3896056439089</v>
      </c>
      <c r="P169" s="72">
        <v>3</v>
      </c>
      <c r="Q169" s="149">
        <f>B203</f>
        <v>1761949.6293602113</v>
      </c>
      <c r="R169" s="200">
        <f>SUM(C192:C203)</f>
        <v>119045.56311917194</v>
      </c>
      <c r="S169" s="149">
        <f>SUM(D192:D203)</f>
        <v>88919.612087974965</v>
      </c>
      <c r="T169" s="134">
        <f>SUM(E192:E203)</f>
        <v>30125.951031196993</v>
      </c>
      <c r="U169" s="72">
        <v>3</v>
      </c>
      <c r="V169" s="180">
        <f>G203</f>
        <v>188070.83135042636</v>
      </c>
      <c r="W169" s="181">
        <f>SUM(H192:H203)</f>
        <v>10777.072507411787</v>
      </c>
      <c r="X169" s="180">
        <f>SUM(I192:I203)</f>
        <v>6660.9309367964906</v>
      </c>
      <c r="Y169" s="132">
        <f>SUM(J192:J203)</f>
        <v>4116.1415706152975</v>
      </c>
      <c r="Z169" s="72">
        <v>3</v>
      </c>
      <c r="AA169" s="180">
        <f t="shared" si="35"/>
        <v>1950020.4607106377</v>
      </c>
      <c r="AB169" s="180">
        <f t="shared" si="36"/>
        <v>129822.63562658374</v>
      </c>
      <c r="AC169" s="180">
        <f t="shared" si="37"/>
        <v>95580.543024771454</v>
      </c>
      <c r="AD169" s="212">
        <f t="shared" si="38"/>
        <v>34242.092601812292</v>
      </c>
    </row>
    <row r="170" spans="1:34" x14ac:dyDescent="0.25">
      <c r="A170" s="72">
        <f t="shared" si="39"/>
        <v>3</v>
      </c>
      <c r="B170" s="183">
        <f t="shared" si="30"/>
        <v>1841310.8148755757</v>
      </c>
      <c r="C170" s="184">
        <f>-'Residential Rental'!$E$95/12</f>
        <v>9920.4635932643287</v>
      </c>
      <c r="D170" s="183">
        <f>'Residential Rental'!$E$93/12*B169</f>
        <v>7681.4575870076351</v>
      </c>
      <c r="E170" s="185">
        <f t="shared" si="31"/>
        <v>2239.0060062566936</v>
      </c>
      <c r="F170" s="72">
        <f t="shared" si="40"/>
        <v>3</v>
      </c>
      <c r="G170" s="180">
        <f t="shared" si="32"/>
        <v>199052.97508016491</v>
      </c>
      <c r="H170" s="186">
        <f>-'Residential Rental'!$E$100/12</f>
        <v>898.0893756176489</v>
      </c>
      <c r="I170" s="149">
        <f>'Residential Rental'!$E$98/12*G169</f>
        <v>581.49457880784291</v>
      </c>
      <c r="J170" s="187">
        <f t="shared" si="33"/>
        <v>316.59479680980598</v>
      </c>
      <c r="K170" s="72">
        <f t="shared" si="41"/>
        <v>3</v>
      </c>
      <c r="L170" s="180">
        <f t="shared" si="34"/>
        <v>2040363.7899557406</v>
      </c>
      <c r="M170" s="181">
        <f t="shared" si="34"/>
        <v>10818.552968881977</v>
      </c>
      <c r="N170" s="180">
        <f t="shared" si="34"/>
        <v>8262.9521658154772</v>
      </c>
      <c r="O170" s="132">
        <f t="shared" si="34"/>
        <v>2555.6008030664998</v>
      </c>
      <c r="P170" s="72">
        <v>4</v>
      </c>
      <c r="Q170" s="149">
        <f>B215</f>
        <v>1730282.3774987664</v>
      </c>
      <c r="R170" s="200">
        <f>SUM(C204:C215)</f>
        <v>119045.56311917194</v>
      </c>
      <c r="S170" s="149">
        <f>SUM(D204:D215)</f>
        <v>87378.31125772676</v>
      </c>
      <c r="T170" s="134">
        <f>SUM(E204:E215)</f>
        <v>31667.251861445176</v>
      </c>
      <c r="U170" s="72">
        <v>4</v>
      </c>
      <c r="V170" s="180">
        <f>G215</f>
        <v>183808.29116625001</v>
      </c>
      <c r="W170" s="181">
        <f>SUM(H204:H215)</f>
        <v>10777.072507411787</v>
      </c>
      <c r="X170" s="180">
        <f>SUM(I204:I215)</f>
        <v>6514.5323232354604</v>
      </c>
      <c r="Y170" s="132">
        <f>SUM(J204:J215)</f>
        <v>4262.5401841763251</v>
      </c>
      <c r="Z170" s="72">
        <v>4</v>
      </c>
      <c r="AA170" s="180">
        <f t="shared" si="35"/>
        <v>1914090.6686650165</v>
      </c>
      <c r="AB170" s="180">
        <f t="shared" si="36"/>
        <v>129822.63562658374</v>
      </c>
      <c r="AC170" s="180">
        <f t="shared" si="37"/>
        <v>93892.843580962217</v>
      </c>
      <c r="AD170" s="212">
        <f t="shared" si="38"/>
        <v>35929.7920456215</v>
      </c>
    </row>
    <row r="171" spans="1:34" x14ac:dyDescent="0.25">
      <c r="A171" s="72">
        <f t="shared" si="39"/>
        <v>4</v>
      </c>
      <c r="B171" s="183">
        <f t="shared" si="30"/>
        <v>1839062.4796776264</v>
      </c>
      <c r="C171" s="184">
        <f>-'Residential Rental'!$E$95/12</f>
        <v>9920.4635932643287</v>
      </c>
      <c r="D171" s="183">
        <f>'Residential Rental'!$E$93/12*B170</f>
        <v>7672.1283953148986</v>
      </c>
      <c r="E171" s="185">
        <f t="shared" si="31"/>
        <v>2248.33519794943</v>
      </c>
      <c r="F171" s="72">
        <f t="shared" si="40"/>
        <v>4</v>
      </c>
      <c r="G171" s="180">
        <f t="shared" si="32"/>
        <v>198735.4568818644</v>
      </c>
      <c r="H171" s="186">
        <f>-'Residential Rental'!$E$100/12</f>
        <v>898.0893756176489</v>
      </c>
      <c r="I171" s="149">
        <f>'Residential Rental'!$E$98/12*G170</f>
        <v>580.57117731714766</v>
      </c>
      <c r="J171" s="187">
        <f t="shared" si="33"/>
        <v>317.51819830050124</v>
      </c>
      <c r="K171" s="72">
        <f t="shared" si="41"/>
        <v>4</v>
      </c>
      <c r="L171" s="180">
        <f t="shared" si="34"/>
        <v>2037797.9365594909</v>
      </c>
      <c r="M171" s="181">
        <f t="shared" si="34"/>
        <v>10818.552968881977</v>
      </c>
      <c r="N171" s="180">
        <f t="shared" si="34"/>
        <v>8252.6995726320456</v>
      </c>
      <c r="O171" s="132">
        <f t="shared" si="34"/>
        <v>2565.8533962499314</v>
      </c>
      <c r="P171" s="72">
        <v>5</v>
      </c>
      <c r="Q171" s="149">
        <f>B227</f>
        <v>1696994.9689313909</v>
      </c>
      <c r="R171" s="200">
        <f>SUM(C216:C227)</f>
        <v>119045.56311917194</v>
      </c>
      <c r="S171" s="149">
        <f>SUM(D216:D227)</f>
        <v>85758.154551796397</v>
      </c>
      <c r="T171" s="134">
        <f>SUM(E216:E227)</f>
        <v>33287.408567375562</v>
      </c>
      <c r="U171" s="72">
        <v>5</v>
      </c>
      <c r="V171" s="180">
        <f>G227</f>
        <v>179394.14541591279</v>
      </c>
      <c r="W171" s="181">
        <f>SUM(H216:H227)</f>
        <v>10777.072507411787</v>
      </c>
      <c r="X171" s="180">
        <f>SUM(I216:I227)</f>
        <v>6362.926757074556</v>
      </c>
      <c r="Y171" s="132">
        <f>SUM(J216:J227)</f>
        <v>4414.145750337233</v>
      </c>
      <c r="Z171" s="72">
        <v>5</v>
      </c>
      <c r="AA171" s="180">
        <f t="shared" si="35"/>
        <v>1876389.1143473038</v>
      </c>
      <c r="AB171" s="180">
        <f t="shared" si="36"/>
        <v>129822.63562658374</v>
      </c>
      <c r="AC171" s="180">
        <f t="shared" si="37"/>
        <v>92121.081308870955</v>
      </c>
      <c r="AD171" s="212">
        <f t="shared" si="38"/>
        <v>37701.554317712798</v>
      </c>
    </row>
    <row r="172" spans="1:34" x14ac:dyDescent="0.25">
      <c r="A172" s="72">
        <f t="shared" si="39"/>
        <v>5</v>
      </c>
      <c r="B172" s="183">
        <f t="shared" si="30"/>
        <v>1836804.7764163523</v>
      </c>
      <c r="C172" s="184">
        <f>-'Residential Rental'!$E$95/12</f>
        <v>9920.4635932643287</v>
      </c>
      <c r="D172" s="183">
        <f>'Residential Rental'!$E$93/12*B171</f>
        <v>7662.76033199011</v>
      </c>
      <c r="E172" s="185">
        <f t="shared" si="31"/>
        <v>2257.7032612742187</v>
      </c>
      <c r="F172" s="72">
        <f t="shared" si="40"/>
        <v>5</v>
      </c>
      <c r="G172" s="180">
        <f t="shared" si="32"/>
        <v>198417.01258881885</v>
      </c>
      <c r="H172" s="186">
        <f>-'Residential Rental'!$E$100/12</f>
        <v>898.0893756176489</v>
      </c>
      <c r="I172" s="149">
        <f>'Residential Rental'!$E$98/12*G171</f>
        <v>579.64508257210457</v>
      </c>
      <c r="J172" s="187">
        <f t="shared" si="33"/>
        <v>318.44429304554433</v>
      </c>
      <c r="K172" s="72">
        <f t="shared" si="41"/>
        <v>5</v>
      </c>
      <c r="L172" s="180">
        <f t="shared" si="34"/>
        <v>2035221.789005171</v>
      </c>
      <c r="M172" s="181">
        <f t="shared" si="34"/>
        <v>10818.552968881977</v>
      </c>
      <c r="N172" s="180">
        <f t="shared" si="34"/>
        <v>8242.405414562214</v>
      </c>
      <c r="O172" s="132">
        <f t="shared" si="34"/>
        <v>2576.147554319763</v>
      </c>
      <c r="P172" s="72">
        <v>6</v>
      </c>
      <c r="Q172" s="149">
        <f>B239</f>
        <v>1662004.5133661439</v>
      </c>
      <c r="R172" s="200">
        <f>SUM(C228:C239)</f>
        <v>119045.56311917194</v>
      </c>
      <c r="S172" s="149">
        <f>SUM(D228:D239)</f>
        <v>84055.107553924812</v>
      </c>
      <c r="T172" s="134">
        <f>SUM(E228:E239)</f>
        <v>34990.455565247139</v>
      </c>
      <c r="U172" s="72">
        <v>6</v>
      </c>
      <c r="V172" s="180">
        <f>G239</f>
        <v>174823.00195137673</v>
      </c>
      <c r="W172" s="181">
        <f>SUM(H228:H239)</f>
        <v>10777.072507411787</v>
      </c>
      <c r="X172" s="180">
        <f>SUM(I228:I239)</f>
        <v>6205.9290428756558</v>
      </c>
      <c r="Y172" s="132">
        <f>SUM(J228:J239)</f>
        <v>4571.1434645361314</v>
      </c>
      <c r="Z172" s="72">
        <v>6</v>
      </c>
      <c r="AA172" s="180">
        <f t="shared" si="35"/>
        <v>1836827.5153175206</v>
      </c>
      <c r="AB172" s="180">
        <f t="shared" si="36"/>
        <v>129822.63562658374</v>
      </c>
      <c r="AC172" s="180">
        <f t="shared" si="37"/>
        <v>90261.036596800463</v>
      </c>
      <c r="AD172" s="212">
        <f t="shared" si="38"/>
        <v>39561.599029783269</v>
      </c>
    </row>
    <row r="173" spans="1:34" x14ac:dyDescent="0.25">
      <c r="A173" s="72">
        <f t="shared" si="39"/>
        <v>6</v>
      </c>
      <c r="B173" s="183">
        <f t="shared" si="30"/>
        <v>1834537.6660581562</v>
      </c>
      <c r="C173" s="184">
        <f>-'Residential Rental'!$E$95/12</f>
        <v>9920.4635932643287</v>
      </c>
      <c r="D173" s="183">
        <f>'Residential Rental'!$E$93/12*B172</f>
        <v>7653.3532350681344</v>
      </c>
      <c r="E173" s="185">
        <f t="shared" si="31"/>
        <v>2267.1103581961943</v>
      </c>
      <c r="F173" s="72">
        <f t="shared" si="40"/>
        <v>6</v>
      </c>
      <c r="G173" s="180">
        <f t="shared" si="32"/>
        <v>198097.63949991859</v>
      </c>
      <c r="H173" s="186">
        <f>-'Residential Rental'!$E$100/12</f>
        <v>898.0893756176489</v>
      </c>
      <c r="I173" s="149">
        <f>'Residential Rental'!$E$98/12*G172</f>
        <v>578.71628671738836</v>
      </c>
      <c r="J173" s="187">
        <f t="shared" si="33"/>
        <v>319.37308890026054</v>
      </c>
      <c r="K173" s="72">
        <f t="shared" si="41"/>
        <v>6</v>
      </c>
      <c r="L173" s="180">
        <f t="shared" si="34"/>
        <v>2032635.3055580747</v>
      </c>
      <c r="M173" s="181">
        <f t="shared" si="34"/>
        <v>10818.552968881977</v>
      </c>
      <c r="N173" s="180">
        <f t="shared" si="34"/>
        <v>8232.0695217855227</v>
      </c>
      <c r="O173" s="132">
        <f t="shared" si="34"/>
        <v>2586.4834470964547</v>
      </c>
      <c r="P173" s="72">
        <v>7</v>
      </c>
      <c r="Q173" s="149">
        <f>B251</f>
        <v>1625223.8796864324</v>
      </c>
      <c r="R173" s="200">
        <f>SUM(C240:C251)</f>
        <v>119045.56311917194</v>
      </c>
      <c r="S173" s="149">
        <f>SUM(D240:D251)</f>
        <v>82264.929439460306</v>
      </c>
      <c r="T173" s="134">
        <f>SUM(E240:E251)</f>
        <v>36780.633679711631</v>
      </c>
      <c r="U173" s="72">
        <v>7</v>
      </c>
      <c r="V173" s="180">
        <f>G251</f>
        <v>170089.27684232817</v>
      </c>
      <c r="W173" s="181">
        <f>SUM(H240:H251)</f>
        <v>10777.072507411787</v>
      </c>
      <c r="X173" s="180">
        <f>SUM(I240:I251)</f>
        <v>6043.3473983632202</v>
      </c>
      <c r="Y173" s="132">
        <f>SUM(J240:J251)</f>
        <v>4733.725109048567</v>
      </c>
      <c r="Z173" s="72">
        <v>7</v>
      </c>
      <c r="AA173" s="180">
        <f t="shared" si="35"/>
        <v>1795313.1565287607</v>
      </c>
      <c r="AB173" s="180">
        <f t="shared" si="36"/>
        <v>129822.63562658374</v>
      </c>
      <c r="AC173" s="180">
        <f t="shared" si="37"/>
        <v>88308.27683782352</v>
      </c>
      <c r="AD173" s="212">
        <f t="shared" si="38"/>
        <v>41514.358788760197</v>
      </c>
    </row>
    <row r="174" spans="1:34" x14ac:dyDescent="0.25">
      <c r="A174" s="72">
        <f t="shared" si="39"/>
        <v>7</v>
      </c>
      <c r="B174" s="183">
        <f t="shared" si="30"/>
        <v>1832261.1094068009</v>
      </c>
      <c r="C174" s="184">
        <f>-'Residential Rental'!$E$95/12</f>
        <v>9920.4635932643287</v>
      </c>
      <c r="D174" s="183">
        <f>'Residential Rental'!$E$93/12*B173</f>
        <v>7643.9069419089838</v>
      </c>
      <c r="E174" s="185">
        <f t="shared" si="31"/>
        <v>2276.5566513553449</v>
      </c>
      <c r="F174" s="72">
        <f t="shared" si="40"/>
        <v>7</v>
      </c>
      <c r="G174" s="180">
        <f t="shared" si="32"/>
        <v>197777.3349061757</v>
      </c>
      <c r="H174" s="186">
        <f>-'Residential Rental'!$E$100/12</f>
        <v>898.0893756176489</v>
      </c>
      <c r="I174" s="149">
        <f>'Residential Rental'!$E$98/12*G173</f>
        <v>577.78478187476253</v>
      </c>
      <c r="J174" s="187">
        <f t="shared" si="33"/>
        <v>320.30459374288637</v>
      </c>
      <c r="K174" s="72">
        <f t="shared" si="41"/>
        <v>7</v>
      </c>
      <c r="L174" s="180">
        <f t="shared" si="34"/>
        <v>2030038.4443129767</v>
      </c>
      <c r="M174" s="181">
        <f t="shared" si="34"/>
        <v>10818.552968881977</v>
      </c>
      <c r="N174" s="180">
        <f t="shared" si="34"/>
        <v>8221.6917237837461</v>
      </c>
      <c r="O174" s="132">
        <f t="shared" si="34"/>
        <v>2596.8612450982314</v>
      </c>
      <c r="P174" s="72">
        <v>8</v>
      </c>
      <c r="Q174" s="149">
        <f>B263</f>
        <v>1586561.4789823741</v>
      </c>
      <c r="R174" s="200">
        <f>SUM(C252:C263)</f>
        <v>119045.56311917194</v>
      </c>
      <c r="S174" s="149">
        <f>SUM(D252:D263)</f>
        <v>80383.162415113475</v>
      </c>
      <c r="T174" s="134">
        <f>SUM(E252:E263)</f>
        <v>38662.400704058469</v>
      </c>
      <c r="U174" s="72">
        <v>8</v>
      </c>
      <c r="V174" s="180">
        <f>G263</f>
        <v>165187.18755506692</v>
      </c>
      <c r="W174" s="181">
        <f>SUM(H252:H263)</f>
        <v>10777.072507411787</v>
      </c>
      <c r="X174" s="180">
        <f>SUM(I252:I263)</f>
        <v>5874.9832201505305</v>
      </c>
      <c r="Y174" s="132">
        <f>SUM(J252:J263)</f>
        <v>4902.0892872612567</v>
      </c>
      <c r="Z174" s="72">
        <v>8</v>
      </c>
      <c r="AA174" s="180">
        <f t="shared" si="35"/>
        <v>1751748.6665374411</v>
      </c>
      <c r="AB174" s="180">
        <f t="shared" si="36"/>
        <v>129822.63562658374</v>
      </c>
      <c r="AC174" s="180">
        <f t="shared" si="37"/>
        <v>86258.145635264009</v>
      </c>
      <c r="AD174" s="212">
        <f t="shared" si="38"/>
        <v>43564.48999131973</v>
      </c>
    </row>
    <row r="175" spans="1:34" x14ac:dyDescent="0.25">
      <c r="A175" s="72">
        <f t="shared" si="39"/>
        <v>8</v>
      </c>
      <c r="B175" s="183">
        <f t="shared" si="30"/>
        <v>1829975.0671027317</v>
      </c>
      <c r="C175" s="184">
        <f>-'Residential Rental'!$E$95/12</f>
        <v>9920.4635932643287</v>
      </c>
      <c r="D175" s="183">
        <f>'Residential Rental'!$E$93/12*B174</f>
        <v>7634.4212891950037</v>
      </c>
      <c r="E175" s="185">
        <f t="shared" si="31"/>
        <v>2286.0423040693249</v>
      </c>
      <c r="F175" s="72">
        <f t="shared" si="40"/>
        <v>8</v>
      </c>
      <c r="G175" s="180">
        <f t="shared" si="32"/>
        <v>197456.09609070106</v>
      </c>
      <c r="H175" s="186">
        <f>-'Residential Rental'!$E$100/12</f>
        <v>898.0893756176489</v>
      </c>
      <c r="I175" s="149">
        <f>'Residential Rental'!$E$98/12*G174</f>
        <v>576.85056014301244</v>
      </c>
      <c r="J175" s="187">
        <f t="shared" si="33"/>
        <v>321.23881547463645</v>
      </c>
      <c r="K175" s="72">
        <f t="shared" si="41"/>
        <v>8</v>
      </c>
      <c r="L175" s="180">
        <f t="shared" si="34"/>
        <v>2027431.1631934326</v>
      </c>
      <c r="M175" s="181">
        <f t="shared" si="34"/>
        <v>10818.552968881977</v>
      </c>
      <c r="N175" s="180">
        <f t="shared" si="34"/>
        <v>8211.2718493380162</v>
      </c>
      <c r="O175" s="132">
        <f t="shared" si="34"/>
        <v>2607.2811195439613</v>
      </c>
      <c r="P175" s="72">
        <v>9</v>
      </c>
      <c r="Q175" s="149">
        <f>B275</f>
        <v>1545921.0364816319</v>
      </c>
      <c r="R175" s="200">
        <f>SUM(C264:C275)</f>
        <v>119045.56311917194</v>
      </c>
      <c r="S175" s="149">
        <f>SUM(D264:D275)</f>
        <v>78405.120618429792</v>
      </c>
      <c r="T175" s="134">
        <f>SUM(E264:E275)</f>
        <v>40640.442500742152</v>
      </c>
      <c r="U175" s="72">
        <v>9</v>
      </c>
      <c r="V175" s="180">
        <f>G275</f>
        <v>160110.74588878872</v>
      </c>
      <c r="W175" s="181">
        <f>SUM(H264:H275)</f>
        <v>10777.072507411787</v>
      </c>
      <c r="X175" s="180">
        <f>SUM(I264:I275)</f>
        <v>5700.630841133564</v>
      </c>
      <c r="Y175" s="132">
        <f>SUM(J264:J275)</f>
        <v>5076.4416662782214</v>
      </c>
      <c r="Z175" s="72">
        <v>9</v>
      </c>
      <c r="AA175" s="180">
        <f t="shared" si="35"/>
        <v>1706031.7823704206</v>
      </c>
      <c r="AB175" s="180">
        <f t="shared" si="36"/>
        <v>129822.63562658374</v>
      </c>
      <c r="AC175" s="180">
        <f t="shared" si="37"/>
        <v>84105.751459563355</v>
      </c>
      <c r="AD175" s="212">
        <f t="shared" si="38"/>
        <v>45716.884167020376</v>
      </c>
    </row>
    <row r="176" spans="1:34" x14ac:dyDescent="0.25">
      <c r="A176" s="72">
        <f t="shared" si="39"/>
        <v>9</v>
      </c>
      <c r="B176" s="183">
        <f t="shared" si="30"/>
        <v>1827679.4996223955</v>
      </c>
      <c r="C176" s="184">
        <f>-'Residential Rental'!$E$95/12</f>
        <v>9920.4635932643287</v>
      </c>
      <c r="D176" s="183">
        <f>'Residential Rental'!$E$93/12*B175</f>
        <v>7624.8961129280488</v>
      </c>
      <c r="E176" s="185">
        <f t="shared" si="31"/>
        <v>2295.5674803362799</v>
      </c>
      <c r="F176" s="72">
        <f t="shared" si="40"/>
        <v>9</v>
      </c>
      <c r="G176" s="180">
        <f t="shared" si="32"/>
        <v>197133.9203286813</v>
      </c>
      <c r="H176" s="186">
        <f>-'Residential Rental'!$E$100/12</f>
        <v>898.0893756176489</v>
      </c>
      <c r="I176" s="149">
        <f>'Residential Rental'!$E$98/12*G175</f>
        <v>575.91361359787811</v>
      </c>
      <c r="J176" s="187">
        <f t="shared" si="33"/>
        <v>322.17576201977079</v>
      </c>
      <c r="K176" s="72">
        <f t="shared" si="41"/>
        <v>9</v>
      </c>
      <c r="L176" s="180">
        <f t="shared" si="34"/>
        <v>2024813.4199510769</v>
      </c>
      <c r="M176" s="181">
        <f t="shared" si="34"/>
        <v>10818.552968881977</v>
      </c>
      <c r="N176" s="180">
        <f t="shared" si="34"/>
        <v>8200.8097265259275</v>
      </c>
      <c r="O176" s="132">
        <f t="shared" si="34"/>
        <v>2617.7432423560508</v>
      </c>
      <c r="P176" s="258">
        <v>10</v>
      </c>
      <c r="Q176" s="161">
        <f>B287</f>
        <v>1503201.3518117988</v>
      </c>
      <c r="R176" s="149">
        <f>SUM(C276:C287)</f>
        <v>119045.56311917194</v>
      </c>
      <c r="S176" s="161">
        <f>SUM(D276:D287)</f>
        <v>76325.878449338386</v>
      </c>
      <c r="T176" s="134">
        <f>SUM(E276:E287)</f>
        <v>42719.684669833565</v>
      </c>
      <c r="U176" s="72">
        <v>10</v>
      </c>
      <c r="V176" s="180">
        <f>G287</f>
        <v>154853.750660633</v>
      </c>
      <c r="W176" s="260">
        <f>SUM(H276:H287)</f>
        <v>10777.072507411787</v>
      </c>
      <c r="X176" s="180">
        <f>SUM(I276:I287)</f>
        <v>5520.077279256082</v>
      </c>
      <c r="Y176" s="132">
        <f>SUM(J276:J287)</f>
        <v>5256.9952281557044</v>
      </c>
      <c r="Z176" s="258">
        <v>10</v>
      </c>
      <c r="AA176" s="180">
        <f t="shared" si="35"/>
        <v>1658055.1024724317</v>
      </c>
      <c r="AB176" s="180">
        <f t="shared" si="36"/>
        <v>129822.63562658374</v>
      </c>
      <c r="AC176" s="180">
        <f t="shared" si="37"/>
        <v>81845.955728594476</v>
      </c>
      <c r="AD176" s="212">
        <f t="shared" si="38"/>
        <v>47976.67989798927</v>
      </c>
    </row>
    <row r="177" spans="1:30" x14ac:dyDescent="0.25">
      <c r="A177" s="72">
        <f t="shared" si="39"/>
        <v>10</v>
      </c>
      <c r="B177" s="183">
        <f t="shared" si="30"/>
        <v>1825374.3672775577</v>
      </c>
      <c r="C177" s="184">
        <f>-'Residential Rental'!$E$95/12</f>
        <v>9920.4635932643287</v>
      </c>
      <c r="D177" s="183">
        <f>'Residential Rental'!$E$93/12*B176</f>
        <v>7615.331248426648</v>
      </c>
      <c r="E177" s="185">
        <f t="shared" si="31"/>
        <v>2305.1323448376806</v>
      </c>
      <c r="F177" s="72">
        <f t="shared" si="40"/>
        <v>10</v>
      </c>
      <c r="G177" s="180">
        <f t="shared" si="32"/>
        <v>196810.80488735563</v>
      </c>
      <c r="H177" s="186">
        <f>-'Residential Rental'!$E$100/12</f>
        <v>898.0893756176489</v>
      </c>
      <c r="I177" s="149">
        <f>'Residential Rental'!$E$98/12*G176</f>
        <v>574.97393429198712</v>
      </c>
      <c r="J177" s="187">
        <f t="shared" si="33"/>
        <v>323.11544132566178</v>
      </c>
      <c r="K177" s="72">
        <f t="shared" si="41"/>
        <v>10</v>
      </c>
      <c r="L177" s="180">
        <f t="shared" si="34"/>
        <v>2022185.1721649133</v>
      </c>
      <c r="M177" s="181">
        <f t="shared" si="34"/>
        <v>10818.552968881977</v>
      </c>
      <c r="N177" s="180">
        <f t="shared" si="34"/>
        <v>8190.3051827186355</v>
      </c>
      <c r="O177" s="132">
        <f t="shared" si="34"/>
        <v>2628.2477861633424</v>
      </c>
      <c r="P177" s="258">
        <v>11</v>
      </c>
      <c r="Q177" s="149">
        <f>B299</f>
        <v>1458296.0469973471</v>
      </c>
      <c r="R177" s="149">
        <f>SUM(C288:C299)</f>
        <v>119045.56311917194</v>
      </c>
      <c r="S177" s="161">
        <f>SUM(D288:D299)</f>
        <v>74140.258304720526</v>
      </c>
      <c r="T177" s="200">
        <f>SUM(E288:E299)</f>
        <v>44905.304814451425</v>
      </c>
      <c r="U177" s="258">
        <v>11</v>
      </c>
      <c r="V177" s="183">
        <f>G299</f>
        <v>149409.78013056028</v>
      </c>
      <c r="W177" s="184">
        <f>SUM(H288:H299)</f>
        <v>10777.072507411787</v>
      </c>
      <c r="X177" s="183">
        <f t="shared" ref="X177:Y177" si="42">SUM(I288:I299)</f>
        <v>5333.1019773390772</v>
      </c>
      <c r="Y177" s="184">
        <f t="shared" si="42"/>
        <v>5443.9705300727101</v>
      </c>
      <c r="Z177" s="72">
        <v>11</v>
      </c>
      <c r="AA177" s="180">
        <f t="shared" ref="AA177:AA196" si="43">Q177+V177</f>
        <v>1607705.8271279074</v>
      </c>
      <c r="AB177" s="180">
        <f t="shared" ref="AB177:AB196" si="44">R177+W177</f>
        <v>129822.63562658374</v>
      </c>
      <c r="AC177" s="180">
        <f t="shared" ref="AC177:AC196" si="45">S177+X177</f>
        <v>79473.360282059599</v>
      </c>
      <c r="AD177" s="212">
        <f t="shared" ref="AD177:AD196" si="46">T177+Y177</f>
        <v>50349.275344524132</v>
      </c>
    </row>
    <row r="178" spans="1:30" x14ac:dyDescent="0.25">
      <c r="A178" s="72">
        <f t="shared" si="39"/>
        <v>11</v>
      </c>
      <c r="B178" s="183">
        <f t="shared" si="30"/>
        <v>1823059.6302146167</v>
      </c>
      <c r="C178" s="184">
        <f>-'Residential Rental'!$E$95/12</f>
        <v>9920.4635932643287</v>
      </c>
      <c r="D178" s="183">
        <f>'Residential Rental'!$E$93/12*B177</f>
        <v>7605.726530323157</v>
      </c>
      <c r="E178" s="185">
        <f t="shared" si="31"/>
        <v>2314.7370629411716</v>
      </c>
      <c r="F178" s="72">
        <f t="shared" si="40"/>
        <v>11</v>
      </c>
      <c r="G178" s="180">
        <f t="shared" si="32"/>
        <v>196486.74702599275</v>
      </c>
      <c r="H178" s="186">
        <f>-'Residential Rental'!$E$100/12</f>
        <v>898.0893756176489</v>
      </c>
      <c r="I178" s="149">
        <f>'Residential Rental'!$E$98/12*G177</f>
        <v>574.03151425478723</v>
      </c>
      <c r="J178" s="187">
        <f t="shared" si="33"/>
        <v>324.05786136286167</v>
      </c>
      <c r="K178" s="72">
        <f t="shared" si="41"/>
        <v>11</v>
      </c>
      <c r="L178" s="180">
        <f t="shared" si="34"/>
        <v>2019546.3772406094</v>
      </c>
      <c r="M178" s="181">
        <f t="shared" si="34"/>
        <v>10818.552968881977</v>
      </c>
      <c r="N178" s="180">
        <f t="shared" si="34"/>
        <v>8179.758044577944</v>
      </c>
      <c r="O178" s="132">
        <f t="shared" si="34"/>
        <v>2638.7949243040334</v>
      </c>
      <c r="P178" s="258">
        <v>12</v>
      </c>
      <c r="Q178" s="149">
        <f>B311</f>
        <v>1411093.3015636303</v>
      </c>
      <c r="R178" s="149">
        <f>SUM(C300:C311)</f>
        <v>119045.56311917194</v>
      </c>
      <c r="S178" s="161">
        <f t="shared" ref="S178:T178" si="47">SUM(D300:D311)</f>
        <v>71842.817685455448</v>
      </c>
      <c r="T178" s="200">
        <f t="shared" si="47"/>
        <v>47202.745433716511</v>
      </c>
      <c r="U178" s="258">
        <v>12</v>
      </c>
      <c r="V178" s="183">
        <f>G311</f>
        <v>143772.18415680519</v>
      </c>
      <c r="W178" s="184">
        <f>SUM(H300:H311)</f>
        <v>10777.072507411787</v>
      </c>
      <c r="X178" s="183">
        <f t="shared" ref="X178:Y178" si="48">SUM(I300:I311)</f>
        <v>5139.4765336567289</v>
      </c>
      <c r="Y178" s="184">
        <f t="shared" si="48"/>
        <v>5637.5959737550556</v>
      </c>
      <c r="Z178" s="72">
        <v>12</v>
      </c>
      <c r="AA178" s="180">
        <f t="shared" si="43"/>
        <v>1554865.4857204356</v>
      </c>
      <c r="AB178" s="180">
        <f t="shared" si="44"/>
        <v>129822.63562658374</v>
      </c>
      <c r="AC178" s="180">
        <f t="shared" si="45"/>
        <v>76982.294219112169</v>
      </c>
      <c r="AD178" s="212">
        <f t="shared" si="46"/>
        <v>52840.341407471569</v>
      </c>
    </row>
    <row r="179" spans="1:30" x14ac:dyDescent="0.25">
      <c r="A179" s="72">
        <f t="shared" si="39"/>
        <v>12</v>
      </c>
      <c r="B179" s="183">
        <f t="shared" si="30"/>
        <v>1820735.2484139132</v>
      </c>
      <c r="C179" s="184">
        <f>-'Residential Rental'!$E$95/12</f>
        <v>9920.4635932643287</v>
      </c>
      <c r="D179" s="183">
        <f>'Residential Rental'!$E$93/12*B178</f>
        <v>7596.0817925609026</v>
      </c>
      <c r="E179" s="185">
        <f t="shared" si="31"/>
        <v>2324.3818007034261</v>
      </c>
      <c r="F179" s="72">
        <f t="shared" si="40"/>
        <v>12</v>
      </c>
      <c r="G179" s="180">
        <f t="shared" si="32"/>
        <v>196161.74399586758</v>
      </c>
      <c r="H179" s="186">
        <f>-'Residential Rental'!$E$100/12</f>
        <v>898.0893756176489</v>
      </c>
      <c r="I179" s="149">
        <f>'Residential Rental'!$E$98/12*G178</f>
        <v>573.08634549247893</v>
      </c>
      <c r="J179" s="187">
        <f t="shared" si="33"/>
        <v>325.00303012516997</v>
      </c>
      <c r="K179" s="72">
        <f t="shared" si="41"/>
        <v>12</v>
      </c>
      <c r="L179" s="180">
        <f t="shared" si="34"/>
        <v>2016896.9924097809</v>
      </c>
      <c r="M179" s="181">
        <f t="shared" si="34"/>
        <v>10818.552968881977</v>
      </c>
      <c r="N179" s="180">
        <f t="shared" si="34"/>
        <v>8169.1681380533819</v>
      </c>
      <c r="O179" s="132">
        <f t="shared" si="34"/>
        <v>2649.384830828596</v>
      </c>
      <c r="P179" s="258">
        <v>13</v>
      </c>
      <c r="Q179" s="149">
        <f>B323</f>
        <v>1361475.5740882962</v>
      </c>
      <c r="R179" s="149">
        <f>SUM(C312:C323)</f>
        <v>119045.56311917194</v>
      </c>
      <c r="S179" s="161">
        <f t="shared" ref="S179:T179" si="49">SUM(D312:D323)</f>
        <v>69427.835643838174</v>
      </c>
      <c r="T179" s="200">
        <f t="shared" si="49"/>
        <v>49617.72747533377</v>
      </c>
      <c r="U179" s="258">
        <v>13</v>
      </c>
      <c r="V179" s="183">
        <f>G323</f>
        <v>137934.07607232319</v>
      </c>
      <c r="W179" s="184">
        <f>SUM(H312:H323)</f>
        <v>10777.072507411787</v>
      </c>
      <c r="X179" s="183">
        <f t="shared" ref="X179:Y179" si="50">SUM(I312:I323)</f>
        <v>4938.9644229297919</v>
      </c>
      <c r="Y179" s="184">
        <f t="shared" si="50"/>
        <v>5838.1080844819962</v>
      </c>
      <c r="Z179" s="72">
        <v>13</v>
      </c>
      <c r="AA179" s="180">
        <f t="shared" si="43"/>
        <v>1499409.6501606193</v>
      </c>
      <c r="AB179" s="180">
        <f t="shared" si="44"/>
        <v>129822.63562658374</v>
      </c>
      <c r="AC179" s="180">
        <f t="shared" si="45"/>
        <v>74366.800066767959</v>
      </c>
      <c r="AD179" s="212">
        <f t="shared" si="46"/>
        <v>55455.835559815765</v>
      </c>
    </row>
    <row r="180" spans="1:30" x14ac:dyDescent="0.25">
      <c r="A180" s="72">
        <f t="shared" si="39"/>
        <v>13</v>
      </c>
      <c r="B180" s="183">
        <f t="shared" si="30"/>
        <v>1818401.1816890403</v>
      </c>
      <c r="C180" s="184">
        <f>-'Residential Rental'!$E$95/12</f>
        <v>9920.4635932643287</v>
      </c>
      <c r="D180" s="183">
        <f>'Residential Rental'!$E$93/12*B179</f>
        <v>7586.3968683913045</v>
      </c>
      <c r="E180" s="185">
        <f t="shared" si="31"/>
        <v>2334.0667248730242</v>
      </c>
      <c r="F180" s="72">
        <f t="shared" si="40"/>
        <v>13</v>
      </c>
      <c r="G180" s="180">
        <f t="shared" si="32"/>
        <v>195835.79304023788</v>
      </c>
      <c r="H180" s="186">
        <f>-'Residential Rental'!$E$100/12</f>
        <v>898.0893756176489</v>
      </c>
      <c r="I180" s="149">
        <f>'Residential Rental'!$E$98/12*G179</f>
        <v>572.13841998794715</v>
      </c>
      <c r="J180" s="187">
        <f t="shared" si="33"/>
        <v>325.95095562970175</v>
      </c>
      <c r="K180" s="72">
        <f t="shared" si="41"/>
        <v>13</v>
      </c>
      <c r="L180" s="180">
        <f t="shared" si="34"/>
        <v>2014236.9747292781</v>
      </c>
      <c r="M180" s="181">
        <f t="shared" si="34"/>
        <v>10818.552968881977</v>
      </c>
      <c r="N180" s="180">
        <f t="shared" si="34"/>
        <v>8158.5352883792511</v>
      </c>
      <c r="O180" s="132">
        <f t="shared" si="34"/>
        <v>2660.0176805027259</v>
      </c>
      <c r="P180" s="258">
        <v>14</v>
      </c>
      <c r="Q180" s="149">
        <f>B335</f>
        <v>1309319.3095067453</v>
      </c>
      <c r="R180" s="149">
        <f>SUM(C324:C335)</f>
        <v>119045.56311917194</v>
      </c>
      <c r="S180" s="161">
        <f t="shared" ref="S180:T180" si="51">SUM(D324:D335)</f>
        <v>66889.298537621449</v>
      </c>
      <c r="T180" s="200">
        <f t="shared" si="51"/>
        <v>52156.264581550495</v>
      </c>
      <c r="U180" s="258">
        <v>14</v>
      </c>
      <c r="V180" s="183">
        <f>G335</f>
        <v>131888.32427230696</v>
      </c>
      <c r="W180" s="184">
        <f>SUM(H324:H335)</f>
        <v>10777.072507411787</v>
      </c>
      <c r="X180" s="183">
        <f t="shared" ref="X180:Y180" si="52">SUM(I324:I335)</f>
        <v>4731.3207073955291</v>
      </c>
      <c r="Y180" s="184">
        <f t="shared" si="52"/>
        <v>6045.7518000162563</v>
      </c>
      <c r="Z180" s="72">
        <v>14</v>
      </c>
      <c r="AA180" s="180">
        <f t="shared" si="43"/>
        <v>1441207.6337790522</v>
      </c>
      <c r="AB180" s="180">
        <f t="shared" si="44"/>
        <v>129822.63562658374</v>
      </c>
      <c r="AC180" s="180">
        <f t="shared" si="45"/>
        <v>71620.619245016976</v>
      </c>
      <c r="AD180" s="212">
        <f t="shared" si="46"/>
        <v>58202.016381566747</v>
      </c>
    </row>
    <row r="181" spans="1:30" x14ac:dyDescent="0.25">
      <c r="A181" s="72">
        <f t="shared" si="39"/>
        <v>14</v>
      </c>
      <c r="B181" s="183">
        <f t="shared" si="30"/>
        <v>1816057.389686147</v>
      </c>
      <c r="C181" s="184">
        <f>-'Residential Rental'!$E$95/12</f>
        <v>9920.4635932643287</v>
      </c>
      <c r="D181" s="183">
        <f>'Residential Rental'!$E$93/12*B180</f>
        <v>7576.671590371001</v>
      </c>
      <c r="E181" s="185">
        <f t="shared" si="31"/>
        <v>2343.7920028933277</v>
      </c>
      <c r="F181" s="72">
        <f t="shared" si="40"/>
        <v>14</v>
      </c>
      <c r="G181" s="180">
        <f t="shared" si="32"/>
        <v>195508.89139432093</v>
      </c>
      <c r="H181" s="186">
        <f>-'Residential Rental'!$E$100/12</f>
        <v>898.0893756176489</v>
      </c>
      <c r="I181" s="149">
        <f>'Residential Rental'!$E$98/12*G180</f>
        <v>571.18772970069381</v>
      </c>
      <c r="J181" s="187">
        <f t="shared" si="33"/>
        <v>326.90164591695509</v>
      </c>
      <c r="K181" s="72">
        <f t="shared" si="41"/>
        <v>14</v>
      </c>
      <c r="L181" s="180">
        <f t="shared" si="34"/>
        <v>2011566.2810804679</v>
      </c>
      <c r="M181" s="181">
        <f t="shared" si="34"/>
        <v>10818.552968881977</v>
      </c>
      <c r="N181" s="180">
        <f t="shared" si="34"/>
        <v>8147.859320071695</v>
      </c>
      <c r="O181" s="132">
        <f t="shared" si="34"/>
        <v>2670.6936488102829</v>
      </c>
      <c r="P181" s="258">
        <v>15</v>
      </c>
      <c r="Q181" s="149">
        <f>B347</f>
        <v>1254494.6314427806</v>
      </c>
      <c r="R181" s="149">
        <f>SUM(C336:C347)</f>
        <v>119045.56311917194</v>
      </c>
      <c r="S181" s="161">
        <f t="shared" ref="S181:T181" si="53">SUM(D336:D347)</f>
        <v>64220.885055207502</v>
      </c>
      <c r="T181" s="200">
        <f t="shared" si="53"/>
        <v>54824.678063964442</v>
      </c>
      <c r="U181" s="258">
        <v>15</v>
      </c>
      <c r="V181" s="183">
        <f>G347</f>
        <v>125627.54350249653</v>
      </c>
      <c r="W181" s="184">
        <f>SUM(H336:H347)</f>
        <v>10777.072507411787</v>
      </c>
      <c r="X181" s="183">
        <f t="shared" ref="X181:Y181" si="54">SUM(I336:I347)</f>
        <v>4516.2917376013356</v>
      </c>
      <c r="Y181" s="184">
        <f t="shared" si="54"/>
        <v>6260.7807698104498</v>
      </c>
      <c r="Z181" s="72">
        <v>15</v>
      </c>
      <c r="AA181" s="180">
        <f t="shared" si="43"/>
        <v>1380122.1749452772</v>
      </c>
      <c r="AB181" s="180">
        <f t="shared" si="44"/>
        <v>129822.63562658374</v>
      </c>
      <c r="AC181" s="180">
        <f t="shared" si="45"/>
        <v>68737.176792808837</v>
      </c>
      <c r="AD181" s="212">
        <f t="shared" si="46"/>
        <v>61085.458833774894</v>
      </c>
    </row>
    <row r="182" spans="1:30" x14ac:dyDescent="0.25">
      <c r="A182" s="72">
        <f t="shared" si="39"/>
        <v>15</v>
      </c>
      <c r="B182" s="183">
        <f t="shared" si="30"/>
        <v>1813703.8318832417</v>
      </c>
      <c r="C182" s="184">
        <f>-'Residential Rental'!$E$95/12</f>
        <v>9920.4635932643287</v>
      </c>
      <c r="D182" s="183">
        <f>'Residential Rental'!$E$93/12*B181</f>
        <v>7566.9057903589455</v>
      </c>
      <c r="E182" s="185">
        <f t="shared" si="31"/>
        <v>2353.5578029053831</v>
      </c>
      <c r="F182" s="72">
        <f t="shared" si="40"/>
        <v>15</v>
      </c>
      <c r="G182" s="180">
        <f t="shared" si="32"/>
        <v>195181.03628527006</v>
      </c>
      <c r="H182" s="186">
        <f>-'Residential Rental'!$E$100/12</f>
        <v>898.0893756176489</v>
      </c>
      <c r="I182" s="149">
        <f>'Residential Rental'!$E$98/12*G181</f>
        <v>570.23426656676941</v>
      </c>
      <c r="J182" s="187">
        <f t="shared" si="33"/>
        <v>327.85510905087949</v>
      </c>
      <c r="K182" s="72">
        <f t="shared" si="41"/>
        <v>15</v>
      </c>
      <c r="L182" s="180">
        <f t="shared" si="34"/>
        <v>2008884.8681685117</v>
      </c>
      <c r="M182" s="181">
        <f t="shared" si="34"/>
        <v>10818.552968881977</v>
      </c>
      <c r="N182" s="180">
        <f t="shared" si="34"/>
        <v>8137.1400569257148</v>
      </c>
      <c r="O182" s="132">
        <f t="shared" si="34"/>
        <v>2681.4129119562626</v>
      </c>
      <c r="P182" s="258">
        <v>16</v>
      </c>
      <c r="Q182" s="149">
        <f>B359</f>
        <v>1196865.0187983087</v>
      </c>
      <c r="R182" s="149">
        <f>SUM(C348:C359)</f>
        <v>119045.56311917194</v>
      </c>
      <c r="S182" s="161">
        <f t="shared" ref="S182:T182" si="55">SUM(D348:D359)</f>
        <v>61415.950474700054</v>
      </c>
      <c r="T182" s="200">
        <f t="shared" si="55"/>
        <v>57629.61264447189</v>
      </c>
      <c r="U182" s="258">
        <v>16</v>
      </c>
      <c r="V182" s="183">
        <f>G359</f>
        <v>119144.08583764119</v>
      </c>
      <c r="W182" s="184">
        <f>SUM(H348:H359)</f>
        <v>10777.072507411787</v>
      </c>
      <c r="X182" s="183">
        <f t="shared" ref="X182:Y182" si="56">SUM(I348:I359)</f>
        <v>4293.6148425564515</v>
      </c>
      <c r="Y182" s="184">
        <f t="shared" si="56"/>
        <v>6483.4576648553348</v>
      </c>
      <c r="Z182" s="72">
        <v>16</v>
      </c>
      <c r="AA182" s="180">
        <f t="shared" si="43"/>
        <v>1316009.1046359499</v>
      </c>
      <c r="AB182" s="180">
        <f t="shared" si="44"/>
        <v>129822.63562658374</v>
      </c>
      <c r="AC182" s="180">
        <f t="shared" si="45"/>
        <v>65709.565317256507</v>
      </c>
      <c r="AD182" s="212">
        <f t="shared" si="46"/>
        <v>64113.070309327224</v>
      </c>
    </row>
    <row r="183" spans="1:30" x14ac:dyDescent="0.25">
      <c r="A183" s="72">
        <f t="shared" si="39"/>
        <v>16</v>
      </c>
      <c r="B183" s="183">
        <f t="shared" si="30"/>
        <v>1811340.4675894908</v>
      </c>
      <c r="C183" s="184">
        <f>-'Residential Rental'!$E$95/12</f>
        <v>9920.4635932643287</v>
      </c>
      <c r="D183" s="183">
        <f>'Residential Rental'!$E$93/12*B182</f>
        <v>7557.0992995135066</v>
      </c>
      <c r="E183" s="185">
        <f t="shared" si="31"/>
        <v>2363.3642937508221</v>
      </c>
      <c r="F183" s="72">
        <f t="shared" si="40"/>
        <v>16</v>
      </c>
      <c r="G183" s="180">
        <f t="shared" si="32"/>
        <v>194852.22493215112</v>
      </c>
      <c r="H183" s="186">
        <f>-'Residential Rental'!$E$100/12</f>
        <v>898.0893756176489</v>
      </c>
      <c r="I183" s="149">
        <f>'Residential Rental'!$E$98/12*G182</f>
        <v>569.27802249870433</v>
      </c>
      <c r="J183" s="187">
        <f t="shared" si="33"/>
        <v>328.81135311894457</v>
      </c>
      <c r="K183" s="72">
        <f t="shared" si="41"/>
        <v>16</v>
      </c>
      <c r="L183" s="180">
        <f t="shared" si="34"/>
        <v>2006192.692521642</v>
      </c>
      <c r="M183" s="181">
        <f t="shared" si="34"/>
        <v>10818.552968881977</v>
      </c>
      <c r="N183" s="180">
        <f t="shared" si="34"/>
        <v>8126.3773220122112</v>
      </c>
      <c r="O183" s="132">
        <f t="shared" si="34"/>
        <v>2692.1756468697668</v>
      </c>
      <c r="P183" s="258">
        <v>17</v>
      </c>
      <c r="Q183" s="149">
        <f>B371</f>
        <v>1136286.9657967566</v>
      </c>
      <c r="R183" s="149">
        <f>SUM(C360:C371)</f>
        <v>119045.56311917194</v>
      </c>
      <c r="S183" s="161">
        <f t="shared" ref="S183:T183" si="57">SUM(D360:D371)</f>
        <v>58467.51011761972</v>
      </c>
      <c r="T183" s="200">
        <f t="shared" si="57"/>
        <v>60578.053001552224</v>
      </c>
      <c r="U183" s="258">
        <v>17</v>
      </c>
      <c r="V183" s="183">
        <f>G371</f>
        <v>112430.03133909273</v>
      </c>
      <c r="W183" s="184">
        <f>SUM(H360:H371)</f>
        <v>10777.072507411787</v>
      </c>
      <c r="X183" s="183">
        <f t="shared" ref="X183:Y183" si="58">SUM(I360:I371)</f>
        <v>4063.0180088633497</v>
      </c>
      <c r="Y183" s="184">
        <f t="shared" si="58"/>
        <v>6714.0544985484385</v>
      </c>
      <c r="Z183" s="72">
        <v>17</v>
      </c>
      <c r="AA183" s="180">
        <f t="shared" si="43"/>
        <v>1248716.9971358492</v>
      </c>
      <c r="AB183" s="180">
        <f t="shared" si="44"/>
        <v>129822.63562658374</v>
      </c>
      <c r="AC183" s="180">
        <f t="shared" si="45"/>
        <v>62530.52812648307</v>
      </c>
      <c r="AD183" s="212">
        <f t="shared" si="46"/>
        <v>67292.107500100668</v>
      </c>
    </row>
    <row r="184" spans="1:30" x14ac:dyDescent="0.25">
      <c r="A184" s="72">
        <f t="shared" si="39"/>
        <v>17</v>
      </c>
      <c r="B184" s="183">
        <f t="shared" si="30"/>
        <v>1808967.255944516</v>
      </c>
      <c r="C184" s="184">
        <f>-'Residential Rental'!$E$95/12</f>
        <v>9920.4635932643287</v>
      </c>
      <c r="D184" s="183">
        <f>'Residential Rental'!$E$93/12*B183</f>
        <v>7547.251948289545</v>
      </c>
      <c r="E184" s="185">
        <f t="shared" si="31"/>
        <v>2373.2116449747837</v>
      </c>
      <c r="F184" s="72">
        <f t="shared" si="40"/>
        <v>17</v>
      </c>
      <c r="G184" s="180">
        <f t="shared" si="32"/>
        <v>194522.45454591891</v>
      </c>
      <c r="H184" s="186">
        <f>-'Residential Rental'!$E$100/12</f>
        <v>898.0893756176489</v>
      </c>
      <c r="I184" s="149">
        <f>'Residential Rental'!$E$98/12*G183</f>
        <v>568.31898938544077</v>
      </c>
      <c r="J184" s="187">
        <f t="shared" si="33"/>
        <v>329.77038623220812</v>
      </c>
      <c r="K184" s="72">
        <f t="shared" si="41"/>
        <v>17</v>
      </c>
      <c r="L184" s="180">
        <f t="shared" si="34"/>
        <v>2003489.7104904349</v>
      </c>
      <c r="M184" s="181">
        <f t="shared" si="34"/>
        <v>10818.552968881977</v>
      </c>
      <c r="N184" s="180">
        <f t="shared" si="34"/>
        <v>8115.5709376749855</v>
      </c>
      <c r="O184" s="132">
        <f t="shared" si="34"/>
        <v>2702.9820312069919</v>
      </c>
      <c r="P184" s="258">
        <v>18</v>
      </c>
      <c r="Q184" s="149">
        <f>B383</f>
        <v>1072609.6246336643</v>
      </c>
      <c r="R184" s="149">
        <f>SUM(C372:C383)</f>
        <v>119045.56311917194</v>
      </c>
      <c r="S184" s="161">
        <f t="shared" ref="S184:T184" si="59">SUM(D372:D383)</f>
        <v>55368.221956080095</v>
      </c>
      <c r="T184" s="200">
        <f t="shared" si="59"/>
        <v>63677.341163091849</v>
      </c>
      <c r="U184" s="258">
        <v>18</v>
      </c>
      <c r="V184" s="183">
        <f>G383</f>
        <v>105477.17838011774</v>
      </c>
      <c r="W184" s="184">
        <f>SUM(H372:H383)</f>
        <v>10777.072507411787</v>
      </c>
      <c r="X184" s="183">
        <f t="shared" ref="X184:Y184" si="60">SUM(I372:I383)</f>
        <v>3824.2195484367962</v>
      </c>
      <c r="Y184" s="184">
        <f t="shared" si="60"/>
        <v>6952.8529589749905</v>
      </c>
      <c r="Z184" s="72">
        <v>18</v>
      </c>
      <c r="AA184" s="180">
        <f t="shared" si="43"/>
        <v>1178086.803013782</v>
      </c>
      <c r="AB184" s="180">
        <f t="shared" si="44"/>
        <v>129822.63562658374</v>
      </c>
      <c r="AC184" s="180">
        <f t="shared" si="45"/>
        <v>59192.441504516893</v>
      </c>
      <c r="AD184" s="212">
        <f t="shared" si="46"/>
        <v>70630.194122066838</v>
      </c>
    </row>
    <row r="185" spans="1:30" x14ac:dyDescent="0.25">
      <c r="A185" s="72">
        <f t="shared" si="39"/>
        <v>18</v>
      </c>
      <c r="B185" s="183">
        <f t="shared" si="30"/>
        <v>1806584.1559176871</v>
      </c>
      <c r="C185" s="184">
        <f>-'Residential Rental'!$E$95/12</f>
        <v>9920.4635932643287</v>
      </c>
      <c r="D185" s="183">
        <f>'Residential Rental'!$E$93/12*B184</f>
        <v>7537.3635664354833</v>
      </c>
      <c r="E185" s="185">
        <f t="shared" si="31"/>
        <v>2383.1000268288453</v>
      </c>
      <c r="F185" s="72">
        <f t="shared" si="40"/>
        <v>18</v>
      </c>
      <c r="G185" s="180">
        <f t="shared" si="32"/>
        <v>194191.72232939352</v>
      </c>
      <c r="H185" s="186">
        <f>-'Residential Rental'!$E$100/12</f>
        <v>898.0893756176489</v>
      </c>
      <c r="I185" s="149">
        <f>'Residential Rental'!$E$98/12*G184</f>
        <v>567.35715909226349</v>
      </c>
      <c r="J185" s="187">
        <f t="shared" si="33"/>
        <v>330.73221652538541</v>
      </c>
      <c r="K185" s="72">
        <f t="shared" si="41"/>
        <v>18</v>
      </c>
      <c r="L185" s="180">
        <f t="shared" si="34"/>
        <v>2000775.8782470806</v>
      </c>
      <c r="M185" s="181">
        <f t="shared" si="34"/>
        <v>10818.552968881977</v>
      </c>
      <c r="N185" s="180">
        <f t="shared" si="34"/>
        <v>8104.7207255277472</v>
      </c>
      <c r="O185" s="132">
        <f t="shared" si="34"/>
        <v>2713.8322433542307</v>
      </c>
      <c r="P185" s="258">
        <v>19</v>
      </c>
      <c r="Q185" s="149">
        <f>B395</f>
        <v>1005674.429844606</v>
      </c>
      <c r="R185" s="149">
        <f>SUM(C384:C395)</f>
        <v>119045.56311917194</v>
      </c>
      <c r="S185" s="161">
        <f t="shared" ref="S185:T185" si="61">SUM(D384:D395)</f>
        <v>52110.368330113684</v>
      </c>
      <c r="T185" s="200">
        <f t="shared" si="61"/>
        <v>66935.194789058267</v>
      </c>
      <c r="U185" s="258">
        <v>19</v>
      </c>
      <c r="V185" s="183">
        <f>G395</f>
        <v>98277.033627110635</v>
      </c>
      <c r="W185" s="184">
        <f>SUM(H384:H395)</f>
        <v>10777.072507411787</v>
      </c>
      <c r="X185" s="183">
        <f t="shared" ref="X185:Y185" si="62">SUM(I384:I395)</f>
        <v>3576.9277544046809</v>
      </c>
      <c r="Y185" s="184">
        <f t="shared" si="62"/>
        <v>7200.1447530071055</v>
      </c>
      <c r="Z185" s="72">
        <v>19</v>
      </c>
      <c r="AA185" s="180">
        <f t="shared" si="43"/>
        <v>1103951.4634717165</v>
      </c>
      <c r="AB185" s="180">
        <f t="shared" si="44"/>
        <v>129822.63562658374</v>
      </c>
      <c r="AC185" s="180">
        <f t="shared" si="45"/>
        <v>55687.296084518362</v>
      </c>
      <c r="AD185" s="212">
        <f t="shared" si="46"/>
        <v>74135.339542065369</v>
      </c>
    </row>
    <row r="186" spans="1:30" x14ac:dyDescent="0.25">
      <c r="A186" s="72">
        <f t="shared" si="39"/>
        <v>19</v>
      </c>
      <c r="B186" s="183">
        <f t="shared" si="30"/>
        <v>1804191.1263074132</v>
      </c>
      <c r="C186" s="184">
        <f>-'Residential Rental'!$E$95/12</f>
        <v>9920.4635932643287</v>
      </c>
      <c r="D186" s="183">
        <f>'Residential Rental'!$E$93/12*B185</f>
        <v>7527.4339829903629</v>
      </c>
      <c r="E186" s="185">
        <f t="shared" si="31"/>
        <v>2393.0296102739658</v>
      </c>
      <c r="F186" s="72">
        <f t="shared" si="40"/>
        <v>19</v>
      </c>
      <c r="G186" s="180">
        <f t="shared" si="32"/>
        <v>193860.0254772366</v>
      </c>
      <c r="H186" s="186">
        <f>-'Residential Rental'!$E$100/12</f>
        <v>898.0893756176489</v>
      </c>
      <c r="I186" s="149">
        <f>'Residential Rental'!$E$98/12*G185</f>
        <v>566.39252346073113</v>
      </c>
      <c r="J186" s="187">
        <f t="shared" si="33"/>
        <v>331.69685215691777</v>
      </c>
      <c r="K186" s="72">
        <f t="shared" si="41"/>
        <v>19</v>
      </c>
      <c r="L186" s="180">
        <f t="shared" si="34"/>
        <v>1998051.1517846498</v>
      </c>
      <c r="M186" s="181">
        <f t="shared" si="34"/>
        <v>10818.552968881977</v>
      </c>
      <c r="N186" s="180">
        <f t="shared" si="34"/>
        <v>8093.8265064510942</v>
      </c>
      <c r="O186" s="132">
        <f t="shared" si="34"/>
        <v>2724.7264624308837</v>
      </c>
      <c r="P186" s="258">
        <v>20</v>
      </c>
      <c r="Q186" s="149">
        <f>B407</f>
        <v>935314.70345505606</v>
      </c>
      <c r="R186" s="149">
        <f>SUM(C396:C407)</f>
        <v>119045.56311917194</v>
      </c>
      <c r="S186" s="161">
        <f t="shared" ref="S186:T186" si="63">SUM(D396:D407)</f>
        <v>48685.836729621966</v>
      </c>
      <c r="T186" s="200">
        <f t="shared" si="63"/>
        <v>70359.726389549964</v>
      </c>
      <c r="U186" s="258">
        <v>20</v>
      </c>
      <c r="V186" s="183">
        <f>G407</f>
        <v>90820.801664469138</v>
      </c>
      <c r="W186" s="184">
        <f>SUM(H396:H407)</f>
        <v>10777.072507411787</v>
      </c>
      <c r="X186" s="183">
        <f t="shared" ref="X186:Y186" si="64">SUM(I396:I407)</f>
        <v>3320.8405447703008</v>
      </c>
      <c r="Y186" s="184">
        <f t="shared" si="64"/>
        <v>7456.2319626414865</v>
      </c>
      <c r="Z186" s="258">
        <v>20</v>
      </c>
      <c r="AA186" s="180">
        <f t="shared" si="43"/>
        <v>1026135.5051195252</v>
      </c>
      <c r="AB186" s="180">
        <f t="shared" si="44"/>
        <v>129822.63562658374</v>
      </c>
      <c r="AC186" s="180">
        <f t="shared" si="45"/>
        <v>52006.677274392263</v>
      </c>
      <c r="AD186" s="212">
        <f t="shared" si="46"/>
        <v>77815.958352191446</v>
      </c>
    </row>
    <row r="187" spans="1:30" x14ac:dyDescent="0.25">
      <c r="A187" s="72">
        <f t="shared" si="39"/>
        <v>20</v>
      </c>
      <c r="B187" s="183">
        <f t="shared" si="30"/>
        <v>1801788.1257404299</v>
      </c>
      <c r="C187" s="184">
        <f>-'Residential Rental'!$E$95/12</f>
        <v>9920.4635932643287</v>
      </c>
      <c r="D187" s="183">
        <f>'Residential Rental'!$E$93/12*B186</f>
        <v>7517.4630262808887</v>
      </c>
      <c r="E187" s="185">
        <f t="shared" si="31"/>
        <v>2403.00056698344</v>
      </c>
      <c r="F187" s="72">
        <f t="shared" si="40"/>
        <v>20</v>
      </c>
      <c r="G187" s="180">
        <f t="shared" si="32"/>
        <v>193527.36117592757</v>
      </c>
      <c r="H187" s="186">
        <f>-'Residential Rental'!$E$100/12</f>
        <v>898.0893756176489</v>
      </c>
      <c r="I187" s="149">
        <f>'Residential Rental'!$E$98/12*G186</f>
        <v>565.42507430860678</v>
      </c>
      <c r="J187" s="187">
        <f t="shared" si="33"/>
        <v>332.66430130904212</v>
      </c>
      <c r="K187" s="72">
        <f t="shared" si="41"/>
        <v>20</v>
      </c>
      <c r="L187" s="180">
        <f t="shared" si="34"/>
        <v>1995315.4869163574</v>
      </c>
      <c r="M187" s="181">
        <f t="shared" si="34"/>
        <v>10818.552968881977</v>
      </c>
      <c r="N187" s="180">
        <f t="shared" si="34"/>
        <v>8082.8881005894955</v>
      </c>
      <c r="O187" s="132">
        <f t="shared" si="34"/>
        <v>2735.664868292482</v>
      </c>
      <c r="P187" s="258">
        <v>21</v>
      </c>
      <c r="Q187" s="149">
        <f>B419</f>
        <v>861355.2399289771</v>
      </c>
      <c r="R187" s="149">
        <f>SUM(C408:C419)</f>
        <v>119045.56311917194</v>
      </c>
      <c r="S187" s="161">
        <f t="shared" ref="S187:T187" si="65">SUM(D408:D419)</f>
        <v>45086.099593093131</v>
      </c>
      <c r="T187" s="200">
        <f t="shared" si="65"/>
        <v>73959.46352607882</v>
      </c>
      <c r="U187" s="258">
        <v>21</v>
      </c>
      <c r="V187" s="183">
        <f>G419</f>
        <v>83099.374250458131</v>
      </c>
      <c r="W187" s="184">
        <f>SUM(H408:H419)</f>
        <v>10777.072507411787</v>
      </c>
      <c r="X187" s="183">
        <f t="shared" ref="X187:Y187" si="66">SUM(I408:I419)</f>
        <v>3055.6450934007898</v>
      </c>
      <c r="Y187" s="184">
        <f t="shared" si="66"/>
        <v>7721.4274140109992</v>
      </c>
      <c r="Z187" s="72">
        <v>21</v>
      </c>
      <c r="AA187" s="180">
        <f t="shared" si="43"/>
        <v>944454.61417943519</v>
      </c>
      <c r="AB187" s="180">
        <f t="shared" si="44"/>
        <v>129822.63562658374</v>
      </c>
      <c r="AC187" s="180">
        <f t="shared" si="45"/>
        <v>48141.744686493919</v>
      </c>
      <c r="AD187" s="212">
        <f t="shared" si="46"/>
        <v>81680.890940089826</v>
      </c>
    </row>
    <row r="188" spans="1:30" x14ac:dyDescent="0.25">
      <c r="A188" s="72">
        <f t="shared" si="39"/>
        <v>21</v>
      </c>
      <c r="B188" s="183">
        <f t="shared" si="30"/>
        <v>1799375.112671084</v>
      </c>
      <c r="C188" s="184">
        <f>-'Residential Rental'!$E$95/12</f>
        <v>9920.4635932643287</v>
      </c>
      <c r="D188" s="183">
        <f>'Residential Rental'!$E$93/12*B187</f>
        <v>7507.4505239184573</v>
      </c>
      <c r="E188" s="185">
        <f t="shared" si="31"/>
        <v>2413.0130693458714</v>
      </c>
      <c r="F188" s="72">
        <f t="shared" si="40"/>
        <v>21</v>
      </c>
      <c r="G188" s="180">
        <f t="shared" si="32"/>
        <v>193193.72660373972</v>
      </c>
      <c r="H188" s="186">
        <f>-'Residential Rental'!$E$100/12</f>
        <v>898.0893756176489</v>
      </c>
      <c r="I188" s="149">
        <f>'Residential Rental'!$E$98/12*G187</f>
        <v>564.45480342978874</v>
      </c>
      <c r="J188" s="187">
        <f t="shared" si="33"/>
        <v>333.63457218786016</v>
      </c>
      <c r="K188" s="72">
        <f t="shared" si="41"/>
        <v>21</v>
      </c>
      <c r="L188" s="180">
        <f t="shared" si="34"/>
        <v>1992568.8392748237</v>
      </c>
      <c r="M188" s="181">
        <f t="shared" si="34"/>
        <v>10818.552968881977</v>
      </c>
      <c r="N188" s="180">
        <f t="shared" si="34"/>
        <v>8071.9053273482459</v>
      </c>
      <c r="O188" s="132">
        <f t="shared" si="34"/>
        <v>2746.6476415337315</v>
      </c>
      <c r="P188" s="258">
        <v>22</v>
      </c>
      <c r="Q188" s="149">
        <f>B431</f>
        <v>783611.86988258932</v>
      </c>
      <c r="R188" s="149">
        <f>SUM(C420:C431)</f>
        <v>119045.56311917194</v>
      </c>
      <c r="S188" s="161">
        <f t="shared" ref="S188:T188" si="67">SUM(D420:D431)</f>
        <v>41302.193072784095</v>
      </c>
      <c r="T188" s="200">
        <f t="shared" si="67"/>
        <v>77743.370046387849</v>
      </c>
      <c r="U188" s="258">
        <v>22</v>
      </c>
      <c r="V188" s="183">
        <f>G431</f>
        <v>75103.319190937298</v>
      </c>
      <c r="W188" s="184">
        <f>SUM(H420:H431)</f>
        <v>10777.072507411787</v>
      </c>
      <c r="X188" s="183">
        <f t="shared" ref="X188:Y188" si="68">SUM(I420:I431)</f>
        <v>2781.0174478909344</v>
      </c>
      <c r="Y188" s="184">
        <f t="shared" si="68"/>
        <v>7996.0550595208533</v>
      </c>
      <c r="Z188" s="72">
        <v>22</v>
      </c>
      <c r="AA188" s="180">
        <f t="shared" si="43"/>
        <v>858715.18907352665</v>
      </c>
      <c r="AB188" s="180">
        <f t="shared" si="44"/>
        <v>129822.63562658374</v>
      </c>
      <c r="AC188" s="180">
        <f t="shared" si="45"/>
        <v>44083.210520675028</v>
      </c>
      <c r="AD188" s="212">
        <f t="shared" si="46"/>
        <v>85739.425105908696</v>
      </c>
    </row>
    <row r="189" spans="1:30" x14ac:dyDescent="0.25">
      <c r="A189" s="72">
        <f t="shared" si="39"/>
        <v>22</v>
      </c>
      <c r="B189" s="183">
        <f t="shared" si="30"/>
        <v>1796952.0453806159</v>
      </c>
      <c r="C189" s="184">
        <f>-'Residential Rental'!$E$95/12</f>
        <v>9920.4635932643287</v>
      </c>
      <c r="D189" s="183">
        <f>'Residential Rental'!$E$93/12*B188</f>
        <v>7497.3963027961836</v>
      </c>
      <c r="E189" s="185">
        <f t="shared" si="31"/>
        <v>2423.0672904681451</v>
      </c>
      <c r="F189" s="72">
        <f t="shared" si="40"/>
        <v>22</v>
      </c>
      <c r="G189" s="180">
        <f t="shared" si="32"/>
        <v>192859.1189307163</v>
      </c>
      <c r="H189" s="186">
        <f>-'Residential Rental'!$E$100/12</f>
        <v>898.0893756176489</v>
      </c>
      <c r="I189" s="149">
        <f>'Residential Rental'!$E$98/12*G188</f>
        <v>563.48170259424091</v>
      </c>
      <c r="J189" s="187">
        <f t="shared" si="33"/>
        <v>334.60767302340798</v>
      </c>
      <c r="K189" s="72">
        <f t="shared" si="41"/>
        <v>22</v>
      </c>
      <c r="L189" s="180">
        <f t="shared" si="34"/>
        <v>1989811.1643113322</v>
      </c>
      <c r="M189" s="181">
        <f t="shared" si="34"/>
        <v>10818.552968881977</v>
      </c>
      <c r="N189" s="180">
        <f t="shared" si="34"/>
        <v>8060.8780053904247</v>
      </c>
      <c r="O189" s="132">
        <f t="shared" si="34"/>
        <v>2757.6749634915532</v>
      </c>
      <c r="P189" s="258">
        <v>23</v>
      </c>
      <c r="Q189" s="149">
        <f>B443</f>
        <v>701891.00147690659</v>
      </c>
      <c r="R189" s="149">
        <f>SUM(C432:C443)</f>
        <v>119045.56311917194</v>
      </c>
      <c r="S189" s="161">
        <f t="shared" ref="S189:T189" si="69">SUM(D432:D443)</f>
        <v>37324.694713489022</v>
      </c>
      <c r="T189" s="200">
        <f t="shared" si="69"/>
        <v>81720.868405682922</v>
      </c>
      <c r="U189" s="258">
        <v>23</v>
      </c>
      <c r="V189" s="183">
        <f>G443</f>
        <v>66822.868817361057</v>
      </c>
      <c r="W189" s="184">
        <f>SUM(H432:H443)</f>
        <v>10777.072507411787</v>
      </c>
      <c r="X189" s="183">
        <f t="shared" ref="X189:Y189" si="70">SUM(I432:I443)</f>
        <v>2496.6221338355667</v>
      </c>
      <c r="Y189" s="184">
        <f t="shared" si="70"/>
        <v>8280.4503735762191</v>
      </c>
      <c r="Z189" s="72">
        <v>23</v>
      </c>
      <c r="AA189" s="180">
        <f t="shared" si="43"/>
        <v>768713.87029426766</v>
      </c>
      <c r="AB189" s="180">
        <f t="shared" si="44"/>
        <v>129822.63562658374</v>
      </c>
      <c r="AC189" s="180">
        <f t="shared" si="45"/>
        <v>39821.31684732459</v>
      </c>
      <c r="AD189" s="212">
        <f t="shared" si="46"/>
        <v>90001.318779259134</v>
      </c>
    </row>
    <row r="190" spans="1:30" x14ac:dyDescent="0.25">
      <c r="A190" s="72">
        <f t="shared" si="39"/>
        <v>23</v>
      </c>
      <c r="B190" s="183">
        <f t="shared" si="30"/>
        <v>1794518.8819764375</v>
      </c>
      <c r="C190" s="184">
        <f>-'Residential Rental'!$E$95/12</f>
        <v>9920.4635932643287</v>
      </c>
      <c r="D190" s="183">
        <f>'Residential Rental'!$E$93/12*B189</f>
        <v>7487.3001890858995</v>
      </c>
      <c r="E190" s="185">
        <f t="shared" si="31"/>
        <v>2433.1634041784291</v>
      </c>
      <c r="F190" s="72">
        <f t="shared" si="40"/>
        <v>23</v>
      </c>
      <c r="G190" s="180">
        <f t="shared" si="32"/>
        <v>192523.53531864658</v>
      </c>
      <c r="H190" s="186">
        <f>-'Residential Rental'!$E$100/12</f>
        <v>898.0893756176489</v>
      </c>
      <c r="I190" s="149">
        <f>'Residential Rental'!$E$98/12*G189</f>
        <v>562.50576354792258</v>
      </c>
      <c r="J190" s="187">
        <f t="shared" si="33"/>
        <v>335.58361206972631</v>
      </c>
      <c r="K190" s="72">
        <f t="shared" si="41"/>
        <v>23</v>
      </c>
      <c r="L190" s="180">
        <f t="shared" si="34"/>
        <v>1987042.4172950841</v>
      </c>
      <c r="M190" s="181">
        <f t="shared" si="34"/>
        <v>10818.552968881977</v>
      </c>
      <c r="N190" s="180">
        <f t="shared" si="34"/>
        <v>8049.805952633822</v>
      </c>
      <c r="O190" s="132">
        <f t="shared" si="34"/>
        <v>2768.7470162481554</v>
      </c>
      <c r="P190" s="258">
        <v>24</v>
      </c>
      <c r="Q190" s="149">
        <f>B455</f>
        <v>615989.13834704563</v>
      </c>
      <c r="R190" s="149">
        <f>SUM(C444:C455)</f>
        <v>119045.56311917194</v>
      </c>
      <c r="S190" s="161">
        <f t="shared" ref="S190:T190" si="71">SUM(D444:D455)</f>
        <v>33143.699989310917</v>
      </c>
      <c r="T190" s="200">
        <f t="shared" si="71"/>
        <v>85901.863129861027</v>
      </c>
      <c r="U190" s="258">
        <v>24</v>
      </c>
      <c r="V190" s="183">
        <f>G455</f>
        <v>58247.908054976418</v>
      </c>
      <c r="W190" s="184">
        <f>SUM(H444:H455)</f>
        <v>10777.072507411787</v>
      </c>
      <c r="X190" s="183">
        <f t="shared" ref="X190:Y190" si="72">SUM(I444:I455)</f>
        <v>2202.1117450271377</v>
      </c>
      <c r="Y190" s="184">
        <f t="shared" si="72"/>
        <v>8574.9607623846496</v>
      </c>
      <c r="Z190" s="72">
        <v>24</v>
      </c>
      <c r="AA190" s="180">
        <f t="shared" si="43"/>
        <v>674237.04640202201</v>
      </c>
      <c r="AB190" s="180">
        <f t="shared" si="44"/>
        <v>129822.63562658374</v>
      </c>
      <c r="AC190" s="180">
        <f t="shared" si="45"/>
        <v>35345.811734338058</v>
      </c>
      <c r="AD190" s="212">
        <f t="shared" si="46"/>
        <v>94476.82389224568</v>
      </c>
    </row>
    <row r="191" spans="1:30" x14ac:dyDescent="0.25">
      <c r="A191" s="72">
        <f t="shared" si="39"/>
        <v>24</v>
      </c>
      <c r="B191" s="183">
        <f t="shared" si="30"/>
        <v>1792075.5803914084</v>
      </c>
      <c r="C191" s="184">
        <f>-'Residential Rental'!$E$95/12</f>
        <v>9920.4635932643287</v>
      </c>
      <c r="D191" s="183">
        <f>'Residential Rental'!$E$93/12*B190</f>
        <v>7477.1620082351565</v>
      </c>
      <c r="E191" s="185">
        <f t="shared" si="31"/>
        <v>2443.3015850291722</v>
      </c>
      <c r="F191" s="72">
        <f t="shared" si="40"/>
        <v>24</v>
      </c>
      <c r="G191" s="180">
        <f t="shared" si="32"/>
        <v>192186.97292104166</v>
      </c>
      <c r="H191" s="186">
        <f>-'Residential Rental'!$E$100/12</f>
        <v>898.0893756176489</v>
      </c>
      <c r="I191" s="149">
        <f>'Residential Rental'!$E$98/12*G190</f>
        <v>561.52697801271927</v>
      </c>
      <c r="J191" s="187">
        <f t="shared" si="33"/>
        <v>336.56239760492963</v>
      </c>
      <c r="K191" s="72">
        <f t="shared" si="41"/>
        <v>24</v>
      </c>
      <c r="L191" s="180">
        <f t="shared" si="34"/>
        <v>1984262.5533124502</v>
      </c>
      <c r="M191" s="181">
        <f t="shared" si="34"/>
        <v>10818.552968881977</v>
      </c>
      <c r="N191" s="180">
        <f t="shared" si="34"/>
        <v>8038.6889862478756</v>
      </c>
      <c r="O191" s="132">
        <f t="shared" si="34"/>
        <v>2779.8639826341018</v>
      </c>
      <c r="P191" s="258">
        <v>25</v>
      </c>
      <c r="Q191" s="149">
        <f>B467</f>
        <v>525692.372867884</v>
      </c>
      <c r="R191" s="149">
        <f>SUM(C456:C467)</f>
        <v>119045.56311917194</v>
      </c>
      <c r="S191" s="161">
        <f t="shared" ref="S191:T191" si="73">SUM(D456:D467)</f>
        <v>28748.797640010354</v>
      </c>
      <c r="T191" s="200">
        <f t="shared" si="73"/>
        <v>90296.765479161608</v>
      </c>
      <c r="U191" s="258">
        <v>25</v>
      </c>
      <c r="V191" s="183">
        <f>G467</f>
        <v>49367.962066642489</v>
      </c>
      <c r="W191" s="184">
        <f>SUM(H456:H467)</f>
        <v>10777.072507411787</v>
      </c>
      <c r="X191" s="183">
        <f t="shared" ref="X191:Y191" si="74">SUM(I456:I467)</f>
        <v>1897.1265190778595</v>
      </c>
      <c r="Y191" s="184">
        <f t="shared" si="74"/>
        <v>8879.9459883339277</v>
      </c>
      <c r="Z191" s="72">
        <v>25</v>
      </c>
      <c r="AA191" s="180">
        <f t="shared" si="43"/>
        <v>575060.33493452647</v>
      </c>
      <c r="AB191" s="180">
        <f t="shared" si="44"/>
        <v>129822.63562658374</v>
      </c>
      <c r="AC191" s="180">
        <f t="shared" si="45"/>
        <v>30645.924159088216</v>
      </c>
      <c r="AD191" s="212">
        <f t="shared" si="46"/>
        <v>99176.711467495537</v>
      </c>
    </row>
    <row r="192" spans="1:30" x14ac:dyDescent="0.25">
      <c r="A192" s="72">
        <f t="shared" si="39"/>
        <v>25</v>
      </c>
      <c r="B192" s="183">
        <f t="shared" si="30"/>
        <v>1789622.0983831084</v>
      </c>
      <c r="C192" s="184">
        <f>-'Residential Rental'!$E$95/12</f>
        <v>9920.4635932643287</v>
      </c>
      <c r="D192" s="183">
        <f>'Residential Rental'!$E$93/12*B191</f>
        <v>7466.9815849642018</v>
      </c>
      <c r="E192" s="185">
        <f t="shared" si="31"/>
        <v>2453.4820083001268</v>
      </c>
      <c r="F192" s="72">
        <f t="shared" si="40"/>
        <v>25</v>
      </c>
      <c r="G192" s="180">
        <f t="shared" si="32"/>
        <v>191849.42888311038</v>
      </c>
      <c r="H192" s="186">
        <f>-'Residential Rental'!$E$100/12</f>
        <v>898.0893756176489</v>
      </c>
      <c r="I192" s="149">
        <f>'Residential Rental'!$E$98/12*G191</f>
        <v>560.54533768637157</v>
      </c>
      <c r="J192" s="187">
        <f t="shared" si="33"/>
        <v>337.54403793127733</v>
      </c>
      <c r="K192" s="72">
        <f t="shared" si="41"/>
        <v>25</v>
      </c>
      <c r="L192" s="180">
        <f t="shared" si="34"/>
        <v>1981471.5272662188</v>
      </c>
      <c r="M192" s="181">
        <f t="shared" si="34"/>
        <v>10818.552968881977</v>
      </c>
      <c r="N192" s="180">
        <f t="shared" si="34"/>
        <v>8027.5269226505734</v>
      </c>
      <c r="O192" s="132">
        <f t="shared" si="34"/>
        <v>2791.0260462314041</v>
      </c>
      <c r="P192" s="258">
        <v>26</v>
      </c>
      <c r="Q192" s="149">
        <f>B479</f>
        <v>430775.8534942267</v>
      </c>
      <c r="R192" s="149">
        <f>SUM(C468:C479)</f>
        <v>119045.56311917194</v>
      </c>
      <c r="S192" s="161">
        <f t="shared" ref="S192:T192" si="75">SUM(D468:D479)</f>
        <v>24129.043745514678</v>
      </c>
      <c r="T192" s="200">
        <f t="shared" si="75"/>
        <v>94916.519373657269</v>
      </c>
      <c r="U192" s="258">
        <v>26</v>
      </c>
      <c r="V192" s="183">
        <f>G479</f>
        <v>40172.183457178733</v>
      </c>
      <c r="W192" s="184">
        <f>SUM(H468:H479)</f>
        <v>10777.072507411787</v>
      </c>
      <c r="X192" s="183">
        <f t="shared" ref="X192:Y192" si="76">SUM(I468:I479)</f>
        <v>1581.2938979480273</v>
      </c>
      <c r="Y192" s="184">
        <f t="shared" si="76"/>
        <v>9195.7786094637595</v>
      </c>
      <c r="Z192" s="72">
        <v>26</v>
      </c>
      <c r="AA192" s="180">
        <f t="shared" si="43"/>
        <v>470948.03695140546</v>
      </c>
      <c r="AB192" s="180">
        <f t="shared" si="44"/>
        <v>129822.63562658374</v>
      </c>
      <c r="AC192" s="180">
        <f t="shared" si="45"/>
        <v>25710.337643462706</v>
      </c>
      <c r="AD192" s="212">
        <f t="shared" si="46"/>
        <v>104112.29798312103</v>
      </c>
    </row>
    <row r="193" spans="1:30" x14ac:dyDescent="0.25">
      <c r="A193" s="72">
        <f t="shared" si="39"/>
        <v>26</v>
      </c>
      <c r="B193" s="183">
        <f t="shared" si="30"/>
        <v>1787158.3935331069</v>
      </c>
      <c r="C193" s="184">
        <f>-'Residential Rental'!$E$95/12</f>
        <v>9920.4635932643287</v>
      </c>
      <c r="D193" s="183">
        <f>'Residential Rental'!$E$93/12*B192</f>
        <v>7456.7587432629516</v>
      </c>
      <c r="E193" s="185">
        <f t="shared" si="31"/>
        <v>2463.7048500013771</v>
      </c>
      <c r="F193" s="72">
        <f t="shared" si="40"/>
        <v>26</v>
      </c>
      <c r="G193" s="180">
        <f t="shared" si="32"/>
        <v>191510.90034173513</v>
      </c>
      <c r="H193" s="186">
        <f>-'Residential Rental'!$E$100/12</f>
        <v>898.0893756176489</v>
      </c>
      <c r="I193" s="149">
        <f>'Residential Rental'!$E$98/12*G192</f>
        <v>559.56083424240524</v>
      </c>
      <c r="J193" s="187">
        <f t="shared" si="33"/>
        <v>338.52854137524366</v>
      </c>
      <c r="K193" s="72">
        <f t="shared" si="41"/>
        <v>26</v>
      </c>
      <c r="L193" s="180">
        <f t="shared" si="34"/>
        <v>1978669.2938748421</v>
      </c>
      <c r="M193" s="181">
        <f t="shared" si="34"/>
        <v>10818.552968881977</v>
      </c>
      <c r="N193" s="180">
        <f t="shared" si="34"/>
        <v>8016.3195775053573</v>
      </c>
      <c r="O193" s="132">
        <f t="shared" si="34"/>
        <v>2802.2333913766206</v>
      </c>
      <c r="P193" s="258">
        <v>27</v>
      </c>
      <c r="Q193" s="149">
        <f>B491</f>
        <v>331003.22484908474</v>
      </c>
      <c r="R193" s="149">
        <f>SUM(C480:C491)</f>
        <v>119045.56311917194</v>
      </c>
      <c r="S193" s="161">
        <f t="shared" ref="S193:T193" si="77">SUM(D480:D491)</f>
        <v>19272.934474030069</v>
      </c>
      <c r="T193" s="200">
        <f t="shared" si="77"/>
        <v>99772.628645141885</v>
      </c>
      <c r="U193" s="258">
        <v>27</v>
      </c>
      <c r="V193" s="183">
        <f>G491</f>
        <v>30649.33902261062</v>
      </c>
      <c r="W193" s="184">
        <f>SUM(H480:H491)</f>
        <v>10777.072507411787</v>
      </c>
      <c r="X193" s="183">
        <f t="shared" ref="X193:Y193" si="78">SUM(I480:I491)</f>
        <v>1254.2280728436683</v>
      </c>
      <c r="Y193" s="184">
        <f t="shared" si="78"/>
        <v>9522.8444345681182</v>
      </c>
      <c r="Z193" s="72">
        <v>27</v>
      </c>
      <c r="AA193" s="180">
        <f t="shared" si="43"/>
        <v>361652.56387169537</v>
      </c>
      <c r="AB193" s="180">
        <f t="shared" si="44"/>
        <v>129822.63562658374</v>
      </c>
      <c r="AC193" s="180">
        <f t="shared" si="45"/>
        <v>20527.162546873737</v>
      </c>
      <c r="AD193" s="212">
        <f t="shared" si="46"/>
        <v>109295.47307971001</v>
      </c>
    </row>
    <row r="194" spans="1:30" x14ac:dyDescent="0.25">
      <c r="A194" s="72">
        <f t="shared" si="39"/>
        <v>27</v>
      </c>
      <c r="B194" s="183">
        <f t="shared" si="30"/>
        <v>1784684.4232462305</v>
      </c>
      <c r="C194" s="184">
        <f>-'Residential Rental'!$E$95/12</f>
        <v>9920.4635932643287</v>
      </c>
      <c r="D194" s="183">
        <f>'Residential Rental'!$E$93/12*B193</f>
        <v>7446.4933063879453</v>
      </c>
      <c r="E194" s="185">
        <f t="shared" si="31"/>
        <v>2473.9702868763834</v>
      </c>
      <c r="F194" s="72">
        <f t="shared" si="40"/>
        <v>27</v>
      </c>
      <c r="G194" s="180">
        <f t="shared" si="32"/>
        <v>191171.38442544756</v>
      </c>
      <c r="H194" s="186">
        <f>-'Residential Rental'!$E$100/12</f>
        <v>898.0893756176489</v>
      </c>
      <c r="I194" s="149">
        <f>'Residential Rental'!$E$98/12*G193</f>
        <v>558.57345933006081</v>
      </c>
      <c r="J194" s="187">
        <f t="shared" si="33"/>
        <v>339.51591628758808</v>
      </c>
      <c r="K194" s="72">
        <f t="shared" si="41"/>
        <v>27</v>
      </c>
      <c r="L194" s="180">
        <f t="shared" si="34"/>
        <v>1975855.807671678</v>
      </c>
      <c r="M194" s="181">
        <f t="shared" si="34"/>
        <v>10818.552968881977</v>
      </c>
      <c r="N194" s="180">
        <f t="shared" si="34"/>
        <v>8005.0667657180056</v>
      </c>
      <c r="O194" s="132">
        <f t="shared" si="34"/>
        <v>2813.4862031639714</v>
      </c>
      <c r="P194" s="258">
        <v>28</v>
      </c>
      <c r="Q194" s="149">
        <f>B503</f>
        <v>226126.03916580798</v>
      </c>
      <c r="R194" s="149">
        <f>SUM(C492:C503)</f>
        <v>119045.56311917194</v>
      </c>
      <c r="S194" s="161">
        <f t="shared" ref="S194:T194" si="79">SUM(D492:D503)</f>
        <v>14168.377435895229</v>
      </c>
      <c r="T194" s="200">
        <f t="shared" si="79"/>
        <v>104877.18568327671</v>
      </c>
      <c r="U194" s="258">
        <v>28</v>
      </c>
      <c r="V194" s="183">
        <f>G503</f>
        <v>20787.79602812642</v>
      </c>
      <c r="W194" s="184">
        <f>SUM(H492:H503)</f>
        <v>10777.072507411787</v>
      </c>
      <c r="X194" s="183">
        <f t="shared" ref="X194:Y194" si="80">SUM(I492:I503)</f>
        <v>915.52951292758712</v>
      </c>
      <c r="Y194" s="184">
        <f t="shared" si="80"/>
        <v>9861.5429944841999</v>
      </c>
      <c r="Z194" s="72">
        <v>28</v>
      </c>
      <c r="AA194" s="180">
        <f t="shared" si="43"/>
        <v>246913.83519393438</v>
      </c>
      <c r="AB194" s="180">
        <f t="shared" si="44"/>
        <v>129822.63562658374</v>
      </c>
      <c r="AC194" s="180">
        <f t="shared" si="45"/>
        <v>15083.906948822816</v>
      </c>
      <c r="AD194" s="212">
        <f t="shared" si="46"/>
        <v>114738.72867776091</v>
      </c>
    </row>
    <row r="195" spans="1:30" x14ac:dyDescent="0.25">
      <c r="A195" s="72">
        <f t="shared" si="39"/>
        <v>28</v>
      </c>
      <c r="B195" s="183">
        <f t="shared" si="30"/>
        <v>1782200.1447498254</v>
      </c>
      <c r="C195" s="184">
        <f>-'Residential Rental'!$E$95/12</f>
        <v>9920.4635932643287</v>
      </c>
      <c r="D195" s="183">
        <f>'Residential Rental'!$E$93/12*B194</f>
        <v>7436.1850968592935</v>
      </c>
      <c r="E195" s="185">
        <f t="shared" si="31"/>
        <v>2484.2784964050352</v>
      </c>
      <c r="F195" s="72">
        <f t="shared" si="40"/>
        <v>28</v>
      </c>
      <c r="G195" s="180">
        <f t="shared" si="32"/>
        <v>190830.87825440412</v>
      </c>
      <c r="H195" s="186">
        <f>-'Residential Rental'!$E$100/12</f>
        <v>898.0893756176489</v>
      </c>
      <c r="I195" s="149">
        <f>'Residential Rental'!$E$98/12*G194</f>
        <v>557.58320457422201</v>
      </c>
      <c r="J195" s="187">
        <f t="shared" si="33"/>
        <v>340.50617104342689</v>
      </c>
      <c r="K195" s="72">
        <f t="shared" si="41"/>
        <v>28</v>
      </c>
      <c r="L195" s="180">
        <f t="shared" si="34"/>
        <v>1973031.0230042294</v>
      </c>
      <c r="M195" s="181">
        <f t="shared" si="34"/>
        <v>10818.552968881977</v>
      </c>
      <c r="N195" s="180">
        <f t="shared" si="34"/>
        <v>7993.7683014335153</v>
      </c>
      <c r="O195" s="132">
        <f t="shared" si="34"/>
        <v>2824.7846674484622</v>
      </c>
      <c r="P195" s="258">
        <v>29</v>
      </c>
      <c r="Q195" s="149">
        <f>B515</f>
        <v>115883.13761847987</v>
      </c>
      <c r="R195" s="149">
        <f>SUM(C504:C515)</f>
        <v>119045.56311917194</v>
      </c>
      <c r="S195" s="161">
        <f t="shared" ref="S195:T195" si="81">SUM(D504:D515)</f>
        <v>8802.6615718438552</v>
      </c>
      <c r="T195" s="200">
        <f t="shared" si="81"/>
        <v>110242.90154732807</v>
      </c>
      <c r="U195" s="258">
        <v>29</v>
      </c>
      <c r="V195" s="183">
        <f>G515</f>
        <v>10575.507997982737</v>
      </c>
      <c r="W195" s="184">
        <f>SUM(H504:H515)</f>
        <v>10777.072507411787</v>
      </c>
      <c r="X195" s="183">
        <f t="shared" ref="X195:Y195" si="82">SUM(I504:I515)</f>
        <v>564.78447726810271</v>
      </c>
      <c r="Y195" s="184">
        <f t="shared" si="82"/>
        <v>10212.288030143683</v>
      </c>
      <c r="Z195" s="72">
        <v>29</v>
      </c>
      <c r="AA195" s="180">
        <f t="shared" si="43"/>
        <v>126458.64561646261</v>
      </c>
      <c r="AB195" s="180">
        <f t="shared" si="44"/>
        <v>129822.63562658374</v>
      </c>
      <c r="AC195" s="180">
        <f t="shared" si="45"/>
        <v>9367.4460491119571</v>
      </c>
      <c r="AD195" s="212">
        <f t="shared" si="46"/>
        <v>120455.18957747176</v>
      </c>
    </row>
    <row r="196" spans="1:30" ht="16.5" thickBot="1" x14ac:dyDescent="0.3">
      <c r="A196" s="72">
        <f t="shared" si="39"/>
        <v>29</v>
      </c>
      <c r="B196" s="183">
        <f t="shared" si="30"/>
        <v>1779705.5150930185</v>
      </c>
      <c r="C196" s="184">
        <f>-'Residential Rental'!$E$95/12</f>
        <v>9920.4635932643287</v>
      </c>
      <c r="D196" s="183">
        <f>'Residential Rental'!$E$93/12*B195</f>
        <v>7425.8339364576059</v>
      </c>
      <c r="E196" s="185">
        <f t="shared" si="31"/>
        <v>2494.6296568067228</v>
      </c>
      <c r="F196" s="72">
        <f t="shared" si="40"/>
        <v>29</v>
      </c>
      <c r="G196" s="180">
        <f t="shared" si="32"/>
        <v>190489.37894036181</v>
      </c>
      <c r="H196" s="186">
        <f>-'Residential Rental'!$E$100/12</f>
        <v>898.0893756176489</v>
      </c>
      <c r="I196" s="149">
        <f>'Residential Rental'!$E$98/12*G195</f>
        <v>556.59006157534532</v>
      </c>
      <c r="J196" s="187">
        <f t="shared" si="33"/>
        <v>341.49931404230358</v>
      </c>
      <c r="K196" s="72">
        <f t="shared" si="41"/>
        <v>29</v>
      </c>
      <c r="L196" s="180">
        <f t="shared" si="34"/>
        <v>1970194.8940333803</v>
      </c>
      <c r="M196" s="181">
        <f t="shared" si="34"/>
        <v>10818.552968881977</v>
      </c>
      <c r="N196" s="180">
        <f t="shared" si="34"/>
        <v>7982.4239980329512</v>
      </c>
      <c r="O196" s="132">
        <f t="shared" si="34"/>
        <v>2836.1289708490262</v>
      </c>
      <c r="P196" s="307">
        <v>30</v>
      </c>
      <c r="Q196" s="195">
        <f>B527</f>
        <v>1.4133547665551305E-9</v>
      </c>
      <c r="R196" s="195">
        <f>SUM(C516:C527)</f>
        <v>119045.56311917194</v>
      </c>
      <c r="S196" s="308">
        <f t="shared" ref="S196:T196" si="83">SUM(D516:D527)</f>
        <v>3162.4255006934882</v>
      </c>
      <c r="T196" s="306">
        <f t="shared" si="83"/>
        <v>115883.13761847846</v>
      </c>
      <c r="U196" s="307">
        <v>30</v>
      </c>
      <c r="V196" s="191">
        <f>G527</f>
        <v>2.3339907784247771E-10</v>
      </c>
      <c r="W196" s="309">
        <f>SUM(H516:H527)</f>
        <v>10777.072507411787</v>
      </c>
      <c r="X196" s="191">
        <f t="shared" ref="X196:Y196" si="84">SUM(I516:I527)</f>
        <v>201.56450942928481</v>
      </c>
      <c r="Y196" s="192">
        <f t="shared" si="84"/>
        <v>10575.5079979825</v>
      </c>
      <c r="Z196" s="307">
        <v>30</v>
      </c>
      <c r="AA196" s="188">
        <f t="shared" si="43"/>
        <v>1.6467538443976082E-9</v>
      </c>
      <c r="AB196" s="188">
        <f t="shared" si="44"/>
        <v>129822.63562658374</v>
      </c>
      <c r="AC196" s="188">
        <f t="shared" si="45"/>
        <v>3363.9900101227731</v>
      </c>
      <c r="AD196" s="244">
        <f t="shared" si="46"/>
        <v>126458.64561646096</v>
      </c>
    </row>
    <row r="197" spans="1:30" x14ac:dyDescent="0.25">
      <c r="A197" s="72">
        <f t="shared" si="39"/>
        <v>30</v>
      </c>
      <c r="B197" s="183">
        <f t="shared" si="30"/>
        <v>1777200.4911459752</v>
      </c>
      <c r="C197" s="184">
        <f>-'Residential Rental'!$E$95/12</f>
        <v>9920.4635932643287</v>
      </c>
      <c r="D197" s="183">
        <f>'Residential Rental'!$E$93/12*B196</f>
        <v>7415.4396462209106</v>
      </c>
      <c r="E197" s="185">
        <f t="shared" si="31"/>
        <v>2505.023947043418</v>
      </c>
      <c r="F197" s="72">
        <f t="shared" si="40"/>
        <v>30</v>
      </c>
      <c r="G197" s="180">
        <f t="shared" si="32"/>
        <v>190146.88358665357</v>
      </c>
      <c r="H197" s="186">
        <f>-'Residential Rental'!$E$100/12</f>
        <v>898.0893756176489</v>
      </c>
      <c r="I197" s="149">
        <f>'Residential Rental'!$E$98/12*G196</f>
        <v>555.59402190938863</v>
      </c>
      <c r="J197" s="187">
        <f t="shared" si="33"/>
        <v>342.49535370826027</v>
      </c>
      <c r="K197" s="72">
        <f t="shared" si="41"/>
        <v>30</v>
      </c>
      <c r="L197" s="180">
        <f t="shared" si="34"/>
        <v>1967347.3747326287</v>
      </c>
      <c r="M197" s="181">
        <f t="shared" si="34"/>
        <v>10818.552968881977</v>
      </c>
      <c r="N197" s="180">
        <f t="shared" si="34"/>
        <v>7971.0336681302997</v>
      </c>
      <c r="O197" s="132">
        <f t="shared" si="34"/>
        <v>2847.5193007516782</v>
      </c>
    </row>
    <row r="198" spans="1:30" x14ac:dyDescent="0.25">
      <c r="A198" s="72">
        <f t="shared" si="39"/>
        <v>31</v>
      </c>
      <c r="B198" s="183">
        <f t="shared" si="30"/>
        <v>1774685.0295991525</v>
      </c>
      <c r="C198" s="184">
        <f>-'Residential Rental'!$E$95/12</f>
        <v>9920.4635932643287</v>
      </c>
      <c r="D198" s="183">
        <f>'Residential Rental'!$E$93/12*B197</f>
        <v>7405.0020464415629</v>
      </c>
      <c r="E198" s="185">
        <f t="shared" si="31"/>
        <v>2515.4615468227657</v>
      </c>
      <c r="F198" s="72">
        <f t="shared" si="40"/>
        <v>31</v>
      </c>
      <c r="G198" s="180">
        <f t="shared" si="32"/>
        <v>189803.38928816366</v>
      </c>
      <c r="H198" s="186">
        <f>-'Residential Rental'!$E$100/12</f>
        <v>898.0893756176489</v>
      </c>
      <c r="I198" s="149">
        <f>'Residential Rental'!$E$98/12*G197</f>
        <v>554.59507712773961</v>
      </c>
      <c r="J198" s="187">
        <f t="shared" si="33"/>
        <v>343.49429848990928</v>
      </c>
      <c r="K198" s="72">
        <f t="shared" si="41"/>
        <v>31</v>
      </c>
      <c r="L198" s="180">
        <f t="shared" si="34"/>
        <v>1964488.4188873162</v>
      </c>
      <c r="M198" s="181">
        <f t="shared" si="34"/>
        <v>10818.552968881977</v>
      </c>
      <c r="N198" s="180">
        <f t="shared" si="34"/>
        <v>7959.5971235693023</v>
      </c>
      <c r="O198" s="132">
        <f t="shared" si="34"/>
        <v>2858.9558453126751</v>
      </c>
    </row>
    <row r="199" spans="1:30" x14ac:dyDescent="0.25">
      <c r="A199" s="72">
        <f t="shared" si="39"/>
        <v>32</v>
      </c>
      <c r="B199" s="183">
        <f t="shared" si="30"/>
        <v>1772159.0869625513</v>
      </c>
      <c r="C199" s="184">
        <f>-'Residential Rental'!$E$95/12</f>
        <v>9920.4635932643287</v>
      </c>
      <c r="D199" s="183">
        <f>'Residential Rental'!$E$93/12*B198</f>
        <v>7394.5209566631356</v>
      </c>
      <c r="E199" s="185">
        <f t="shared" si="31"/>
        <v>2525.942636601193</v>
      </c>
      <c r="F199" s="72">
        <f t="shared" si="40"/>
        <v>32</v>
      </c>
      <c r="G199" s="180">
        <f t="shared" si="32"/>
        <v>189458.89313130316</v>
      </c>
      <c r="H199" s="186">
        <f>-'Residential Rental'!$E$100/12</f>
        <v>898.0893756176489</v>
      </c>
      <c r="I199" s="149">
        <f>'Residential Rental'!$E$98/12*G198</f>
        <v>553.59321875714397</v>
      </c>
      <c r="J199" s="187">
        <f t="shared" si="33"/>
        <v>344.49615686050493</v>
      </c>
      <c r="K199" s="72">
        <f t="shared" si="41"/>
        <v>32</v>
      </c>
      <c r="L199" s="180">
        <f t="shared" si="34"/>
        <v>1961617.9800938545</v>
      </c>
      <c r="M199" s="181">
        <f t="shared" si="34"/>
        <v>10818.552968881977</v>
      </c>
      <c r="N199" s="180">
        <f t="shared" si="34"/>
        <v>7948.1141754202799</v>
      </c>
      <c r="O199" s="132">
        <f t="shared" si="34"/>
        <v>2870.438793461698</v>
      </c>
    </row>
    <row r="200" spans="1:30" x14ac:dyDescent="0.25">
      <c r="A200" s="72">
        <f t="shared" si="39"/>
        <v>33</v>
      </c>
      <c r="B200" s="183">
        <f t="shared" si="30"/>
        <v>1769622.6195649642</v>
      </c>
      <c r="C200" s="184">
        <f>-'Residential Rental'!$E$95/12</f>
        <v>9920.4635932643287</v>
      </c>
      <c r="D200" s="183">
        <f>'Residential Rental'!$E$93/12*B199</f>
        <v>7383.9961956772968</v>
      </c>
      <c r="E200" s="185">
        <f t="shared" si="31"/>
        <v>2536.4673975870319</v>
      </c>
      <c r="F200" s="72">
        <f t="shared" si="40"/>
        <v>33</v>
      </c>
      <c r="G200" s="180">
        <f t="shared" si="32"/>
        <v>189113.39219398514</v>
      </c>
      <c r="H200" s="186">
        <f>-'Residential Rental'!$E$100/12</f>
        <v>898.0893756176489</v>
      </c>
      <c r="I200" s="149">
        <f>'Residential Rental'!$E$98/12*G199</f>
        <v>552.58843829963428</v>
      </c>
      <c r="J200" s="187">
        <f t="shared" si="33"/>
        <v>345.50093731801462</v>
      </c>
      <c r="K200" s="72">
        <f t="shared" si="41"/>
        <v>33</v>
      </c>
      <c r="L200" s="180">
        <f t="shared" si="34"/>
        <v>1958736.0117589494</v>
      </c>
      <c r="M200" s="181">
        <f t="shared" si="34"/>
        <v>10818.552968881977</v>
      </c>
      <c r="N200" s="180">
        <f t="shared" si="34"/>
        <v>7936.5846339769314</v>
      </c>
      <c r="O200" s="132">
        <f t="shared" si="34"/>
        <v>2881.9683349050465</v>
      </c>
    </row>
    <row r="201" spans="1:30" x14ac:dyDescent="0.25">
      <c r="A201" s="72">
        <f t="shared" si="39"/>
        <v>34</v>
      </c>
      <c r="B201" s="183">
        <f t="shared" si="30"/>
        <v>1767075.5835532206</v>
      </c>
      <c r="C201" s="184">
        <f>-'Residential Rental'!$E$95/12</f>
        <v>9920.4635932643287</v>
      </c>
      <c r="D201" s="183">
        <f>'Residential Rental'!$E$93/12*B200</f>
        <v>7373.4275815206838</v>
      </c>
      <c r="E201" s="185">
        <f t="shared" si="31"/>
        <v>2547.0360117436448</v>
      </c>
      <c r="F201" s="72">
        <f t="shared" si="40"/>
        <v>34</v>
      </c>
      <c r="G201" s="180">
        <f t="shared" si="32"/>
        <v>188766.88354559994</v>
      </c>
      <c r="H201" s="186">
        <f>-'Residential Rental'!$E$100/12</f>
        <v>898.0893756176489</v>
      </c>
      <c r="I201" s="149">
        <f>'Residential Rental'!$E$98/12*G200</f>
        <v>551.58072723245664</v>
      </c>
      <c r="J201" s="187">
        <f t="shared" si="33"/>
        <v>346.50864838519226</v>
      </c>
      <c r="K201" s="72">
        <f t="shared" si="41"/>
        <v>34</v>
      </c>
      <c r="L201" s="180">
        <f t="shared" si="34"/>
        <v>1955842.4670988205</v>
      </c>
      <c r="M201" s="181">
        <f t="shared" si="34"/>
        <v>10818.552968881977</v>
      </c>
      <c r="N201" s="180">
        <f t="shared" si="34"/>
        <v>7925.0083087531402</v>
      </c>
      <c r="O201" s="132">
        <f t="shared" si="34"/>
        <v>2893.5446601288372</v>
      </c>
    </row>
    <row r="202" spans="1:30" x14ac:dyDescent="0.25">
      <c r="A202" s="72">
        <f t="shared" si="39"/>
        <v>35</v>
      </c>
      <c r="B202" s="183">
        <f t="shared" si="30"/>
        <v>1764517.9348914281</v>
      </c>
      <c r="C202" s="184">
        <f>-'Residential Rental'!$E$95/12</f>
        <v>9920.4635932643287</v>
      </c>
      <c r="D202" s="183">
        <f>'Residential Rental'!$E$93/12*B201</f>
        <v>7362.8149314717521</v>
      </c>
      <c r="E202" s="185">
        <f t="shared" si="31"/>
        <v>2557.6486617925766</v>
      </c>
      <c r="F202" s="72">
        <f t="shared" si="40"/>
        <v>35</v>
      </c>
      <c r="G202" s="180">
        <f t="shared" si="32"/>
        <v>188419.3642469903</v>
      </c>
      <c r="H202" s="186">
        <f>-'Residential Rental'!$E$100/12</f>
        <v>898.0893756176489</v>
      </c>
      <c r="I202" s="149">
        <f>'Residential Rental'!$E$98/12*G201</f>
        <v>550.57007700799988</v>
      </c>
      <c r="J202" s="187">
        <f t="shared" si="33"/>
        <v>347.51929860964901</v>
      </c>
      <c r="K202" s="72">
        <f t="shared" si="41"/>
        <v>35</v>
      </c>
      <c r="L202" s="180">
        <f t="shared" si="34"/>
        <v>1952937.2991384184</v>
      </c>
      <c r="M202" s="181">
        <f t="shared" si="34"/>
        <v>10818.552968881977</v>
      </c>
      <c r="N202" s="180">
        <f t="shared" si="34"/>
        <v>7913.3850084797523</v>
      </c>
      <c r="O202" s="132">
        <f t="shared" si="34"/>
        <v>2905.1679604022256</v>
      </c>
    </row>
    <row r="203" spans="1:30" x14ac:dyDescent="0.25">
      <c r="A203" s="72">
        <f t="shared" si="39"/>
        <v>36</v>
      </c>
      <c r="B203" s="183">
        <f t="shared" si="30"/>
        <v>1761949.6293602113</v>
      </c>
      <c r="C203" s="184">
        <f>-'Residential Rental'!$E$95/12</f>
        <v>9920.4635932643287</v>
      </c>
      <c r="D203" s="183">
        <f>'Residential Rental'!$E$93/12*B202</f>
        <v>7352.158062047617</v>
      </c>
      <c r="E203" s="185">
        <f t="shared" si="31"/>
        <v>2568.3055312167116</v>
      </c>
      <c r="F203" s="72">
        <f t="shared" si="40"/>
        <v>36</v>
      </c>
      <c r="G203" s="180">
        <f t="shared" si="32"/>
        <v>188070.83135042636</v>
      </c>
      <c r="H203" s="186">
        <f>-'Residential Rental'!$E$100/12</f>
        <v>898.0893756176489</v>
      </c>
      <c r="I203" s="149">
        <f>'Residential Rental'!$E$98/12*G202</f>
        <v>549.55647905372177</v>
      </c>
      <c r="J203" s="187">
        <f t="shared" si="33"/>
        <v>348.53289656392712</v>
      </c>
      <c r="K203" s="72">
        <f t="shared" si="41"/>
        <v>36</v>
      </c>
      <c r="L203" s="180">
        <f t="shared" si="34"/>
        <v>1950020.4607106377</v>
      </c>
      <c r="M203" s="181">
        <f t="shared" si="34"/>
        <v>10818.552968881977</v>
      </c>
      <c r="N203" s="180">
        <f t="shared" si="34"/>
        <v>7901.7145411013389</v>
      </c>
      <c r="O203" s="132">
        <f t="shared" si="34"/>
        <v>2916.838427780639</v>
      </c>
    </row>
    <row r="204" spans="1:30" x14ac:dyDescent="0.25">
      <c r="A204" s="72">
        <f t="shared" si="39"/>
        <v>37</v>
      </c>
      <c r="B204" s="183">
        <f t="shared" si="30"/>
        <v>1759370.6225559479</v>
      </c>
      <c r="C204" s="184">
        <f>-'Residential Rental'!$E$95/12</f>
        <v>9920.4635932643287</v>
      </c>
      <c r="D204" s="183">
        <f>'Residential Rental'!$E$93/12*B203</f>
        <v>7341.4567890008802</v>
      </c>
      <c r="E204" s="185">
        <f t="shared" si="31"/>
        <v>2579.0068042634484</v>
      </c>
      <c r="F204" s="72">
        <f t="shared" si="40"/>
        <v>37</v>
      </c>
      <c r="G204" s="180">
        <f t="shared" si="32"/>
        <v>187721.28189958079</v>
      </c>
      <c r="H204" s="186">
        <f>-'Residential Rental'!$E$100/12</f>
        <v>898.0893756176489</v>
      </c>
      <c r="I204" s="149">
        <f>'Residential Rental'!$E$98/12*G203</f>
        <v>548.53992477207692</v>
      </c>
      <c r="J204" s="187">
        <f t="shared" si="33"/>
        <v>349.54945084557198</v>
      </c>
      <c r="K204" s="72">
        <f t="shared" si="41"/>
        <v>37</v>
      </c>
      <c r="L204" s="180">
        <f t="shared" si="34"/>
        <v>1947091.9044555286</v>
      </c>
      <c r="M204" s="181">
        <f t="shared" si="34"/>
        <v>10818.552968881977</v>
      </c>
      <c r="N204" s="180">
        <f t="shared" si="34"/>
        <v>7889.9967137729573</v>
      </c>
      <c r="O204" s="132">
        <f t="shared" si="34"/>
        <v>2928.5562551090206</v>
      </c>
    </row>
    <row r="205" spans="1:30" x14ac:dyDescent="0.25">
      <c r="A205" s="72">
        <f t="shared" si="39"/>
        <v>38</v>
      </c>
      <c r="B205" s="183">
        <f t="shared" si="30"/>
        <v>1756780.86989</v>
      </c>
      <c r="C205" s="184">
        <f>-'Residential Rental'!$E$95/12</f>
        <v>9920.4635932643287</v>
      </c>
      <c r="D205" s="183">
        <f>'Residential Rental'!$E$93/12*B204</f>
        <v>7330.7109273164497</v>
      </c>
      <c r="E205" s="185">
        <f t="shared" si="31"/>
        <v>2589.752665947879</v>
      </c>
      <c r="F205" s="72">
        <f t="shared" si="40"/>
        <v>38</v>
      </c>
      <c r="G205" s="180">
        <f t="shared" si="32"/>
        <v>187370.71292950358</v>
      </c>
      <c r="H205" s="186">
        <f>-'Residential Rental'!$E$100/12</f>
        <v>898.0893756176489</v>
      </c>
      <c r="I205" s="149">
        <f>'Residential Rental'!$E$98/12*G204</f>
        <v>547.52040554044402</v>
      </c>
      <c r="J205" s="187">
        <f t="shared" si="33"/>
        <v>350.56897007720488</v>
      </c>
      <c r="K205" s="72">
        <f t="shared" si="41"/>
        <v>38</v>
      </c>
      <c r="L205" s="180">
        <f t="shared" si="34"/>
        <v>1944151.5828195035</v>
      </c>
      <c r="M205" s="181">
        <f t="shared" si="34"/>
        <v>10818.552968881977</v>
      </c>
      <c r="N205" s="180">
        <f t="shared" si="34"/>
        <v>7878.2313328568935</v>
      </c>
      <c r="O205" s="132">
        <f t="shared" si="34"/>
        <v>2940.321636025084</v>
      </c>
    </row>
    <row r="206" spans="1:30" x14ac:dyDescent="0.25">
      <c r="A206" s="72">
        <f t="shared" si="39"/>
        <v>39</v>
      </c>
      <c r="B206" s="183">
        <f t="shared" si="30"/>
        <v>1754180.3265879441</v>
      </c>
      <c r="C206" s="184">
        <f>-'Residential Rental'!$E$95/12</f>
        <v>9920.4635932643287</v>
      </c>
      <c r="D206" s="183">
        <f>'Residential Rental'!$E$93/12*B205</f>
        <v>7319.9202912083329</v>
      </c>
      <c r="E206" s="185">
        <f t="shared" si="31"/>
        <v>2600.5433020559958</v>
      </c>
      <c r="F206" s="72">
        <f t="shared" si="40"/>
        <v>39</v>
      </c>
      <c r="G206" s="180">
        <f t="shared" si="32"/>
        <v>187019.12146659699</v>
      </c>
      <c r="H206" s="186">
        <f>-'Residential Rental'!$E$100/12</f>
        <v>898.0893756176489</v>
      </c>
      <c r="I206" s="149">
        <f>'Residential Rental'!$E$98/12*G205</f>
        <v>546.49791271105209</v>
      </c>
      <c r="J206" s="187">
        <f t="shared" si="33"/>
        <v>351.5914629065968</v>
      </c>
      <c r="K206" s="72">
        <f t="shared" si="41"/>
        <v>39</v>
      </c>
      <c r="L206" s="180">
        <f t="shared" si="34"/>
        <v>1941199.4480545411</v>
      </c>
      <c r="M206" s="181">
        <f t="shared" si="34"/>
        <v>10818.552968881977</v>
      </c>
      <c r="N206" s="180">
        <f t="shared" si="34"/>
        <v>7866.4182039193847</v>
      </c>
      <c r="O206" s="132">
        <f t="shared" si="34"/>
        <v>2952.1347649625927</v>
      </c>
    </row>
    <row r="207" spans="1:30" x14ac:dyDescent="0.25">
      <c r="A207" s="72">
        <f t="shared" si="39"/>
        <v>40</v>
      </c>
      <c r="B207" s="183">
        <f t="shared" si="30"/>
        <v>1751568.9476887961</v>
      </c>
      <c r="C207" s="184">
        <f>-'Residential Rental'!$E$95/12</f>
        <v>9920.4635932643287</v>
      </c>
      <c r="D207" s="183">
        <f>'Residential Rental'!$E$93/12*B206</f>
        <v>7309.0846941164336</v>
      </c>
      <c r="E207" s="185">
        <f t="shared" si="31"/>
        <v>2611.378899147895</v>
      </c>
      <c r="F207" s="72">
        <f t="shared" si="40"/>
        <v>40</v>
      </c>
      <c r="G207" s="180">
        <f t="shared" si="32"/>
        <v>186666.50452859025</v>
      </c>
      <c r="H207" s="186">
        <f>-'Residential Rental'!$E$100/12</f>
        <v>898.0893756176489</v>
      </c>
      <c r="I207" s="149">
        <f>'Residential Rental'!$E$98/12*G206</f>
        <v>545.47243761090795</v>
      </c>
      <c r="J207" s="187">
        <f t="shared" si="33"/>
        <v>352.61693800674095</v>
      </c>
      <c r="K207" s="72">
        <f t="shared" si="41"/>
        <v>40</v>
      </c>
      <c r="L207" s="180">
        <f t="shared" si="34"/>
        <v>1938235.4522173863</v>
      </c>
      <c r="M207" s="181">
        <f t="shared" si="34"/>
        <v>10818.552968881977</v>
      </c>
      <c r="N207" s="180">
        <f t="shared" si="34"/>
        <v>7854.5571317273416</v>
      </c>
      <c r="O207" s="132">
        <f t="shared" si="34"/>
        <v>2963.9958371546359</v>
      </c>
    </row>
    <row r="208" spans="1:30" x14ac:dyDescent="0.25">
      <c r="A208" s="72">
        <f t="shared" si="39"/>
        <v>41</v>
      </c>
      <c r="B208" s="183">
        <f t="shared" si="30"/>
        <v>1748946.6880442351</v>
      </c>
      <c r="C208" s="184">
        <f>-'Residential Rental'!$E$95/12</f>
        <v>9920.4635932643287</v>
      </c>
      <c r="D208" s="183">
        <f>'Residential Rental'!$E$93/12*B207</f>
        <v>7298.2039487033171</v>
      </c>
      <c r="E208" s="185">
        <f t="shared" si="31"/>
        <v>2622.2596445610116</v>
      </c>
      <c r="F208" s="72">
        <f t="shared" si="40"/>
        <v>41</v>
      </c>
      <c r="G208" s="180">
        <f t="shared" si="32"/>
        <v>186312.8591245143</v>
      </c>
      <c r="H208" s="186">
        <f>-'Residential Rental'!$E$100/12</f>
        <v>898.0893756176489</v>
      </c>
      <c r="I208" s="149">
        <f>'Residential Rental'!$E$98/12*G207</f>
        <v>544.44397154172157</v>
      </c>
      <c r="J208" s="187">
        <f t="shared" si="33"/>
        <v>353.64540407592733</v>
      </c>
      <c r="K208" s="72">
        <f t="shared" si="41"/>
        <v>41</v>
      </c>
      <c r="L208" s="180">
        <f t="shared" si="34"/>
        <v>1935259.5471687494</v>
      </c>
      <c r="M208" s="181">
        <f t="shared" si="34"/>
        <v>10818.552968881977</v>
      </c>
      <c r="N208" s="180">
        <f t="shared" si="34"/>
        <v>7842.6479202450391</v>
      </c>
      <c r="O208" s="132">
        <f t="shared" si="34"/>
        <v>2975.9050486369388</v>
      </c>
    </row>
    <row r="209" spans="1:15" x14ac:dyDescent="0.25">
      <c r="A209" s="72">
        <f t="shared" si="39"/>
        <v>42</v>
      </c>
      <c r="B209" s="183">
        <f t="shared" si="30"/>
        <v>1746313.5023178218</v>
      </c>
      <c r="C209" s="184">
        <f>-'Residential Rental'!$E$95/12</f>
        <v>9920.4635932643287</v>
      </c>
      <c r="D209" s="183">
        <f>'Residential Rental'!$E$93/12*B208</f>
        <v>7287.2778668509791</v>
      </c>
      <c r="E209" s="185">
        <f t="shared" si="31"/>
        <v>2633.1857264133496</v>
      </c>
      <c r="F209" s="72">
        <f t="shared" si="40"/>
        <v>42</v>
      </c>
      <c r="G209" s="180">
        <f t="shared" si="32"/>
        <v>185958.18225467647</v>
      </c>
      <c r="H209" s="186">
        <f>-'Residential Rental'!$E$100/12</f>
        <v>898.0893756176489</v>
      </c>
      <c r="I209" s="149">
        <f>'Residential Rental'!$E$98/12*G208</f>
        <v>543.4125057798334</v>
      </c>
      <c r="J209" s="187">
        <f t="shared" si="33"/>
        <v>354.6768698378155</v>
      </c>
      <c r="K209" s="72">
        <f t="shared" si="41"/>
        <v>42</v>
      </c>
      <c r="L209" s="180">
        <f t="shared" si="34"/>
        <v>1932271.6845724983</v>
      </c>
      <c r="M209" s="181">
        <f t="shared" si="34"/>
        <v>10818.552968881977</v>
      </c>
      <c r="N209" s="180">
        <f t="shared" si="34"/>
        <v>7830.6903726308128</v>
      </c>
      <c r="O209" s="132">
        <f t="shared" si="34"/>
        <v>2987.8625962511651</v>
      </c>
    </row>
    <row r="210" spans="1:15" x14ac:dyDescent="0.25">
      <c r="A210" s="72">
        <f t="shared" si="39"/>
        <v>43</v>
      </c>
      <c r="B210" s="183">
        <f t="shared" si="30"/>
        <v>1743669.3449842152</v>
      </c>
      <c r="C210" s="184">
        <f>-'Residential Rental'!$E$95/12</f>
        <v>9920.4635932643287</v>
      </c>
      <c r="D210" s="183">
        <f>'Residential Rental'!$E$93/12*B209</f>
        <v>7276.306259657591</v>
      </c>
      <c r="E210" s="185">
        <f t="shared" si="31"/>
        <v>2644.1573336067377</v>
      </c>
      <c r="F210" s="72">
        <f t="shared" si="40"/>
        <v>43</v>
      </c>
      <c r="G210" s="180">
        <f t="shared" si="32"/>
        <v>185602.47091063496</v>
      </c>
      <c r="H210" s="186">
        <f>-'Residential Rental'!$E$100/12</f>
        <v>898.0893756176489</v>
      </c>
      <c r="I210" s="149">
        <f>'Residential Rental'!$E$98/12*G209</f>
        <v>542.37803157613973</v>
      </c>
      <c r="J210" s="187">
        <f t="shared" si="33"/>
        <v>355.71134404150916</v>
      </c>
      <c r="K210" s="72">
        <f t="shared" si="41"/>
        <v>43</v>
      </c>
      <c r="L210" s="180">
        <f t="shared" si="34"/>
        <v>1929271.8158948501</v>
      </c>
      <c r="M210" s="181">
        <f t="shared" si="34"/>
        <v>10818.552968881977</v>
      </c>
      <c r="N210" s="180">
        <f t="shared" si="34"/>
        <v>7818.6842912337306</v>
      </c>
      <c r="O210" s="132">
        <f t="shared" si="34"/>
        <v>2999.8686776482468</v>
      </c>
    </row>
    <row r="211" spans="1:15" x14ac:dyDescent="0.25">
      <c r="A211" s="72">
        <f t="shared" si="39"/>
        <v>44</v>
      </c>
      <c r="B211" s="183">
        <f t="shared" si="30"/>
        <v>1741014.1703283852</v>
      </c>
      <c r="C211" s="184">
        <f>-'Residential Rental'!$E$95/12</f>
        <v>9920.4635932643287</v>
      </c>
      <c r="D211" s="183">
        <f>'Residential Rental'!$E$93/12*B210</f>
        <v>7265.2889374342303</v>
      </c>
      <c r="E211" s="185">
        <f t="shared" si="31"/>
        <v>2655.1746558300983</v>
      </c>
      <c r="F211" s="72">
        <f t="shared" si="40"/>
        <v>44</v>
      </c>
      <c r="G211" s="180">
        <f t="shared" si="32"/>
        <v>185245.72207517334</v>
      </c>
      <c r="H211" s="186">
        <f>-'Residential Rental'!$E$100/12</f>
        <v>898.0893756176489</v>
      </c>
      <c r="I211" s="149">
        <f>'Residential Rental'!$E$98/12*G210</f>
        <v>541.34054015601862</v>
      </c>
      <c r="J211" s="187">
        <f t="shared" si="33"/>
        <v>356.74883546163028</v>
      </c>
      <c r="K211" s="72">
        <f t="shared" si="41"/>
        <v>44</v>
      </c>
      <c r="L211" s="180">
        <f t="shared" si="34"/>
        <v>1926259.8924035586</v>
      </c>
      <c r="M211" s="181">
        <f t="shared" si="34"/>
        <v>10818.552968881977</v>
      </c>
      <c r="N211" s="180">
        <f t="shared" si="34"/>
        <v>7806.6294775902488</v>
      </c>
      <c r="O211" s="132">
        <f t="shared" si="34"/>
        <v>3011.9234912917286</v>
      </c>
    </row>
    <row r="212" spans="1:15" x14ac:dyDescent="0.25">
      <c r="A212" s="72">
        <f t="shared" si="39"/>
        <v>45</v>
      </c>
      <c r="B212" s="183">
        <f t="shared" si="30"/>
        <v>1738347.9324448225</v>
      </c>
      <c r="C212" s="184">
        <f>-'Residential Rental'!$E$95/12</f>
        <v>9920.4635932643287</v>
      </c>
      <c r="D212" s="183">
        <f>'Residential Rental'!$E$93/12*B211</f>
        <v>7254.2257097016045</v>
      </c>
      <c r="E212" s="185">
        <f t="shared" si="31"/>
        <v>2666.2378835627242</v>
      </c>
      <c r="F212" s="72">
        <f t="shared" si="40"/>
        <v>45</v>
      </c>
      <c r="G212" s="180">
        <f t="shared" si="32"/>
        <v>184887.93272227494</v>
      </c>
      <c r="H212" s="186">
        <f>-'Residential Rental'!$E$100/12</f>
        <v>898.0893756176489</v>
      </c>
      <c r="I212" s="149">
        <f>'Residential Rental'!$E$98/12*G211</f>
        <v>540.30002271925559</v>
      </c>
      <c r="J212" s="187">
        <f t="shared" si="33"/>
        <v>357.7893528983933</v>
      </c>
      <c r="K212" s="72">
        <f t="shared" si="41"/>
        <v>45</v>
      </c>
      <c r="L212" s="180">
        <f t="shared" si="34"/>
        <v>1923235.8651670974</v>
      </c>
      <c r="M212" s="181">
        <f t="shared" si="34"/>
        <v>10818.552968881977</v>
      </c>
      <c r="N212" s="180">
        <f t="shared" si="34"/>
        <v>7794.5257324208596</v>
      </c>
      <c r="O212" s="132">
        <f t="shared" si="34"/>
        <v>3024.0272364611174</v>
      </c>
    </row>
    <row r="213" spans="1:15" x14ac:dyDescent="0.25">
      <c r="A213" s="72">
        <f t="shared" si="39"/>
        <v>46</v>
      </c>
      <c r="B213" s="183">
        <f t="shared" si="30"/>
        <v>1735670.585236745</v>
      </c>
      <c r="C213" s="184">
        <f>-'Residential Rental'!$E$95/12</f>
        <v>9920.4635932643287</v>
      </c>
      <c r="D213" s="183">
        <f>'Residential Rental'!$E$93/12*B212</f>
        <v>7243.1163851867605</v>
      </c>
      <c r="E213" s="185">
        <f t="shared" si="31"/>
        <v>2677.3472080775682</v>
      </c>
      <c r="F213" s="72">
        <f t="shared" si="40"/>
        <v>46</v>
      </c>
      <c r="G213" s="180">
        <f t="shared" si="32"/>
        <v>184529.09981709727</v>
      </c>
      <c r="H213" s="186">
        <f>-'Residential Rental'!$E$100/12</f>
        <v>898.0893756176489</v>
      </c>
      <c r="I213" s="149">
        <f>'Residential Rental'!$E$98/12*G212</f>
        <v>539.25647043996855</v>
      </c>
      <c r="J213" s="187">
        <f t="shared" si="33"/>
        <v>358.83290517768035</v>
      </c>
      <c r="K213" s="72">
        <f t="shared" si="41"/>
        <v>46</v>
      </c>
      <c r="L213" s="180">
        <f t="shared" si="34"/>
        <v>1920199.6850538421</v>
      </c>
      <c r="M213" s="181">
        <f t="shared" si="34"/>
        <v>10818.552968881977</v>
      </c>
      <c r="N213" s="180">
        <f t="shared" si="34"/>
        <v>7782.3728556267288</v>
      </c>
      <c r="O213" s="132">
        <f t="shared" si="34"/>
        <v>3036.1801132552487</v>
      </c>
    </row>
    <row r="214" spans="1:15" x14ac:dyDescent="0.25">
      <c r="A214" s="72">
        <f t="shared" si="39"/>
        <v>47</v>
      </c>
      <c r="B214" s="183">
        <f t="shared" si="30"/>
        <v>1732982.0824153004</v>
      </c>
      <c r="C214" s="184">
        <f>-'Residential Rental'!$E$95/12</f>
        <v>9920.4635932643287</v>
      </c>
      <c r="D214" s="183">
        <f>'Residential Rental'!$E$93/12*B213</f>
        <v>7231.9607718197703</v>
      </c>
      <c r="E214" s="185">
        <f t="shared" si="31"/>
        <v>2688.5028214445583</v>
      </c>
      <c r="F214" s="72">
        <f t="shared" si="40"/>
        <v>47</v>
      </c>
      <c r="G214" s="180">
        <f t="shared" si="32"/>
        <v>184169.22031594615</v>
      </c>
      <c r="H214" s="186">
        <f>-'Residential Rental'!$E$100/12</f>
        <v>898.0893756176489</v>
      </c>
      <c r="I214" s="149">
        <f>'Residential Rental'!$E$98/12*G213</f>
        <v>538.20987446653373</v>
      </c>
      <c r="J214" s="187">
        <f t="shared" si="33"/>
        <v>359.87950115111516</v>
      </c>
      <c r="K214" s="72">
        <f t="shared" si="41"/>
        <v>47</v>
      </c>
      <c r="L214" s="180">
        <f t="shared" si="34"/>
        <v>1917151.3027312467</v>
      </c>
      <c r="M214" s="181">
        <f t="shared" si="34"/>
        <v>10818.552968881977</v>
      </c>
      <c r="N214" s="180">
        <f t="shared" si="34"/>
        <v>7770.170646286304</v>
      </c>
      <c r="O214" s="132">
        <f t="shared" si="34"/>
        <v>3048.3823225956735</v>
      </c>
    </row>
    <row r="215" spans="1:15" x14ac:dyDescent="0.25">
      <c r="A215" s="72">
        <f t="shared" si="39"/>
        <v>48</v>
      </c>
      <c r="B215" s="183">
        <f t="shared" si="30"/>
        <v>1730282.3774987664</v>
      </c>
      <c r="C215" s="184">
        <f>-'Residential Rental'!$E$95/12</f>
        <v>9920.4635932643287</v>
      </c>
      <c r="D215" s="183">
        <f>'Residential Rental'!$E$93/12*B214</f>
        <v>7220.7586767304183</v>
      </c>
      <c r="E215" s="185">
        <f t="shared" si="31"/>
        <v>2699.7049165339104</v>
      </c>
      <c r="F215" s="72">
        <f t="shared" si="40"/>
        <v>48</v>
      </c>
      <c r="G215" s="180">
        <f t="shared" si="32"/>
        <v>183808.29116625001</v>
      </c>
      <c r="H215" s="186">
        <f>-'Residential Rental'!$E$100/12</f>
        <v>898.0893756176489</v>
      </c>
      <c r="I215" s="149">
        <f>'Residential Rental'!$E$98/12*G214</f>
        <v>537.16022592150966</v>
      </c>
      <c r="J215" s="187">
        <f t="shared" si="33"/>
        <v>360.92914969613923</v>
      </c>
      <c r="K215" s="72">
        <f t="shared" si="41"/>
        <v>48</v>
      </c>
      <c r="L215" s="180">
        <f t="shared" si="34"/>
        <v>1914090.6686650165</v>
      </c>
      <c r="M215" s="181">
        <f t="shared" si="34"/>
        <v>10818.552968881977</v>
      </c>
      <c r="N215" s="180">
        <f t="shared" si="34"/>
        <v>7757.918902651928</v>
      </c>
      <c r="O215" s="132">
        <f t="shared" si="34"/>
        <v>3060.6340662300495</v>
      </c>
    </row>
    <row r="216" spans="1:15" x14ac:dyDescent="0.25">
      <c r="A216" s="72">
        <f t="shared" si="39"/>
        <v>49</v>
      </c>
      <c r="B216" s="183">
        <f t="shared" si="30"/>
        <v>1727571.423811747</v>
      </c>
      <c r="C216" s="184">
        <f>-'Residential Rental'!$E$95/12</f>
        <v>9920.4635932643287</v>
      </c>
      <c r="D216" s="183">
        <f>'Residential Rental'!$E$93/12*B215</f>
        <v>7209.5099062448598</v>
      </c>
      <c r="E216" s="185">
        <f t="shared" si="31"/>
        <v>2710.9536870194688</v>
      </c>
      <c r="F216" s="72">
        <f t="shared" si="40"/>
        <v>49</v>
      </c>
      <c r="G216" s="180">
        <f t="shared" si="32"/>
        <v>183446.30930653392</v>
      </c>
      <c r="H216" s="186">
        <f>-'Residential Rental'!$E$100/12</f>
        <v>898.0893756176489</v>
      </c>
      <c r="I216" s="149">
        <f>'Residential Rental'!$E$98/12*G215</f>
        <v>536.10751590156258</v>
      </c>
      <c r="J216" s="187">
        <f t="shared" si="33"/>
        <v>361.98185971608632</v>
      </c>
      <c r="K216" s="72">
        <f t="shared" si="41"/>
        <v>49</v>
      </c>
      <c r="L216" s="180">
        <f t="shared" si="34"/>
        <v>1911017.733118281</v>
      </c>
      <c r="M216" s="181">
        <f t="shared" si="34"/>
        <v>10818.552968881977</v>
      </c>
      <c r="N216" s="180">
        <f t="shared" si="34"/>
        <v>7745.6174221464225</v>
      </c>
      <c r="O216" s="132">
        <f t="shared" si="34"/>
        <v>3072.9355467355554</v>
      </c>
    </row>
    <row r="217" spans="1:15" x14ac:dyDescent="0.25">
      <c r="A217" s="72">
        <f t="shared" si="39"/>
        <v>50</v>
      </c>
      <c r="B217" s="183">
        <f t="shared" si="30"/>
        <v>1724849.1744843649</v>
      </c>
      <c r="C217" s="184">
        <f>-'Residential Rental'!$E$95/12</f>
        <v>9920.4635932643287</v>
      </c>
      <c r="D217" s="183">
        <f>'Residential Rental'!$E$93/12*B216</f>
        <v>7198.2142658822786</v>
      </c>
      <c r="E217" s="185">
        <f t="shared" si="31"/>
        <v>2722.2493273820501</v>
      </c>
      <c r="F217" s="72">
        <f t="shared" si="40"/>
        <v>50</v>
      </c>
      <c r="G217" s="180">
        <f t="shared" si="32"/>
        <v>183083.27166639367</v>
      </c>
      <c r="H217" s="186">
        <f>-'Residential Rental'!$E$100/12</f>
        <v>898.0893756176489</v>
      </c>
      <c r="I217" s="149">
        <f>'Residential Rental'!$E$98/12*G216</f>
        <v>535.05173547739059</v>
      </c>
      <c r="J217" s="187">
        <f t="shared" si="33"/>
        <v>363.0376401402583</v>
      </c>
      <c r="K217" s="72">
        <f t="shared" si="41"/>
        <v>50</v>
      </c>
      <c r="L217" s="180">
        <f t="shared" si="34"/>
        <v>1907932.4461507585</v>
      </c>
      <c r="M217" s="181">
        <f t="shared" si="34"/>
        <v>10818.552968881977</v>
      </c>
      <c r="N217" s="180">
        <f t="shared" si="34"/>
        <v>7733.2660013596687</v>
      </c>
      <c r="O217" s="132">
        <f t="shared" si="34"/>
        <v>3085.2869675223083</v>
      </c>
    </row>
    <row r="218" spans="1:15" x14ac:dyDescent="0.25">
      <c r="A218" s="72">
        <f t="shared" si="39"/>
        <v>51</v>
      </c>
      <c r="B218" s="183">
        <f t="shared" si="30"/>
        <v>1722115.582451452</v>
      </c>
      <c r="C218" s="184">
        <f>-'Residential Rental'!$E$95/12</f>
        <v>9920.4635932643287</v>
      </c>
      <c r="D218" s="183">
        <f>'Residential Rental'!$E$93/12*B217</f>
        <v>7186.8715603515202</v>
      </c>
      <c r="E218" s="185">
        <f t="shared" si="31"/>
        <v>2733.5920329128085</v>
      </c>
      <c r="F218" s="72">
        <f t="shared" si="40"/>
        <v>51</v>
      </c>
      <c r="G218" s="180">
        <f t="shared" si="32"/>
        <v>182719.17516646968</v>
      </c>
      <c r="H218" s="186">
        <f>-'Residential Rental'!$E$100/12</f>
        <v>898.0893756176489</v>
      </c>
      <c r="I218" s="149">
        <f>'Residential Rental'!$E$98/12*G217</f>
        <v>533.99287569364822</v>
      </c>
      <c r="J218" s="187">
        <f t="shared" si="33"/>
        <v>364.09649992400068</v>
      </c>
      <c r="K218" s="72">
        <f t="shared" si="41"/>
        <v>51</v>
      </c>
      <c r="L218" s="180">
        <f t="shared" si="34"/>
        <v>1904834.7576179218</v>
      </c>
      <c r="M218" s="181">
        <f t="shared" si="34"/>
        <v>10818.552968881977</v>
      </c>
      <c r="N218" s="180">
        <f t="shared" si="34"/>
        <v>7720.8644360451681</v>
      </c>
      <c r="O218" s="132">
        <f t="shared" si="34"/>
        <v>3097.6885328368089</v>
      </c>
    </row>
    <row r="219" spans="1:15" x14ac:dyDescent="0.25">
      <c r="A219" s="72">
        <f t="shared" si="39"/>
        <v>52</v>
      </c>
      <c r="B219" s="183">
        <f t="shared" si="30"/>
        <v>1719370.6004517353</v>
      </c>
      <c r="C219" s="184">
        <f>-'Residential Rental'!$E$95/12</f>
        <v>9920.4635932643287</v>
      </c>
      <c r="D219" s="183">
        <f>'Residential Rental'!$E$93/12*B218</f>
        <v>7175.4815935477163</v>
      </c>
      <c r="E219" s="185">
        <f t="shared" si="31"/>
        <v>2744.9819997166123</v>
      </c>
      <c r="F219" s="72">
        <f t="shared" si="40"/>
        <v>52</v>
      </c>
      <c r="G219" s="180">
        <f t="shared" si="32"/>
        <v>182354.0167184209</v>
      </c>
      <c r="H219" s="186">
        <f>-'Residential Rental'!$E$100/12</f>
        <v>898.0893756176489</v>
      </c>
      <c r="I219" s="149">
        <f>'Residential Rental'!$E$98/12*G218</f>
        <v>532.93092756886995</v>
      </c>
      <c r="J219" s="187">
        <f t="shared" si="33"/>
        <v>365.15844804877895</v>
      </c>
      <c r="K219" s="72">
        <f t="shared" si="41"/>
        <v>52</v>
      </c>
      <c r="L219" s="180">
        <f t="shared" si="34"/>
        <v>1901724.6171701562</v>
      </c>
      <c r="M219" s="181">
        <f t="shared" si="34"/>
        <v>10818.552968881977</v>
      </c>
      <c r="N219" s="180">
        <f t="shared" si="34"/>
        <v>7708.4125211165865</v>
      </c>
      <c r="O219" s="132">
        <f t="shared" si="34"/>
        <v>3110.1404477653914</v>
      </c>
    </row>
    <row r="220" spans="1:15" x14ac:dyDescent="0.25">
      <c r="A220" s="72">
        <f t="shared" si="39"/>
        <v>53</v>
      </c>
      <c r="B220" s="183">
        <f t="shared" si="30"/>
        <v>1716614.1810270199</v>
      </c>
      <c r="C220" s="184">
        <f>-'Residential Rental'!$E$95/12</f>
        <v>9920.4635932643287</v>
      </c>
      <c r="D220" s="183">
        <f>'Residential Rental'!$E$93/12*B219</f>
        <v>7164.0441685488968</v>
      </c>
      <c r="E220" s="185">
        <f t="shared" si="31"/>
        <v>2756.4194247154319</v>
      </c>
      <c r="F220" s="72">
        <f t="shared" si="40"/>
        <v>53</v>
      </c>
      <c r="G220" s="180">
        <f t="shared" si="32"/>
        <v>181987.79322489863</v>
      </c>
      <c r="H220" s="186">
        <f>-'Residential Rental'!$E$100/12</f>
        <v>898.0893756176489</v>
      </c>
      <c r="I220" s="149">
        <f>'Residential Rental'!$E$98/12*G219</f>
        <v>531.86588209539434</v>
      </c>
      <c r="J220" s="187">
        <f t="shared" si="33"/>
        <v>366.22349352225456</v>
      </c>
      <c r="K220" s="72">
        <f t="shared" si="41"/>
        <v>53</v>
      </c>
      <c r="L220" s="180">
        <f t="shared" si="34"/>
        <v>1898601.9742519185</v>
      </c>
      <c r="M220" s="181">
        <f t="shared" si="34"/>
        <v>10818.552968881977</v>
      </c>
      <c r="N220" s="180">
        <f t="shared" si="34"/>
        <v>7695.910050644291</v>
      </c>
      <c r="O220" s="132">
        <f t="shared" si="34"/>
        <v>3122.6429182376864</v>
      </c>
    </row>
    <row r="221" spans="1:15" x14ac:dyDescent="0.25">
      <c r="A221" s="72">
        <f t="shared" si="39"/>
        <v>54</v>
      </c>
      <c r="B221" s="183">
        <f t="shared" si="30"/>
        <v>1713846.2765213682</v>
      </c>
      <c r="C221" s="184">
        <f>-'Residential Rental'!$E$95/12</f>
        <v>9920.4635932643287</v>
      </c>
      <c r="D221" s="183">
        <f>'Residential Rental'!$E$93/12*B220</f>
        <v>7152.5590876125825</v>
      </c>
      <c r="E221" s="185">
        <f t="shared" si="31"/>
        <v>2767.9045056517461</v>
      </c>
      <c r="F221" s="72">
        <f t="shared" si="40"/>
        <v>54</v>
      </c>
      <c r="G221" s="180">
        <f t="shared" si="32"/>
        <v>181620.50157952026</v>
      </c>
      <c r="H221" s="186">
        <f>-'Residential Rental'!$E$100/12</f>
        <v>898.0893756176489</v>
      </c>
      <c r="I221" s="149">
        <f>'Residential Rental'!$E$98/12*G220</f>
        <v>530.79773023928772</v>
      </c>
      <c r="J221" s="187">
        <f t="shared" si="33"/>
        <v>367.29164537836118</v>
      </c>
      <c r="K221" s="72">
        <f t="shared" si="41"/>
        <v>54</v>
      </c>
      <c r="L221" s="180">
        <f t="shared" si="34"/>
        <v>1895466.7781008885</v>
      </c>
      <c r="M221" s="181">
        <f t="shared" si="34"/>
        <v>10818.552968881977</v>
      </c>
      <c r="N221" s="180">
        <f t="shared" si="34"/>
        <v>7683.3568178518699</v>
      </c>
      <c r="O221" s="132">
        <f t="shared" si="34"/>
        <v>3135.1961510301071</v>
      </c>
    </row>
    <row r="222" spans="1:15" x14ac:dyDescent="0.25">
      <c r="A222" s="72">
        <f t="shared" si="39"/>
        <v>55</v>
      </c>
      <c r="B222" s="183">
        <f t="shared" si="30"/>
        <v>1711066.8390802762</v>
      </c>
      <c r="C222" s="184">
        <f>-'Residential Rental'!$E$95/12</f>
        <v>9920.4635932643287</v>
      </c>
      <c r="D222" s="183">
        <f>'Residential Rental'!$E$93/12*B221</f>
        <v>7141.0261521723669</v>
      </c>
      <c r="E222" s="185">
        <f t="shared" si="31"/>
        <v>2779.4374410919618</v>
      </c>
      <c r="F222" s="72">
        <f t="shared" si="40"/>
        <v>55</v>
      </c>
      <c r="G222" s="180">
        <f t="shared" si="32"/>
        <v>181252.13866684289</v>
      </c>
      <c r="H222" s="186">
        <f>-'Residential Rental'!$E$100/12</f>
        <v>898.0893756176489</v>
      </c>
      <c r="I222" s="149">
        <f>'Residential Rental'!$E$98/12*G221</f>
        <v>529.72646294026742</v>
      </c>
      <c r="J222" s="187">
        <f t="shared" si="33"/>
        <v>368.36291267738147</v>
      </c>
      <c r="K222" s="72">
        <f t="shared" si="41"/>
        <v>55</v>
      </c>
      <c r="L222" s="180">
        <f t="shared" si="34"/>
        <v>1892318.977747119</v>
      </c>
      <c r="M222" s="181">
        <f t="shared" si="34"/>
        <v>10818.552968881977</v>
      </c>
      <c r="N222" s="180">
        <f t="shared" si="34"/>
        <v>7670.752615112634</v>
      </c>
      <c r="O222" s="132">
        <f t="shared" si="34"/>
        <v>3147.800353769343</v>
      </c>
    </row>
    <row r="223" spans="1:15" x14ac:dyDescent="0.25">
      <c r="A223" s="72">
        <f t="shared" si="39"/>
        <v>56</v>
      </c>
      <c r="B223" s="183">
        <f t="shared" si="30"/>
        <v>1708275.8206498465</v>
      </c>
      <c r="C223" s="184">
        <f>-'Residential Rental'!$E$95/12</f>
        <v>9920.4635932643287</v>
      </c>
      <c r="D223" s="183">
        <f>'Residential Rental'!$E$93/12*B222</f>
        <v>7129.4451628344841</v>
      </c>
      <c r="E223" s="185">
        <f t="shared" si="31"/>
        <v>2791.0184304298446</v>
      </c>
      <c r="F223" s="72">
        <f t="shared" si="40"/>
        <v>56</v>
      </c>
      <c r="G223" s="180">
        <f t="shared" si="32"/>
        <v>180882.70136233687</v>
      </c>
      <c r="H223" s="186">
        <f>-'Residential Rental'!$E$100/12</f>
        <v>898.0893756176489</v>
      </c>
      <c r="I223" s="149">
        <f>'Residential Rental'!$E$98/12*G222</f>
        <v>528.65207111162511</v>
      </c>
      <c r="J223" s="187">
        <f t="shared" si="33"/>
        <v>369.43730450602379</v>
      </c>
      <c r="K223" s="72">
        <f t="shared" si="41"/>
        <v>56</v>
      </c>
      <c r="L223" s="180">
        <f t="shared" si="34"/>
        <v>1889158.5220121834</v>
      </c>
      <c r="M223" s="181">
        <f t="shared" si="34"/>
        <v>10818.552968881977</v>
      </c>
      <c r="N223" s="180">
        <f t="shared" si="34"/>
        <v>7658.0972339461096</v>
      </c>
      <c r="O223" s="132">
        <f t="shared" si="34"/>
        <v>3160.4557349358683</v>
      </c>
    </row>
    <row r="224" spans="1:15" x14ac:dyDescent="0.25">
      <c r="A224" s="72">
        <f t="shared" si="39"/>
        <v>57</v>
      </c>
      <c r="B224" s="183">
        <f t="shared" si="30"/>
        <v>1705473.1729759565</v>
      </c>
      <c r="C224" s="184">
        <f>-'Residential Rental'!$E$95/12</f>
        <v>9920.4635932643287</v>
      </c>
      <c r="D224" s="183">
        <f>'Residential Rental'!$E$93/12*B223</f>
        <v>7117.8159193743604</v>
      </c>
      <c r="E224" s="185">
        <f t="shared" si="31"/>
        <v>2802.6476738899682</v>
      </c>
      <c r="F224" s="72">
        <f t="shared" si="40"/>
        <v>57</v>
      </c>
      <c r="G224" s="180">
        <f t="shared" si="32"/>
        <v>180512.18653235937</v>
      </c>
      <c r="H224" s="186">
        <f>-'Residential Rental'!$E$100/12</f>
        <v>898.0893756176489</v>
      </c>
      <c r="I224" s="149">
        <f>'Residential Rental'!$E$98/12*G223</f>
        <v>527.57454564014927</v>
      </c>
      <c r="J224" s="187">
        <f t="shared" si="33"/>
        <v>370.51482997749963</v>
      </c>
      <c r="K224" s="72">
        <f t="shared" si="41"/>
        <v>57</v>
      </c>
      <c r="L224" s="180">
        <f t="shared" si="34"/>
        <v>1885985.3595083158</v>
      </c>
      <c r="M224" s="181">
        <f t="shared" si="34"/>
        <v>10818.552968881977</v>
      </c>
      <c r="N224" s="180">
        <f t="shared" si="34"/>
        <v>7645.3904650145096</v>
      </c>
      <c r="O224" s="132">
        <f t="shared" si="34"/>
        <v>3173.1625038674679</v>
      </c>
    </row>
    <row r="225" spans="1:15" x14ac:dyDescent="0.25">
      <c r="A225" s="72">
        <f t="shared" si="39"/>
        <v>58</v>
      </c>
      <c r="B225" s="183">
        <f t="shared" si="30"/>
        <v>1702658.8476034254</v>
      </c>
      <c r="C225" s="184">
        <f>-'Residential Rental'!$E$95/12</f>
        <v>9920.4635932643287</v>
      </c>
      <c r="D225" s="183">
        <f>'Residential Rental'!$E$93/12*B224</f>
        <v>7106.1382207331517</v>
      </c>
      <c r="E225" s="185">
        <f t="shared" si="31"/>
        <v>2814.325372531177</v>
      </c>
      <c r="F225" s="72">
        <f t="shared" si="40"/>
        <v>58</v>
      </c>
      <c r="G225" s="180">
        <f t="shared" si="32"/>
        <v>180140.59103412778</v>
      </c>
      <c r="H225" s="186">
        <f>-'Residential Rental'!$E$100/12</f>
        <v>898.0893756176489</v>
      </c>
      <c r="I225" s="149">
        <f>'Residential Rental'!$E$98/12*G224</f>
        <v>526.49387738604821</v>
      </c>
      <c r="J225" s="187">
        <f t="shared" si="33"/>
        <v>371.59549823160069</v>
      </c>
      <c r="K225" s="72">
        <f t="shared" si="41"/>
        <v>58</v>
      </c>
      <c r="L225" s="180">
        <f t="shared" si="34"/>
        <v>1882799.4386375532</v>
      </c>
      <c r="M225" s="181">
        <f t="shared" si="34"/>
        <v>10818.552968881977</v>
      </c>
      <c r="N225" s="180">
        <f t="shared" si="34"/>
        <v>7632.6320981192002</v>
      </c>
      <c r="O225" s="132">
        <f t="shared" si="34"/>
        <v>3185.9208707627777</v>
      </c>
    </row>
    <row r="226" spans="1:15" x14ac:dyDescent="0.25">
      <c r="A226" s="72">
        <f t="shared" si="39"/>
        <v>59</v>
      </c>
      <c r="B226" s="183">
        <f t="shared" si="30"/>
        <v>1699832.7958751754</v>
      </c>
      <c r="C226" s="184">
        <f>-'Residential Rental'!$E$95/12</f>
        <v>9920.4635932643287</v>
      </c>
      <c r="D226" s="183">
        <f>'Residential Rental'!$E$93/12*B225</f>
        <v>7094.4118650142727</v>
      </c>
      <c r="E226" s="185">
        <f t="shared" si="31"/>
        <v>2826.0517282500559</v>
      </c>
      <c r="F226" s="72">
        <f t="shared" si="40"/>
        <v>59</v>
      </c>
      <c r="G226" s="180">
        <f t="shared" si="32"/>
        <v>179767.91171569302</v>
      </c>
      <c r="H226" s="186">
        <f>-'Residential Rental'!$E$100/12</f>
        <v>898.0893756176489</v>
      </c>
      <c r="I226" s="149">
        <f>'Residential Rental'!$E$98/12*G225</f>
        <v>525.41005718287272</v>
      </c>
      <c r="J226" s="187">
        <f t="shared" si="33"/>
        <v>372.67931843477618</v>
      </c>
      <c r="K226" s="72">
        <f t="shared" si="41"/>
        <v>59</v>
      </c>
      <c r="L226" s="180">
        <f t="shared" si="34"/>
        <v>1879600.7075908685</v>
      </c>
      <c r="M226" s="181">
        <f t="shared" si="34"/>
        <v>10818.552968881977</v>
      </c>
      <c r="N226" s="180">
        <f t="shared" si="34"/>
        <v>7619.8219221971458</v>
      </c>
      <c r="O226" s="132">
        <f t="shared" si="34"/>
        <v>3198.7310466848321</v>
      </c>
    </row>
    <row r="227" spans="1:15" x14ac:dyDescent="0.25">
      <c r="A227" s="72">
        <f t="shared" si="39"/>
        <v>60</v>
      </c>
      <c r="B227" s="183">
        <f t="shared" si="30"/>
        <v>1696994.9689313909</v>
      </c>
      <c r="C227" s="184">
        <f>-'Residential Rental'!$E$95/12</f>
        <v>9920.4635932643287</v>
      </c>
      <c r="D227" s="183">
        <f>'Residential Rental'!$E$93/12*B226</f>
        <v>7082.6366494798976</v>
      </c>
      <c r="E227" s="185">
        <f t="shared" si="31"/>
        <v>2837.826943784431</v>
      </c>
      <c r="F227" s="72">
        <f t="shared" si="40"/>
        <v>60</v>
      </c>
      <c r="G227" s="180">
        <f t="shared" si="32"/>
        <v>179394.14541591279</v>
      </c>
      <c r="H227" s="186">
        <f>-'Residential Rental'!$E$100/12</f>
        <v>898.0893756176489</v>
      </c>
      <c r="I227" s="149">
        <f>'Residential Rental'!$E$98/12*G226</f>
        <v>524.32307583743795</v>
      </c>
      <c r="J227" s="187">
        <f t="shared" si="33"/>
        <v>373.76629978021094</v>
      </c>
      <c r="K227" s="72">
        <f t="shared" si="41"/>
        <v>60</v>
      </c>
      <c r="L227" s="180">
        <f t="shared" si="34"/>
        <v>1876389.1143473038</v>
      </c>
      <c r="M227" s="181">
        <f t="shared" si="34"/>
        <v>10818.552968881977</v>
      </c>
      <c r="N227" s="180">
        <f t="shared" si="34"/>
        <v>7606.9597253173361</v>
      </c>
      <c r="O227" s="132">
        <f t="shared" si="34"/>
        <v>3211.5932435646419</v>
      </c>
    </row>
    <row r="228" spans="1:15" x14ac:dyDescent="0.25">
      <c r="A228" s="72">
        <f t="shared" si="39"/>
        <v>61</v>
      </c>
      <c r="B228" s="183">
        <f t="shared" si="30"/>
        <v>1694145.3177086741</v>
      </c>
      <c r="C228" s="184">
        <f>-'Residential Rental'!$E$95/12</f>
        <v>9920.4635932643287</v>
      </c>
      <c r="D228" s="183">
        <f>'Residential Rental'!$E$93/12*B227</f>
        <v>7070.8123705474618</v>
      </c>
      <c r="E228" s="185">
        <f t="shared" si="31"/>
        <v>2849.6512227168669</v>
      </c>
      <c r="F228" s="72">
        <f t="shared" si="40"/>
        <v>61</v>
      </c>
      <c r="G228" s="180">
        <f t="shared" si="32"/>
        <v>179019.28896442489</v>
      </c>
      <c r="H228" s="186">
        <f>-'Residential Rental'!$E$100/12</f>
        <v>898.0893756176489</v>
      </c>
      <c r="I228" s="149">
        <f>'Residential Rental'!$E$98/12*G227</f>
        <v>523.2329241297457</v>
      </c>
      <c r="J228" s="187">
        <f t="shared" si="33"/>
        <v>374.8564514879032</v>
      </c>
      <c r="K228" s="72">
        <f t="shared" si="41"/>
        <v>61</v>
      </c>
      <c r="L228" s="180">
        <f t="shared" si="34"/>
        <v>1873164.6066730991</v>
      </c>
      <c r="M228" s="181">
        <f t="shared" si="34"/>
        <v>10818.552968881977</v>
      </c>
      <c r="N228" s="180">
        <f t="shared" si="34"/>
        <v>7594.0452946772075</v>
      </c>
      <c r="O228" s="132">
        <f t="shared" si="34"/>
        <v>3224.50767420477</v>
      </c>
    </row>
    <row r="229" spans="1:15" x14ac:dyDescent="0.25">
      <c r="A229" s="72">
        <f t="shared" si="39"/>
        <v>62</v>
      </c>
      <c r="B229" s="183">
        <f t="shared" si="30"/>
        <v>1691283.7929391959</v>
      </c>
      <c r="C229" s="184">
        <f>-'Residential Rental'!$E$95/12</f>
        <v>9920.4635932643287</v>
      </c>
      <c r="D229" s="183">
        <f>'Residential Rental'!$E$93/12*B228</f>
        <v>7058.9388237861422</v>
      </c>
      <c r="E229" s="185">
        <f t="shared" si="31"/>
        <v>2861.5247694781865</v>
      </c>
      <c r="F229" s="72">
        <f t="shared" si="40"/>
        <v>62</v>
      </c>
      <c r="G229" s="180">
        <f t="shared" si="32"/>
        <v>178643.33918162016</v>
      </c>
      <c r="H229" s="186">
        <f>-'Residential Rental'!$E$100/12</f>
        <v>898.0893756176489</v>
      </c>
      <c r="I229" s="149">
        <f>'Residential Rental'!$E$98/12*G228</f>
        <v>522.13959281290602</v>
      </c>
      <c r="J229" s="187">
        <f t="shared" si="33"/>
        <v>375.94978280474288</v>
      </c>
      <c r="K229" s="72">
        <f t="shared" si="41"/>
        <v>62</v>
      </c>
      <c r="L229" s="180">
        <f t="shared" si="34"/>
        <v>1869927.132120816</v>
      </c>
      <c r="M229" s="181">
        <f t="shared" si="34"/>
        <v>10818.552968881977</v>
      </c>
      <c r="N229" s="180">
        <f t="shared" si="34"/>
        <v>7581.0784165990481</v>
      </c>
      <c r="O229" s="132">
        <f t="shared" si="34"/>
        <v>3237.4745522829294</v>
      </c>
    </row>
    <row r="230" spans="1:15" x14ac:dyDescent="0.25">
      <c r="A230" s="72">
        <f t="shared" si="39"/>
        <v>63</v>
      </c>
      <c r="B230" s="183">
        <f t="shared" si="30"/>
        <v>1688410.3451498449</v>
      </c>
      <c r="C230" s="184">
        <f>-'Residential Rental'!$E$95/12</f>
        <v>9920.4635932643287</v>
      </c>
      <c r="D230" s="183">
        <f>'Residential Rental'!$E$93/12*B229</f>
        <v>7047.0158039133157</v>
      </c>
      <c r="E230" s="185">
        <f t="shared" si="31"/>
        <v>2873.4477893510129</v>
      </c>
      <c r="F230" s="72">
        <f t="shared" si="40"/>
        <v>63</v>
      </c>
      <c r="G230" s="180">
        <f t="shared" si="32"/>
        <v>178266.29287861558</v>
      </c>
      <c r="H230" s="186">
        <f>-'Residential Rental'!$E$100/12</f>
        <v>898.0893756176489</v>
      </c>
      <c r="I230" s="149">
        <f>'Residential Rental'!$E$98/12*G229</f>
        <v>521.04307261305883</v>
      </c>
      <c r="J230" s="187">
        <f t="shared" si="33"/>
        <v>377.04630300459007</v>
      </c>
      <c r="K230" s="72">
        <f t="shared" si="41"/>
        <v>63</v>
      </c>
      <c r="L230" s="180">
        <f t="shared" si="34"/>
        <v>1866676.6380284606</v>
      </c>
      <c r="M230" s="181">
        <f t="shared" si="34"/>
        <v>10818.552968881977</v>
      </c>
      <c r="N230" s="180">
        <f t="shared" si="34"/>
        <v>7568.0588765263747</v>
      </c>
      <c r="O230" s="132">
        <f t="shared" si="34"/>
        <v>3250.4940923556032</v>
      </c>
    </row>
    <row r="231" spans="1:15" x14ac:dyDescent="0.25">
      <c r="A231" s="72">
        <f t="shared" si="39"/>
        <v>64</v>
      </c>
      <c r="B231" s="183">
        <f t="shared" si="30"/>
        <v>1685524.9246613716</v>
      </c>
      <c r="C231" s="184">
        <f>-'Residential Rental'!$E$95/12</f>
        <v>9920.4635932643287</v>
      </c>
      <c r="D231" s="183">
        <f>'Residential Rental'!$E$93/12*B230</f>
        <v>7035.0431047910206</v>
      </c>
      <c r="E231" s="185">
        <f t="shared" si="31"/>
        <v>2885.4204884733081</v>
      </c>
      <c r="F231" s="72">
        <f t="shared" si="40"/>
        <v>64</v>
      </c>
      <c r="G231" s="180">
        <f t="shared" si="32"/>
        <v>177888.14685722723</v>
      </c>
      <c r="H231" s="186">
        <f>-'Residential Rental'!$E$100/12</f>
        <v>898.0893756176489</v>
      </c>
      <c r="I231" s="149">
        <f>'Residential Rental'!$E$98/12*G230</f>
        <v>519.94335422929544</v>
      </c>
      <c r="J231" s="187">
        <f t="shared" si="33"/>
        <v>378.14602138835346</v>
      </c>
      <c r="K231" s="72">
        <f t="shared" si="41"/>
        <v>64</v>
      </c>
      <c r="L231" s="180">
        <f t="shared" si="34"/>
        <v>1863413.0715185988</v>
      </c>
      <c r="M231" s="181">
        <f t="shared" si="34"/>
        <v>10818.552968881977</v>
      </c>
      <c r="N231" s="180">
        <f t="shared" si="34"/>
        <v>7554.986459020316</v>
      </c>
      <c r="O231" s="132">
        <f t="shared" ref="O231:O294" si="85">J231+E231</f>
        <v>3263.5665098616614</v>
      </c>
    </row>
    <row r="232" spans="1:15" x14ac:dyDescent="0.25">
      <c r="A232" s="72">
        <f t="shared" si="39"/>
        <v>65</v>
      </c>
      <c r="B232" s="183">
        <f t="shared" ref="B232:B295" si="86">B231-E232</f>
        <v>1682627.4815875296</v>
      </c>
      <c r="C232" s="184">
        <f>-'Residential Rental'!$E$95/12</f>
        <v>9920.4635932643287</v>
      </c>
      <c r="D232" s="183">
        <f>'Residential Rental'!$E$93/12*B231</f>
        <v>7023.0205194223818</v>
      </c>
      <c r="E232" s="185">
        <f t="shared" ref="E232:E295" si="87">C232-D232</f>
        <v>2897.4430738419469</v>
      </c>
      <c r="F232" s="72">
        <f t="shared" si="40"/>
        <v>65</v>
      </c>
      <c r="G232" s="180">
        <f t="shared" ref="G232:G295" si="88">G231-J232</f>
        <v>177508.89790994316</v>
      </c>
      <c r="H232" s="186">
        <f>-'Residential Rental'!$E$100/12</f>
        <v>898.0893756176489</v>
      </c>
      <c r="I232" s="149">
        <f>'Residential Rental'!$E$98/12*G231</f>
        <v>518.84042833357944</v>
      </c>
      <c r="J232" s="187">
        <f t="shared" ref="J232:J295" si="89">H232-I232</f>
        <v>379.24894728406946</v>
      </c>
      <c r="K232" s="72">
        <f t="shared" si="41"/>
        <v>65</v>
      </c>
      <c r="L232" s="180">
        <f t="shared" ref="L232:O295" si="90">G232+B232</f>
        <v>1860136.3794974729</v>
      </c>
      <c r="M232" s="181">
        <f t="shared" si="90"/>
        <v>10818.552968881977</v>
      </c>
      <c r="N232" s="180">
        <f t="shared" si="90"/>
        <v>7541.8609477559612</v>
      </c>
      <c r="O232" s="132">
        <f t="shared" si="85"/>
        <v>3276.6920211260162</v>
      </c>
    </row>
    <row r="233" spans="1:15" x14ac:dyDescent="0.25">
      <c r="A233" s="72">
        <f t="shared" ref="A233:A296" si="91">A232+1</f>
        <v>66</v>
      </c>
      <c r="B233" s="183">
        <f t="shared" si="86"/>
        <v>1679717.9658342134</v>
      </c>
      <c r="C233" s="184">
        <f>-'Residential Rental'!$E$95/12</f>
        <v>9920.4635932643287</v>
      </c>
      <c r="D233" s="183">
        <f>'Residential Rental'!$E$93/12*B232</f>
        <v>7010.9478399480404</v>
      </c>
      <c r="E233" s="185">
        <f t="shared" si="87"/>
        <v>2909.5157533162883</v>
      </c>
      <c r="F233" s="72">
        <f t="shared" ref="F233:F296" si="92">F232+1</f>
        <v>66</v>
      </c>
      <c r="G233" s="180">
        <f t="shared" si="88"/>
        <v>177128.54281989619</v>
      </c>
      <c r="H233" s="186">
        <f>-'Residential Rental'!$E$100/12</f>
        <v>898.0893756176489</v>
      </c>
      <c r="I233" s="149">
        <f>'Residential Rental'!$E$98/12*G232</f>
        <v>517.73428557066757</v>
      </c>
      <c r="J233" s="187">
        <f t="shared" si="89"/>
        <v>380.35509004698133</v>
      </c>
      <c r="K233" s="72">
        <f t="shared" ref="K233:K296" si="93">K232+1</f>
        <v>66</v>
      </c>
      <c r="L233" s="180">
        <f t="shared" si="90"/>
        <v>1856846.5086541097</v>
      </c>
      <c r="M233" s="181">
        <f t="shared" si="90"/>
        <v>10818.552968881977</v>
      </c>
      <c r="N233" s="180">
        <f t="shared" si="90"/>
        <v>7528.6821255187078</v>
      </c>
      <c r="O233" s="132">
        <f t="shared" si="85"/>
        <v>3289.8708433632696</v>
      </c>
    </row>
    <row r="234" spans="1:15" x14ac:dyDescent="0.25">
      <c r="A234" s="72">
        <f t="shared" si="91"/>
        <v>67</v>
      </c>
      <c r="B234" s="183">
        <f t="shared" si="86"/>
        <v>1676796.3270985917</v>
      </c>
      <c r="C234" s="184">
        <f>-'Residential Rental'!$E$95/12</f>
        <v>9920.4635932643287</v>
      </c>
      <c r="D234" s="183">
        <f>'Residential Rental'!$E$93/12*B233</f>
        <v>6998.8248576425558</v>
      </c>
      <c r="E234" s="185">
        <f t="shared" si="87"/>
        <v>2921.6387356217729</v>
      </c>
      <c r="F234" s="72">
        <f t="shared" si="92"/>
        <v>67</v>
      </c>
      <c r="G234" s="180">
        <f t="shared" si="88"/>
        <v>176747.07836083657</v>
      </c>
      <c r="H234" s="186">
        <f>-'Residential Rental'!$E$100/12</f>
        <v>898.0893756176489</v>
      </c>
      <c r="I234" s="149">
        <f>'Residential Rental'!$E$98/12*G233</f>
        <v>516.62491655803058</v>
      </c>
      <c r="J234" s="187">
        <f t="shared" si="89"/>
        <v>381.46445905961832</v>
      </c>
      <c r="K234" s="72">
        <f t="shared" si="93"/>
        <v>67</v>
      </c>
      <c r="L234" s="180">
        <f t="shared" si="90"/>
        <v>1853543.4054594282</v>
      </c>
      <c r="M234" s="181">
        <f t="shared" si="90"/>
        <v>10818.552968881977</v>
      </c>
      <c r="N234" s="180">
        <f t="shared" si="90"/>
        <v>7515.449774200586</v>
      </c>
      <c r="O234" s="132">
        <f t="shared" si="85"/>
        <v>3303.103194681391</v>
      </c>
    </row>
    <row r="235" spans="1:15" x14ac:dyDescent="0.25">
      <c r="A235" s="72">
        <f t="shared" si="91"/>
        <v>68</v>
      </c>
      <c r="B235" s="183">
        <f t="shared" si="86"/>
        <v>1673862.5148682382</v>
      </c>
      <c r="C235" s="184">
        <f>-'Residential Rental'!$E$95/12</f>
        <v>9920.4635932643287</v>
      </c>
      <c r="D235" s="183">
        <f>'Residential Rental'!$E$93/12*B234</f>
        <v>6986.6513629107985</v>
      </c>
      <c r="E235" s="185">
        <f t="shared" si="87"/>
        <v>2933.8122303535301</v>
      </c>
      <c r="F235" s="72">
        <f t="shared" si="92"/>
        <v>68</v>
      </c>
      <c r="G235" s="180">
        <f t="shared" si="88"/>
        <v>176364.5012971047</v>
      </c>
      <c r="H235" s="186">
        <f>-'Residential Rental'!$E$100/12</f>
        <v>898.0893756176489</v>
      </c>
      <c r="I235" s="149">
        <f>'Residential Rental'!$E$98/12*G234</f>
        <v>515.51231188577333</v>
      </c>
      <c r="J235" s="187">
        <f t="shared" si="89"/>
        <v>382.57706373187557</v>
      </c>
      <c r="K235" s="72">
        <f t="shared" si="93"/>
        <v>68</v>
      </c>
      <c r="L235" s="180">
        <f t="shared" si="90"/>
        <v>1850227.0161653429</v>
      </c>
      <c r="M235" s="181">
        <f t="shared" si="90"/>
        <v>10818.552968881977</v>
      </c>
      <c r="N235" s="180">
        <f t="shared" si="90"/>
        <v>7502.1636747965722</v>
      </c>
      <c r="O235" s="132">
        <f t="shared" si="85"/>
        <v>3316.3892940854057</v>
      </c>
    </row>
    <row r="236" spans="1:15" x14ac:dyDescent="0.25">
      <c r="A236" s="72">
        <f t="shared" si="91"/>
        <v>69</v>
      </c>
      <c r="B236" s="183">
        <f t="shared" si="86"/>
        <v>1670916.4784202583</v>
      </c>
      <c r="C236" s="184">
        <f>-'Residential Rental'!$E$95/12</f>
        <v>9920.4635932643287</v>
      </c>
      <c r="D236" s="183">
        <f>'Residential Rental'!$E$93/12*B235</f>
        <v>6974.4271452843259</v>
      </c>
      <c r="E236" s="185">
        <f t="shared" si="87"/>
        <v>2946.0364479800028</v>
      </c>
      <c r="F236" s="72">
        <f t="shared" si="92"/>
        <v>69</v>
      </c>
      <c r="G236" s="180">
        <f t="shared" si="88"/>
        <v>175980.80838360361</v>
      </c>
      <c r="H236" s="186">
        <f>-'Residential Rental'!$E$100/12</f>
        <v>898.0893756176489</v>
      </c>
      <c r="I236" s="149">
        <f>'Residential Rental'!$E$98/12*G235</f>
        <v>514.39646211655543</v>
      </c>
      <c r="J236" s="187">
        <f t="shared" si="89"/>
        <v>383.69291350109347</v>
      </c>
      <c r="K236" s="72">
        <f t="shared" si="93"/>
        <v>69</v>
      </c>
      <c r="L236" s="180">
        <f t="shared" si="90"/>
        <v>1846897.2868038618</v>
      </c>
      <c r="M236" s="181">
        <f t="shared" si="90"/>
        <v>10818.552968881977</v>
      </c>
      <c r="N236" s="180">
        <f t="shared" si="90"/>
        <v>7488.823607400881</v>
      </c>
      <c r="O236" s="132">
        <f t="shared" si="85"/>
        <v>3329.729361481096</v>
      </c>
    </row>
    <row r="237" spans="1:15" x14ac:dyDescent="0.25">
      <c r="A237" s="72">
        <f t="shared" si="91"/>
        <v>70</v>
      </c>
      <c r="B237" s="183">
        <f t="shared" si="86"/>
        <v>1667958.1668204116</v>
      </c>
      <c r="C237" s="184">
        <f>-'Residential Rental'!$E$95/12</f>
        <v>9920.4635932643287</v>
      </c>
      <c r="D237" s="183">
        <f>'Residential Rental'!$E$93/12*B236</f>
        <v>6962.1519934177422</v>
      </c>
      <c r="E237" s="185">
        <f t="shared" si="87"/>
        <v>2958.3115998465864</v>
      </c>
      <c r="F237" s="72">
        <f t="shared" si="92"/>
        <v>70</v>
      </c>
      <c r="G237" s="180">
        <f t="shared" si="88"/>
        <v>175595.99636577148</v>
      </c>
      <c r="H237" s="186">
        <f>-'Residential Rental'!$E$100/12</f>
        <v>898.0893756176489</v>
      </c>
      <c r="I237" s="149">
        <f>'Residential Rental'!$E$98/12*G236</f>
        <v>513.2773577855105</v>
      </c>
      <c r="J237" s="187">
        <f t="shared" si="89"/>
        <v>384.81201783213839</v>
      </c>
      <c r="K237" s="72">
        <f t="shared" si="93"/>
        <v>70</v>
      </c>
      <c r="L237" s="180">
        <f t="shared" si="90"/>
        <v>1843554.163186183</v>
      </c>
      <c r="M237" s="181">
        <f t="shared" si="90"/>
        <v>10818.552968881977</v>
      </c>
      <c r="N237" s="180">
        <f t="shared" si="90"/>
        <v>7475.4293512032527</v>
      </c>
      <c r="O237" s="132">
        <f t="shared" si="85"/>
        <v>3343.1236176787247</v>
      </c>
    </row>
    <row r="238" spans="1:15" x14ac:dyDescent="0.25">
      <c r="A238" s="72">
        <f t="shared" si="91"/>
        <v>71</v>
      </c>
      <c r="B238" s="183">
        <f t="shared" si="86"/>
        <v>1664987.5289222323</v>
      </c>
      <c r="C238" s="184">
        <f>-'Residential Rental'!$E$95/12</f>
        <v>9920.4635932643287</v>
      </c>
      <c r="D238" s="183">
        <f>'Residential Rental'!$E$93/12*B237</f>
        <v>6949.8256950850482</v>
      </c>
      <c r="E238" s="185">
        <f t="shared" si="87"/>
        <v>2970.6378981792805</v>
      </c>
      <c r="F238" s="72">
        <f t="shared" si="92"/>
        <v>71</v>
      </c>
      <c r="G238" s="180">
        <f t="shared" si="88"/>
        <v>175210.06197955401</v>
      </c>
      <c r="H238" s="186">
        <f>-'Residential Rental'!$E$100/12</f>
        <v>898.0893756176489</v>
      </c>
      <c r="I238" s="149">
        <f>'Residential Rental'!$E$98/12*G237</f>
        <v>512.15498940016687</v>
      </c>
      <c r="J238" s="187">
        <f t="shared" si="89"/>
        <v>385.93438621748203</v>
      </c>
      <c r="K238" s="72">
        <f t="shared" si="93"/>
        <v>71</v>
      </c>
      <c r="L238" s="180">
        <f t="shared" si="90"/>
        <v>1840197.5909017865</v>
      </c>
      <c r="M238" s="181">
        <f t="shared" si="90"/>
        <v>10818.552968881977</v>
      </c>
      <c r="N238" s="180">
        <f t="shared" si="90"/>
        <v>7461.9806844852155</v>
      </c>
      <c r="O238" s="132">
        <f t="shared" si="85"/>
        <v>3356.5722843967624</v>
      </c>
    </row>
    <row r="239" spans="1:15" x14ac:dyDescent="0.25">
      <c r="A239" s="72">
        <f t="shared" si="91"/>
        <v>72</v>
      </c>
      <c r="B239" s="183">
        <f t="shared" si="86"/>
        <v>1662004.5133661439</v>
      </c>
      <c r="C239" s="184">
        <f>-'Residential Rental'!$E$95/12</f>
        <v>9920.4635932643287</v>
      </c>
      <c r="D239" s="183">
        <f>'Residential Rental'!$E$93/12*B238</f>
        <v>6937.4480371759682</v>
      </c>
      <c r="E239" s="185">
        <f t="shared" si="87"/>
        <v>2983.0155560883604</v>
      </c>
      <c r="F239" s="72">
        <f t="shared" si="92"/>
        <v>72</v>
      </c>
      <c r="G239" s="180">
        <f t="shared" si="88"/>
        <v>174823.00195137673</v>
      </c>
      <c r="H239" s="186">
        <f>-'Residential Rental'!$E$100/12</f>
        <v>898.0893756176489</v>
      </c>
      <c r="I239" s="149">
        <f>'Residential Rental'!$E$98/12*G238</f>
        <v>511.02934744036588</v>
      </c>
      <c r="J239" s="187">
        <f t="shared" si="89"/>
        <v>387.06002817728302</v>
      </c>
      <c r="K239" s="72">
        <f t="shared" si="93"/>
        <v>72</v>
      </c>
      <c r="L239" s="180">
        <f t="shared" si="90"/>
        <v>1836827.5153175206</v>
      </c>
      <c r="M239" s="181">
        <f t="shared" si="90"/>
        <v>10818.552968881977</v>
      </c>
      <c r="N239" s="180">
        <f t="shared" si="90"/>
        <v>7448.4773846163343</v>
      </c>
      <c r="O239" s="132">
        <f t="shared" si="85"/>
        <v>3370.0755842656436</v>
      </c>
    </row>
    <row r="240" spans="1:15" x14ac:dyDescent="0.25">
      <c r="A240" s="72">
        <f t="shared" si="91"/>
        <v>73</v>
      </c>
      <c r="B240" s="183">
        <f t="shared" si="86"/>
        <v>1659009.0685785718</v>
      </c>
      <c r="C240" s="184">
        <f>-'Residential Rental'!$E$95/12</f>
        <v>9920.4635932643287</v>
      </c>
      <c r="D240" s="183">
        <f>'Residential Rental'!$E$93/12*B239</f>
        <v>6925.0188056922661</v>
      </c>
      <c r="E240" s="185">
        <f t="shared" si="87"/>
        <v>2995.4447875720625</v>
      </c>
      <c r="F240" s="72">
        <f t="shared" si="92"/>
        <v>73</v>
      </c>
      <c r="G240" s="180">
        <f t="shared" si="88"/>
        <v>174434.81299811727</v>
      </c>
      <c r="H240" s="186">
        <f>-'Residential Rental'!$E$100/12</f>
        <v>898.0893756176489</v>
      </c>
      <c r="I240" s="149">
        <f>'Residential Rental'!$E$98/12*G239</f>
        <v>509.90042235818214</v>
      </c>
      <c r="J240" s="187">
        <f t="shared" si="89"/>
        <v>388.18895325946676</v>
      </c>
      <c r="K240" s="72">
        <f t="shared" si="93"/>
        <v>73</v>
      </c>
      <c r="L240" s="180">
        <f t="shared" si="90"/>
        <v>1833443.881576689</v>
      </c>
      <c r="M240" s="181">
        <f t="shared" si="90"/>
        <v>10818.552968881977</v>
      </c>
      <c r="N240" s="180">
        <f t="shared" si="90"/>
        <v>7434.9192280504485</v>
      </c>
      <c r="O240" s="132">
        <f t="shared" si="85"/>
        <v>3383.6337408315294</v>
      </c>
    </row>
    <row r="241" spans="1:15" x14ac:dyDescent="0.25">
      <c r="A241" s="72">
        <f t="shared" si="91"/>
        <v>74</v>
      </c>
      <c r="B241" s="183">
        <f t="shared" si="86"/>
        <v>1656001.1427710515</v>
      </c>
      <c r="C241" s="184">
        <f>-'Residential Rental'!$E$95/12</f>
        <v>9920.4635932643287</v>
      </c>
      <c r="D241" s="183">
        <f>'Residential Rental'!$E$93/12*B240</f>
        <v>6912.537785744049</v>
      </c>
      <c r="E241" s="185">
        <f t="shared" si="87"/>
        <v>3007.9258075202797</v>
      </c>
      <c r="F241" s="72">
        <f t="shared" si="92"/>
        <v>74</v>
      </c>
      <c r="G241" s="180">
        <f t="shared" si="88"/>
        <v>174045.49182707747</v>
      </c>
      <c r="H241" s="186">
        <f>-'Residential Rental'!$E$100/12</f>
        <v>898.0893756176489</v>
      </c>
      <c r="I241" s="149">
        <f>'Residential Rental'!$E$98/12*G240</f>
        <v>508.76820457784203</v>
      </c>
      <c r="J241" s="187">
        <f t="shared" si="89"/>
        <v>389.32117103980687</v>
      </c>
      <c r="K241" s="72">
        <f t="shared" si="93"/>
        <v>74</v>
      </c>
      <c r="L241" s="180">
        <f t="shared" si="90"/>
        <v>1830046.634598129</v>
      </c>
      <c r="M241" s="181">
        <f t="shared" si="90"/>
        <v>10818.552968881977</v>
      </c>
      <c r="N241" s="180">
        <f t="shared" si="90"/>
        <v>7421.3059903218909</v>
      </c>
      <c r="O241" s="132">
        <f t="shared" si="85"/>
        <v>3397.2469785600865</v>
      </c>
    </row>
    <row r="242" spans="1:15" x14ac:dyDescent="0.25">
      <c r="A242" s="72">
        <f t="shared" si="91"/>
        <v>75</v>
      </c>
      <c r="B242" s="183">
        <f t="shared" si="86"/>
        <v>1652980.6839393333</v>
      </c>
      <c r="C242" s="184">
        <f>-'Residential Rental'!$E$95/12</f>
        <v>9920.4635932643287</v>
      </c>
      <c r="D242" s="183">
        <f>'Residential Rental'!$E$93/12*B241</f>
        <v>6900.004761546048</v>
      </c>
      <c r="E242" s="185">
        <f t="shared" si="87"/>
        <v>3020.4588317182806</v>
      </c>
      <c r="F242" s="72">
        <f t="shared" si="92"/>
        <v>75</v>
      </c>
      <c r="G242" s="180">
        <f t="shared" si="88"/>
        <v>173655.03513595546</v>
      </c>
      <c r="H242" s="186">
        <f>-'Residential Rental'!$E$100/12</f>
        <v>898.0893756176489</v>
      </c>
      <c r="I242" s="149">
        <f>'Residential Rental'!$E$98/12*G241</f>
        <v>507.63268449564265</v>
      </c>
      <c r="J242" s="187">
        <f t="shared" si="89"/>
        <v>390.45669112200625</v>
      </c>
      <c r="K242" s="72">
        <f t="shared" si="93"/>
        <v>75</v>
      </c>
      <c r="L242" s="180">
        <f t="shared" si="90"/>
        <v>1826635.7190752889</v>
      </c>
      <c r="M242" s="181">
        <f t="shared" si="90"/>
        <v>10818.552968881977</v>
      </c>
      <c r="N242" s="180">
        <f t="shared" si="90"/>
        <v>7407.637446041691</v>
      </c>
      <c r="O242" s="132">
        <f t="shared" si="85"/>
        <v>3410.9155228402869</v>
      </c>
    </row>
    <row r="243" spans="1:15" x14ac:dyDescent="0.25">
      <c r="A243" s="72">
        <f t="shared" si="91"/>
        <v>76</v>
      </c>
      <c r="B243" s="183">
        <f t="shared" si="86"/>
        <v>1649947.6398624829</v>
      </c>
      <c r="C243" s="184">
        <f>-'Residential Rental'!$E$95/12</f>
        <v>9920.4635932643287</v>
      </c>
      <c r="D243" s="183">
        <f>'Residential Rental'!$E$93/12*B242</f>
        <v>6887.4195164138882</v>
      </c>
      <c r="E243" s="185">
        <f t="shared" si="87"/>
        <v>3033.0440768504404</v>
      </c>
      <c r="F243" s="72">
        <f t="shared" si="92"/>
        <v>76</v>
      </c>
      <c r="G243" s="180">
        <f t="shared" si="88"/>
        <v>173263.43961281769</v>
      </c>
      <c r="H243" s="186">
        <f>-'Residential Rental'!$E$100/12</f>
        <v>898.0893756176489</v>
      </c>
      <c r="I243" s="149">
        <f>'Residential Rental'!$E$98/12*G242</f>
        <v>506.4938524798701</v>
      </c>
      <c r="J243" s="187">
        <f t="shared" si="89"/>
        <v>391.5955231377788</v>
      </c>
      <c r="K243" s="72">
        <f t="shared" si="93"/>
        <v>76</v>
      </c>
      <c r="L243" s="180">
        <f t="shared" si="90"/>
        <v>1823211.0794753006</v>
      </c>
      <c r="M243" s="181">
        <f t="shared" si="90"/>
        <v>10818.552968881977</v>
      </c>
      <c r="N243" s="180">
        <f t="shared" si="90"/>
        <v>7393.9133688937582</v>
      </c>
      <c r="O243" s="132">
        <f t="shared" si="85"/>
        <v>3424.6395999882193</v>
      </c>
    </row>
    <row r="244" spans="1:15" x14ac:dyDescent="0.25">
      <c r="A244" s="72">
        <f t="shared" si="91"/>
        <v>77</v>
      </c>
      <c r="B244" s="183">
        <f t="shared" si="86"/>
        <v>1646901.958101979</v>
      </c>
      <c r="C244" s="184">
        <f>-'Residential Rental'!$E$95/12</f>
        <v>9920.4635932643287</v>
      </c>
      <c r="D244" s="183">
        <f>'Residential Rental'!$E$93/12*B243</f>
        <v>6874.7818327603454</v>
      </c>
      <c r="E244" s="185">
        <f t="shared" si="87"/>
        <v>3045.6817605039832</v>
      </c>
      <c r="F244" s="72">
        <f t="shared" si="92"/>
        <v>77</v>
      </c>
      <c r="G244" s="180">
        <f t="shared" si="88"/>
        <v>172870.70193607075</v>
      </c>
      <c r="H244" s="186">
        <f>-'Residential Rental'!$E$100/12</f>
        <v>898.0893756176489</v>
      </c>
      <c r="I244" s="149">
        <f>'Residential Rental'!$E$98/12*G243</f>
        <v>505.35169887071828</v>
      </c>
      <c r="J244" s="187">
        <f t="shared" si="89"/>
        <v>392.73767674693062</v>
      </c>
      <c r="K244" s="72">
        <f t="shared" si="93"/>
        <v>77</v>
      </c>
      <c r="L244" s="180">
        <f t="shared" si="90"/>
        <v>1819772.6600380498</v>
      </c>
      <c r="M244" s="181">
        <f t="shared" si="90"/>
        <v>10818.552968881977</v>
      </c>
      <c r="N244" s="180">
        <f t="shared" si="90"/>
        <v>7380.1335316310633</v>
      </c>
      <c r="O244" s="132">
        <f t="shared" si="85"/>
        <v>3438.4194372509137</v>
      </c>
    </row>
    <row r="245" spans="1:15" x14ac:dyDescent="0.25">
      <c r="A245" s="72">
        <f t="shared" si="91"/>
        <v>78</v>
      </c>
      <c r="B245" s="183">
        <f t="shared" si="86"/>
        <v>1643843.5860008062</v>
      </c>
      <c r="C245" s="184">
        <f>-'Residential Rental'!$E$95/12</f>
        <v>9920.4635932643287</v>
      </c>
      <c r="D245" s="183">
        <f>'Residential Rental'!$E$93/12*B244</f>
        <v>6862.0914920915793</v>
      </c>
      <c r="E245" s="185">
        <f t="shared" si="87"/>
        <v>3058.3721011727494</v>
      </c>
      <c r="F245" s="72">
        <f t="shared" si="92"/>
        <v>78</v>
      </c>
      <c r="G245" s="180">
        <f t="shared" si="88"/>
        <v>172476.81877443331</v>
      </c>
      <c r="H245" s="186">
        <f>-'Residential Rental'!$E$100/12</f>
        <v>898.0893756176489</v>
      </c>
      <c r="I245" s="149">
        <f>'Residential Rental'!$E$98/12*G244</f>
        <v>504.20621398020637</v>
      </c>
      <c r="J245" s="187">
        <f t="shared" si="89"/>
        <v>393.88316163744253</v>
      </c>
      <c r="K245" s="72">
        <f t="shared" si="93"/>
        <v>78</v>
      </c>
      <c r="L245" s="180">
        <f t="shared" si="90"/>
        <v>1816320.4047752395</v>
      </c>
      <c r="M245" s="181">
        <f t="shared" si="90"/>
        <v>10818.552968881977</v>
      </c>
      <c r="N245" s="180">
        <f t="shared" si="90"/>
        <v>7366.2977060717858</v>
      </c>
      <c r="O245" s="132">
        <f t="shared" si="85"/>
        <v>3452.2552628101921</v>
      </c>
    </row>
    <row r="246" spans="1:15" x14ac:dyDescent="0.25">
      <c r="A246" s="72">
        <f t="shared" si="91"/>
        <v>79</v>
      </c>
      <c r="B246" s="183">
        <f t="shared" si="86"/>
        <v>1640772.4706825453</v>
      </c>
      <c r="C246" s="184">
        <f>-'Residential Rental'!$E$95/12</f>
        <v>9920.4635932643287</v>
      </c>
      <c r="D246" s="183">
        <f>'Residential Rental'!$E$93/12*B245</f>
        <v>6849.348275003359</v>
      </c>
      <c r="E246" s="185">
        <f t="shared" si="87"/>
        <v>3071.1153182609696</v>
      </c>
      <c r="F246" s="72">
        <f t="shared" si="92"/>
        <v>79</v>
      </c>
      <c r="G246" s="180">
        <f t="shared" si="88"/>
        <v>172081.78678690776</v>
      </c>
      <c r="H246" s="186">
        <f>-'Residential Rental'!$E$100/12</f>
        <v>898.0893756176489</v>
      </c>
      <c r="I246" s="149">
        <f>'Residential Rental'!$E$98/12*G245</f>
        <v>503.0573880920972</v>
      </c>
      <c r="J246" s="187">
        <f t="shared" si="89"/>
        <v>395.0319875255517</v>
      </c>
      <c r="K246" s="72">
        <f t="shared" si="93"/>
        <v>79</v>
      </c>
      <c r="L246" s="180">
        <f t="shared" si="90"/>
        <v>1812854.2574694532</v>
      </c>
      <c r="M246" s="181">
        <f t="shared" si="90"/>
        <v>10818.552968881977</v>
      </c>
      <c r="N246" s="180">
        <f t="shared" si="90"/>
        <v>7352.4056630954565</v>
      </c>
      <c r="O246" s="132">
        <f t="shared" si="85"/>
        <v>3466.1473057865214</v>
      </c>
    </row>
    <row r="247" spans="1:15" x14ac:dyDescent="0.25">
      <c r="A247" s="72">
        <f t="shared" si="91"/>
        <v>80</v>
      </c>
      <c r="B247" s="183">
        <f t="shared" si="86"/>
        <v>1637688.5590504583</v>
      </c>
      <c r="C247" s="184">
        <f>-'Residential Rental'!$E$95/12</f>
        <v>9920.4635932643287</v>
      </c>
      <c r="D247" s="183">
        <f>'Residential Rental'!$E$93/12*B246</f>
        <v>6836.5519611772725</v>
      </c>
      <c r="E247" s="185">
        <f t="shared" si="87"/>
        <v>3083.9116320870562</v>
      </c>
      <c r="F247" s="72">
        <f t="shared" si="92"/>
        <v>80</v>
      </c>
      <c r="G247" s="180">
        <f t="shared" si="88"/>
        <v>171685.60262275193</v>
      </c>
      <c r="H247" s="186">
        <f>-'Residential Rental'!$E$100/12</f>
        <v>898.0893756176489</v>
      </c>
      <c r="I247" s="149">
        <f>'Residential Rental'!$E$98/12*G246</f>
        <v>501.9052114618143</v>
      </c>
      <c r="J247" s="187">
        <f t="shared" si="89"/>
        <v>396.18416415583459</v>
      </c>
      <c r="K247" s="72">
        <f t="shared" si="93"/>
        <v>80</v>
      </c>
      <c r="L247" s="180">
        <f t="shared" si="90"/>
        <v>1809374.1616732101</v>
      </c>
      <c r="M247" s="181">
        <f t="shared" si="90"/>
        <v>10818.552968881977</v>
      </c>
      <c r="N247" s="180">
        <f t="shared" si="90"/>
        <v>7338.4571726390868</v>
      </c>
      <c r="O247" s="132">
        <f t="shared" si="85"/>
        <v>3480.0957962428906</v>
      </c>
    </row>
    <row r="248" spans="1:15" x14ac:dyDescent="0.25">
      <c r="A248" s="72">
        <f t="shared" si="91"/>
        <v>81</v>
      </c>
      <c r="B248" s="183">
        <f t="shared" si="86"/>
        <v>1634591.7977865709</v>
      </c>
      <c r="C248" s="184">
        <f>-'Residential Rental'!$E$95/12</f>
        <v>9920.4635932643287</v>
      </c>
      <c r="D248" s="183">
        <f>'Residential Rental'!$E$93/12*B247</f>
        <v>6823.7023293769089</v>
      </c>
      <c r="E248" s="185">
        <f t="shared" si="87"/>
        <v>3096.7612638874198</v>
      </c>
      <c r="F248" s="72">
        <f t="shared" si="92"/>
        <v>81</v>
      </c>
      <c r="G248" s="180">
        <f t="shared" si="88"/>
        <v>171288.26292145063</v>
      </c>
      <c r="H248" s="186">
        <f>-'Residential Rental'!$E$100/12</f>
        <v>898.0893756176489</v>
      </c>
      <c r="I248" s="149">
        <f>'Residential Rental'!$E$98/12*G247</f>
        <v>500.7496743163598</v>
      </c>
      <c r="J248" s="187">
        <f t="shared" si="89"/>
        <v>397.3397013012891</v>
      </c>
      <c r="K248" s="72">
        <f t="shared" si="93"/>
        <v>81</v>
      </c>
      <c r="L248" s="180">
        <f t="shared" si="90"/>
        <v>1805880.0607080215</v>
      </c>
      <c r="M248" s="181">
        <f t="shared" si="90"/>
        <v>10818.552968881977</v>
      </c>
      <c r="N248" s="180">
        <f t="shared" si="90"/>
        <v>7324.452003693269</v>
      </c>
      <c r="O248" s="132">
        <f t="shared" si="85"/>
        <v>3494.1009651887089</v>
      </c>
    </row>
    <row r="249" spans="1:15" x14ac:dyDescent="0.25">
      <c r="A249" s="72">
        <f t="shared" si="91"/>
        <v>82</v>
      </c>
      <c r="B249" s="183">
        <f t="shared" si="86"/>
        <v>1631482.1333507507</v>
      </c>
      <c r="C249" s="184">
        <f>-'Residential Rental'!$E$95/12</f>
        <v>9920.4635932643287</v>
      </c>
      <c r="D249" s="183">
        <f>'Residential Rental'!$E$93/12*B248</f>
        <v>6810.7991574440448</v>
      </c>
      <c r="E249" s="185">
        <f t="shared" si="87"/>
        <v>3109.6644358202839</v>
      </c>
      <c r="F249" s="72">
        <f t="shared" si="92"/>
        <v>82</v>
      </c>
      <c r="G249" s="180">
        <f t="shared" si="88"/>
        <v>170889.76431268721</v>
      </c>
      <c r="H249" s="186">
        <f>-'Residential Rental'!$E$100/12</f>
        <v>898.0893756176489</v>
      </c>
      <c r="I249" s="149">
        <f>'Residential Rental'!$E$98/12*G248</f>
        <v>499.59076685423105</v>
      </c>
      <c r="J249" s="187">
        <f t="shared" si="89"/>
        <v>398.49860876341785</v>
      </c>
      <c r="K249" s="72">
        <f t="shared" si="93"/>
        <v>82</v>
      </c>
      <c r="L249" s="180">
        <f t="shared" si="90"/>
        <v>1802371.8976634378</v>
      </c>
      <c r="M249" s="181">
        <f t="shared" si="90"/>
        <v>10818.552968881977</v>
      </c>
      <c r="N249" s="180">
        <f t="shared" si="90"/>
        <v>7310.3899242982761</v>
      </c>
      <c r="O249" s="132">
        <f t="shared" si="85"/>
        <v>3508.1630445837018</v>
      </c>
    </row>
    <row r="250" spans="1:15" x14ac:dyDescent="0.25">
      <c r="A250" s="72">
        <f t="shared" si="91"/>
        <v>83</v>
      </c>
      <c r="B250" s="183">
        <f t="shared" si="86"/>
        <v>1628359.5119797811</v>
      </c>
      <c r="C250" s="184">
        <f>-'Residential Rental'!$E$95/12</f>
        <v>9920.4635932643287</v>
      </c>
      <c r="D250" s="183">
        <f>'Residential Rental'!$E$93/12*B249</f>
        <v>6797.8422222947947</v>
      </c>
      <c r="E250" s="185">
        <f t="shared" si="87"/>
        <v>3122.6213709695339</v>
      </c>
      <c r="F250" s="72">
        <f t="shared" si="92"/>
        <v>83</v>
      </c>
      <c r="G250" s="180">
        <f t="shared" si="88"/>
        <v>170490.1034163149</v>
      </c>
      <c r="H250" s="186">
        <f>-'Residential Rental'!$E$100/12</f>
        <v>898.0893756176489</v>
      </c>
      <c r="I250" s="149">
        <f>'Residential Rental'!$E$98/12*G249</f>
        <v>498.42847924533771</v>
      </c>
      <c r="J250" s="187">
        <f t="shared" si="89"/>
        <v>399.66089637231119</v>
      </c>
      <c r="K250" s="72">
        <f t="shared" si="93"/>
        <v>83</v>
      </c>
      <c r="L250" s="180">
        <f t="shared" si="90"/>
        <v>1798849.6153960959</v>
      </c>
      <c r="M250" s="181">
        <f t="shared" si="90"/>
        <v>10818.552968881977</v>
      </c>
      <c r="N250" s="180">
        <f t="shared" si="90"/>
        <v>7296.270701540132</v>
      </c>
      <c r="O250" s="132">
        <f t="shared" si="85"/>
        <v>3522.282267341845</v>
      </c>
    </row>
    <row r="251" spans="1:15" x14ac:dyDescent="0.25">
      <c r="A251" s="72">
        <f t="shared" si="91"/>
        <v>84</v>
      </c>
      <c r="B251" s="183">
        <f t="shared" si="86"/>
        <v>1625223.8796864324</v>
      </c>
      <c r="C251" s="184">
        <f>-'Residential Rental'!$E$95/12</f>
        <v>9920.4635932643287</v>
      </c>
      <c r="D251" s="183">
        <f>'Residential Rental'!$E$93/12*B250</f>
        <v>6784.8312999157542</v>
      </c>
      <c r="E251" s="185">
        <f t="shared" si="87"/>
        <v>3135.6322933485744</v>
      </c>
      <c r="F251" s="72">
        <f t="shared" si="92"/>
        <v>84</v>
      </c>
      <c r="G251" s="180">
        <f t="shared" si="88"/>
        <v>170089.27684232817</v>
      </c>
      <c r="H251" s="186">
        <f>-'Residential Rental'!$E$100/12</f>
        <v>898.0893756176489</v>
      </c>
      <c r="I251" s="149">
        <f>'Residential Rental'!$E$98/12*G250</f>
        <v>497.26280163091849</v>
      </c>
      <c r="J251" s="187">
        <f t="shared" si="89"/>
        <v>400.82657398673041</v>
      </c>
      <c r="K251" s="72">
        <f t="shared" si="93"/>
        <v>84</v>
      </c>
      <c r="L251" s="180">
        <f t="shared" si="90"/>
        <v>1795313.1565287607</v>
      </c>
      <c r="M251" s="181">
        <f t="shared" si="90"/>
        <v>10818.552968881977</v>
      </c>
      <c r="N251" s="180">
        <f t="shared" si="90"/>
        <v>7282.0941015466724</v>
      </c>
      <c r="O251" s="132">
        <f t="shared" si="85"/>
        <v>3536.4588673353046</v>
      </c>
    </row>
    <row r="252" spans="1:15" x14ac:dyDescent="0.25">
      <c r="A252" s="72">
        <f t="shared" si="91"/>
        <v>85</v>
      </c>
      <c r="B252" s="183">
        <f t="shared" si="86"/>
        <v>1622075.1822585282</v>
      </c>
      <c r="C252" s="184">
        <f>-'Residential Rental'!$E$95/12</f>
        <v>9920.4635932643287</v>
      </c>
      <c r="D252" s="183">
        <f>'Residential Rental'!$E$93/12*B251</f>
        <v>6771.7661653601353</v>
      </c>
      <c r="E252" s="185">
        <f t="shared" si="87"/>
        <v>3148.6974279041933</v>
      </c>
      <c r="F252" s="72">
        <f t="shared" si="92"/>
        <v>85</v>
      </c>
      <c r="G252" s="180">
        <f t="shared" si="88"/>
        <v>169687.28119083398</v>
      </c>
      <c r="H252" s="186">
        <f>-'Residential Rental'!$E$100/12</f>
        <v>898.0893756176489</v>
      </c>
      <c r="I252" s="149">
        <f>'Residential Rental'!$E$98/12*G251</f>
        <v>496.09372412345715</v>
      </c>
      <c r="J252" s="187">
        <f t="shared" si="89"/>
        <v>401.99565149419175</v>
      </c>
      <c r="K252" s="72">
        <f t="shared" si="93"/>
        <v>85</v>
      </c>
      <c r="L252" s="180">
        <f t="shared" si="90"/>
        <v>1791762.4634493622</v>
      </c>
      <c r="M252" s="181">
        <f t="shared" si="90"/>
        <v>10818.552968881977</v>
      </c>
      <c r="N252" s="180">
        <f t="shared" si="90"/>
        <v>7267.8598894835923</v>
      </c>
      <c r="O252" s="132">
        <f t="shared" si="85"/>
        <v>3550.6930793983852</v>
      </c>
    </row>
    <row r="253" spans="1:15" x14ac:dyDescent="0.25">
      <c r="A253" s="72">
        <f t="shared" si="91"/>
        <v>86</v>
      </c>
      <c r="B253" s="183">
        <f t="shared" si="86"/>
        <v>1618913.3652580078</v>
      </c>
      <c r="C253" s="184">
        <f>-'Residential Rental'!$E$95/12</f>
        <v>9920.4635932643287</v>
      </c>
      <c r="D253" s="183">
        <f>'Residential Rental'!$E$93/12*B252</f>
        <v>6758.6465927438676</v>
      </c>
      <c r="E253" s="185">
        <f t="shared" si="87"/>
        <v>3161.8170005204611</v>
      </c>
      <c r="F253" s="72">
        <f t="shared" si="92"/>
        <v>86</v>
      </c>
      <c r="G253" s="180">
        <f t="shared" si="88"/>
        <v>169284.11305202293</v>
      </c>
      <c r="H253" s="186">
        <f>-'Residential Rental'!$E$100/12</f>
        <v>898.0893756176489</v>
      </c>
      <c r="I253" s="149">
        <f>'Residential Rental'!$E$98/12*G252</f>
        <v>494.92123680659915</v>
      </c>
      <c r="J253" s="187">
        <f t="shared" si="89"/>
        <v>403.16813881104974</v>
      </c>
      <c r="K253" s="72">
        <f t="shared" si="93"/>
        <v>86</v>
      </c>
      <c r="L253" s="180">
        <f t="shared" si="90"/>
        <v>1788197.4783100307</v>
      </c>
      <c r="M253" s="181">
        <f t="shared" si="90"/>
        <v>10818.552968881977</v>
      </c>
      <c r="N253" s="180">
        <f t="shared" si="90"/>
        <v>7253.5678295504667</v>
      </c>
      <c r="O253" s="132">
        <f t="shared" si="85"/>
        <v>3564.9851393315107</v>
      </c>
    </row>
    <row r="254" spans="1:15" x14ac:dyDescent="0.25">
      <c r="A254" s="72">
        <f t="shared" si="91"/>
        <v>87</v>
      </c>
      <c r="B254" s="183">
        <f t="shared" si="86"/>
        <v>1615738.3740199851</v>
      </c>
      <c r="C254" s="184">
        <f>-'Residential Rental'!$E$95/12</f>
        <v>9920.4635932643287</v>
      </c>
      <c r="D254" s="183">
        <f>'Residential Rental'!$E$93/12*B253</f>
        <v>6745.472355241699</v>
      </c>
      <c r="E254" s="185">
        <f t="shared" si="87"/>
        <v>3174.9912380226297</v>
      </c>
      <c r="F254" s="72">
        <f t="shared" si="92"/>
        <v>87</v>
      </c>
      <c r="G254" s="180">
        <f t="shared" si="88"/>
        <v>168879.76900614036</v>
      </c>
      <c r="H254" s="186">
        <f>-'Residential Rental'!$E$100/12</f>
        <v>898.0893756176489</v>
      </c>
      <c r="I254" s="149">
        <f>'Residential Rental'!$E$98/12*G253</f>
        <v>493.74532973506689</v>
      </c>
      <c r="J254" s="187">
        <f t="shared" si="89"/>
        <v>404.34404588258201</v>
      </c>
      <c r="K254" s="72">
        <f t="shared" si="93"/>
        <v>87</v>
      </c>
      <c r="L254" s="180">
        <f t="shared" si="90"/>
        <v>1784618.1430261254</v>
      </c>
      <c r="M254" s="181">
        <f t="shared" si="90"/>
        <v>10818.552968881977</v>
      </c>
      <c r="N254" s="180">
        <f t="shared" si="90"/>
        <v>7239.2176849767657</v>
      </c>
      <c r="O254" s="132">
        <f t="shared" si="85"/>
        <v>3579.3352839052118</v>
      </c>
    </row>
    <row r="255" spans="1:15" x14ac:dyDescent="0.25">
      <c r="A255" s="72">
        <f t="shared" si="91"/>
        <v>88</v>
      </c>
      <c r="B255" s="183">
        <f t="shared" si="86"/>
        <v>1612550.153651804</v>
      </c>
      <c r="C255" s="184">
        <f>-'Residential Rental'!$E$95/12</f>
        <v>9920.4635932643287</v>
      </c>
      <c r="D255" s="183">
        <f>'Residential Rental'!$E$93/12*B254</f>
        <v>6732.2432250832708</v>
      </c>
      <c r="E255" s="185">
        <f t="shared" si="87"/>
        <v>3188.2203681810579</v>
      </c>
      <c r="F255" s="72">
        <f t="shared" si="92"/>
        <v>88</v>
      </c>
      <c r="G255" s="180">
        <f t="shared" si="88"/>
        <v>168474.24562345727</v>
      </c>
      <c r="H255" s="186">
        <f>-'Residential Rental'!$E$100/12</f>
        <v>898.0893756176489</v>
      </c>
      <c r="I255" s="149">
        <f>'Residential Rental'!$E$98/12*G254</f>
        <v>492.56599293457606</v>
      </c>
      <c r="J255" s="187">
        <f t="shared" si="89"/>
        <v>405.52338268307284</v>
      </c>
      <c r="K255" s="72">
        <f t="shared" si="93"/>
        <v>88</v>
      </c>
      <c r="L255" s="180">
        <f t="shared" si="90"/>
        <v>1781024.3992752612</v>
      </c>
      <c r="M255" s="181">
        <f t="shared" si="90"/>
        <v>10818.552968881977</v>
      </c>
      <c r="N255" s="180">
        <f t="shared" si="90"/>
        <v>7224.8092180178464</v>
      </c>
      <c r="O255" s="132">
        <f t="shared" si="85"/>
        <v>3593.7437508641306</v>
      </c>
    </row>
    <row r="256" spans="1:15" x14ac:dyDescent="0.25">
      <c r="A256" s="72">
        <f t="shared" si="91"/>
        <v>89</v>
      </c>
      <c r="B256" s="183">
        <f t="shared" si="86"/>
        <v>1609348.6490320889</v>
      </c>
      <c r="C256" s="184">
        <f>-'Residential Rental'!$E$95/12</f>
        <v>9920.4635932643287</v>
      </c>
      <c r="D256" s="183">
        <f>'Residential Rental'!$E$93/12*B255</f>
        <v>6718.9589735491827</v>
      </c>
      <c r="E256" s="185">
        <f t="shared" si="87"/>
        <v>3201.504619715146</v>
      </c>
      <c r="F256" s="72">
        <f t="shared" si="92"/>
        <v>89</v>
      </c>
      <c r="G256" s="180">
        <f t="shared" si="88"/>
        <v>168067.53946424139</v>
      </c>
      <c r="H256" s="186">
        <f>-'Residential Rental'!$E$100/12</f>
        <v>898.0893756176489</v>
      </c>
      <c r="I256" s="149">
        <f>'Residential Rental'!$E$98/12*G255</f>
        <v>491.38321640175042</v>
      </c>
      <c r="J256" s="187">
        <f t="shared" si="89"/>
        <v>406.70615921589848</v>
      </c>
      <c r="K256" s="72">
        <f t="shared" si="93"/>
        <v>89</v>
      </c>
      <c r="L256" s="180">
        <f t="shared" si="90"/>
        <v>1777416.1884963303</v>
      </c>
      <c r="M256" s="181">
        <f t="shared" si="90"/>
        <v>10818.552968881977</v>
      </c>
      <c r="N256" s="180">
        <f t="shared" si="90"/>
        <v>7210.3421899509331</v>
      </c>
      <c r="O256" s="132">
        <f t="shared" si="85"/>
        <v>3608.2107789310444</v>
      </c>
    </row>
    <row r="257" spans="1:15" x14ac:dyDescent="0.25">
      <c r="A257" s="72">
        <f t="shared" si="91"/>
        <v>90</v>
      </c>
      <c r="B257" s="183">
        <f t="shared" si="86"/>
        <v>1606133.8048097917</v>
      </c>
      <c r="C257" s="184">
        <f>-'Residential Rental'!$E$95/12</f>
        <v>9920.4635932643287</v>
      </c>
      <c r="D257" s="183">
        <f>'Residential Rental'!$E$93/12*B256</f>
        <v>6705.619370967037</v>
      </c>
      <c r="E257" s="185">
        <f t="shared" si="87"/>
        <v>3214.8442222972917</v>
      </c>
      <c r="F257" s="72">
        <f t="shared" si="92"/>
        <v>90</v>
      </c>
      <c r="G257" s="180">
        <f t="shared" si="88"/>
        <v>167659.64707872778</v>
      </c>
      <c r="H257" s="186">
        <f>-'Residential Rental'!$E$100/12</f>
        <v>898.0893756176489</v>
      </c>
      <c r="I257" s="149">
        <f>'Residential Rental'!$E$98/12*G256</f>
        <v>490.19699010403741</v>
      </c>
      <c r="J257" s="187">
        <f t="shared" si="89"/>
        <v>407.89238551361149</v>
      </c>
      <c r="K257" s="72">
        <f t="shared" si="93"/>
        <v>90</v>
      </c>
      <c r="L257" s="180">
        <f t="shared" si="90"/>
        <v>1773793.4518885196</v>
      </c>
      <c r="M257" s="181">
        <f t="shared" si="90"/>
        <v>10818.552968881977</v>
      </c>
      <c r="N257" s="180">
        <f t="shared" si="90"/>
        <v>7195.8163610710744</v>
      </c>
      <c r="O257" s="132">
        <f t="shared" si="85"/>
        <v>3622.736607810903</v>
      </c>
    </row>
    <row r="258" spans="1:15" x14ac:dyDescent="0.25">
      <c r="A258" s="72">
        <f t="shared" si="91"/>
        <v>91</v>
      </c>
      <c r="B258" s="183">
        <f t="shared" si="86"/>
        <v>1602905.5654032349</v>
      </c>
      <c r="C258" s="184">
        <f>-'Residential Rental'!$E$95/12</f>
        <v>9920.4635932643287</v>
      </c>
      <c r="D258" s="183">
        <f>'Residential Rental'!$E$93/12*B257</f>
        <v>6692.2241867074654</v>
      </c>
      <c r="E258" s="185">
        <f t="shared" si="87"/>
        <v>3228.2394065568633</v>
      </c>
      <c r="F258" s="72">
        <f t="shared" si="92"/>
        <v>91</v>
      </c>
      <c r="G258" s="180">
        <f t="shared" si="88"/>
        <v>167250.56500708975</v>
      </c>
      <c r="H258" s="186">
        <f>-'Residential Rental'!$E$100/12</f>
        <v>898.0893756176489</v>
      </c>
      <c r="I258" s="149">
        <f>'Residential Rental'!$E$98/12*G257</f>
        <v>489.00730397962269</v>
      </c>
      <c r="J258" s="187">
        <f t="shared" si="89"/>
        <v>409.08207163802621</v>
      </c>
      <c r="K258" s="72">
        <f t="shared" si="93"/>
        <v>91</v>
      </c>
      <c r="L258" s="180">
        <f t="shared" si="90"/>
        <v>1770156.1304103248</v>
      </c>
      <c r="M258" s="181">
        <f t="shared" si="90"/>
        <v>10818.552968881977</v>
      </c>
      <c r="N258" s="180">
        <f t="shared" si="90"/>
        <v>7181.2314906870879</v>
      </c>
      <c r="O258" s="132">
        <f t="shared" si="85"/>
        <v>3637.3214781948896</v>
      </c>
    </row>
    <row r="259" spans="1:15" x14ac:dyDescent="0.25">
      <c r="A259" s="72">
        <f t="shared" si="91"/>
        <v>92</v>
      </c>
      <c r="B259" s="183">
        <f t="shared" si="86"/>
        <v>1599663.8749991506</v>
      </c>
      <c r="C259" s="184">
        <f>-'Residential Rental'!$E$95/12</f>
        <v>9920.4635932643287</v>
      </c>
      <c r="D259" s="183">
        <f>'Residential Rental'!$E$93/12*B258</f>
        <v>6678.773189180145</v>
      </c>
      <c r="E259" s="185">
        <f t="shared" si="87"/>
        <v>3241.6904040841837</v>
      </c>
      <c r="F259" s="72">
        <f t="shared" si="92"/>
        <v>92</v>
      </c>
      <c r="G259" s="180">
        <f t="shared" si="88"/>
        <v>166840.28977940945</v>
      </c>
      <c r="H259" s="186">
        <f>-'Residential Rental'!$E$100/12</f>
        <v>898.0893756176489</v>
      </c>
      <c r="I259" s="149">
        <f>'Residential Rental'!$E$98/12*G258</f>
        <v>487.81414793734513</v>
      </c>
      <c r="J259" s="187">
        <f t="shared" si="89"/>
        <v>410.27522768030377</v>
      </c>
      <c r="K259" s="72">
        <f t="shared" si="93"/>
        <v>92</v>
      </c>
      <c r="L259" s="180">
        <f t="shared" si="90"/>
        <v>1766504.1647785602</v>
      </c>
      <c r="M259" s="181">
        <f t="shared" si="90"/>
        <v>10818.552968881977</v>
      </c>
      <c r="N259" s="180">
        <f t="shared" si="90"/>
        <v>7166.5873371174903</v>
      </c>
      <c r="O259" s="132">
        <f t="shared" si="85"/>
        <v>3651.9656317644876</v>
      </c>
    </row>
    <row r="260" spans="1:15" x14ac:dyDescent="0.25">
      <c r="A260" s="72">
        <f t="shared" si="91"/>
        <v>93</v>
      </c>
      <c r="B260" s="183">
        <f t="shared" si="86"/>
        <v>1596408.6775517161</v>
      </c>
      <c r="C260" s="184">
        <f>-'Residential Rental'!$E$95/12</f>
        <v>9920.4635932643287</v>
      </c>
      <c r="D260" s="183">
        <f>'Residential Rental'!$E$93/12*B259</f>
        <v>6665.2661458297944</v>
      </c>
      <c r="E260" s="185">
        <f t="shared" si="87"/>
        <v>3255.1974474345343</v>
      </c>
      <c r="F260" s="72">
        <f t="shared" si="92"/>
        <v>93</v>
      </c>
      <c r="G260" s="180">
        <f t="shared" si="88"/>
        <v>166428.8179156484</v>
      </c>
      <c r="H260" s="186">
        <f>-'Residential Rental'!$E$100/12</f>
        <v>898.0893756176489</v>
      </c>
      <c r="I260" s="149">
        <f>'Residential Rental'!$E$98/12*G259</f>
        <v>486.61751185661092</v>
      </c>
      <c r="J260" s="187">
        <f t="shared" si="89"/>
        <v>411.47186376103798</v>
      </c>
      <c r="K260" s="72">
        <f t="shared" si="93"/>
        <v>93</v>
      </c>
      <c r="L260" s="180">
        <f t="shared" si="90"/>
        <v>1762837.4954673646</v>
      </c>
      <c r="M260" s="181">
        <f t="shared" si="90"/>
        <v>10818.552968881977</v>
      </c>
      <c r="N260" s="180">
        <f t="shared" si="90"/>
        <v>7151.8836576864051</v>
      </c>
      <c r="O260" s="132">
        <f t="shared" si="85"/>
        <v>3666.6693111955724</v>
      </c>
    </row>
    <row r="261" spans="1:15" x14ac:dyDescent="0.25">
      <c r="A261" s="72">
        <f t="shared" si="91"/>
        <v>94</v>
      </c>
      <c r="B261" s="183">
        <f t="shared" si="86"/>
        <v>1593139.916781584</v>
      </c>
      <c r="C261" s="184">
        <f>-'Residential Rental'!$E$95/12</f>
        <v>9920.4635932643287</v>
      </c>
      <c r="D261" s="183">
        <f>'Residential Rental'!$E$93/12*B260</f>
        <v>6651.7028231321501</v>
      </c>
      <c r="E261" s="185">
        <f t="shared" si="87"/>
        <v>3268.7607701321785</v>
      </c>
      <c r="F261" s="72">
        <f t="shared" si="92"/>
        <v>94</v>
      </c>
      <c r="G261" s="180">
        <f t="shared" si="88"/>
        <v>166016.14592561807</v>
      </c>
      <c r="H261" s="186">
        <f>-'Residential Rental'!$E$100/12</f>
        <v>898.0893756176489</v>
      </c>
      <c r="I261" s="149">
        <f>'Residential Rental'!$E$98/12*G260</f>
        <v>485.41738558730782</v>
      </c>
      <c r="J261" s="187">
        <f t="shared" si="89"/>
        <v>412.67199003034108</v>
      </c>
      <c r="K261" s="72">
        <f t="shared" si="93"/>
        <v>94</v>
      </c>
      <c r="L261" s="180">
        <f t="shared" si="90"/>
        <v>1759156.062707202</v>
      </c>
      <c r="M261" s="181">
        <f t="shared" si="90"/>
        <v>10818.552968881977</v>
      </c>
      <c r="N261" s="180">
        <f t="shared" si="90"/>
        <v>7137.1202087194579</v>
      </c>
      <c r="O261" s="132">
        <f t="shared" si="85"/>
        <v>3681.4327601625196</v>
      </c>
    </row>
    <row r="262" spans="1:15" x14ac:dyDescent="0.25">
      <c r="A262" s="72">
        <f t="shared" si="91"/>
        <v>95</v>
      </c>
      <c r="B262" s="183">
        <f t="shared" si="86"/>
        <v>1589857.5361749097</v>
      </c>
      <c r="C262" s="184">
        <f>-'Residential Rental'!$E$95/12</f>
        <v>9920.4635932643287</v>
      </c>
      <c r="D262" s="183">
        <f>'Residential Rental'!$E$93/12*B261</f>
        <v>6638.0829865899332</v>
      </c>
      <c r="E262" s="185">
        <f t="shared" si="87"/>
        <v>3282.3806066743955</v>
      </c>
      <c r="F262" s="72">
        <f t="shared" si="92"/>
        <v>95</v>
      </c>
      <c r="G262" s="180">
        <f t="shared" si="88"/>
        <v>165602.27030895013</v>
      </c>
      <c r="H262" s="186">
        <f>-'Residential Rental'!$E$100/12</f>
        <v>898.0893756176489</v>
      </c>
      <c r="I262" s="149">
        <f>'Residential Rental'!$E$98/12*G261</f>
        <v>484.21375894971936</v>
      </c>
      <c r="J262" s="187">
        <f t="shared" si="89"/>
        <v>413.87561666792953</v>
      </c>
      <c r="K262" s="72">
        <f t="shared" si="93"/>
        <v>95</v>
      </c>
      <c r="L262" s="180">
        <f t="shared" si="90"/>
        <v>1755459.8064838599</v>
      </c>
      <c r="M262" s="181">
        <f t="shared" si="90"/>
        <v>10818.552968881977</v>
      </c>
      <c r="N262" s="180">
        <f t="shared" si="90"/>
        <v>7122.2967455396529</v>
      </c>
      <c r="O262" s="132">
        <f t="shared" si="85"/>
        <v>3696.256223342325</v>
      </c>
    </row>
    <row r="263" spans="1:15" x14ac:dyDescent="0.25">
      <c r="A263" s="72">
        <f t="shared" si="91"/>
        <v>96</v>
      </c>
      <c r="B263" s="183">
        <f t="shared" si="86"/>
        <v>1586561.4789823741</v>
      </c>
      <c r="C263" s="184">
        <f>-'Residential Rental'!$E$95/12</f>
        <v>9920.4635932643287</v>
      </c>
      <c r="D263" s="183">
        <f>'Residential Rental'!$E$93/12*B262</f>
        <v>6624.4064007287898</v>
      </c>
      <c r="E263" s="185">
        <f t="shared" si="87"/>
        <v>3296.0571925355389</v>
      </c>
      <c r="F263" s="72">
        <f t="shared" si="92"/>
        <v>96</v>
      </c>
      <c r="G263" s="180">
        <f t="shared" si="88"/>
        <v>165187.18755506692</v>
      </c>
      <c r="H263" s="186">
        <f>-'Residential Rental'!$E$100/12</f>
        <v>898.0893756176489</v>
      </c>
      <c r="I263" s="149">
        <f>'Residential Rental'!$E$98/12*G262</f>
        <v>483.00662173443789</v>
      </c>
      <c r="J263" s="187">
        <f t="shared" si="89"/>
        <v>415.08275388321101</v>
      </c>
      <c r="K263" s="72">
        <f t="shared" si="93"/>
        <v>96</v>
      </c>
      <c r="L263" s="180">
        <f t="shared" si="90"/>
        <v>1751748.6665374411</v>
      </c>
      <c r="M263" s="181">
        <f t="shared" si="90"/>
        <v>10818.552968881977</v>
      </c>
      <c r="N263" s="180">
        <f t="shared" si="90"/>
        <v>7107.4130224632281</v>
      </c>
      <c r="O263" s="132">
        <f t="shared" si="85"/>
        <v>3711.1399464187498</v>
      </c>
    </row>
    <row r="264" spans="1:15" x14ac:dyDescent="0.25">
      <c r="A264" s="72">
        <f t="shared" si="91"/>
        <v>97</v>
      </c>
      <c r="B264" s="183">
        <f t="shared" si="86"/>
        <v>1583251.6882182029</v>
      </c>
      <c r="C264" s="184">
        <f>-'Residential Rental'!$E$95/12</f>
        <v>9920.4635932643287</v>
      </c>
      <c r="D264" s="183">
        <f>'Residential Rental'!$E$93/12*B263</f>
        <v>6610.6728290932251</v>
      </c>
      <c r="E264" s="185">
        <f t="shared" si="87"/>
        <v>3309.7907641711035</v>
      </c>
      <c r="F264" s="72">
        <f t="shared" si="92"/>
        <v>97</v>
      </c>
      <c r="G264" s="180">
        <f t="shared" si="88"/>
        <v>164770.89414315156</v>
      </c>
      <c r="H264" s="186">
        <f>-'Residential Rental'!$E$100/12</f>
        <v>898.0893756176489</v>
      </c>
      <c r="I264" s="149">
        <f>'Residential Rental'!$E$98/12*G263</f>
        <v>481.79596370227853</v>
      </c>
      <c r="J264" s="187">
        <f t="shared" si="89"/>
        <v>416.29341191537037</v>
      </c>
      <c r="K264" s="72">
        <f t="shared" si="93"/>
        <v>97</v>
      </c>
      <c r="L264" s="180">
        <f t="shared" si="90"/>
        <v>1748022.5823613545</v>
      </c>
      <c r="M264" s="181">
        <f t="shared" si="90"/>
        <v>10818.552968881977</v>
      </c>
      <c r="N264" s="180">
        <f t="shared" si="90"/>
        <v>7092.4687927955038</v>
      </c>
      <c r="O264" s="132">
        <f t="shared" si="85"/>
        <v>3726.0841760864741</v>
      </c>
    </row>
    <row r="265" spans="1:15" x14ac:dyDescent="0.25">
      <c r="A265" s="72">
        <f t="shared" si="91"/>
        <v>98</v>
      </c>
      <c r="B265" s="183">
        <f t="shared" si="86"/>
        <v>1579928.1066591812</v>
      </c>
      <c r="C265" s="184">
        <f>-'Residential Rental'!$E$95/12</f>
        <v>9920.4635932643287</v>
      </c>
      <c r="D265" s="183">
        <f>'Residential Rental'!$E$93/12*B264</f>
        <v>6596.8820342425124</v>
      </c>
      <c r="E265" s="185">
        <f t="shared" si="87"/>
        <v>3323.5815590218162</v>
      </c>
      <c r="F265" s="72">
        <f t="shared" si="92"/>
        <v>98</v>
      </c>
      <c r="G265" s="180">
        <f t="shared" si="88"/>
        <v>164353.3865421181</v>
      </c>
      <c r="H265" s="186">
        <f>-'Residential Rental'!$E$100/12</f>
        <v>898.0893756176489</v>
      </c>
      <c r="I265" s="149">
        <f>'Residential Rental'!$E$98/12*G264</f>
        <v>480.58177458419203</v>
      </c>
      <c r="J265" s="187">
        <f t="shared" si="89"/>
        <v>417.50760103345687</v>
      </c>
      <c r="K265" s="72">
        <f t="shared" si="93"/>
        <v>98</v>
      </c>
      <c r="L265" s="180">
        <f t="shared" si="90"/>
        <v>1744281.4932012993</v>
      </c>
      <c r="M265" s="181">
        <f t="shared" si="90"/>
        <v>10818.552968881977</v>
      </c>
      <c r="N265" s="180">
        <f t="shared" si="90"/>
        <v>7077.4638088267047</v>
      </c>
      <c r="O265" s="132">
        <f t="shared" si="85"/>
        <v>3741.0891600552732</v>
      </c>
    </row>
    <row r="266" spans="1:15" x14ac:dyDescent="0.25">
      <c r="A266" s="72">
        <f t="shared" si="91"/>
        <v>99</v>
      </c>
      <c r="B266" s="183">
        <f t="shared" si="86"/>
        <v>1576590.6768436634</v>
      </c>
      <c r="C266" s="184">
        <f>-'Residential Rental'!$E$95/12</f>
        <v>9920.4635932643287</v>
      </c>
      <c r="D266" s="183">
        <f>'Residential Rental'!$E$93/12*B265</f>
        <v>6583.0337777465884</v>
      </c>
      <c r="E266" s="185">
        <f t="shared" si="87"/>
        <v>3337.4298155177403</v>
      </c>
      <c r="F266" s="72">
        <f t="shared" si="92"/>
        <v>99</v>
      </c>
      <c r="G266" s="180">
        <f t="shared" si="88"/>
        <v>163934.66121058163</v>
      </c>
      <c r="H266" s="186">
        <f>-'Residential Rental'!$E$100/12</f>
        <v>898.0893756176489</v>
      </c>
      <c r="I266" s="149">
        <f>'Residential Rental'!$E$98/12*G265</f>
        <v>479.36404408117778</v>
      </c>
      <c r="J266" s="187">
        <f t="shared" si="89"/>
        <v>418.72533153647112</v>
      </c>
      <c r="K266" s="72">
        <f t="shared" si="93"/>
        <v>99</v>
      </c>
      <c r="L266" s="180">
        <f t="shared" si="90"/>
        <v>1740525.3380542451</v>
      </c>
      <c r="M266" s="181">
        <f t="shared" si="90"/>
        <v>10818.552968881977</v>
      </c>
      <c r="N266" s="180">
        <f t="shared" si="90"/>
        <v>7062.3978218277662</v>
      </c>
      <c r="O266" s="132">
        <f t="shared" si="85"/>
        <v>3756.1551470542113</v>
      </c>
    </row>
    <row r="267" spans="1:15" x14ac:dyDescent="0.25">
      <c r="A267" s="72">
        <f t="shared" si="91"/>
        <v>100</v>
      </c>
      <c r="B267" s="183">
        <f t="shared" si="86"/>
        <v>1573239.341070581</v>
      </c>
      <c r="C267" s="184">
        <f>-'Residential Rental'!$E$95/12</f>
        <v>9920.4635932643287</v>
      </c>
      <c r="D267" s="183">
        <f>'Residential Rental'!$E$93/12*B266</f>
        <v>6569.1278201819314</v>
      </c>
      <c r="E267" s="185">
        <f t="shared" si="87"/>
        <v>3351.3357730823973</v>
      </c>
      <c r="F267" s="72">
        <f t="shared" si="92"/>
        <v>100</v>
      </c>
      <c r="G267" s="180">
        <f t="shared" si="88"/>
        <v>163514.71459682818</v>
      </c>
      <c r="H267" s="186">
        <f>-'Residential Rental'!$E$100/12</f>
        <v>898.0893756176489</v>
      </c>
      <c r="I267" s="149">
        <f>'Residential Rental'!$E$98/12*G266</f>
        <v>478.14276186419647</v>
      </c>
      <c r="J267" s="187">
        <f t="shared" si="89"/>
        <v>419.94661375345243</v>
      </c>
      <c r="K267" s="72">
        <f t="shared" si="93"/>
        <v>100</v>
      </c>
      <c r="L267" s="180">
        <f t="shared" si="90"/>
        <v>1736754.0556674092</v>
      </c>
      <c r="M267" s="181">
        <f t="shared" si="90"/>
        <v>10818.552968881977</v>
      </c>
      <c r="N267" s="180">
        <f t="shared" si="90"/>
        <v>7047.2705820461279</v>
      </c>
      <c r="O267" s="132">
        <f t="shared" si="85"/>
        <v>3771.2823868358496</v>
      </c>
    </row>
    <row r="268" spans="1:15" x14ac:dyDescent="0.25">
      <c r="A268" s="72">
        <f t="shared" si="91"/>
        <v>101</v>
      </c>
      <c r="B268" s="183">
        <f t="shared" si="86"/>
        <v>1569874.041398444</v>
      </c>
      <c r="C268" s="184">
        <f>-'Residential Rental'!$E$95/12</f>
        <v>9920.4635932643287</v>
      </c>
      <c r="D268" s="183">
        <f>'Residential Rental'!$E$93/12*B267</f>
        <v>6555.1639211274205</v>
      </c>
      <c r="E268" s="185">
        <f t="shared" si="87"/>
        <v>3365.2996721369082</v>
      </c>
      <c r="F268" s="72">
        <f t="shared" si="92"/>
        <v>101</v>
      </c>
      <c r="G268" s="180">
        <f t="shared" si="88"/>
        <v>163093.54313878462</v>
      </c>
      <c r="H268" s="186">
        <f>-'Residential Rental'!$E$100/12</f>
        <v>898.0893756176489</v>
      </c>
      <c r="I268" s="149">
        <f>'Residential Rental'!$E$98/12*G267</f>
        <v>476.91791757408225</v>
      </c>
      <c r="J268" s="187">
        <f t="shared" si="89"/>
        <v>421.17145804356664</v>
      </c>
      <c r="K268" s="72">
        <f t="shared" si="93"/>
        <v>101</v>
      </c>
      <c r="L268" s="180">
        <f t="shared" si="90"/>
        <v>1732967.5845372286</v>
      </c>
      <c r="M268" s="181">
        <f t="shared" si="90"/>
        <v>10818.552968881977</v>
      </c>
      <c r="N268" s="180">
        <f t="shared" si="90"/>
        <v>7032.0818387015024</v>
      </c>
      <c r="O268" s="132">
        <f t="shared" si="85"/>
        <v>3786.4711301804746</v>
      </c>
    </row>
    <row r="269" spans="1:15" x14ac:dyDescent="0.25">
      <c r="A269" s="72">
        <f t="shared" si="91"/>
        <v>102</v>
      </c>
      <c r="B269" s="183">
        <f t="shared" si="86"/>
        <v>1566494.7196443398</v>
      </c>
      <c r="C269" s="184">
        <f>-'Residential Rental'!$E$95/12</f>
        <v>9920.4635932643287</v>
      </c>
      <c r="D269" s="183">
        <f>'Residential Rental'!$E$93/12*B268</f>
        <v>6541.1418391601828</v>
      </c>
      <c r="E269" s="185">
        <f t="shared" si="87"/>
        <v>3379.3217541041458</v>
      </c>
      <c r="F269" s="72">
        <f t="shared" si="92"/>
        <v>102</v>
      </c>
      <c r="G269" s="180">
        <f t="shared" si="88"/>
        <v>162671.14326398843</v>
      </c>
      <c r="H269" s="186">
        <f>-'Residential Rental'!$E$100/12</f>
        <v>898.0893756176489</v>
      </c>
      <c r="I269" s="149">
        <f>'Residential Rental'!$E$98/12*G268</f>
        <v>475.68950082145517</v>
      </c>
      <c r="J269" s="187">
        <f t="shared" si="89"/>
        <v>422.39987479619373</v>
      </c>
      <c r="K269" s="72">
        <f t="shared" si="93"/>
        <v>102</v>
      </c>
      <c r="L269" s="180">
        <f t="shared" si="90"/>
        <v>1729165.8629083282</v>
      </c>
      <c r="M269" s="181">
        <f t="shared" si="90"/>
        <v>10818.552968881977</v>
      </c>
      <c r="N269" s="180">
        <f t="shared" si="90"/>
        <v>7016.8313399816379</v>
      </c>
      <c r="O269" s="132">
        <f t="shared" si="85"/>
        <v>3801.7216289003395</v>
      </c>
    </row>
    <row r="270" spans="1:15" x14ac:dyDescent="0.25">
      <c r="A270" s="72">
        <f t="shared" si="91"/>
        <v>103</v>
      </c>
      <c r="B270" s="183">
        <f t="shared" si="86"/>
        <v>1563101.3173829268</v>
      </c>
      <c r="C270" s="184">
        <f>-'Residential Rental'!$E$95/12</f>
        <v>9920.4635932643287</v>
      </c>
      <c r="D270" s="183">
        <f>'Residential Rental'!$E$93/12*B269</f>
        <v>6527.0613318514152</v>
      </c>
      <c r="E270" s="185">
        <f t="shared" si="87"/>
        <v>3393.4022614129135</v>
      </c>
      <c r="F270" s="72">
        <f t="shared" si="92"/>
        <v>103</v>
      </c>
      <c r="G270" s="180">
        <f t="shared" si="88"/>
        <v>162247.51138955742</v>
      </c>
      <c r="H270" s="186">
        <f>-'Residential Rental'!$E$100/12</f>
        <v>898.0893756176489</v>
      </c>
      <c r="I270" s="149">
        <f>'Residential Rental'!$E$98/12*G269</f>
        <v>474.45750118663295</v>
      </c>
      <c r="J270" s="187">
        <f t="shared" si="89"/>
        <v>423.63187443101594</v>
      </c>
      <c r="K270" s="72">
        <f t="shared" si="93"/>
        <v>103</v>
      </c>
      <c r="L270" s="180">
        <f t="shared" si="90"/>
        <v>1725348.8287724843</v>
      </c>
      <c r="M270" s="181">
        <f t="shared" si="90"/>
        <v>10818.552968881977</v>
      </c>
      <c r="N270" s="180">
        <f t="shared" si="90"/>
        <v>7001.5188330380479</v>
      </c>
      <c r="O270" s="132">
        <f t="shared" si="85"/>
        <v>3817.0341358439296</v>
      </c>
    </row>
    <row r="271" spans="1:15" x14ac:dyDescent="0.25">
      <c r="A271" s="72">
        <f t="shared" si="91"/>
        <v>104</v>
      </c>
      <c r="B271" s="183">
        <f t="shared" si="86"/>
        <v>1559693.7759454248</v>
      </c>
      <c r="C271" s="184">
        <f>-'Residential Rental'!$E$95/12</f>
        <v>9920.4635932643287</v>
      </c>
      <c r="D271" s="183">
        <f>'Residential Rental'!$E$93/12*B270</f>
        <v>6512.922155762195</v>
      </c>
      <c r="E271" s="185">
        <f t="shared" si="87"/>
        <v>3407.5414375021337</v>
      </c>
      <c r="F271" s="72">
        <f t="shared" si="92"/>
        <v>104</v>
      </c>
      <c r="G271" s="180">
        <f t="shared" si="88"/>
        <v>161822.6439221593</v>
      </c>
      <c r="H271" s="186">
        <f>-'Residential Rental'!$E$100/12</f>
        <v>898.0893756176489</v>
      </c>
      <c r="I271" s="149">
        <f>'Residential Rental'!$E$98/12*G270</f>
        <v>473.22190821954251</v>
      </c>
      <c r="J271" s="187">
        <f t="shared" si="89"/>
        <v>424.86746739810638</v>
      </c>
      <c r="K271" s="72">
        <f t="shared" si="93"/>
        <v>104</v>
      </c>
      <c r="L271" s="180">
        <f t="shared" si="90"/>
        <v>1721516.419867584</v>
      </c>
      <c r="M271" s="181">
        <f t="shared" si="90"/>
        <v>10818.552968881977</v>
      </c>
      <c r="N271" s="180">
        <f t="shared" si="90"/>
        <v>6986.1440639817374</v>
      </c>
      <c r="O271" s="132">
        <f t="shared" si="85"/>
        <v>3832.40890490024</v>
      </c>
    </row>
    <row r="272" spans="1:15" x14ac:dyDescent="0.25">
      <c r="A272" s="72">
        <f t="shared" si="91"/>
        <v>105</v>
      </c>
      <c r="B272" s="183">
        <f t="shared" si="86"/>
        <v>1556272.0364185998</v>
      </c>
      <c r="C272" s="184">
        <f>-'Residential Rental'!$E$95/12</f>
        <v>9920.4635932643287</v>
      </c>
      <c r="D272" s="183">
        <f>'Residential Rental'!$E$93/12*B271</f>
        <v>6498.7240664392702</v>
      </c>
      <c r="E272" s="185">
        <f t="shared" si="87"/>
        <v>3421.7395268250584</v>
      </c>
      <c r="F272" s="72">
        <f t="shared" si="92"/>
        <v>105</v>
      </c>
      <c r="G272" s="180">
        <f t="shared" si="88"/>
        <v>161396.53725798128</v>
      </c>
      <c r="H272" s="186">
        <f>-'Residential Rental'!$E$100/12</f>
        <v>898.0893756176489</v>
      </c>
      <c r="I272" s="149">
        <f>'Residential Rental'!$E$98/12*G271</f>
        <v>471.98271143963132</v>
      </c>
      <c r="J272" s="187">
        <f t="shared" si="89"/>
        <v>426.10666417801758</v>
      </c>
      <c r="K272" s="72">
        <f t="shared" si="93"/>
        <v>105</v>
      </c>
      <c r="L272" s="180">
        <f t="shared" si="90"/>
        <v>1717668.573676581</v>
      </c>
      <c r="M272" s="181">
        <f t="shared" si="90"/>
        <v>10818.552968881977</v>
      </c>
      <c r="N272" s="180">
        <f t="shared" si="90"/>
        <v>6970.7067778789014</v>
      </c>
      <c r="O272" s="132">
        <f t="shared" si="85"/>
        <v>3847.846191003076</v>
      </c>
    </row>
    <row r="273" spans="1:15" x14ac:dyDescent="0.25">
      <c r="A273" s="72">
        <f t="shared" si="91"/>
        <v>106</v>
      </c>
      <c r="B273" s="183">
        <f t="shared" si="86"/>
        <v>1552836.0396437463</v>
      </c>
      <c r="C273" s="184">
        <f>-'Residential Rental'!$E$95/12</f>
        <v>9920.4635932643287</v>
      </c>
      <c r="D273" s="183">
        <f>'Residential Rental'!$E$93/12*B272</f>
        <v>6484.4668184108323</v>
      </c>
      <c r="E273" s="185">
        <f t="shared" si="87"/>
        <v>3435.9967748534964</v>
      </c>
      <c r="F273" s="72">
        <f t="shared" si="92"/>
        <v>106</v>
      </c>
      <c r="G273" s="180">
        <f t="shared" si="88"/>
        <v>160969.18778269942</v>
      </c>
      <c r="H273" s="186">
        <f>-'Residential Rental'!$E$100/12</f>
        <v>898.0893756176489</v>
      </c>
      <c r="I273" s="149">
        <f>'Residential Rental'!$E$98/12*G272</f>
        <v>470.73990033577877</v>
      </c>
      <c r="J273" s="187">
        <f t="shared" si="89"/>
        <v>427.34947528187013</v>
      </c>
      <c r="K273" s="72">
        <f t="shared" si="93"/>
        <v>106</v>
      </c>
      <c r="L273" s="180">
        <f t="shared" si="90"/>
        <v>1713805.2274264458</v>
      </c>
      <c r="M273" s="181">
        <f t="shared" si="90"/>
        <v>10818.552968881977</v>
      </c>
      <c r="N273" s="180">
        <f t="shared" si="90"/>
        <v>6955.2067187466109</v>
      </c>
      <c r="O273" s="132">
        <f t="shared" si="85"/>
        <v>3863.3462501353665</v>
      </c>
    </row>
    <row r="274" spans="1:15" x14ac:dyDescent="0.25">
      <c r="A274" s="72">
        <f t="shared" si="91"/>
        <v>107</v>
      </c>
      <c r="B274" s="183">
        <f t="shared" si="86"/>
        <v>1549385.7262156643</v>
      </c>
      <c r="C274" s="184">
        <f>-'Residential Rental'!$E$95/12</f>
        <v>9920.4635932643287</v>
      </c>
      <c r="D274" s="183">
        <f>'Residential Rental'!$E$93/12*B273</f>
        <v>6470.1501651822764</v>
      </c>
      <c r="E274" s="185">
        <f t="shared" si="87"/>
        <v>3450.3134280820523</v>
      </c>
      <c r="F274" s="72">
        <f t="shared" si="92"/>
        <v>107</v>
      </c>
      <c r="G274" s="180">
        <f t="shared" si="88"/>
        <v>160540.59187144798</v>
      </c>
      <c r="H274" s="186">
        <f>-'Residential Rental'!$E$100/12</f>
        <v>898.0893756176489</v>
      </c>
      <c r="I274" s="149">
        <f>'Residential Rental'!$E$98/12*G273</f>
        <v>469.49346436620664</v>
      </c>
      <c r="J274" s="187">
        <f t="shared" si="89"/>
        <v>428.59591125144226</v>
      </c>
      <c r="K274" s="72">
        <f t="shared" si="93"/>
        <v>107</v>
      </c>
      <c r="L274" s="180">
        <f t="shared" si="90"/>
        <v>1709926.3180871122</v>
      </c>
      <c r="M274" s="181">
        <f t="shared" si="90"/>
        <v>10818.552968881977</v>
      </c>
      <c r="N274" s="180">
        <f t="shared" si="90"/>
        <v>6939.6436295484827</v>
      </c>
      <c r="O274" s="132">
        <f t="shared" si="85"/>
        <v>3878.9093393334947</v>
      </c>
    </row>
    <row r="275" spans="1:15" x14ac:dyDescent="0.25">
      <c r="A275" s="72">
        <f t="shared" si="91"/>
        <v>108</v>
      </c>
      <c r="B275" s="183">
        <f t="shared" si="86"/>
        <v>1545921.0364816319</v>
      </c>
      <c r="C275" s="184">
        <f>-'Residential Rental'!$E$95/12</f>
        <v>9920.4635932643287</v>
      </c>
      <c r="D275" s="183">
        <f>'Residential Rental'!$E$93/12*B274</f>
        <v>6455.7738592319347</v>
      </c>
      <c r="E275" s="185">
        <f t="shared" si="87"/>
        <v>3464.689734032394</v>
      </c>
      <c r="F275" s="72">
        <f t="shared" si="92"/>
        <v>108</v>
      </c>
      <c r="G275" s="180">
        <f t="shared" si="88"/>
        <v>160110.74588878872</v>
      </c>
      <c r="H275" s="186">
        <f>-'Residential Rental'!$E$100/12</f>
        <v>898.0893756176489</v>
      </c>
      <c r="I275" s="149">
        <f>'Residential Rental'!$E$98/12*G274</f>
        <v>468.24339295838996</v>
      </c>
      <c r="J275" s="187">
        <f t="shared" si="89"/>
        <v>429.84598265925894</v>
      </c>
      <c r="K275" s="72">
        <f t="shared" si="93"/>
        <v>108</v>
      </c>
      <c r="L275" s="180">
        <f t="shared" si="90"/>
        <v>1706031.7823704206</v>
      </c>
      <c r="M275" s="181">
        <f t="shared" si="90"/>
        <v>10818.552968881977</v>
      </c>
      <c r="N275" s="180">
        <f t="shared" si="90"/>
        <v>6924.0172521903251</v>
      </c>
      <c r="O275" s="132">
        <f t="shared" si="85"/>
        <v>3894.5357166916529</v>
      </c>
    </row>
    <row r="276" spans="1:15" x14ac:dyDescent="0.25">
      <c r="A276" s="72">
        <f t="shared" si="91"/>
        <v>109</v>
      </c>
      <c r="B276" s="183">
        <f t="shared" si="86"/>
        <v>1542441.9105403745</v>
      </c>
      <c r="C276" s="184">
        <f>-'Residential Rental'!$E$95/12</f>
        <v>9920.4635932643287</v>
      </c>
      <c r="D276" s="183">
        <f>'Residential Rental'!$E$93/12*B275</f>
        <v>6441.3376520067995</v>
      </c>
      <c r="E276" s="185">
        <f t="shared" si="87"/>
        <v>3479.1259412575291</v>
      </c>
      <c r="F276" s="72">
        <f t="shared" si="92"/>
        <v>109</v>
      </c>
      <c r="G276" s="180">
        <f t="shared" si="88"/>
        <v>159679.64618868002</v>
      </c>
      <c r="H276" s="186">
        <f>-'Residential Rental'!$E$100/12</f>
        <v>898.0893756176489</v>
      </c>
      <c r="I276" s="149">
        <f>'Residential Rental'!$E$98/12*G275</f>
        <v>466.98967550896714</v>
      </c>
      <c r="J276" s="187">
        <f t="shared" si="89"/>
        <v>431.09970010868176</v>
      </c>
      <c r="K276" s="72">
        <f t="shared" si="93"/>
        <v>109</v>
      </c>
      <c r="L276" s="180">
        <f t="shared" si="90"/>
        <v>1702121.5567290545</v>
      </c>
      <c r="M276" s="181">
        <f t="shared" si="90"/>
        <v>10818.552968881977</v>
      </c>
      <c r="N276" s="180">
        <f t="shared" si="90"/>
        <v>6908.3273275157662</v>
      </c>
      <c r="O276" s="132">
        <f t="shared" si="85"/>
        <v>3910.2256413662108</v>
      </c>
    </row>
    <row r="277" spans="1:15" x14ac:dyDescent="0.25">
      <c r="A277" s="72">
        <f t="shared" si="91"/>
        <v>110</v>
      </c>
      <c r="B277" s="183">
        <f t="shared" si="86"/>
        <v>1538948.2882410283</v>
      </c>
      <c r="C277" s="184">
        <f>-'Residential Rental'!$E$95/12</f>
        <v>9920.4635932643287</v>
      </c>
      <c r="D277" s="183">
        <f>'Residential Rental'!$E$93/12*B276</f>
        <v>6426.8412939182272</v>
      </c>
      <c r="E277" s="185">
        <f t="shared" si="87"/>
        <v>3493.6222993461015</v>
      </c>
      <c r="F277" s="72">
        <f t="shared" si="92"/>
        <v>110</v>
      </c>
      <c r="G277" s="180">
        <f t="shared" si="88"/>
        <v>159247.28911444603</v>
      </c>
      <c r="H277" s="186">
        <f>-'Residential Rental'!$E$100/12</f>
        <v>898.0893756176489</v>
      </c>
      <c r="I277" s="149">
        <f>'Residential Rental'!$E$98/12*G276</f>
        <v>465.73230138365011</v>
      </c>
      <c r="J277" s="187">
        <f t="shared" si="89"/>
        <v>432.35707423399879</v>
      </c>
      <c r="K277" s="72">
        <f t="shared" si="93"/>
        <v>110</v>
      </c>
      <c r="L277" s="180">
        <f t="shared" si="90"/>
        <v>1698195.5773554742</v>
      </c>
      <c r="M277" s="181">
        <f t="shared" si="90"/>
        <v>10818.552968881977</v>
      </c>
      <c r="N277" s="180">
        <f t="shared" si="90"/>
        <v>6892.5735953018775</v>
      </c>
      <c r="O277" s="132">
        <f t="shared" si="85"/>
        <v>3925.9793735801004</v>
      </c>
    </row>
    <row r="278" spans="1:15" x14ac:dyDescent="0.25">
      <c r="A278" s="72">
        <f t="shared" si="91"/>
        <v>111</v>
      </c>
      <c r="B278" s="183">
        <f t="shared" si="86"/>
        <v>1535440.1091821017</v>
      </c>
      <c r="C278" s="184">
        <f>-'Residential Rental'!$E$95/12</f>
        <v>9920.4635932643287</v>
      </c>
      <c r="D278" s="183">
        <f>'Residential Rental'!$E$93/12*B277</f>
        <v>6412.2845343376175</v>
      </c>
      <c r="E278" s="185">
        <f t="shared" si="87"/>
        <v>3508.1790589267111</v>
      </c>
      <c r="F278" s="72">
        <f t="shared" si="92"/>
        <v>111</v>
      </c>
      <c r="G278" s="180">
        <f t="shared" si="88"/>
        <v>158813.67099874551</v>
      </c>
      <c r="H278" s="186">
        <f>-'Residential Rental'!$E$100/12</f>
        <v>898.0893756176489</v>
      </c>
      <c r="I278" s="149">
        <f>'Residential Rental'!$E$98/12*G277</f>
        <v>464.47125991713426</v>
      </c>
      <c r="J278" s="187">
        <f t="shared" si="89"/>
        <v>433.61811570051464</v>
      </c>
      <c r="K278" s="72">
        <f t="shared" si="93"/>
        <v>111</v>
      </c>
      <c r="L278" s="180">
        <f t="shared" si="90"/>
        <v>1694253.7801808473</v>
      </c>
      <c r="M278" s="181">
        <f t="shared" si="90"/>
        <v>10818.552968881977</v>
      </c>
      <c r="N278" s="180">
        <f t="shared" si="90"/>
        <v>6876.7557942547519</v>
      </c>
      <c r="O278" s="132">
        <f t="shared" si="85"/>
        <v>3941.797174627226</v>
      </c>
    </row>
    <row r="279" spans="1:15" x14ac:dyDescent="0.25">
      <c r="A279" s="72">
        <f t="shared" si="91"/>
        <v>112</v>
      </c>
      <c r="B279" s="183">
        <f t="shared" si="86"/>
        <v>1531917.3127104295</v>
      </c>
      <c r="C279" s="184">
        <f>-'Residential Rental'!$E$95/12</f>
        <v>9920.4635932643287</v>
      </c>
      <c r="D279" s="183">
        <f>'Residential Rental'!$E$93/12*B278</f>
        <v>6397.6671215920906</v>
      </c>
      <c r="E279" s="185">
        <f t="shared" si="87"/>
        <v>3522.7964716722381</v>
      </c>
      <c r="F279" s="72">
        <f t="shared" si="92"/>
        <v>112</v>
      </c>
      <c r="G279" s="180">
        <f t="shared" si="88"/>
        <v>158378.78816354086</v>
      </c>
      <c r="H279" s="186">
        <f>-'Residential Rental'!$E$100/12</f>
        <v>898.0893756176489</v>
      </c>
      <c r="I279" s="149">
        <f>'Residential Rental'!$E$98/12*G278</f>
        <v>463.20654041300776</v>
      </c>
      <c r="J279" s="187">
        <f t="shared" si="89"/>
        <v>434.88283520464114</v>
      </c>
      <c r="K279" s="72">
        <f t="shared" si="93"/>
        <v>112</v>
      </c>
      <c r="L279" s="180">
        <f t="shared" si="90"/>
        <v>1690296.1008739704</v>
      </c>
      <c r="M279" s="181">
        <f t="shared" si="90"/>
        <v>10818.552968881977</v>
      </c>
      <c r="N279" s="180">
        <f t="shared" si="90"/>
        <v>6860.8736620050986</v>
      </c>
      <c r="O279" s="132">
        <f t="shared" si="85"/>
        <v>3957.6793068768793</v>
      </c>
    </row>
    <row r="280" spans="1:15" x14ac:dyDescent="0.25">
      <c r="A280" s="72">
        <f t="shared" si="91"/>
        <v>113</v>
      </c>
      <c r="B280" s="183">
        <f t="shared" si="86"/>
        <v>1528379.8379201253</v>
      </c>
      <c r="C280" s="184">
        <f>-'Residential Rental'!$E$95/12</f>
        <v>9920.4635932643287</v>
      </c>
      <c r="D280" s="183">
        <f>'Residential Rental'!$E$93/12*B279</f>
        <v>6382.9888029601234</v>
      </c>
      <c r="E280" s="185">
        <f t="shared" si="87"/>
        <v>3537.4747903042053</v>
      </c>
      <c r="F280" s="72">
        <f t="shared" si="92"/>
        <v>113</v>
      </c>
      <c r="G280" s="180">
        <f t="shared" si="88"/>
        <v>157942.63692006687</v>
      </c>
      <c r="H280" s="186">
        <f>-'Residential Rental'!$E$100/12</f>
        <v>898.0893756176489</v>
      </c>
      <c r="I280" s="149">
        <f>'Residential Rental'!$E$98/12*G279</f>
        <v>461.93813214366082</v>
      </c>
      <c r="J280" s="187">
        <f t="shared" si="89"/>
        <v>436.15124347398807</v>
      </c>
      <c r="K280" s="72">
        <f t="shared" si="93"/>
        <v>113</v>
      </c>
      <c r="L280" s="180">
        <f t="shared" si="90"/>
        <v>1686322.4748401921</v>
      </c>
      <c r="M280" s="181">
        <f t="shared" si="90"/>
        <v>10818.552968881977</v>
      </c>
      <c r="N280" s="180">
        <f t="shared" si="90"/>
        <v>6844.9269351037838</v>
      </c>
      <c r="O280" s="132">
        <f t="shared" si="85"/>
        <v>3973.6260337781932</v>
      </c>
    </row>
    <row r="281" spans="1:15" x14ac:dyDescent="0.25">
      <c r="A281" s="72">
        <f t="shared" si="91"/>
        <v>114</v>
      </c>
      <c r="B281" s="183">
        <f t="shared" si="86"/>
        <v>1524827.6236515283</v>
      </c>
      <c r="C281" s="184">
        <f>-'Residential Rental'!$E$95/12</f>
        <v>9920.4635932643287</v>
      </c>
      <c r="D281" s="183">
        <f>'Residential Rental'!$E$93/12*B280</f>
        <v>6368.2493246671893</v>
      </c>
      <c r="E281" s="185">
        <f t="shared" si="87"/>
        <v>3552.2142685971394</v>
      </c>
      <c r="F281" s="72">
        <f t="shared" si="92"/>
        <v>114</v>
      </c>
      <c r="G281" s="180">
        <f t="shared" si="88"/>
        <v>157505.21356879943</v>
      </c>
      <c r="H281" s="186">
        <f>-'Residential Rental'!$E$100/12</f>
        <v>898.0893756176489</v>
      </c>
      <c r="I281" s="149">
        <f>'Residential Rental'!$E$98/12*G280</f>
        <v>460.66602435019507</v>
      </c>
      <c r="J281" s="187">
        <f t="shared" si="89"/>
        <v>437.42335126745382</v>
      </c>
      <c r="K281" s="72">
        <f t="shared" si="93"/>
        <v>114</v>
      </c>
      <c r="L281" s="180">
        <f t="shared" si="90"/>
        <v>1682332.8372203277</v>
      </c>
      <c r="M281" s="181">
        <f t="shared" si="90"/>
        <v>10818.552968881977</v>
      </c>
      <c r="N281" s="180">
        <f t="shared" si="90"/>
        <v>6828.915349017384</v>
      </c>
      <c r="O281" s="132">
        <f t="shared" si="85"/>
        <v>3989.637619864593</v>
      </c>
    </row>
    <row r="282" spans="1:15" x14ac:dyDescent="0.25">
      <c r="A282" s="72">
        <f t="shared" si="91"/>
        <v>115</v>
      </c>
      <c r="B282" s="183">
        <f t="shared" si="86"/>
        <v>1521260.6084901453</v>
      </c>
      <c r="C282" s="184">
        <f>-'Residential Rental'!$E$95/12</f>
        <v>9920.4635932643287</v>
      </c>
      <c r="D282" s="183">
        <f>'Residential Rental'!$E$93/12*B281</f>
        <v>6353.4484318813675</v>
      </c>
      <c r="E282" s="185">
        <f t="shared" si="87"/>
        <v>3567.0151613829612</v>
      </c>
      <c r="F282" s="72">
        <f t="shared" si="92"/>
        <v>115</v>
      </c>
      <c r="G282" s="180">
        <f t="shared" si="88"/>
        <v>157066.51439942411</v>
      </c>
      <c r="H282" s="186">
        <f>-'Residential Rental'!$E$100/12</f>
        <v>898.0893756176489</v>
      </c>
      <c r="I282" s="149">
        <f>'Residential Rental'!$E$98/12*G281</f>
        <v>459.39020624233171</v>
      </c>
      <c r="J282" s="187">
        <f t="shared" si="89"/>
        <v>438.69916937531718</v>
      </c>
      <c r="K282" s="72">
        <f t="shared" si="93"/>
        <v>115</v>
      </c>
      <c r="L282" s="180">
        <f t="shared" si="90"/>
        <v>1678327.1228895695</v>
      </c>
      <c r="M282" s="181">
        <f t="shared" si="90"/>
        <v>10818.552968881977</v>
      </c>
      <c r="N282" s="180">
        <f t="shared" si="90"/>
        <v>6812.8386381236996</v>
      </c>
      <c r="O282" s="132">
        <f t="shared" si="85"/>
        <v>4005.7143307582783</v>
      </c>
    </row>
    <row r="283" spans="1:15" x14ac:dyDescent="0.25">
      <c r="A283" s="72">
        <f t="shared" si="91"/>
        <v>116</v>
      </c>
      <c r="B283" s="183">
        <f t="shared" si="86"/>
        <v>1517678.73076559</v>
      </c>
      <c r="C283" s="184">
        <f>-'Residential Rental'!$E$95/12</f>
        <v>9920.4635932643287</v>
      </c>
      <c r="D283" s="183">
        <f>'Residential Rental'!$E$93/12*B282</f>
        <v>6338.5858687089385</v>
      </c>
      <c r="E283" s="185">
        <f t="shared" si="87"/>
        <v>3581.8777245553902</v>
      </c>
      <c r="F283" s="72">
        <f t="shared" si="92"/>
        <v>116</v>
      </c>
      <c r="G283" s="180">
        <f t="shared" si="88"/>
        <v>156626.53569080477</v>
      </c>
      <c r="H283" s="186">
        <f>-'Residential Rental'!$E$100/12</f>
        <v>898.0893756176489</v>
      </c>
      <c r="I283" s="149">
        <f>'Residential Rental'!$E$98/12*G282</f>
        <v>458.11066699832031</v>
      </c>
      <c r="J283" s="187">
        <f t="shared" si="89"/>
        <v>439.97870861932859</v>
      </c>
      <c r="K283" s="72">
        <f t="shared" si="93"/>
        <v>116</v>
      </c>
      <c r="L283" s="180">
        <f t="shared" si="90"/>
        <v>1674305.2664563947</v>
      </c>
      <c r="M283" s="181">
        <f t="shared" si="90"/>
        <v>10818.552968881977</v>
      </c>
      <c r="N283" s="180">
        <f t="shared" si="90"/>
        <v>6796.6965357072586</v>
      </c>
      <c r="O283" s="132">
        <f t="shared" si="85"/>
        <v>4021.8564331747189</v>
      </c>
    </row>
    <row r="284" spans="1:15" x14ac:dyDescent="0.25">
      <c r="A284" s="72">
        <f t="shared" si="91"/>
        <v>117</v>
      </c>
      <c r="B284" s="183">
        <f t="shared" si="86"/>
        <v>1514081.9285505156</v>
      </c>
      <c r="C284" s="184">
        <f>-'Residential Rental'!$E$95/12</f>
        <v>9920.4635932643287</v>
      </c>
      <c r="D284" s="183">
        <f>'Residential Rental'!$E$93/12*B283</f>
        <v>6323.6613781899578</v>
      </c>
      <c r="E284" s="185">
        <f t="shared" si="87"/>
        <v>3596.8022150743709</v>
      </c>
      <c r="F284" s="72">
        <f t="shared" si="92"/>
        <v>117</v>
      </c>
      <c r="G284" s="180">
        <f t="shared" si="88"/>
        <v>156185.27371095197</v>
      </c>
      <c r="H284" s="186">
        <f>-'Residential Rental'!$E$100/12</f>
        <v>898.0893756176489</v>
      </c>
      <c r="I284" s="149">
        <f>'Residential Rental'!$E$98/12*G283</f>
        <v>456.82739576484727</v>
      </c>
      <c r="J284" s="187">
        <f t="shared" si="89"/>
        <v>441.26197985280163</v>
      </c>
      <c r="K284" s="72">
        <f t="shared" si="93"/>
        <v>117</v>
      </c>
      <c r="L284" s="180">
        <f t="shared" si="90"/>
        <v>1670267.2022614675</v>
      </c>
      <c r="M284" s="181">
        <f t="shared" si="90"/>
        <v>10818.552968881977</v>
      </c>
      <c r="N284" s="180">
        <f t="shared" si="90"/>
        <v>6780.4887739548049</v>
      </c>
      <c r="O284" s="132">
        <f t="shared" si="85"/>
        <v>4038.0641949271726</v>
      </c>
    </row>
    <row r="285" spans="1:15" x14ac:dyDescent="0.25">
      <c r="A285" s="72">
        <f t="shared" si="91"/>
        <v>118</v>
      </c>
      <c r="B285" s="183">
        <f t="shared" si="86"/>
        <v>1510470.1396595452</v>
      </c>
      <c r="C285" s="184">
        <f>-'Residential Rental'!$E$95/12</f>
        <v>9920.4635932643287</v>
      </c>
      <c r="D285" s="183">
        <f>'Residential Rental'!$E$93/12*B284</f>
        <v>6308.6747022938143</v>
      </c>
      <c r="E285" s="185">
        <f t="shared" si="87"/>
        <v>3611.7888909705143</v>
      </c>
      <c r="F285" s="72">
        <f t="shared" si="92"/>
        <v>118</v>
      </c>
      <c r="G285" s="180">
        <f t="shared" si="88"/>
        <v>155742.72471699127</v>
      </c>
      <c r="H285" s="186">
        <f>-'Residential Rental'!$E$100/12</f>
        <v>898.0893756176489</v>
      </c>
      <c r="I285" s="149">
        <f>'Residential Rental'!$E$98/12*G284</f>
        <v>455.54038165694328</v>
      </c>
      <c r="J285" s="187">
        <f t="shared" si="89"/>
        <v>442.54899396070562</v>
      </c>
      <c r="K285" s="72">
        <f t="shared" si="93"/>
        <v>118</v>
      </c>
      <c r="L285" s="180">
        <f t="shared" si="90"/>
        <v>1666212.8643765363</v>
      </c>
      <c r="M285" s="181">
        <f t="shared" si="90"/>
        <v>10818.552968881977</v>
      </c>
      <c r="N285" s="180">
        <f t="shared" si="90"/>
        <v>6764.2150839507576</v>
      </c>
      <c r="O285" s="132">
        <f t="shared" si="85"/>
        <v>4054.3378849312198</v>
      </c>
    </row>
    <row r="286" spans="1:15" x14ac:dyDescent="0.25">
      <c r="A286" s="72">
        <f t="shared" si="91"/>
        <v>119</v>
      </c>
      <c r="B286" s="183">
        <f t="shared" si="86"/>
        <v>1506843.3016481956</v>
      </c>
      <c r="C286" s="184">
        <f>-'Residential Rental'!$E$95/12</f>
        <v>9920.4635932643287</v>
      </c>
      <c r="D286" s="183">
        <f>'Residential Rental'!$E$93/12*B285</f>
        <v>6293.6255819147718</v>
      </c>
      <c r="E286" s="185">
        <f t="shared" si="87"/>
        <v>3626.8380113495568</v>
      </c>
      <c r="F286" s="72">
        <f t="shared" si="92"/>
        <v>119</v>
      </c>
      <c r="G286" s="180">
        <f t="shared" si="88"/>
        <v>155298.88495513151</v>
      </c>
      <c r="H286" s="186">
        <f>-'Residential Rental'!$E$100/12</f>
        <v>898.0893756176489</v>
      </c>
      <c r="I286" s="149">
        <f>'Residential Rental'!$E$98/12*G285</f>
        <v>454.24961375789121</v>
      </c>
      <c r="J286" s="187">
        <f t="shared" si="89"/>
        <v>443.83976185975769</v>
      </c>
      <c r="K286" s="72">
        <f t="shared" si="93"/>
        <v>119</v>
      </c>
      <c r="L286" s="180">
        <f t="shared" si="90"/>
        <v>1662142.186603327</v>
      </c>
      <c r="M286" s="181">
        <f t="shared" si="90"/>
        <v>10818.552968881977</v>
      </c>
      <c r="N286" s="180">
        <f t="shared" si="90"/>
        <v>6747.8751956726628</v>
      </c>
      <c r="O286" s="132">
        <f t="shared" si="85"/>
        <v>4070.6777732093146</v>
      </c>
    </row>
    <row r="287" spans="1:15" x14ac:dyDescent="0.25">
      <c r="A287" s="72">
        <f t="shared" si="91"/>
        <v>120</v>
      </c>
      <c r="B287" s="183">
        <f t="shared" si="86"/>
        <v>1503201.3518117988</v>
      </c>
      <c r="C287" s="184">
        <f>-'Residential Rental'!$E$95/12</f>
        <v>9920.4635932643287</v>
      </c>
      <c r="D287" s="183">
        <f>'Residential Rental'!$E$93/12*B286</f>
        <v>6278.5137568674818</v>
      </c>
      <c r="E287" s="185">
        <f t="shared" si="87"/>
        <v>3641.9498363968469</v>
      </c>
      <c r="F287" s="72">
        <f t="shared" si="92"/>
        <v>120</v>
      </c>
      <c r="G287" s="180">
        <f t="shared" si="88"/>
        <v>154853.750660633</v>
      </c>
      <c r="H287" s="186">
        <f>-'Residential Rental'!$E$100/12</f>
        <v>898.0893756176489</v>
      </c>
      <c r="I287" s="149">
        <f>'Residential Rental'!$E$98/12*G286</f>
        <v>452.95508111913358</v>
      </c>
      <c r="J287" s="187">
        <f t="shared" si="89"/>
        <v>445.13429449851532</v>
      </c>
      <c r="K287" s="72">
        <f t="shared" si="93"/>
        <v>120</v>
      </c>
      <c r="L287" s="180">
        <f t="shared" si="90"/>
        <v>1658055.1024724317</v>
      </c>
      <c r="M287" s="181">
        <f t="shared" si="90"/>
        <v>10818.552968881977</v>
      </c>
      <c r="N287" s="180">
        <f t="shared" si="90"/>
        <v>6731.4688379866157</v>
      </c>
      <c r="O287" s="132">
        <f t="shared" si="85"/>
        <v>4087.0841308953623</v>
      </c>
    </row>
    <row r="288" spans="1:15" x14ac:dyDescent="0.25">
      <c r="A288" s="72">
        <f t="shared" si="91"/>
        <v>121</v>
      </c>
      <c r="B288" s="183">
        <f t="shared" si="86"/>
        <v>1499544.227184417</v>
      </c>
      <c r="C288" s="184">
        <f>-'Residential Rental'!$E$95/12</f>
        <v>9920.4635932643287</v>
      </c>
      <c r="D288" s="183">
        <f>'Residential Rental'!$E$93/12*B287</f>
        <v>6263.3389658824944</v>
      </c>
      <c r="E288" s="185">
        <f t="shared" si="87"/>
        <v>3657.1246273818342</v>
      </c>
      <c r="F288" s="72">
        <f t="shared" si="92"/>
        <v>121</v>
      </c>
      <c r="G288" s="180">
        <f t="shared" si="88"/>
        <v>154407.31805777553</v>
      </c>
      <c r="H288" s="186">
        <f>-'Residential Rental'!$E$100/12</f>
        <v>898.0893756176489</v>
      </c>
      <c r="I288" s="149">
        <f>'Residential Rental'!$E$98/12*G287</f>
        <v>451.65677276017959</v>
      </c>
      <c r="J288" s="187">
        <f t="shared" si="89"/>
        <v>446.43260285746931</v>
      </c>
      <c r="K288" s="72">
        <f t="shared" si="93"/>
        <v>121</v>
      </c>
      <c r="L288" s="180">
        <f t="shared" si="90"/>
        <v>1653951.5452421925</v>
      </c>
      <c r="M288" s="181">
        <f t="shared" si="90"/>
        <v>10818.552968881977</v>
      </c>
      <c r="N288" s="180">
        <f t="shared" si="90"/>
        <v>6714.995738642674</v>
      </c>
      <c r="O288" s="132">
        <f t="shared" si="85"/>
        <v>4103.5572302393039</v>
      </c>
    </row>
    <row r="289" spans="1:15" x14ac:dyDescent="0.25">
      <c r="A289" s="72">
        <f t="shared" si="91"/>
        <v>122</v>
      </c>
      <c r="B289" s="183">
        <f t="shared" si="86"/>
        <v>1495871.8645377543</v>
      </c>
      <c r="C289" s="184">
        <f>-'Residential Rental'!$E$95/12</f>
        <v>9920.4635932643287</v>
      </c>
      <c r="D289" s="183">
        <f>'Residential Rental'!$E$93/12*B288</f>
        <v>6248.1009466017376</v>
      </c>
      <c r="E289" s="185">
        <f t="shared" si="87"/>
        <v>3672.362646662591</v>
      </c>
      <c r="F289" s="72">
        <f t="shared" si="92"/>
        <v>122</v>
      </c>
      <c r="G289" s="180">
        <f t="shared" si="88"/>
        <v>153959.58335982639</v>
      </c>
      <c r="H289" s="186">
        <f>-'Residential Rental'!$E$100/12</f>
        <v>898.0893756176489</v>
      </c>
      <c r="I289" s="149">
        <f>'Residential Rental'!$E$98/12*G288</f>
        <v>450.35467766851195</v>
      </c>
      <c r="J289" s="187">
        <f t="shared" si="89"/>
        <v>447.73469794913694</v>
      </c>
      <c r="K289" s="72">
        <f t="shared" si="93"/>
        <v>122</v>
      </c>
      <c r="L289" s="180">
        <f t="shared" si="90"/>
        <v>1649831.4478975807</v>
      </c>
      <c r="M289" s="181">
        <f t="shared" si="90"/>
        <v>10818.552968881977</v>
      </c>
      <c r="N289" s="180">
        <f t="shared" si="90"/>
        <v>6698.4556242702492</v>
      </c>
      <c r="O289" s="132">
        <f t="shared" si="85"/>
        <v>4120.0973446117277</v>
      </c>
    </row>
    <row r="290" spans="1:15" x14ac:dyDescent="0.25">
      <c r="A290" s="72">
        <f t="shared" si="91"/>
        <v>123</v>
      </c>
      <c r="B290" s="183">
        <f t="shared" si="86"/>
        <v>1492184.2003800641</v>
      </c>
      <c r="C290" s="184">
        <f>-'Residential Rental'!$E$95/12</f>
        <v>9920.4635932643287</v>
      </c>
      <c r="D290" s="183">
        <f>'Residential Rental'!$E$93/12*B289</f>
        <v>6232.7994355739766</v>
      </c>
      <c r="E290" s="185">
        <f t="shared" si="87"/>
        <v>3687.6641576903521</v>
      </c>
      <c r="F290" s="72">
        <f t="shared" si="92"/>
        <v>123</v>
      </c>
      <c r="G290" s="180">
        <f t="shared" si="88"/>
        <v>153510.54276900823</v>
      </c>
      <c r="H290" s="186">
        <f>-'Residential Rental'!$E$100/12</f>
        <v>898.0893756176489</v>
      </c>
      <c r="I290" s="149">
        <f>'Residential Rental'!$E$98/12*G289</f>
        <v>449.04878479949366</v>
      </c>
      <c r="J290" s="187">
        <f t="shared" si="89"/>
        <v>449.04059081815524</v>
      </c>
      <c r="K290" s="72">
        <f t="shared" si="93"/>
        <v>123</v>
      </c>
      <c r="L290" s="180">
        <f t="shared" si="90"/>
        <v>1645694.7431490724</v>
      </c>
      <c r="M290" s="181">
        <f t="shared" si="90"/>
        <v>10818.552968881977</v>
      </c>
      <c r="N290" s="180">
        <f t="shared" si="90"/>
        <v>6681.8482203734702</v>
      </c>
      <c r="O290" s="132">
        <f t="shared" si="85"/>
        <v>4136.7047485085077</v>
      </c>
    </row>
    <row r="291" spans="1:15" x14ac:dyDescent="0.25">
      <c r="A291" s="72">
        <f t="shared" si="91"/>
        <v>124</v>
      </c>
      <c r="B291" s="183">
        <f t="shared" si="86"/>
        <v>1488481.17095505</v>
      </c>
      <c r="C291" s="184">
        <f>-'Residential Rental'!$E$95/12</f>
        <v>9920.4635932643287</v>
      </c>
      <c r="D291" s="183">
        <f>'Residential Rental'!$E$93/12*B290</f>
        <v>6217.4341682502672</v>
      </c>
      <c r="E291" s="185">
        <f t="shared" si="87"/>
        <v>3703.0294250140614</v>
      </c>
      <c r="F291" s="72">
        <f t="shared" si="92"/>
        <v>124</v>
      </c>
      <c r="G291" s="180">
        <f t="shared" si="88"/>
        <v>153060.19247646685</v>
      </c>
      <c r="H291" s="186">
        <f>-'Residential Rental'!$E$100/12</f>
        <v>898.0893756176489</v>
      </c>
      <c r="I291" s="149">
        <f>'Residential Rental'!$E$98/12*G290</f>
        <v>447.73908307627403</v>
      </c>
      <c r="J291" s="187">
        <f t="shared" si="89"/>
        <v>450.35029254137487</v>
      </c>
      <c r="K291" s="72">
        <f t="shared" si="93"/>
        <v>124</v>
      </c>
      <c r="L291" s="180">
        <f t="shared" si="90"/>
        <v>1641541.3634315168</v>
      </c>
      <c r="M291" s="181">
        <f t="shared" si="90"/>
        <v>10818.552968881977</v>
      </c>
      <c r="N291" s="180">
        <f t="shared" si="90"/>
        <v>6665.1732513265415</v>
      </c>
      <c r="O291" s="132">
        <f t="shared" si="85"/>
        <v>4153.3797175554364</v>
      </c>
    </row>
    <row r="292" spans="1:15" x14ac:dyDescent="0.25">
      <c r="A292" s="72">
        <f t="shared" si="91"/>
        <v>125</v>
      </c>
      <c r="B292" s="183">
        <f t="shared" si="86"/>
        <v>1484762.7122407651</v>
      </c>
      <c r="C292" s="184">
        <f>-'Residential Rental'!$E$95/12</f>
        <v>9920.4635932643287</v>
      </c>
      <c r="D292" s="183">
        <f>'Residential Rental'!$E$93/12*B291</f>
        <v>6202.0048789793755</v>
      </c>
      <c r="E292" s="185">
        <f t="shared" si="87"/>
        <v>3718.4587142849532</v>
      </c>
      <c r="F292" s="72">
        <f t="shared" si="92"/>
        <v>125</v>
      </c>
      <c r="G292" s="180">
        <f t="shared" si="88"/>
        <v>152608.52866223891</v>
      </c>
      <c r="H292" s="186">
        <f>-'Residential Rental'!$E$100/12</f>
        <v>898.0893756176489</v>
      </c>
      <c r="I292" s="149">
        <f>'Residential Rental'!$E$98/12*G291</f>
        <v>446.42556138969502</v>
      </c>
      <c r="J292" s="187">
        <f t="shared" si="89"/>
        <v>451.66381422795388</v>
      </c>
      <c r="K292" s="72">
        <f t="shared" si="93"/>
        <v>125</v>
      </c>
      <c r="L292" s="180">
        <f t="shared" si="90"/>
        <v>1637371.2409030041</v>
      </c>
      <c r="M292" s="181">
        <f t="shared" si="90"/>
        <v>10818.552968881977</v>
      </c>
      <c r="N292" s="180">
        <f t="shared" si="90"/>
        <v>6648.4304403690703</v>
      </c>
      <c r="O292" s="132">
        <f t="shared" si="85"/>
        <v>4170.1225285129067</v>
      </c>
    </row>
    <row r="293" spans="1:15" x14ac:dyDescent="0.25">
      <c r="A293" s="72">
        <f t="shared" si="91"/>
        <v>126</v>
      </c>
      <c r="B293" s="183">
        <f t="shared" si="86"/>
        <v>1481028.7599485039</v>
      </c>
      <c r="C293" s="184">
        <f>-'Residential Rental'!$E$95/12</f>
        <v>9920.4635932643287</v>
      </c>
      <c r="D293" s="183">
        <f>'Residential Rental'!$E$93/12*B292</f>
        <v>6186.5113010031882</v>
      </c>
      <c r="E293" s="185">
        <f t="shared" si="87"/>
        <v>3733.9522922611404</v>
      </c>
      <c r="F293" s="72">
        <f t="shared" si="92"/>
        <v>126</v>
      </c>
      <c r="G293" s="180">
        <f t="shared" si="88"/>
        <v>152155.54749521945</v>
      </c>
      <c r="H293" s="186">
        <f>-'Residential Rental'!$E$100/12</f>
        <v>898.0893756176489</v>
      </c>
      <c r="I293" s="149">
        <f>'Residential Rental'!$E$98/12*G292</f>
        <v>445.10820859819682</v>
      </c>
      <c r="J293" s="187">
        <f t="shared" si="89"/>
        <v>452.98116701945207</v>
      </c>
      <c r="K293" s="72">
        <f t="shared" si="93"/>
        <v>126</v>
      </c>
      <c r="L293" s="180">
        <f t="shared" si="90"/>
        <v>1633184.3074437233</v>
      </c>
      <c r="M293" s="181">
        <f t="shared" si="90"/>
        <v>10818.552968881977</v>
      </c>
      <c r="N293" s="180">
        <f t="shared" si="90"/>
        <v>6631.6195096013853</v>
      </c>
      <c r="O293" s="132">
        <f t="shared" si="85"/>
        <v>4186.9334592805926</v>
      </c>
    </row>
    <row r="294" spans="1:15" x14ac:dyDescent="0.25">
      <c r="A294" s="72">
        <f t="shared" si="91"/>
        <v>127</v>
      </c>
      <c r="B294" s="183">
        <f t="shared" si="86"/>
        <v>1477279.2495216916</v>
      </c>
      <c r="C294" s="184">
        <f>-'Residential Rental'!$E$95/12</f>
        <v>9920.4635932643287</v>
      </c>
      <c r="D294" s="183">
        <f>'Residential Rental'!$E$93/12*B293</f>
        <v>6170.9531664521</v>
      </c>
      <c r="E294" s="185">
        <f t="shared" si="87"/>
        <v>3749.5104268122286</v>
      </c>
      <c r="F294" s="72">
        <f t="shared" si="92"/>
        <v>127</v>
      </c>
      <c r="G294" s="180">
        <f t="shared" si="88"/>
        <v>151701.24513312953</v>
      </c>
      <c r="H294" s="186">
        <f>-'Residential Rental'!$E$100/12</f>
        <v>898.0893756176489</v>
      </c>
      <c r="I294" s="149">
        <f>'Residential Rental'!$E$98/12*G293</f>
        <v>443.78701352772339</v>
      </c>
      <c r="J294" s="187">
        <f t="shared" si="89"/>
        <v>454.30236208992551</v>
      </c>
      <c r="K294" s="72">
        <f t="shared" si="93"/>
        <v>127</v>
      </c>
      <c r="L294" s="180">
        <f t="shared" si="90"/>
        <v>1628980.4946548212</v>
      </c>
      <c r="M294" s="181">
        <f t="shared" si="90"/>
        <v>10818.552968881977</v>
      </c>
      <c r="N294" s="180">
        <f t="shared" si="90"/>
        <v>6614.7401799798236</v>
      </c>
      <c r="O294" s="132">
        <f t="shared" si="85"/>
        <v>4203.8127889021544</v>
      </c>
    </row>
    <row r="295" spans="1:15" x14ac:dyDescent="0.25">
      <c r="A295" s="72">
        <f t="shared" si="91"/>
        <v>128</v>
      </c>
      <c r="B295" s="183">
        <f t="shared" si="86"/>
        <v>1473514.1161347677</v>
      </c>
      <c r="C295" s="184">
        <f>-'Residential Rental'!$E$95/12</f>
        <v>9920.4635932643287</v>
      </c>
      <c r="D295" s="183">
        <f>'Residential Rental'!$E$93/12*B294</f>
        <v>6155.3302063403817</v>
      </c>
      <c r="E295" s="185">
        <f t="shared" si="87"/>
        <v>3765.133386923947</v>
      </c>
      <c r="F295" s="72">
        <f t="shared" si="92"/>
        <v>128</v>
      </c>
      <c r="G295" s="180">
        <f t="shared" si="88"/>
        <v>151245.6177224835</v>
      </c>
      <c r="H295" s="186">
        <f>-'Residential Rental'!$E$100/12</f>
        <v>898.0893756176489</v>
      </c>
      <c r="I295" s="149">
        <f>'Residential Rental'!$E$98/12*G294</f>
        <v>442.46196497162782</v>
      </c>
      <c r="J295" s="187">
        <f t="shared" si="89"/>
        <v>455.62741064602108</v>
      </c>
      <c r="K295" s="72">
        <f t="shared" si="93"/>
        <v>128</v>
      </c>
      <c r="L295" s="180">
        <f t="shared" si="90"/>
        <v>1624759.7338572512</v>
      </c>
      <c r="M295" s="181">
        <f t="shared" si="90"/>
        <v>10818.552968881977</v>
      </c>
      <c r="N295" s="180">
        <f t="shared" si="90"/>
        <v>6597.7921713120095</v>
      </c>
      <c r="O295" s="132">
        <f t="shared" si="90"/>
        <v>4220.7607975699684</v>
      </c>
    </row>
    <row r="296" spans="1:15" x14ac:dyDescent="0.25">
      <c r="A296" s="72">
        <f t="shared" si="91"/>
        <v>129</v>
      </c>
      <c r="B296" s="183">
        <f t="shared" ref="B296:B359" si="94">B295-E296</f>
        <v>1469733.2946920649</v>
      </c>
      <c r="C296" s="184">
        <f>-'Residential Rental'!$E$95/12</f>
        <v>9920.4635932643287</v>
      </c>
      <c r="D296" s="183">
        <f>'Residential Rental'!$E$93/12*B295</f>
        <v>6139.6421505615317</v>
      </c>
      <c r="E296" s="185">
        <f t="shared" ref="E296:E359" si="95">C296-D296</f>
        <v>3780.821442702797</v>
      </c>
      <c r="F296" s="72">
        <f t="shared" si="92"/>
        <v>129</v>
      </c>
      <c r="G296" s="180">
        <f t="shared" ref="G296:G359" si="96">G295-J296</f>
        <v>150788.66139855643</v>
      </c>
      <c r="H296" s="186">
        <f>-'Residential Rental'!$E$100/12</f>
        <v>898.0893756176489</v>
      </c>
      <c r="I296" s="149">
        <f>'Residential Rental'!$E$98/12*G295</f>
        <v>441.13305169057691</v>
      </c>
      <c r="J296" s="187">
        <f t="shared" ref="J296:J359" si="97">H296-I296</f>
        <v>456.95632392707199</v>
      </c>
      <c r="K296" s="72">
        <f t="shared" si="93"/>
        <v>129</v>
      </c>
      <c r="L296" s="180">
        <f t="shared" ref="L296:O359" si="98">G296+B296</f>
        <v>1620521.9560906212</v>
      </c>
      <c r="M296" s="181">
        <f t="shared" si="98"/>
        <v>10818.552968881977</v>
      </c>
      <c r="N296" s="180">
        <f t="shared" si="98"/>
        <v>6580.775202252109</v>
      </c>
      <c r="O296" s="132">
        <f t="shared" si="98"/>
        <v>4237.7777666298689</v>
      </c>
    </row>
    <row r="297" spans="1:15" x14ac:dyDescent="0.25">
      <c r="A297" s="72">
        <f t="shared" ref="A297:A360" si="99">A296+1</f>
        <v>130</v>
      </c>
      <c r="B297" s="183">
        <f t="shared" si="94"/>
        <v>1465936.7198266841</v>
      </c>
      <c r="C297" s="184">
        <f>-'Residential Rental'!$E$95/12</f>
        <v>9920.4635932643287</v>
      </c>
      <c r="D297" s="183">
        <f>'Residential Rental'!$E$93/12*B296</f>
        <v>6123.8887278836037</v>
      </c>
      <c r="E297" s="185">
        <f t="shared" si="95"/>
        <v>3796.574865380725</v>
      </c>
      <c r="F297" s="72">
        <f t="shared" ref="F297:F360" si="100">F296+1</f>
        <v>130</v>
      </c>
      <c r="G297" s="180">
        <f t="shared" si="96"/>
        <v>150330.37228535124</v>
      </c>
      <c r="H297" s="186">
        <f>-'Residential Rental'!$E$100/12</f>
        <v>898.0893756176489</v>
      </c>
      <c r="I297" s="149">
        <f>'Residential Rental'!$E$98/12*G296</f>
        <v>439.80026241245628</v>
      </c>
      <c r="J297" s="187">
        <f t="shared" si="97"/>
        <v>458.28911320519262</v>
      </c>
      <c r="K297" s="72">
        <f t="shared" ref="K297:K360" si="101">K296+1</f>
        <v>130</v>
      </c>
      <c r="L297" s="180">
        <f t="shared" si="98"/>
        <v>1616267.0921120353</v>
      </c>
      <c r="M297" s="181">
        <f t="shared" si="98"/>
        <v>10818.552968881977</v>
      </c>
      <c r="N297" s="180">
        <f t="shared" si="98"/>
        <v>6563.6889902960602</v>
      </c>
      <c r="O297" s="132">
        <f t="shared" si="98"/>
        <v>4254.8639785859177</v>
      </c>
    </row>
    <row r="298" spans="1:15" x14ac:dyDescent="0.25">
      <c r="A298" s="72">
        <f t="shared" si="99"/>
        <v>131</v>
      </c>
      <c r="B298" s="183">
        <f t="shared" si="94"/>
        <v>1462124.3258993642</v>
      </c>
      <c r="C298" s="184">
        <f>-'Residential Rental'!$E$95/12</f>
        <v>9920.4635932643287</v>
      </c>
      <c r="D298" s="183">
        <f>'Residential Rental'!$E$93/12*B297</f>
        <v>6108.0696659445166</v>
      </c>
      <c r="E298" s="185">
        <f t="shared" si="95"/>
        <v>3812.3939273198121</v>
      </c>
      <c r="F298" s="72">
        <f t="shared" si="100"/>
        <v>131</v>
      </c>
      <c r="G298" s="180">
        <f t="shared" si="96"/>
        <v>149870.74649556587</v>
      </c>
      <c r="H298" s="186">
        <f>-'Residential Rental'!$E$100/12</f>
        <v>898.0893756176489</v>
      </c>
      <c r="I298" s="149">
        <f>'Residential Rental'!$E$98/12*G297</f>
        <v>438.46358583227448</v>
      </c>
      <c r="J298" s="187">
        <f t="shared" si="97"/>
        <v>459.62578978537442</v>
      </c>
      <c r="K298" s="72">
        <f t="shared" si="101"/>
        <v>131</v>
      </c>
      <c r="L298" s="180">
        <f t="shared" si="98"/>
        <v>1611995.0723949301</v>
      </c>
      <c r="M298" s="181">
        <f t="shared" si="98"/>
        <v>10818.552968881977</v>
      </c>
      <c r="N298" s="180">
        <f t="shared" si="98"/>
        <v>6546.5332517767911</v>
      </c>
      <c r="O298" s="132">
        <f t="shared" si="98"/>
        <v>4272.0197171051868</v>
      </c>
    </row>
    <row r="299" spans="1:15" x14ac:dyDescent="0.25">
      <c r="A299" s="72">
        <f t="shared" si="99"/>
        <v>132</v>
      </c>
      <c r="B299" s="183">
        <f t="shared" si="94"/>
        <v>1458296.0469973471</v>
      </c>
      <c r="C299" s="184">
        <f>-'Residential Rental'!$E$95/12</f>
        <v>9920.4635932643287</v>
      </c>
      <c r="D299" s="183">
        <f>'Residential Rental'!$E$93/12*B298</f>
        <v>6092.1846912473511</v>
      </c>
      <c r="E299" s="185">
        <f t="shared" si="95"/>
        <v>3828.2789020169776</v>
      </c>
      <c r="F299" s="72">
        <f t="shared" si="100"/>
        <v>132</v>
      </c>
      <c r="G299" s="180">
        <f t="shared" si="96"/>
        <v>149409.78013056028</v>
      </c>
      <c r="H299" s="186">
        <f>-'Residential Rental'!$E$100/12</f>
        <v>898.0893756176489</v>
      </c>
      <c r="I299" s="149">
        <f>'Residential Rental'!$E$98/12*G298</f>
        <v>437.12301061206711</v>
      </c>
      <c r="J299" s="187">
        <f t="shared" si="97"/>
        <v>460.96636500558179</v>
      </c>
      <c r="K299" s="72">
        <f t="shared" si="101"/>
        <v>132</v>
      </c>
      <c r="L299" s="180">
        <f t="shared" si="98"/>
        <v>1607705.8271279074</v>
      </c>
      <c r="M299" s="181">
        <f t="shared" si="98"/>
        <v>10818.552968881977</v>
      </c>
      <c r="N299" s="180">
        <f t="shared" si="98"/>
        <v>6529.3077018594186</v>
      </c>
      <c r="O299" s="132">
        <f t="shared" si="98"/>
        <v>4289.2452670225593</v>
      </c>
    </row>
    <row r="300" spans="1:15" x14ac:dyDescent="0.25">
      <c r="A300" s="72">
        <f t="shared" si="99"/>
        <v>133</v>
      </c>
      <c r="B300" s="183">
        <f t="shared" si="94"/>
        <v>1454451.8169332384</v>
      </c>
      <c r="C300" s="184">
        <f>-'Residential Rental'!$E$95/12</f>
        <v>9920.4635932643287</v>
      </c>
      <c r="D300" s="183">
        <f>'Residential Rental'!$E$93/12*B299</f>
        <v>6076.2335291556128</v>
      </c>
      <c r="E300" s="185">
        <f t="shared" si="95"/>
        <v>3844.2300641087159</v>
      </c>
      <c r="F300" s="72">
        <f t="shared" si="100"/>
        <v>133</v>
      </c>
      <c r="G300" s="180">
        <f t="shared" si="96"/>
        <v>148947.46928032342</v>
      </c>
      <c r="H300" s="186">
        <f>-'Residential Rental'!$E$100/12</f>
        <v>898.0893756176489</v>
      </c>
      <c r="I300" s="149">
        <f>'Residential Rental'!$E$98/12*G299</f>
        <v>435.77852538080083</v>
      </c>
      <c r="J300" s="187">
        <f t="shared" si="97"/>
        <v>462.31085023684807</v>
      </c>
      <c r="K300" s="72">
        <f t="shared" si="101"/>
        <v>133</v>
      </c>
      <c r="L300" s="180">
        <f t="shared" si="98"/>
        <v>1603399.2862135619</v>
      </c>
      <c r="M300" s="181">
        <f t="shared" si="98"/>
        <v>10818.552968881977</v>
      </c>
      <c r="N300" s="180">
        <f t="shared" si="98"/>
        <v>6512.0120545364134</v>
      </c>
      <c r="O300" s="132">
        <f t="shared" si="98"/>
        <v>4306.5409143455636</v>
      </c>
    </row>
    <row r="301" spans="1:15" x14ac:dyDescent="0.25">
      <c r="A301" s="72">
        <f t="shared" si="99"/>
        <v>134</v>
      </c>
      <c r="B301" s="183">
        <f t="shared" si="94"/>
        <v>1450591.5692438625</v>
      </c>
      <c r="C301" s="184">
        <f>-'Residential Rental'!$E$95/12</f>
        <v>9920.4635932643287</v>
      </c>
      <c r="D301" s="183">
        <f>'Residential Rental'!$E$93/12*B300</f>
        <v>6060.2159038884929</v>
      </c>
      <c r="E301" s="185">
        <f t="shared" si="95"/>
        <v>3860.2476893758358</v>
      </c>
      <c r="F301" s="72">
        <f t="shared" si="100"/>
        <v>134</v>
      </c>
      <c r="G301" s="180">
        <f t="shared" si="96"/>
        <v>148483.81002344005</v>
      </c>
      <c r="H301" s="186">
        <f>-'Residential Rental'!$E$100/12</f>
        <v>898.0893756176489</v>
      </c>
      <c r="I301" s="149">
        <f>'Residential Rental'!$E$98/12*G300</f>
        <v>434.43011873427668</v>
      </c>
      <c r="J301" s="187">
        <f t="shared" si="97"/>
        <v>463.65925688337222</v>
      </c>
      <c r="K301" s="72">
        <f t="shared" si="101"/>
        <v>134</v>
      </c>
      <c r="L301" s="180">
        <f t="shared" si="98"/>
        <v>1599075.3792673026</v>
      </c>
      <c r="M301" s="181">
        <f t="shared" si="98"/>
        <v>10818.552968881977</v>
      </c>
      <c r="N301" s="180">
        <f t="shared" si="98"/>
        <v>6494.64602262277</v>
      </c>
      <c r="O301" s="132">
        <f t="shared" si="98"/>
        <v>4323.9069462592079</v>
      </c>
    </row>
    <row r="302" spans="1:15" x14ac:dyDescent="0.25">
      <c r="A302" s="72">
        <f t="shared" si="99"/>
        <v>135</v>
      </c>
      <c r="B302" s="183">
        <f t="shared" si="94"/>
        <v>1446715.2371891143</v>
      </c>
      <c r="C302" s="184">
        <f>-'Residential Rental'!$E$95/12</f>
        <v>9920.4635932643287</v>
      </c>
      <c r="D302" s="183">
        <f>'Residential Rental'!$E$93/12*B301</f>
        <v>6044.1315385160942</v>
      </c>
      <c r="E302" s="185">
        <f t="shared" si="95"/>
        <v>3876.3320547482344</v>
      </c>
      <c r="F302" s="72">
        <f t="shared" si="100"/>
        <v>135</v>
      </c>
      <c r="G302" s="180">
        <f t="shared" si="96"/>
        <v>148018.79842705742</v>
      </c>
      <c r="H302" s="186">
        <f>-'Residential Rental'!$E$100/12</f>
        <v>898.0893756176489</v>
      </c>
      <c r="I302" s="149">
        <f>'Residential Rental'!$E$98/12*G301</f>
        <v>433.07777923503352</v>
      </c>
      <c r="J302" s="187">
        <f t="shared" si="97"/>
        <v>465.01159638261538</v>
      </c>
      <c r="K302" s="72">
        <f t="shared" si="101"/>
        <v>135</v>
      </c>
      <c r="L302" s="180">
        <f t="shared" si="98"/>
        <v>1594734.0356161718</v>
      </c>
      <c r="M302" s="181">
        <f t="shared" si="98"/>
        <v>10818.552968881977</v>
      </c>
      <c r="N302" s="180">
        <f t="shared" si="98"/>
        <v>6477.2093177511279</v>
      </c>
      <c r="O302" s="132">
        <f t="shared" si="98"/>
        <v>4341.34365113085</v>
      </c>
    </row>
    <row r="303" spans="1:15" x14ac:dyDescent="0.25">
      <c r="A303" s="72">
        <f t="shared" si="99"/>
        <v>136</v>
      </c>
      <c r="B303" s="183">
        <f t="shared" si="94"/>
        <v>1442822.7537508046</v>
      </c>
      <c r="C303" s="184">
        <f>-'Residential Rental'!$E$95/12</f>
        <v>9920.4635932643287</v>
      </c>
      <c r="D303" s="183">
        <f>'Residential Rental'!$E$93/12*B302</f>
        <v>6027.9801549546428</v>
      </c>
      <c r="E303" s="185">
        <f t="shared" si="95"/>
        <v>3892.4834383096859</v>
      </c>
      <c r="F303" s="72">
        <f t="shared" si="100"/>
        <v>136</v>
      </c>
      <c r="G303" s="180">
        <f t="shared" si="96"/>
        <v>147552.43054685203</v>
      </c>
      <c r="H303" s="186">
        <f>-'Residential Rental'!$E$100/12</f>
        <v>898.0893756176489</v>
      </c>
      <c r="I303" s="149">
        <f>'Residential Rental'!$E$98/12*G302</f>
        <v>431.72149541225082</v>
      </c>
      <c r="J303" s="187">
        <f t="shared" si="97"/>
        <v>466.36788020539808</v>
      </c>
      <c r="K303" s="72">
        <f t="shared" si="101"/>
        <v>136</v>
      </c>
      <c r="L303" s="180">
        <f t="shared" si="98"/>
        <v>1590375.1842976566</v>
      </c>
      <c r="M303" s="181">
        <f t="shared" si="98"/>
        <v>10818.552968881977</v>
      </c>
      <c r="N303" s="180">
        <f t="shared" si="98"/>
        <v>6459.7016503668938</v>
      </c>
      <c r="O303" s="132">
        <f t="shared" si="98"/>
        <v>4358.8513185150841</v>
      </c>
    </row>
    <row r="304" spans="1:15" x14ac:dyDescent="0.25">
      <c r="A304" s="72">
        <f t="shared" si="99"/>
        <v>137</v>
      </c>
      <c r="B304" s="183">
        <f t="shared" si="94"/>
        <v>1438914.0516315019</v>
      </c>
      <c r="C304" s="184">
        <f>-'Residential Rental'!$E$95/12</f>
        <v>9920.4635932643287</v>
      </c>
      <c r="D304" s="183">
        <f>'Residential Rental'!$E$93/12*B303</f>
        <v>6011.7614739616856</v>
      </c>
      <c r="E304" s="185">
        <f t="shared" si="95"/>
        <v>3908.702119302643</v>
      </c>
      <c r="F304" s="72">
        <f t="shared" si="100"/>
        <v>137</v>
      </c>
      <c r="G304" s="180">
        <f t="shared" si="96"/>
        <v>147084.70242699602</v>
      </c>
      <c r="H304" s="186">
        <f>-'Residential Rental'!$E$100/12</f>
        <v>898.0893756176489</v>
      </c>
      <c r="I304" s="149">
        <f>'Residential Rental'!$E$98/12*G303</f>
        <v>430.36125576165176</v>
      </c>
      <c r="J304" s="187">
        <f t="shared" si="97"/>
        <v>467.72811985599714</v>
      </c>
      <c r="K304" s="72">
        <f t="shared" si="101"/>
        <v>137</v>
      </c>
      <c r="L304" s="180">
        <f t="shared" si="98"/>
        <v>1585998.754058498</v>
      </c>
      <c r="M304" s="181">
        <f t="shared" si="98"/>
        <v>10818.552968881977</v>
      </c>
      <c r="N304" s="180">
        <f t="shared" si="98"/>
        <v>6442.1227297233372</v>
      </c>
      <c r="O304" s="132">
        <f t="shared" si="98"/>
        <v>4376.4302391586398</v>
      </c>
    </row>
    <row r="305" spans="1:15" x14ac:dyDescent="0.25">
      <c r="A305" s="72">
        <f t="shared" si="99"/>
        <v>138</v>
      </c>
      <c r="B305" s="183">
        <f t="shared" si="94"/>
        <v>1434989.0632533687</v>
      </c>
      <c r="C305" s="184">
        <f>-'Residential Rental'!$E$95/12</f>
        <v>9920.4635932643287</v>
      </c>
      <c r="D305" s="183">
        <f>'Residential Rental'!$E$93/12*B304</f>
        <v>5995.4752151312578</v>
      </c>
      <c r="E305" s="185">
        <f t="shared" si="95"/>
        <v>3924.9883781330709</v>
      </c>
      <c r="F305" s="72">
        <f t="shared" si="100"/>
        <v>138</v>
      </c>
      <c r="G305" s="180">
        <f t="shared" si="96"/>
        <v>146615.61010012377</v>
      </c>
      <c r="H305" s="186">
        <f>-'Residential Rental'!$E$100/12</f>
        <v>898.0893756176489</v>
      </c>
      <c r="I305" s="149">
        <f>'Residential Rental'!$E$98/12*G304</f>
        <v>428.9970487454051</v>
      </c>
      <c r="J305" s="187">
        <f t="shared" si="97"/>
        <v>469.0923268722438</v>
      </c>
      <c r="K305" s="72">
        <f t="shared" si="101"/>
        <v>138</v>
      </c>
      <c r="L305" s="180">
        <f t="shared" si="98"/>
        <v>1581604.6733534925</v>
      </c>
      <c r="M305" s="181">
        <f t="shared" si="98"/>
        <v>10818.552968881977</v>
      </c>
      <c r="N305" s="180">
        <f t="shared" si="98"/>
        <v>6424.4722638766625</v>
      </c>
      <c r="O305" s="132">
        <f t="shared" si="98"/>
        <v>4394.0807050053145</v>
      </c>
    </row>
    <row r="306" spans="1:15" x14ac:dyDescent="0.25">
      <c r="A306" s="72">
        <f t="shared" si="99"/>
        <v>139</v>
      </c>
      <c r="B306" s="183">
        <f t="shared" si="94"/>
        <v>1431047.7207569934</v>
      </c>
      <c r="C306" s="184">
        <f>-'Residential Rental'!$E$95/12</f>
        <v>9920.4635932643287</v>
      </c>
      <c r="D306" s="183">
        <f>'Residential Rental'!$E$93/12*B305</f>
        <v>5979.1210968890364</v>
      </c>
      <c r="E306" s="185">
        <f t="shared" si="95"/>
        <v>3941.3424963752923</v>
      </c>
      <c r="F306" s="72">
        <f t="shared" si="100"/>
        <v>139</v>
      </c>
      <c r="G306" s="180">
        <f t="shared" si="96"/>
        <v>146145.14958729816</v>
      </c>
      <c r="H306" s="186">
        <f>-'Residential Rental'!$E$100/12</f>
        <v>898.0893756176489</v>
      </c>
      <c r="I306" s="149">
        <f>'Residential Rental'!$E$98/12*G305</f>
        <v>427.62886279202769</v>
      </c>
      <c r="J306" s="187">
        <f t="shared" si="97"/>
        <v>470.46051282562121</v>
      </c>
      <c r="K306" s="72">
        <f t="shared" si="101"/>
        <v>139</v>
      </c>
      <c r="L306" s="180">
        <f t="shared" si="98"/>
        <v>1577192.8703442914</v>
      </c>
      <c r="M306" s="181">
        <f t="shared" si="98"/>
        <v>10818.552968881977</v>
      </c>
      <c r="N306" s="180">
        <f t="shared" si="98"/>
        <v>6406.749959681064</v>
      </c>
      <c r="O306" s="132">
        <f t="shared" si="98"/>
        <v>4411.8030092009139</v>
      </c>
    </row>
    <row r="307" spans="1:15" x14ac:dyDescent="0.25">
      <c r="A307" s="72">
        <f t="shared" si="99"/>
        <v>140</v>
      </c>
      <c r="B307" s="183">
        <f t="shared" si="94"/>
        <v>1427089.9560002165</v>
      </c>
      <c r="C307" s="184">
        <f>-'Residential Rental'!$E$95/12</f>
        <v>9920.4635932643287</v>
      </c>
      <c r="D307" s="183">
        <f>'Residential Rental'!$E$93/12*B306</f>
        <v>5962.6988364874724</v>
      </c>
      <c r="E307" s="185">
        <f t="shared" si="95"/>
        <v>3957.7647567768563</v>
      </c>
      <c r="F307" s="72">
        <f t="shared" si="100"/>
        <v>140</v>
      </c>
      <c r="G307" s="180">
        <f t="shared" si="96"/>
        <v>145673.31689797679</v>
      </c>
      <c r="H307" s="186">
        <f>-'Residential Rental'!$E$100/12</f>
        <v>898.0893756176489</v>
      </c>
      <c r="I307" s="149">
        <f>'Residential Rental'!$E$98/12*G306</f>
        <v>426.25668629628632</v>
      </c>
      <c r="J307" s="187">
        <f t="shared" si="97"/>
        <v>471.83268932136258</v>
      </c>
      <c r="K307" s="72">
        <f t="shared" si="101"/>
        <v>140</v>
      </c>
      <c r="L307" s="180">
        <f t="shared" si="98"/>
        <v>1572763.2728981934</v>
      </c>
      <c r="M307" s="181">
        <f t="shared" si="98"/>
        <v>10818.552968881977</v>
      </c>
      <c r="N307" s="180">
        <f t="shared" si="98"/>
        <v>6388.9555227837591</v>
      </c>
      <c r="O307" s="132">
        <f t="shared" si="98"/>
        <v>4429.5974460982188</v>
      </c>
    </row>
    <row r="308" spans="1:15" x14ac:dyDescent="0.25">
      <c r="A308" s="72">
        <f t="shared" si="99"/>
        <v>141</v>
      </c>
      <c r="B308" s="183">
        <f t="shared" si="94"/>
        <v>1423115.7005569532</v>
      </c>
      <c r="C308" s="184">
        <f>-'Residential Rental'!$E$95/12</f>
        <v>9920.4635932643287</v>
      </c>
      <c r="D308" s="183">
        <f>'Residential Rental'!$E$93/12*B307</f>
        <v>5946.2081500009026</v>
      </c>
      <c r="E308" s="185">
        <f t="shared" si="95"/>
        <v>3974.2554432634261</v>
      </c>
      <c r="F308" s="72">
        <f t="shared" si="100"/>
        <v>141</v>
      </c>
      <c r="G308" s="180">
        <f t="shared" si="96"/>
        <v>145200.10802997823</v>
      </c>
      <c r="H308" s="186">
        <f>-'Residential Rental'!$E$100/12</f>
        <v>898.0893756176489</v>
      </c>
      <c r="I308" s="149">
        <f>'Residential Rental'!$E$98/12*G307</f>
        <v>424.88050761909898</v>
      </c>
      <c r="J308" s="187">
        <f t="shared" si="97"/>
        <v>473.20886799854992</v>
      </c>
      <c r="K308" s="72">
        <f t="shared" si="101"/>
        <v>141</v>
      </c>
      <c r="L308" s="180">
        <f t="shared" si="98"/>
        <v>1568315.8085869313</v>
      </c>
      <c r="M308" s="181">
        <f t="shared" si="98"/>
        <v>10818.552968881977</v>
      </c>
      <c r="N308" s="180">
        <f t="shared" si="98"/>
        <v>6371.0886576200019</v>
      </c>
      <c r="O308" s="132">
        <f t="shared" si="98"/>
        <v>4447.464311261976</v>
      </c>
    </row>
    <row r="309" spans="1:15" x14ac:dyDescent="0.25">
      <c r="A309" s="72">
        <f t="shared" si="99"/>
        <v>142</v>
      </c>
      <c r="B309" s="183">
        <f t="shared" si="94"/>
        <v>1419124.8857160094</v>
      </c>
      <c r="C309" s="184">
        <f>-'Residential Rental'!$E$95/12</f>
        <v>9920.4635932643287</v>
      </c>
      <c r="D309" s="183">
        <f>'Residential Rental'!$E$93/12*B308</f>
        <v>5929.6487523206379</v>
      </c>
      <c r="E309" s="185">
        <f t="shared" si="95"/>
        <v>3990.8148409436908</v>
      </c>
      <c r="F309" s="72">
        <f t="shared" si="100"/>
        <v>142</v>
      </c>
      <c r="G309" s="180">
        <f t="shared" si="96"/>
        <v>144725.51896944802</v>
      </c>
      <c r="H309" s="186">
        <f>-'Residential Rental'!$E$100/12</f>
        <v>898.0893756176489</v>
      </c>
      <c r="I309" s="149">
        <f>'Residential Rental'!$E$98/12*G308</f>
        <v>423.50031508743655</v>
      </c>
      <c r="J309" s="187">
        <f t="shared" si="97"/>
        <v>474.58906053021235</v>
      </c>
      <c r="K309" s="72">
        <f t="shared" si="101"/>
        <v>142</v>
      </c>
      <c r="L309" s="180">
        <f t="shared" si="98"/>
        <v>1563850.4046854575</v>
      </c>
      <c r="M309" s="181">
        <f t="shared" si="98"/>
        <v>10818.552968881977</v>
      </c>
      <c r="N309" s="180">
        <f t="shared" si="98"/>
        <v>6353.1490674080742</v>
      </c>
      <c r="O309" s="132">
        <f t="shared" si="98"/>
        <v>4465.4039014739028</v>
      </c>
    </row>
    <row r="310" spans="1:15" x14ac:dyDescent="0.25">
      <c r="A310" s="72">
        <f t="shared" si="99"/>
        <v>143</v>
      </c>
      <c r="B310" s="183">
        <f t="shared" si="94"/>
        <v>1415117.4424798952</v>
      </c>
      <c r="C310" s="184">
        <f>-'Residential Rental'!$E$95/12</f>
        <v>9920.4635932643287</v>
      </c>
      <c r="D310" s="183">
        <f>'Residential Rental'!$E$93/12*B309</f>
        <v>5913.0203571500388</v>
      </c>
      <c r="E310" s="185">
        <f t="shared" si="95"/>
        <v>4007.4432361142899</v>
      </c>
      <c r="F310" s="72">
        <f t="shared" si="100"/>
        <v>143</v>
      </c>
      <c r="G310" s="180">
        <f t="shared" si="96"/>
        <v>144249.5456908246</v>
      </c>
      <c r="H310" s="186">
        <f>-'Residential Rental'!$E$100/12</f>
        <v>898.0893756176489</v>
      </c>
      <c r="I310" s="149">
        <f>'Residential Rental'!$E$98/12*G309</f>
        <v>422.11609699422343</v>
      </c>
      <c r="J310" s="187">
        <f t="shared" si="97"/>
        <v>475.97327862342547</v>
      </c>
      <c r="K310" s="72">
        <f t="shared" si="101"/>
        <v>143</v>
      </c>
      <c r="L310" s="180">
        <f t="shared" si="98"/>
        <v>1559366.9881707197</v>
      </c>
      <c r="M310" s="181">
        <f t="shared" si="98"/>
        <v>10818.552968881977</v>
      </c>
      <c r="N310" s="180">
        <f t="shared" si="98"/>
        <v>6335.1364541442617</v>
      </c>
      <c r="O310" s="132">
        <f t="shared" si="98"/>
        <v>4483.4165147377153</v>
      </c>
    </row>
    <row r="311" spans="1:15" x14ac:dyDescent="0.25">
      <c r="A311" s="72">
        <f t="shared" si="99"/>
        <v>144</v>
      </c>
      <c r="B311" s="183">
        <f t="shared" si="94"/>
        <v>1411093.3015636303</v>
      </c>
      <c r="C311" s="184">
        <f>-'Residential Rental'!$E$95/12</f>
        <v>9920.4635932643287</v>
      </c>
      <c r="D311" s="183">
        <f>'Residential Rental'!$E$93/12*B310</f>
        <v>5896.3226769995636</v>
      </c>
      <c r="E311" s="185">
        <f t="shared" si="95"/>
        <v>4024.1409162647651</v>
      </c>
      <c r="F311" s="72">
        <f t="shared" si="100"/>
        <v>144</v>
      </c>
      <c r="G311" s="180">
        <f t="shared" si="96"/>
        <v>143772.18415680519</v>
      </c>
      <c r="H311" s="186">
        <f>-'Residential Rental'!$E$100/12</f>
        <v>898.0893756176489</v>
      </c>
      <c r="I311" s="149">
        <f>'Residential Rental'!$E$98/12*G310</f>
        <v>420.72784159823846</v>
      </c>
      <c r="J311" s="187">
        <f t="shared" si="97"/>
        <v>477.36153401941044</v>
      </c>
      <c r="K311" s="72">
        <f t="shared" si="101"/>
        <v>144</v>
      </c>
      <c r="L311" s="180">
        <f t="shared" si="98"/>
        <v>1554865.4857204356</v>
      </c>
      <c r="M311" s="181">
        <f t="shared" si="98"/>
        <v>10818.552968881977</v>
      </c>
      <c r="N311" s="180">
        <f t="shared" si="98"/>
        <v>6317.0505185978018</v>
      </c>
      <c r="O311" s="132">
        <f t="shared" si="98"/>
        <v>4501.5024502841752</v>
      </c>
    </row>
    <row r="312" spans="1:15" x14ac:dyDescent="0.25">
      <c r="A312" s="72">
        <f t="shared" si="99"/>
        <v>145</v>
      </c>
      <c r="B312" s="183">
        <f t="shared" si="94"/>
        <v>1407052.3933935477</v>
      </c>
      <c r="C312" s="184">
        <f>-'Residential Rental'!$E$95/12</f>
        <v>9920.4635932643287</v>
      </c>
      <c r="D312" s="183">
        <f>'Residential Rental'!$E$93/12*B311</f>
        <v>5879.5554231817932</v>
      </c>
      <c r="E312" s="185">
        <f t="shared" si="95"/>
        <v>4040.9081700825354</v>
      </c>
      <c r="F312" s="72">
        <f t="shared" si="100"/>
        <v>145</v>
      </c>
      <c r="G312" s="180">
        <f t="shared" si="96"/>
        <v>143293.43031831156</v>
      </c>
      <c r="H312" s="186">
        <f>-'Residential Rental'!$E$100/12</f>
        <v>898.0893756176489</v>
      </c>
      <c r="I312" s="149">
        <f>'Residential Rental'!$E$98/12*G311</f>
        <v>419.33553712401516</v>
      </c>
      <c r="J312" s="187">
        <f t="shared" si="97"/>
        <v>478.75383849363374</v>
      </c>
      <c r="K312" s="72">
        <f t="shared" si="101"/>
        <v>145</v>
      </c>
      <c r="L312" s="180">
        <f t="shared" si="98"/>
        <v>1550345.8237118593</v>
      </c>
      <c r="M312" s="181">
        <f t="shared" si="98"/>
        <v>10818.552968881977</v>
      </c>
      <c r="N312" s="180">
        <f t="shared" si="98"/>
        <v>6298.8909603058082</v>
      </c>
      <c r="O312" s="132">
        <f t="shared" si="98"/>
        <v>4519.6620085761688</v>
      </c>
    </row>
    <row r="313" spans="1:15" x14ac:dyDescent="0.25">
      <c r="A313" s="72">
        <f t="shared" si="99"/>
        <v>146</v>
      </c>
      <c r="B313" s="183">
        <f t="shared" si="94"/>
        <v>1402994.6481060898</v>
      </c>
      <c r="C313" s="184">
        <f>-'Residential Rental'!$E$95/12</f>
        <v>9920.4635932643287</v>
      </c>
      <c r="D313" s="183">
        <f>'Residential Rental'!$E$93/12*B312</f>
        <v>5862.7183058064493</v>
      </c>
      <c r="E313" s="185">
        <f t="shared" si="95"/>
        <v>4057.7452874578794</v>
      </c>
      <c r="F313" s="72">
        <f t="shared" si="100"/>
        <v>146</v>
      </c>
      <c r="G313" s="180">
        <f t="shared" si="96"/>
        <v>142813.28011445564</v>
      </c>
      <c r="H313" s="186">
        <f>-'Residential Rental'!$E$100/12</f>
        <v>898.0893756176489</v>
      </c>
      <c r="I313" s="149">
        <f>'Residential Rental'!$E$98/12*G312</f>
        <v>417.93917176174205</v>
      </c>
      <c r="J313" s="187">
        <f t="shared" si="97"/>
        <v>480.15020385590685</v>
      </c>
      <c r="K313" s="72">
        <f t="shared" si="101"/>
        <v>146</v>
      </c>
      <c r="L313" s="180">
        <f t="shared" si="98"/>
        <v>1545807.9282205454</v>
      </c>
      <c r="M313" s="181">
        <f t="shared" si="98"/>
        <v>10818.552968881977</v>
      </c>
      <c r="N313" s="180">
        <f t="shared" si="98"/>
        <v>6280.6574775681911</v>
      </c>
      <c r="O313" s="132">
        <f t="shared" si="98"/>
        <v>4537.8954913137859</v>
      </c>
    </row>
    <row r="314" spans="1:15" x14ac:dyDescent="0.25">
      <c r="A314" s="72">
        <f t="shared" si="99"/>
        <v>147</v>
      </c>
      <c r="B314" s="183">
        <f t="shared" si="94"/>
        <v>1398919.9955466008</v>
      </c>
      <c r="C314" s="184">
        <f>-'Residential Rental'!$E$95/12</f>
        <v>9920.4635932643287</v>
      </c>
      <c r="D314" s="183">
        <f>'Residential Rental'!$E$93/12*B313</f>
        <v>5845.8110337753742</v>
      </c>
      <c r="E314" s="185">
        <f t="shared" si="95"/>
        <v>4074.6525594889545</v>
      </c>
      <c r="F314" s="72">
        <f t="shared" si="100"/>
        <v>147</v>
      </c>
      <c r="G314" s="180">
        <f t="shared" si="96"/>
        <v>142331.72947250516</v>
      </c>
      <c r="H314" s="186">
        <f>-'Residential Rental'!$E$100/12</f>
        <v>898.0893756176489</v>
      </c>
      <c r="I314" s="149">
        <f>'Residential Rental'!$E$98/12*G313</f>
        <v>416.53873366716232</v>
      </c>
      <c r="J314" s="187">
        <f t="shared" si="97"/>
        <v>481.55064195048658</v>
      </c>
      <c r="K314" s="72">
        <f t="shared" si="101"/>
        <v>147</v>
      </c>
      <c r="L314" s="180">
        <f t="shared" si="98"/>
        <v>1541251.7250191059</v>
      </c>
      <c r="M314" s="181">
        <f t="shared" si="98"/>
        <v>10818.552968881977</v>
      </c>
      <c r="N314" s="180">
        <f t="shared" si="98"/>
        <v>6262.3497674425362</v>
      </c>
      <c r="O314" s="132">
        <f t="shared" si="98"/>
        <v>4556.2032014394408</v>
      </c>
    </row>
    <row r="315" spans="1:15" x14ac:dyDescent="0.25">
      <c r="A315" s="72">
        <f t="shared" si="99"/>
        <v>148</v>
      </c>
      <c r="B315" s="183">
        <f t="shared" si="94"/>
        <v>1394828.365268114</v>
      </c>
      <c r="C315" s="184">
        <f>-'Residential Rental'!$E$95/12</f>
        <v>9920.4635932643287</v>
      </c>
      <c r="D315" s="183">
        <f>'Residential Rental'!$E$93/12*B314</f>
        <v>5828.8333147775029</v>
      </c>
      <c r="E315" s="185">
        <f t="shared" si="95"/>
        <v>4091.6302784868258</v>
      </c>
      <c r="F315" s="72">
        <f t="shared" si="100"/>
        <v>148</v>
      </c>
      <c r="G315" s="180">
        <f t="shared" si="96"/>
        <v>141848.77430784897</v>
      </c>
      <c r="H315" s="186">
        <f>-'Residential Rental'!$E$100/12</f>
        <v>898.0893756176489</v>
      </c>
      <c r="I315" s="149">
        <f>'Residential Rental'!$E$98/12*G314</f>
        <v>415.1342109614734</v>
      </c>
      <c r="J315" s="187">
        <f t="shared" si="97"/>
        <v>482.9551646561755</v>
      </c>
      <c r="K315" s="72">
        <f t="shared" si="101"/>
        <v>148</v>
      </c>
      <c r="L315" s="180">
        <f t="shared" si="98"/>
        <v>1536677.1395759629</v>
      </c>
      <c r="M315" s="181">
        <f t="shared" si="98"/>
        <v>10818.552968881977</v>
      </c>
      <c r="N315" s="180">
        <f t="shared" si="98"/>
        <v>6243.9675257389763</v>
      </c>
      <c r="O315" s="132">
        <f t="shared" si="98"/>
        <v>4574.5854431430016</v>
      </c>
    </row>
    <row r="316" spans="1:15" x14ac:dyDescent="0.25">
      <c r="A316" s="72">
        <f t="shared" si="99"/>
        <v>149</v>
      </c>
      <c r="B316" s="183">
        <f t="shared" si="94"/>
        <v>1390719.6865301335</v>
      </c>
      <c r="C316" s="184">
        <f>-'Residential Rental'!$E$95/12</f>
        <v>9920.4635932643287</v>
      </c>
      <c r="D316" s="183">
        <f>'Residential Rental'!$E$93/12*B315</f>
        <v>5811.7848552838086</v>
      </c>
      <c r="E316" s="185">
        <f t="shared" si="95"/>
        <v>4108.6787379805201</v>
      </c>
      <c r="F316" s="72">
        <f t="shared" si="100"/>
        <v>149</v>
      </c>
      <c r="G316" s="180">
        <f t="shared" si="96"/>
        <v>141364.41052396255</v>
      </c>
      <c r="H316" s="186">
        <f>-'Residential Rental'!$E$100/12</f>
        <v>898.0893756176489</v>
      </c>
      <c r="I316" s="149">
        <f>'Residential Rental'!$E$98/12*G315</f>
        <v>413.72559173122619</v>
      </c>
      <c r="J316" s="187">
        <f t="shared" si="97"/>
        <v>484.36378388642271</v>
      </c>
      <c r="K316" s="72">
        <f t="shared" si="101"/>
        <v>149</v>
      </c>
      <c r="L316" s="180">
        <f t="shared" si="98"/>
        <v>1532084.0970540959</v>
      </c>
      <c r="M316" s="181">
        <f t="shared" si="98"/>
        <v>10818.552968881977</v>
      </c>
      <c r="N316" s="180">
        <f t="shared" si="98"/>
        <v>6225.5104470150345</v>
      </c>
      <c r="O316" s="132">
        <f t="shared" si="98"/>
        <v>4593.0425218669425</v>
      </c>
    </row>
    <row r="317" spans="1:15" x14ac:dyDescent="0.25">
      <c r="A317" s="72">
        <f t="shared" si="99"/>
        <v>150</v>
      </c>
      <c r="B317" s="183">
        <f t="shared" si="94"/>
        <v>1386593.8882974114</v>
      </c>
      <c r="C317" s="184">
        <f>-'Residential Rental'!$E$95/12</f>
        <v>9920.4635932643287</v>
      </c>
      <c r="D317" s="183">
        <f>'Residential Rental'!$E$93/12*B316</f>
        <v>5794.6653605422225</v>
      </c>
      <c r="E317" s="185">
        <f t="shared" si="95"/>
        <v>4125.7982327221061</v>
      </c>
      <c r="F317" s="72">
        <f t="shared" si="100"/>
        <v>150</v>
      </c>
      <c r="G317" s="180">
        <f t="shared" si="96"/>
        <v>140878.63401237314</v>
      </c>
      <c r="H317" s="186">
        <f>-'Residential Rental'!$E$100/12</f>
        <v>898.0893756176489</v>
      </c>
      <c r="I317" s="149">
        <f>'Residential Rental'!$E$98/12*G316</f>
        <v>412.31286402822411</v>
      </c>
      <c r="J317" s="187">
        <f t="shared" si="97"/>
        <v>485.77651158942479</v>
      </c>
      <c r="K317" s="72">
        <f t="shared" si="101"/>
        <v>150</v>
      </c>
      <c r="L317" s="180">
        <f t="shared" si="98"/>
        <v>1527472.5223097845</v>
      </c>
      <c r="M317" s="181">
        <f t="shared" si="98"/>
        <v>10818.552968881977</v>
      </c>
      <c r="N317" s="180">
        <f t="shared" si="98"/>
        <v>6206.9782245704464</v>
      </c>
      <c r="O317" s="132">
        <f t="shared" si="98"/>
        <v>4611.5747443115306</v>
      </c>
    </row>
    <row r="318" spans="1:15" x14ac:dyDescent="0.25">
      <c r="A318" s="72">
        <f t="shared" si="99"/>
        <v>151</v>
      </c>
      <c r="B318" s="183">
        <f t="shared" si="94"/>
        <v>1382450.8992387196</v>
      </c>
      <c r="C318" s="184">
        <f>-'Residential Rental'!$E$95/12</f>
        <v>9920.4635932643287</v>
      </c>
      <c r="D318" s="183">
        <f>'Residential Rental'!$E$93/12*B317</f>
        <v>5777.4745345725478</v>
      </c>
      <c r="E318" s="185">
        <f t="shared" si="95"/>
        <v>4142.9890586917809</v>
      </c>
      <c r="F318" s="72">
        <f t="shared" si="100"/>
        <v>151</v>
      </c>
      <c r="G318" s="180">
        <f t="shared" si="96"/>
        <v>140391.44065262491</v>
      </c>
      <c r="H318" s="186">
        <f>-'Residential Rental'!$E$100/12</f>
        <v>898.0893756176489</v>
      </c>
      <c r="I318" s="149">
        <f>'Residential Rental'!$E$98/12*G317</f>
        <v>410.89601586942166</v>
      </c>
      <c r="J318" s="187">
        <f t="shared" si="97"/>
        <v>487.19335974822724</v>
      </c>
      <c r="K318" s="72">
        <f t="shared" si="101"/>
        <v>151</v>
      </c>
      <c r="L318" s="180">
        <f t="shared" si="98"/>
        <v>1522842.3398913445</v>
      </c>
      <c r="M318" s="181">
        <f t="shared" si="98"/>
        <v>10818.552968881977</v>
      </c>
      <c r="N318" s="180">
        <f t="shared" si="98"/>
        <v>6188.3705504419695</v>
      </c>
      <c r="O318" s="132">
        <f t="shared" si="98"/>
        <v>4630.1824184400084</v>
      </c>
    </row>
    <row r="319" spans="1:15" x14ac:dyDescent="0.25">
      <c r="A319" s="72">
        <f t="shared" si="99"/>
        <v>152</v>
      </c>
      <c r="B319" s="183">
        <f t="shared" si="94"/>
        <v>1378290.6477256166</v>
      </c>
      <c r="C319" s="184">
        <f>-'Residential Rental'!$E$95/12</f>
        <v>9920.4635932643287</v>
      </c>
      <c r="D319" s="183">
        <f>'Residential Rental'!$E$93/12*B318</f>
        <v>5760.2120801613319</v>
      </c>
      <c r="E319" s="185">
        <f t="shared" si="95"/>
        <v>4160.2515131029968</v>
      </c>
      <c r="F319" s="72">
        <f t="shared" si="100"/>
        <v>152</v>
      </c>
      <c r="G319" s="180">
        <f t="shared" si="96"/>
        <v>139902.82631224408</v>
      </c>
      <c r="H319" s="186">
        <f>-'Residential Rental'!$E$100/12</f>
        <v>898.0893756176489</v>
      </c>
      <c r="I319" s="149">
        <f>'Residential Rental'!$E$98/12*G318</f>
        <v>409.47503523682269</v>
      </c>
      <c r="J319" s="187">
        <f t="shared" si="97"/>
        <v>488.61434038082621</v>
      </c>
      <c r="K319" s="72">
        <f t="shared" si="101"/>
        <v>152</v>
      </c>
      <c r="L319" s="180">
        <f t="shared" si="98"/>
        <v>1518193.4740378608</v>
      </c>
      <c r="M319" s="181">
        <f t="shared" si="98"/>
        <v>10818.552968881977</v>
      </c>
      <c r="N319" s="180">
        <f t="shared" si="98"/>
        <v>6169.6871153981547</v>
      </c>
      <c r="O319" s="132">
        <f t="shared" si="98"/>
        <v>4648.8658534838232</v>
      </c>
    </row>
    <row r="320" spans="1:15" x14ac:dyDescent="0.25">
      <c r="A320" s="72">
        <f t="shared" si="99"/>
        <v>153</v>
      </c>
      <c r="B320" s="183">
        <f t="shared" si="94"/>
        <v>1374113.0618312089</v>
      </c>
      <c r="C320" s="184">
        <f>-'Residential Rental'!$E$95/12</f>
        <v>9920.4635932643287</v>
      </c>
      <c r="D320" s="183">
        <f>'Residential Rental'!$E$93/12*B319</f>
        <v>5742.8776988567361</v>
      </c>
      <c r="E320" s="185">
        <f t="shared" si="95"/>
        <v>4177.5858944075926</v>
      </c>
      <c r="F320" s="72">
        <f t="shared" si="100"/>
        <v>153</v>
      </c>
      <c r="G320" s="180">
        <f t="shared" si="96"/>
        <v>139412.78684670382</v>
      </c>
      <c r="H320" s="186">
        <f>-'Residential Rental'!$E$100/12</f>
        <v>898.0893756176489</v>
      </c>
      <c r="I320" s="149">
        <f>'Residential Rental'!$E$98/12*G319</f>
        <v>408.04991007737857</v>
      </c>
      <c r="J320" s="187">
        <f t="shared" si="97"/>
        <v>490.03946554027033</v>
      </c>
      <c r="K320" s="72">
        <f t="shared" si="101"/>
        <v>153</v>
      </c>
      <c r="L320" s="180">
        <f t="shared" si="98"/>
        <v>1513525.8486779127</v>
      </c>
      <c r="M320" s="181">
        <f t="shared" si="98"/>
        <v>10818.552968881977</v>
      </c>
      <c r="N320" s="180">
        <f t="shared" si="98"/>
        <v>6150.9276089341147</v>
      </c>
      <c r="O320" s="132">
        <f t="shared" si="98"/>
        <v>4667.6253599478632</v>
      </c>
    </row>
    <row r="321" spans="1:15" x14ac:dyDescent="0.25">
      <c r="A321" s="72">
        <f t="shared" si="99"/>
        <v>154</v>
      </c>
      <c r="B321" s="183">
        <f t="shared" si="94"/>
        <v>1369918.0693289079</v>
      </c>
      <c r="C321" s="184">
        <f>-'Residential Rental'!$E$95/12</f>
        <v>9920.4635932643287</v>
      </c>
      <c r="D321" s="183">
        <f>'Residential Rental'!$E$93/12*B320</f>
        <v>5725.4710909633704</v>
      </c>
      <c r="E321" s="185">
        <f t="shared" si="95"/>
        <v>4194.9925023009582</v>
      </c>
      <c r="F321" s="72">
        <f t="shared" si="100"/>
        <v>154</v>
      </c>
      <c r="G321" s="180">
        <f t="shared" si="96"/>
        <v>138921.31809938906</v>
      </c>
      <c r="H321" s="186">
        <f>-'Residential Rental'!$E$100/12</f>
        <v>898.0893756176489</v>
      </c>
      <c r="I321" s="149">
        <f>'Residential Rental'!$E$98/12*G320</f>
        <v>406.62062830288619</v>
      </c>
      <c r="J321" s="187">
        <f t="shared" si="97"/>
        <v>491.46874731476271</v>
      </c>
      <c r="K321" s="72">
        <f t="shared" si="101"/>
        <v>154</v>
      </c>
      <c r="L321" s="180">
        <f t="shared" si="98"/>
        <v>1508839.387428297</v>
      </c>
      <c r="M321" s="181">
        <f t="shared" si="98"/>
        <v>10818.552968881977</v>
      </c>
      <c r="N321" s="180">
        <f t="shared" si="98"/>
        <v>6132.0917192662564</v>
      </c>
      <c r="O321" s="132">
        <f t="shared" si="98"/>
        <v>4686.4612496157206</v>
      </c>
    </row>
    <row r="322" spans="1:15" x14ac:dyDescent="0.25">
      <c r="A322" s="72">
        <f t="shared" si="99"/>
        <v>155</v>
      </c>
      <c r="B322" s="183">
        <f t="shared" si="94"/>
        <v>1365705.5976911807</v>
      </c>
      <c r="C322" s="184">
        <f>-'Residential Rental'!$E$95/12</f>
        <v>9920.4635932643287</v>
      </c>
      <c r="D322" s="183">
        <f>'Residential Rental'!$E$93/12*B321</f>
        <v>5707.9919555371162</v>
      </c>
      <c r="E322" s="185">
        <f t="shared" si="95"/>
        <v>4212.4716377272125</v>
      </c>
      <c r="F322" s="72">
        <f t="shared" si="100"/>
        <v>155</v>
      </c>
      <c r="G322" s="180">
        <f t="shared" si="96"/>
        <v>138428.4159015613</v>
      </c>
      <c r="H322" s="186">
        <f>-'Residential Rental'!$E$100/12</f>
        <v>898.0893756176489</v>
      </c>
      <c r="I322" s="149">
        <f>'Residential Rental'!$E$98/12*G321</f>
        <v>405.18717778988474</v>
      </c>
      <c r="J322" s="187">
        <f t="shared" si="97"/>
        <v>492.90219782776416</v>
      </c>
      <c r="K322" s="72">
        <f t="shared" si="101"/>
        <v>155</v>
      </c>
      <c r="L322" s="180">
        <f t="shared" si="98"/>
        <v>1504134.0135927419</v>
      </c>
      <c r="M322" s="181">
        <f t="shared" si="98"/>
        <v>10818.552968881977</v>
      </c>
      <c r="N322" s="180">
        <f t="shared" si="98"/>
        <v>6113.1791333270012</v>
      </c>
      <c r="O322" s="132">
        <f t="shared" si="98"/>
        <v>4705.3738355549767</v>
      </c>
    </row>
    <row r="323" spans="1:15" x14ac:dyDescent="0.25">
      <c r="A323" s="72">
        <f t="shared" si="99"/>
        <v>156</v>
      </c>
      <c r="B323" s="183">
        <f t="shared" si="94"/>
        <v>1361475.5740882962</v>
      </c>
      <c r="C323" s="184">
        <f>-'Residential Rental'!$E$95/12</f>
        <v>9920.4635932643287</v>
      </c>
      <c r="D323" s="183">
        <f>'Residential Rental'!$E$93/12*B322</f>
        <v>5690.4399903799194</v>
      </c>
      <c r="E323" s="185">
        <f t="shared" si="95"/>
        <v>4230.0236028844092</v>
      </c>
      <c r="F323" s="72">
        <f t="shared" si="100"/>
        <v>156</v>
      </c>
      <c r="G323" s="180">
        <f t="shared" si="96"/>
        <v>137934.07607232319</v>
      </c>
      <c r="H323" s="186">
        <f>-'Residential Rental'!$E$100/12</f>
        <v>898.0893756176489</v>
      </c>
      <c r="I323" s="149">
        <f>'Residential Rental'!$E$98/12*G322</f>
        <v>403.74954637955381</v>
      </c>
      <c r="J323" s="187">
        <f t="shared" si="97"/>
        <v>494.33982923809509</v>
      </c>
      <c r="K323" s="72">
        <f t="shared" si="101"/>
        <v>156</v>
      </c>
      <c r="L323" s="180">
        <f t="shared" si="98"/>
        <v>1499409.6501606193</v>
      </c>
      <c r="M323" s="181">
        <f t="shared" si="98"/>
        <v>10818.552968881977</v>
      </c>
      <c r="N323" s="180">
        <f t="shared" si="98"/>
        <v>6094.1895367594734</v>
      </c>
      <c r="O323" s="132">
        <f t="shared" si="98"/>
        <v>4724.3634321225045</v>
      </c>
    </row>
    <row r="324" spans="1:15" x14ac:dyDescent="0.25">
      <c r="A324" s="72">
        <f t="shared" si="99"/>
        <v>157</v>
      </c>
      <c r="B324" s="183">
        <f t="shared" si="94"/>
        <v>1357227.9253870663</v>
      </c>
      <c r="C324" s="184">
        <f>-'Residential Rental'!$E$95/12</f>
        <v>9920.4635932643287</v>
      </c>
      <c r="D324" s="183">
        <f>'Residential Rental'!$E$93/12*B323</f>
        <v>5672.8148920345675</v>
      </c>
      <c r="E324" s="185">
        <f t="shared" si="95"/>
        <v>4247.6487012297612</v>
      </c>
      <c r="F324" s="72">
        <f t="shared" si="100"/>
        <v>157</v>
      </c>
      <c r="G324" s="180">
        <f t="shared" si="96"/>
        <v>137438.29441858316</v>
      </c>
      <c r="H324" s="186">
        <f>-'Residential Rental'!$E$100/12</f>
        <v>898.0893756176489</v>
      </c>
      <c r="I324" s="149">
        <f>'Residential Rental'!$E$98/12*G323</f>
        <v>402.30772187760931</v>
      </c>
      <c r="J324" s="187">
        <f t="shared" si="97"/>
        <v>495.78165374003959</v>
      </c>
      <c r="K324" s="72">
        <f t="shared" si="101"/>
        <v>157</v>
      </c>
      <c r="L324" s="180">
        <f t="shared" si="98"/>
        <v>1494666.2198056495</v>
      </c>
      <c r="M324" s="181">
        <f t="shared" si="98"/>
        <v>10818.552968881977</v>
      </c>
      <c r="N324" s="180">
        <f t="shared" si="98"/>
        <v>6075.1226139121773</v>
      </c>
      <c r="O324" s="132">
        <f t="shared" si="98"/>
        <v>4743.4303549698006</v>
      </c>
    </row>
    <row r="325" spans="1:15" x14ac:dyDescent="0.25">
      <c r="A325" s="72">
        <f t="shared" si="99"/>
        <v>158</v>
      </c>
      <c r="B325" s="183">
        <f t="shared" si="94"/>
        <v>1352962.5781495813</v>
      </c>
      <c r="C325" s="184">
        <f>-'Residential Rental'!$E$95/12</f>
        <v>9920.4635932643287</v>
      </c>
      <c r="D325" s="183">
        <f>'Residential Rental'!$E$93/12*B324</f>
        <v>5655.1163557794425</v>
      </c>
      <c r="E325" s="185">
        <f t="shared" si="95"/>
        <v>4265.3472374848861</v>
      </c>
      <c r="F325" s="72">
        <f t="shared" si="100"/>
        <v>158</v>
      </c>
      <c r="G325" s="180">
        <f t="shared" si="96"/>
        <v>136941.0667350197</v>
      </c>
      <c r="H325" s="186">
        <f>-'Residential Rental'!$E$100/12</f>
        <v>898.0893756176489</v>
      </c>
      <c r="I325" s="149">
        <f>'Residential Rental'!$E$98/12*G324</f>
        <v>400.86169205420089</v>
      </c>
      <c r="J325" s="187">
        <f t="shared" si="97"/>
        <v>497.22768356344801</v>
      </c>
      <c r="K325" s="72">
        <f t="shared" si="101"/>
        <v>158</v>
      </c>
      <c r="L325" s="180">
        <f t="shared" si="98"/>
        <v>1489903.644884601</v>
      </c>
      <c r="M325" s="181">
        <f t="shared" si="98"/>
        <v>10818.552968881977</v>
      </c>
      <c r="N325" s="180">
        <f t="shared" si="98"/>
        <v>6055.9780478336434</v>
      </c>
      <c r="O325" s="132">
        <f t="shared" si="98"/>
        <v>4762.5749210483345</v>
      </c>
    </row>
    <row r="326" spans="1:15" x14ac:dyDescent="0.25">
      <c r="A326" s="72">
        <f t="shared" si="99"/>
        <v>159</v>
      </c>
      <c r="B326" s="183">
        <f t="shared" si="94"/>
        <v>1348679.4586319402</v>
      </c>
      <c r="C326" s="184">
        <f>-'Residential Rental'!$E$95/12</f>
        <v>9920.4635932643287</v>
      </c>
      <c r="D326" s="183">
        <f>'Residential Rental'!$E$93/12*B325</f>
        <v>5637.3440756232558</v>
      </c>
      <c r="E326" s="185">
        <f t="shared" si="95"/>
        <v>4283.1195176410729</v>
      </c>
      <c r="F326" s="72">
        <f t="shared" si="100"/>
        <v>159</v>
      </c>
      <c r="G326" s="180">
        <f t="shared" si="96"/>
        <v>136442.38880404586</v>
      </c>
      <c r="H326" s="186">
        <f>-'Residential Rental'!$E$100/12</f>
        <v>898.0893756176489</v>
      </c>
      <c r="I326" s="149">
        <f>'Residential Rental'!$E$98/12*G325</f>
        <v>399.4114446438075</v>
      </c>
      <c r="J326" s="187">
        <f t="shared" si="97"/>
        <v>498.6779309738414</v>
      </c>
      <c r="K326" s="72">
        <f t="shared" si="101"/>
        <v>159</v>
      </c>
      <c r="L326" s="180">
        <f t="shared" si="98"/>
        <v>1485121.8474359862</v>
      </c>
      <c r="M326" s="181">
        <f t="shared" si="98"/>
        <v>10818.552968881977</v>
      </c>
      <c r="N326" s="180">
        <f t="shared" si="98"/>
        <v>6036.7555202670628</v>
      </c>
      <c r="O326" s="132">
        <f t="shared" si="98"/>
        <v>4781.7974486149142</v>
      </c>
    </row>
    <row r="327" spans="1:15" x14ac:dyDescent="0.25">
      <c r="A327" s="72">
        <f t="shared" si="99"/>
        <v>160</v>
      </c>
      <c r="B327" s="183">
        <f t="shared" si="94"/>
        <v>1344378.4927829755</v>
      </c>
      <c r="C327" s="184">
        <f>-'Residential Rental'!$E$95/12</f>
        <v>9920.4635932643287</v>
      </c>
      <c r="D327" s="183">
        <f>'Residential Rental'!$E$93/12*B326</f>
        <v>5619.4977442997506</v>
      </c>
      <c r="E327" s="185">
        <f t="shared" si="95"/>
        <v>4300.9658489645781</v>
      </c>
      <c r="F327" s="72">
        <f t="shared" si="100"/>
        <v>160</v>
      </c>
      <c r="G327" s="180">
        <f t="shared" si="96"/>
        <v>135942.25639577335</v>
      </c>
      <c r="H327" s="186">
        <f>-'Residential Rental'!$E$100/12</f>
        <v>898.0893756176489</v>
      </c>
      <c r="I327" s="149">
        <f>'Residential Rental'!$E$98/12*G326</f>
        <v>397.95696734513376</v>
      </c>
      <c r="J327" s="187">
        <f t="shared" si="97"/>
        <v>500.13240827251514</v>
      </c>
      <c r="K327" s="72">
        <f t="shared" si="101"/>
        <v>160</v>
      </c>
      <c r="L327" s="180">
        <f t="shared" si="98"/>
        <v>1480320.7491787488</v>
      </c>
      <c r="M327" s="181">
        <f t="shared" si="98"/>
        <v>10818.552968881977</v>
      </c>
      <c r="N327" s="180">
        <f t="shared" si="98"/>
        <v>6017.4547116448848</v>
      </c>
      <c r="O327" s="132">
        <f t="shared" si="98"/>
        <v>4801.0982572370931</v>
      </c>
    </row>
    <row r="328" spans="1:15" x14ac:dyDescent="0.25">
      <c r="A328" s="72">
        <f t="shared" si="99"/>
        <v>161</v>
      </c>
      <c r="B328" s="183">
        <f t="shared" si="94"/>
        <v>1340059.6062429736</v>
      </c>
      <c r="C328" s="184">
        <f>-'Residential Rental'!$E$95/12</f>
        <v>9920.4635932643287</v>
      </c>
      <c r="D328" s="183">
        <f>'Residential Rental'!$E$93/12*B327</f>
        <v>5601.5770532623983</v>
      </c>
      <c r="E328" s="185">
        <f t="shared" si="95"/>
        <v>4318.8865400019304</v>
      </c>
      <c r="F328" s="72">
        <f t="shared" si="100"/>
        <v>161</v>
      </c>
      <c r="G328" s="180">
        <f t="shared" si="96"/>
        <v>135440.6652679767</v>
      </c>
      <c r="H328" s="186">
        <f>-'Residential Rental'!$E$100/12</f>
        <v>898.0893756176489</v>
      </c>
      <c r="I328" s="149">
        <f>'Residential Rental'!$E$98/12*G327</f>
        <v>396.49824782100563</v>
      </c>
      <c r="J328" s="187">
        <f t="shared" si="97"/>
        <v>501.59112779664326</v>
      </c>
      <c r="K328" s="72">
        <f t="shared" si="101"/>
        <v>161</v>
      </c>
      <c r="L328" s="180">
        <f t="shared" si="98"/>
        <v>1475500.2715109503</v>
      </c>
      <c r="M328" s="181">
        <f t="shared" si="98"/>
        <v>10818.552968881977</v>
      </c>
      <c r="N328" s="180">
        <f t="shared" si="98"/>
        <v>5998.0753010834042</v>
      </c>
      <c r="O328" s="132">
        <f t="shared" si="98"/>
        <v>4820.4776677985737</v>
      </c>
    </row>
    <row r="329" spans="1:15" x14ac:dyDescent="0.25">
      <c r="A329" s="72">
        <f t="shared" si="99"/>
        <v>162</v>
      </c>
      <c r="B329" s="183">
        <f t="shared" si="94"/>
        <v>1335722.7243423883</v>
      </c>
      <c r="C329" s="184">
        <f>-'Residential Rental'!$E$95/12</f>
        <v>9920.4635932643287</v>
      </c>
      <c r="D329" s="183">
        <f>'Residential Rental'!$E$93/12*B328</f>
        <v>5583.5816926790567</v>
      </c>
      <c r="E329" s="185">
        <f t="shared" si="95"/>
        <v>4336.881900585272</v>
      </c>
      <c r="F329" s="72">
        <f t="shared" si="100"/>
        <v>162</v>
      </c>
      <c r="G329" s="180">
        <f t="shared" si="96"/>
        <v>134937.61116605732</v>
      </c>
      <c r="H329" s="186">
        <f>-'Residential Rental'!$E$100/12</f>
        <v>898.0893756176489</v>
      </c>
      <c r="I329" s="149">
        <f>'Residential Rental'!$E$98/12*G328</f>
        <v>395.03527369826537</v>
      </c>
      <c r="J329" s="187">
        <f t="shared" si="97"/>
        <v>503.05410191938353</v>
      </c>
      <c r="K329" s="72">
        <f t="shared" si="101"/>
        <v>162</v>
      </c>
      <c r="L329" s="180">
        <f t="shared" si="98"/>
        <v>1470660.3355084457</v>
      </c>
      <c r="M329" s="181">
        <f t="shared" si="98"/>
        <v>10818.552968881977</v>
      </c>
      <c r="N329" s="180">
        <f t="shared" si="98"/>
        <v>5978.6169663773217</v>
      </c>
      <c r="O329" s="132">
        <f t="shared" si="98"/>
        <v>4839.9360025046553</v>
      </c>
    </row>
    <row r="330" spans="1:15" x14ac:dyDescent="0.25">
      <c r="A330" s="72">
        <f t="shared" si="99"/>
        <v>163</v>
      </c>
      <c r="B330" s="183">
        <f t="shared" si="94"/>
        <v>1331367.7721005506</v>
      </c>
      <c r="C330" s="184">
        <f>-'Residential Rental'!$E$95/12</f>
        <v>9920.4635932643287</v>
      </c>
      <c r="D330" s="183">
        <f>'Residential Rental'!$E$93/12*B329</f>
        <v>5565.5113514266177</v>
      </c>
      <c r="E330" s="185">
        <f t="shared" si="95"/>
        <v>4354.952241837711</v>
      </c>
      <c r="F330" s="72">
        <f t="shared" si="100"/>
        <v>163</v>
      </c>
      <c r="G330" s="180">
        <f t="shared" si="96"/>
        <v>134433.08982300735</v>
      </c>
      <c r="H330" s="186">
        <f>-'Residential Rental'!$E$100/12</f>
        <v>898.0893756176489</v>
      </c>
      <c r="I330" s="149">
        <f>'Residential Rental'!$E$98/12*G329</f>
        <v>393.56803256766722</v>
      </c>
      <c r="J330" s="187">
        <f t="shared" si="97"/>
        <v>504.52134304998168</v>
      </c>
      <c r="K330" s="72">
        <f t="shared" si="101"/>
        <v>163</v>
      </c>
      <c r="L330" s="180">
        <f t="shared" si="98"/>
        <v>1465800.8619235579</v>
      </c>
      <c r="M330" s="181">
        <f t="shared" si="98"/>
        <v>10818.552968881977</v>
      </c>
      <c r="N330" s="180">
        <f t="shared" si="98"/>
        <v>5959.0793839942853</v>
      </c>
      <c r="O330" s="132">
        <f t="shared" si="98"/>
        <v>4859.4735848876926</v>
      </c>
    </row>
    <row r="331" spans="1:15" x14ac:dyDescent="0.25">
      <c r="A331" s="72">
        <f t="shared" si="99"/>
        <v>164</v>
      </c>
      <c r="B331" s="183">
        <f t="shared" si="94"/>
        <v>1326994.6742243718</v>
      </c>
      <c r="C331" s="184">
        <f>-'Residential Rental'!$E$95/12</f>
        <v>9920.4635932643287</v>
      </c>
      <c r="D331" s="183">
        <f>'Residential Rental'!$E$93/12*B330</f>
        <v>5547.3657170856277</v>
      </c>
      <c r="E331" s="185">
        <f t="shared" si="95"/>
        <v>4373.097876178701</v>
      </c>
      <c r="F331" s="72">
        <f t="shared" si="100"/>
        <v>164</v>
      </c>
      <c r="G331" s="180">
        <f t="shared" si="96"/>
        <v>133927.09695937348</v>
      </c>
      <c r="H331" s="186">
        <f>-'Residential Rental'!$E$100/12</f>
        <v>898.0893756176489</v>
      </c>
      <c r="I331" s="149">
        <f>'Residential Rental'!$E$98/12*G330</f>
        <v>392.09651198377145</v>
      </c>
      <c r="J331" s="187">
        <f t="shared" si="97"/>
        <v>505.99286363387745</v>
      </c>
      <c r="K331" s="72">
        <f t="shared" si="101"/>
        <v>164</v>
      </c>
      <c r="L331" s="180">
        <f t="shared" si="98"/>
        <v>1460921.7711837452</v>
      </c>
      <c r="M331" s="181">
        <f t="shared" si="98"/>
        <v>10818.552968881977</v>
      </c>
      <c r="N331" s="180">
        <f t="shared" si="98"/>
        <v>5939.4622290693987</v>
      </c>
      <c r="O331" s="132">
        <f t="shared" si="98"/>
        <v>4879.0907398125782</v>
      </c>
    </row>
    <row r="332" spans="1:15" x14ac:dyDescent="0.25">
      <c r="A332" s="72">
        <f t="shared" si="99"/>
        <v>165</v>
      </c>
      <c r="B332" s="183">
        <f t="shared" si="94"/>
        <v>1322603.3551070422</v>
      </c>
      <c r="C332" s="184">
        <f>-'Residential Rental'!$E$95/12</f>
        <v>9920.4635932643287</v>
      </c>
      <c r="D332" s="183">
        <f>'Residential Rental'!$E$93/12*B331</f>
        <v>5529.1444759348824</v>
      </c>
      <c r="E332" s="185">
        <f t="shared" si="95"/>
        <v>4391.3191173294463</v>
      </c>
      <c r="F332" s="72">
        <f t="shared" si="100"/>
        <v>165</v>
      </c>
      <c r="G332" s="180">
        <f t="shared" si="96"/>
        <v>133419.62828322066</v>
      </c>
      <c r="H332" s="186">
        <f>-'Residential Rental'!$E$100/12</f>
        <v>898.0893756176489</v>
      </c>
      <c r="I332" s="149">
        <f>'Residential Rental'!$E$98/12*G331</f>
        <v>390.62069946483933</v>
      </c>
      <c r="J332" s="187">
        <f t="shared" si="97"/>
        <v>507.46867615280956</v>
      </c>
      <c r="K332" s="72">
        <f t="shared" si="101"/>
        <v>165</v>
      </c>
      <c r="L332" s="180">
        <f t="shared" si="98"/>
        <v>1456022.9833902628</v>
      </c>
      <c r="M332" s="181">
        <f t="shared" si="98"/>
        <v>10818.552968881977</v>
      </c>
      <c r="N332" s="180">
        <f t="shared" si="98"/>
        <v>5919.7651753997216</v>
      </c>
      <c r="O332" s="132">
        <f t="shared" si="98"/>
        <v>4898.7877934822554</v>
      </c>
    </row>
    <row r="333" spans="1:15" x14ac:dyDescent="0.25">
      <c r="A333" s="72">
        <f t="shared" si="99"/>
        <v>166</v>
      </c>
      <c r="B333" s="183">
        <f t="shared" si="94"/>
        <v>1318193.738826724</v>
      </c>
      <c r="C333" s="184">
        <f>-'Residential Rental'!$E$95/12</f>
        <v>9920.4635932643287</v>
      </c>
      <c r="D333" s="183">
        <f>'Residential Rental'!$E$93/12*B332</f>
        <v>5510.847312946009</v>
      </c>
      <c r="E333" s="185">
        <f t="shared" si="95"/>
        <v>4409.6162803183197</v>
      </c>
      <c r="F333" s="72">
        <f t="shared" si="100"/>
        <v>166</v>
      </c>
      <c r="G333" s="180">
        <f t="shared" si="96"/>
        <v>132910.67949009573</v>
      </c>
      <c r="H333" s="186">
        <f>-'Residential Rental'!$E$100/12</f>
        <v>898.0893756176489</v>
      </c>
      <c r="I333" s="149">
        <f>'Residential Rental'!$E$98/12*G332</f>
        <v>389.14058249272694</v>
      </c>
      <c r="J333" s="187">
        <f t="shared" si="97"/>
        <v>508.94879312492196</v>
      </c>
      <c r="K333" s="72">
        <f t="shared" si="101"/>
        <v>166</v>
      </c>
      <c r="L333" s="180">
        <f t="shared" si="98"/>
        <v>1451104.4183168197</v>
      </c>
      <c r="M333" s="181">
        <f t="shared" si="98"/>
        <v>10818.552968881977</v>
      </c>
      <c r="N333" s="180">
        <f t="shared" si="98"/>
        <v>5899.9878954387359</v>
      </c>
      <c r="O333" s="132">
        <f t="shared" si="98"/>
        <v>4918.565073443242</v>
      </c>
    </row>
    <row r="334" spans="1:15" x14ac:dyDescent="0.25">
      <c r="A334" s="72">
        <f t="shared" si="99"/>
        <v>167</v>
      </c>
      <c r="B334" s="183">
        <f t="shared" si="94"/>
        <v>1313765.7491452377</v>
      </c>
      <c r="C334" s="184">
        <f>-'Residential Rental'!$E$95/12</f>
        <v>9920.4635932643287</v>
      </c>
      <c r="D334" s="183">
        <f>'Residential Rental'!$E$93/12*B333</f>
        <v>5492.4739117780164</v>
      </c>
      <c r="E334" s="185">
        <f t="shared" si="95"/>
        <v>4427.9896814863123</v>
      </c>
      <c r="F334" s="72">
        <f t="shared" si="100"/>
        <v>167</v>
      </c>
      <c r="G334" s="180">
        <f t="shared" si="96"/>
        <v>132400.24626299087</v>
      </c>
      <c r="H334" s="186">
        <f>-'Residential Rental'!$E$100/12</f>
        <v>898.0893756176489</v>
      </c>
      <c r="I334" s="149">
        <f>'Residential Rental'!$E$98/12*G333</f>
        <v>387.65614851277923</v>
      </c>
      <c r="J334" s="187">
        <f t="shared" si="97"/>
        <v>510.43322710486967</v>
      </c>
      <c r="K334" s="72">
        <f t="shared" si="101"/>
        <v>167</v>
      </c>
      <c r="L334" s="180">
        <f t="shared" si="98"/>
        <v>1446165.9954082286</v>
      </c>
      <c r="M334" s="181">
        <f t="shared" si="98"/>
        <v>10818.552968881977</v>
      </c>
      <c r="N334" s="180">
        <f t="shared" si="98"/>
        <v>5880.1300602907959</v>
      </c>
      <c r="O334" s="132">
        <f t="shared" si="98"/>
        <v>4938.422908591182</v>
      </c>
    </row>
    <row r="335" spans="1:15" x14ac:dyDescent="0.25">
      <c r="A335" s="72">
        <f t="shared" si="99"/>
        <v>168</v>
      </c>
      <c r="B335" s="183">
        <f t="shared" si="94"/>
        <v>1309319.3095067453</v>
      </c>
      <c r="C335" s="184">
        <f>-'Residential Rental'!$E$95/12</f>
        <v>9920.4635932643287</v>
      </c>
      <c r="D335" s="183">
        <f>'Residential Rental'!$E$93/12*B334</f>
        <v>5474.0239547718238</v>
      </c>
      <c r="E335" s="185">
        <f t="shared" si="95"/>
        <v>4446.4396384925049</v>
      </c>
      <c r="F335" s="72">
        <f t="shared" si="100"/>
        <v>168</v>
      </c>
      <c r="G335" s="180">
        <f t="shared" si="96"/>
        <v>131888.32427230696</v>
      </c>
      <c r="H335" s="186">
        <f>-'Residential Rental'!$E$100/12</f>
        <v>898.0893756176489</v>
      </c>
      <c r="I335" s="149">
        <f>'Residential Rental'!$E$98/12*G334</f>
        <v>386.16738493372338</v>
      </c>
      <c r="J335" s="187">
        <f t="shared" si="97"/>
        <v>511.92199068392551</v>
      </c>
      <c r="K335" s="72">
        <f t="shared" si="101"/>
        <v>168</v>
      </c>
      <c r="L335" s="180">
        <f t="shared" si="98"/>
        <v>1441207.6337790522</v>
      </c>
      <c r="M335" s="181">
        <f t="shared" si="98"/>
        <v>10818.552968881977</v>
      </c>
      <c r="N335" s="180">
        <f t="shared" si="98"/>
        <v>5860.1913397055469</v>
      </c>
      <c r="O335" s="132">
        <f t="shared" si="98"/>
        <v>4958.3616291764301</v>
      </c>
    </row>
    <row r="336" spans="1:15" x14ac:dyDescent="0.25">
      <c r="A336" s="72">
        <f t="shared" si="99"/>
        <v>169</v>
      </c>
      <c r="B336" s="183">
        <f t="shared" si="94"/>
        <v>1304854.3430364258</v>
      </c>
      <c r="C336" s="184">
        <f>-'Residential Rental'!$E$95/12</f>
        <v>9920.4635932643287</v>
      </c>
      <c r="D336" s="183">
        <f>'Residential Rental'!$E$93/12*B335</f>
        <v>5455.4971229447719</v>
      </c>
      <c r="E336" s="185">
        <f t="shared" si="95"/>
        <v>4464.9664703195567</v>
      </c>
      <c r="F336" s="72">
        <f t="shared" si="100"/>
        <v>169</v>
      </c>
      <c r="G336" s="180">
        <f t="shared" si="96"/>
        <v>131374.90917581687</v>
      </c>
      <c r="H336" s="186">
        <f>-'Residential Rental'!$E$100/12</f>
        <v>898.0893756176489</v>
      </c>
      <c r="I336" s="149">
        <f>'Residential Rental'!$E$98/12*G335</f>
        <v>384.67427912756199</v>
      </c>
      <c r="J336" s="187">
        <f t="shared" si="97"/>
        <v>513.41509649008685</v>
      </c>
      <c r="K336" s="72">
        <f t="shared" si="101"/>
        <v>169</v>
      </c>
      <c r="L336" s="180">
        <f t="shared" si="98"/>
        <v>1436229.2522122427</v>
      </c>
      <c r="M336" s="181">
        <f t="shared" si="98"/>
        <v>10818.552968881977</v>
      </c>
      <c r="N336" s="180">
        <f t="shared" si="98"/>
        <v>5840.1714020723339</v>
      </c>
      <c r="O336" s="132">
        <f t="shared" si="98"/>
        <v>4978.3815668096431</v>
      </c>
    </row>
    <row r="337" spans="1:15" x14ac:dyDescent="0.25">
      <c r="A337" s="72">
        <f t="shared" si="99"/>
        <v>170</v>
      </c>
      <c r="B337" s="183">
        <f t="shared" si="94"/>
        <v>1300370.7725391465</v>
      </c>
      <c r="C337" s="184">
        <f>-'Residential Rental'!$E$95/12</f>
        <v>9920.4635932643287</v>
      </c>
      <c r="D337" s="183">
        <f>'Residential Rental'!$E$93/12*B336</f>
        <v>5436.8930959851077</v>
      </c>
      <c r="E337" s="185">
        <f t="shared" si="95"/>
        <v>4483.5704972792209</v>
      </c>
      <c r="F337" s="72">
        <f t="shared" si="100"/>
        <v>170</v>
      </c>
      <c r="G337" s="180">
        <f t="shared" si="96"/>
        <v>130859.99661862868</v>
      </c>
      <c r="H337" s="186">
        <f>-'Residential Rental'!$E$100/12</f>
        <v>898.0893756176489</v>
      </c>
      <c r="I337" s="149">
        <f>'Residential Rental'!$E$98/12*G336</f>
        <v>383.17681842946587</v>
      </c>
      <c r="J337" s="187">
        <f t="shared" si="97"/>
        <v>514.91255718818297</v>
      </c>
      <c r="K337" s="72">
        <f t="shared" si="101"/>
        <v>170</v>
      </c>
      <c r="L337" s="180">
        <f t="shared" si="98"/>
        <v>1431230.7691577752</v>
      </c>
      <c r="M337" s="181">
        <f t="shared" si="98"/>
        <v>10818.552968881977</v>
      </c>
      <c r="N337" s="180">
        <f t="shared" si="98"/>
        <v>5820.0699144145738</v>
      </c>
      <c r="O337" s="132">
        <f t="shared" si="98"/>
        <v>4998.4830544674041</v>
      </c>
    </row>
    <row r="338" spans="1:15" x14ac:dyDescent="0.25">
      <c r="A338" s="72">
        <f t="shared" si="99"/>
        <v>171</v>
      </c>
      <c r="B338" s="183">
        <f t="shared" si="94"/>
        <v>1295868.5204981286</v>
      </c>
      <c r="C338" s="184">
        <f>-'Residential Rental'!$E$95/12</f>
        <v>9920.4635932643287</v>
      </c>
      <c r="D338" s="183">
        <f>'Residential Rental'!$E$93/12*B337</f>
        <v>5418.2115522464437</v>
      </c>
      <c r="E338" s="185">
        <f t="shared" si="95"/>
        <v>4502.2520410178849</v>
      </c>
      <c r="F338" s="72">
        <f t="shared" si="100"/>
        <v>171</v>
      </c>
      <c r="G338" s="180">
        <f t="shared" si="96"/>
        <v>130343.5822331487</v>
      </c>
      <c r="H338" s="186">
        <f>-'Residential Rental'!$E$100/12</f>
        <v>898.0893756176489</v>
      </c>
      <c r="I338" s="149">
        <f>'Residential Rental'!$E$98/12*G337</f>
        <v>381.67499013766701</v>
      </c>
      <c r="J338" s="187">
        <f t="shared" si="97"/>
        <v>516.41438547998189</v>
      </c>
      <c r="K338" s="72">
        <f t="shared" si="101"/>
        <v>171</v>
      </c>
      <c r="L338" s="180">
        <f t="shared" si="98"/>
        <v>1426212.1027312772</v>
      </c>
      <c r="M338" s="181">
        <f t="shared" si="98"/>
        <v>10818.552968881977</v>
      </c>
      <c r="N338" s="180">
        <f t="shared" si="98"/>
        <v>5799.8865423841107</v>
      </c>
      <c r="O338" s="132">
        <f t="shared" si="98"/>
        <v>5018.6664264978672</v>
      </c>
    </row>
    <row r="339" spans="1:15" x14ac:dyDescent="0.25">
      <c r="A339" s="72">
        <f t="shared" si="99"/>
        <v>172</v>
      </c>
      <c r="B339" s="183">
        <f t="shared" si="94"/>
        <v>1291347.5090736065</v>
      </c>
      <c r="C339" s="184">
        <f>-'Residential Rental'!$E$95/12</f>
        <v>9920.4635932643287</v>
      </c>
      <c r="D339" s="183">
        <f>'Residential Rental'!$E$93/12*B338</f>
        <v>5399.452168742202</v>
      </c>
      <c r="E339" s="185">
        <f t="shared" si="95"/>
        <v>4521.0114245221266</v>
      </c>
      <c r="F339" s="72">
        <f t="shared" si="100"/>
        <v>172</v>
      </c>
      <c r="G339" s="180">
        <f t="shared" si="96"/>
        <v>129825.6616390444</v>
      </c>
      <c r="H339" s="186">
        <f>-'Residential Rental'!$E$100/12</f>
        <v>898.0893756176489</v>
      </c>
      <c r="I339" s="149">
        <f>'Residential Rental'!$E$98/12*G338</f>
        <v>380.16878151335038</v>
      </c>
      <c r="J339" s="187">
        <f t="shared" si="97"/>
        <v>517.92059410429852</v>
      </c>
      <c r="K339" s="72">
        <f t="shared" si="101"/>
        <v>172</v>
      </c>
      <c r="L339" s="180">
        <f t="shared" si="98"/>
        <v>1421173.1707126508</v>
      </c>
      <c r="M339" s="181">
        <f t="shared" si="98"/>
        <v>10818.552968881977</v>
      </c>
      <c r="N339" s="180">
        <f t="shared" si="98"/>
        <v>5779.6209502555521</v>
      </c>
      <c r="O339" s="132">
        <f t="shared" si="98"/>
        <v>5038.9320186264249</v>
      </c>
    </row>
    <row r="340" spans="1:15" x14ac:dyDescent="0.25">
      <c r="A340" s="72">
        <f t="shared" si="99"/>
        <v>173</v>
      </c>
      <c r="B340" s="183">
        <f t="shared" si="94"/>
        <v>1286807.6601014822</v>
      </c>
      <c r="C340" s="184">
        <f>-'Residential Rental'!$E$95/12</f>
        <v>9920.4635932643287</v>
      </c>
      <c r="D340" s="183">
        <f>'Residential Rental'!$E$93/12*B339</f>
        <v>5380.6146211400264</v>
      </c>
      <c r="E340" s="185">
        <f t="shared" si="95"/>
        <v>4539.8489721243022</v>
      </c>
      <c r="F340" s="72">
        <f t="shared" si="100"/>
        <v>173</v>
      </c>
      <c r="G340" s="180">
        <f t="shared" si="96"/>
        <v>129306.2304432073</v>
      </c>
      <c r="H340" s="186">
        <f>-'Residential Rental'!$E$100/12</f>
        <v>898.0893756176489</v>
      </c>
      <c r="I340" s="149">
        <f>'Residential Rental'!$E$98/12*G339</f>
        <v>378.65817978054616</v>
      </c>
      <c r="J340" s="187">
        <f t="shared" si="97"/>
        <v>519.43119583710268</v>
      </c>
      <c r="K340" s="72">
        <f t="shared" si="101"/>
        <v>173</v>
      </c>
      <c r="L340" s="180">
        <f t="shared" si="98"/>
        <v>1416113.8905446895</v>
      </c>
      <c r="M340" s="181">
        <f t="shared" si="98"/>
        <v>10818.552968881977</v>
      </c>
      <c r="N340" s="180">
        <f t="shared" si="98"/>
        <v>5759.272800920573</v>
      </c>
      <c r="O340" s="132">
        <f t="shared" si="98"/>
        <v>5059.2801679614049</v>
      </c>
    </row>
    <row r="341" spans="1:15" x14ac:dyDescent="0.25">
      <c r="A341" s="72">
        <f t="shared" si="99"/>
        <v>174</v>
      </c>
      <c r="B341" s="183">
        <f t="shared" si="94"/>
        <v>1282248.8950919739</v>
      </c>
      <c r="C341" s="184">
        <f>-'Residential Rental'!$E$95/12</f>
        <v>9920.4635932643287</v>
      </c>
      <c r="D341" s="183">
        <f>'Residential Rental'!$E$93/12*B340</f>
        <v>5361.698583756176</v>
      </c>
      <c r="E341" s="185">
        <f t="shared" si="95"/>
        <v>4558.7650095081526</v>
      </c>
      <c r="F341" s="72">
        <f t="shared" si="100"/>
        <v>174</v>
      </c>
      <c r="G341" s="180">
        <f t="shared" si="96"/>
        <v>128785.28423971568</v>
      </c>
      <c r="H341" s="186">
        <f>-'Residential Rental'!$E$100/12</f>
        <v>898.0893756176489</v>
      </c>
      <c r="I341" s="149">
        <f>'Residential Rental'!$E$98/12*G340</f>
        <v>377.14317212602128</v>
      </c>
      <c r="J341" s="187">
        <f t="shared" si="97"/>
        <v>520.94620349162756</v>
      </c>
      <c r="K341" s="72">
        <f t="shared" si="101"/>
        <v>174</v>
      </c>
      <c r="L341" s="180">
        <f t="shared" si="98"/>
        <v>1411034.1793316896</v>
      </c>
      <c r="M341" s="181">
        <f t="shared" si="98"/>
        <v>10818.552968881977</v>
      </c>
      <c r="N341" s="180">
        <f t="shared" si="98"/>
        <v>5738.8417558821975</v>
      </c>
      <c r="O341" s="132">
        <f t="shared" si="98"/>
        <v>5079.7112129997804</v>
      </c>
    </row>
    <row r="342" spans="1:15" x14ac:dyDescent="0.25">
      <c r="A342" s="72">
        <f t="shared" si="99"/>
        <v>175</v>
      </c>
      <c r="B342" s="183">
        <f t="shared" si="94"/>
        <v>1277671.1352282595</v>
      </c>
      <c r="C342" s="184">
        <f>-'Residential Rental'!$E$95/12</f>
        <v>9920.4635932643287</v>
      </c>
      <c r="D342" s="183">
        <f>'Residential Rental'!$E$93/12*B341</f>
        <v>5342.7037295498912</v>
      </c>
      <c r="E342" s="185">
        <f t="shared" si="95"/>
        <v>4577.7598637144374</v>
      </c>
      <c r="F342" s="72">
        <f t="shared" si="100"/>
        <v>175</v>
      </c>
      <c r="G342" s="180">
        <f t="shared" si="96"/>
        <v>128262.81860979721</v>
      </c>
      <c r="H342" s="186">
        <f>-'Residential Rental'!$E$100/12</f>
        <v>898.0893756176489</v>
      </c>
      <c r="I342" s="149">
        <f>'Residential Rental'!$E$98/12*G341</f>
        <v>375.62374569917074</v>
      </c>
      <c r="J342" s="187">
        <f t="shared" si="97"/>
        <v>522.46562991847816</v>
      </c>
      <c r="K342" s="72">
        <f t="shared" si="101"/>
        <v>175</v>
      </c>
      <c r="L342" s="180">
        <f t="shared" si="98"/>
        <v>1405933.9538380567</v>
      </c>
      <c r="M342" s="181">
        <f t="shared" si="98"/>
        <v>10818.552968881977</v>
      </c>
      <c r="N342" s="180">
        <f t="shared" si="98"/>
        <v>5718.3274752490615</v>
      </c>
      <c r="O342" s="132">
        <f t="shared" si="98"/>
        <v>5100.2254936329155</v>
      </c>
    </row>
    <row r="343" spans="1:15" x14ac:dyDescent="0.25">
      <c r="A343" s="72">
        <f t="shared" si="99"/>
        <v>176</v>
      </c>
      <c r="B343" s="183">
        <f t="shared" si="94"/>
        <v>1273074.3013651129</v>
      </c>
      <c r="C343" s="184">
        <f>-'Residential Rental'!$E$95/12</f>
        <v>9920.4635932643287</v>
      </c>
      <c r="D343" s="183">
        <f>'Residential Rental'!$E$93/12*B342</f>
        <v>5323.6297301177474</v>
      </c>
      <c r="E343" s="185">
        <f t="shared" si="95"/>
        <v>4596.8338631465813</v>
      </c>
      <c r="F343" s="72">
        <f t="shared" si="100"/>
        <v>176</v>
      </c>
      <c r="G343" s="180">
        <f t="shared" si="96"/>
        <v>127738.82912179147</v>
      </c>
      <c r="H343" s="186">
        <f>-'Residential Rental'!$E$100/12</f>
        <v>898.0893756176489</v>
      </c>
      <c r="I343" s="149">
        <f>'Residential Rental'!$E$98/12*G342</f>
        <v>374.09988761190851</v>
      </c>
      <c r="J343" s="187">
        <f t="shared" si="97"/>
        <v>523.98948800574044</v>
      </c>
      <c r="K343" s="72">
        <f t="shared" si="101"/>
        <v>176</v>
      </c>
      <c r="L343" s="180">
        <f t="shared" si="98"/>
        <v>1400813.1304869044</v>
      </c>
      <c r="M343" s="181">
        <f t="shared" si="98"/>
        <v>10818.552968881977</v>
      </c>
      <c r="N343" s="180">
        <f t="shared" si="98"/>
        <v>5697.7296177296557</v>
      </c>
      <c r="O343" s="132">
        <f t="shared" si="98"/>
        <v>5120.8233511523213</v>
      </c>
    </row>
    <row r="344" spans="1:15" x14ac:dyDescent="0.25">
      <c r="A344" s="72">
        <f t="shared" si="99"/>
        <v>177</v>
      </c>
      <c r="B344" s="183">
        <f t="shared" si="94"/>
        <v>1268458.3140275364</v>
      </c>
      <c r="C344" s="184">
        <f>-'Residential Rental'!$E$95/12</f>
        <v>9920.4635932643287</v>
      </c>
      <c r="D344" s="183">
        <f>'Residential Rental'!$E$93/12*B343</f>
        <v>5304.4762556879705</v>
      </c>
      <c r="E344" s="185">
        <f t="shared" si="95"/>
        <v>4615.9873375763582</v>
      </c>
      <c r="F344" s="72">
        <f t="shared" si="100"/>
        <v>177</v>
      </c>
      <c r="G344" s="180">
        <f t="shared" si="96"/>
        <v>127213.31133111237</v>
      </c>
      <c r="H344" s="186">
        <f>-'Residential Rental'!$E$100/12</f>
        <v>898.0893756176489</v>
      </c>
      <c r="I344" s="149">
        <f>'Residential Rental'!$E$98/12*G343</f>
        <v>372.57158493855849</v>
      </c>
      <c r="J344" s="187">
        <f t="shared" si="97"/>
        <v>525.51779067909047</v>
      </c>
      <c r="K344" s="72">
        <f t="shared" si="101"/>
        <v>177</v>
      </c>
      <c r="L344" s="180">
        <f t="shared" si="98"/>
        <v>1395671.6253586488</v>
      </c>
      <c r="M344" s="181">
        <f t="shared" si="98"/>
        <v>10818.552968881977</v>
      </c>
      <c r="N344" s="180">
        <f t="shared" si="98"/>
        <v>5677.0478406265293</v>
      </c>
      <c r="O344" s="132">
        <f t="shared" si="98"/>
        <v>5141.5051282554487</v>
      </c>
    </row>
    <row r="345" spans="1:15" x14ac:dyDescent="0.25">
      <c r="A345" s="72">
        <f t="shared" si="99"/>
        <v>178</v>
      </c>
      <c r="B345" s="183">
        <f t="shared" si="94"/>
        <v>1263823.0934093869</v>
      </c>
      <c r="C345" s="184">
        <f>-'Residential Rental'!$E$95/12</f>
        <v>9920.4635932643287</v>
      </c>
      <c r="D345" s="183">
        <f>'Residential Rental'!$E$93/12*B344</f>
        <v>5285.2429751147347</v>
      </c>
      <c r="E345" s="185">
        <f t="shared" si="95"/>
        <v>4635.220618149594</v>
      </c>
      <c r="F345" s="72">
        <f t="shared" si="100"/>
        <v>178</v>
      </c>
      <c r="G345" s="180">
        <f t="shared" si="96"/>
        <v>126686.26078021048</v>
      </c>
      <c r="H345" s="186">
        <f>-'Residential Rental'!$E$100/12</f>
        <v>898.0893756176489</v>
      </c>
      <c r="I345" s="149">
        <f>'Residential Rental'!$E$98/12*G344</f>
        <v>371.03882471574445</v>
      </c>
      <c r="J345" s="187">
        <f t="shared" si="97"/>
        <v>527.05055090190444</v>
      </c>
      <c r="K345" s="72">
        <f t="shared" si="101"/>
        <v>178</v>
      </c>
      <c r="L345" s="180">
        <f t="shared" si="98"/>
        <v>1390509.3541895973</v>
      </c>
      <c r="M345" s="181">
        <f t="shared" si="98"/>
        <v>10818.552968881977</v>
      </c>
      <c r="N345" s="180">
        <f t="shared" si="98"/>
        <v>5656.281799830479</v>
      </c>
      <c r="O345" s="132">
        <f t="shared" si="98"/>
        <v>5162.2711690514989</v>
      </c>
    </row>
    <row r="346" spans="1:15" x14ac:dyDescent="0.25">
      <c r="A346" s="72">
        <f t="shared" si="99"/>
        <v>179</v>
      </c>
      <c r="B346" s="183">
        <f t="shared" si="94"/>
        <v>1259168.559371995</v>
      </c>
      <c r="C346" s="184">
        <f>-'Residential Rental'!$E$95/12</f>
        <v>9920.4635932643287</v>
      </c>
      <c r="D346" s="183">
        <f>'Residential Rental'!$E$93/12*B345</f>
        <v>5265.9295558724452</v>
      </c>
      <c r="E346" s="185">
        <f t="shared" si="95"/>
        <v>4654.5340373918834</v>
      </c>
      <c r="F346" s="72">
        <f t="shared" si="100"/>
        <v>179</v>
      </c>
      <c r="G346" s="180">
        <f t="shared" si="96"/>
        <v>126157.67299853511</v>
      </c>
      <c r="H346" s="186">
        <f>-'Residential Rental'!$E$100/12</f>
        <v>898.0893756176489</v>
      </c>
      <c r="I346" s="149">
        <f>'Residential Rental'!$E$98/12*G345</f>
        <v>369.50159394228058</v>
      </c>
      <c r="J346" s="187">
        <f t="shared" si="97"/>
        <v>528.58778167536832</v>
      </c>
      <c r="K346" s="72">
        <f t="shared" si="101"/>
        <v>179</v>
      </c>
      <c r="L346" s="180">
        <f t="shared" si="98"/>
        <v>1385326.2323705303</v>
      </c>
      <c r="M346" s="181">
        <f t="shared" si="98"/>
        <v>10818.552968881977</v>
      </c>
      <c r="N346" s="180">
        <f t="shared" si="98"/>
        <v>5635.4311498147254</v>
      </c>
      <c r="O346" s="132">
        <f t="shared" si="98"/>
        <v>5183.1218190672516</v>
      </c>
    </row>
    <row r="347" spans="1:15" x14ac:dyDescent="0.25">
      <c r="A347" s="72">
        <f t="shared" si="99"/>
        <v>180</v>
      </c>
      <c r="B347" s="183">
        <f t="shared" si="94"/>
        <v>1254494.6314427806</v>
      </c>
      <c r="C347" s="184">
        <f>-'Residential Rental'!$E$95/12</f>
        <v>9920.4635932643287</v>
      </c>
      <c r="D347" s="183">
        <f>'Residential Rental'!$E$93/12*B346</f>
        <v>5246.5356640499795</v>
      </c>
      <c r="E347" s="185">
        <f t="shared" si="95"/>
        <v>4673.9279292143492</v>
      </c>
      <c r="F347" s="72">
        <f t="shared" si="100"/>
        <v>180</v>
      </c>
      <c r="G347" s="180">
        <f t="shared" si="96"/>
        <v>125627.54350249653</v>
      </c>
      <c r="H347" s="186">
        <f>-'Residential Rental'!$E$100/12</f>
        <v>898.0893756176489</v>
      </c>
      <c r="I347" s="149">
        <f>'Residential Rental'!$E$98/12*G346</f>
        <v>367.95987957906078</v>
      </c>
      <c r="J347" s="187">
        <f t="shared" si="97"/>
        <v>530.12949603858806</v>
      </c>
      <c r="K347" s="72">
        <f t="shared" si="101"/>
        <v>180</v>
      </c>
      <c r="L347" s="180">
        <f t="shared" si="98"/>
        <v>1380122.1749452772</v>
      </c>
      <c r="M347" s="181">
        <f t="shared" si="98"/>
        <v>10818.552968881977</v>
      </c>
      <c r="N347" s="180">
        <f t="shared" si="98"/>
        <v>5614.4955436290402</v>
      </c>
      <c r="O347" s="132">
        <f t="shared" si="98"/>
        <v>5204.0574252529368</v>
      </c>
    </row>
    <row r="348" spans="1:15" x14ac:dyDescent="0.25">
      <c r="A348" s="72">
        <f t="shared" si="99"/>
        <v>181</v>
      </c>
      <c r="B348" s="183">
        <f t="shared" si="94"/>
        <v>1249801.2288138613</v>
      </c>
      <c r="C348" s="184">
        <f>-'Residential Rental'!$E$95/12</f>
        <v>9920.4635932643287</v>
      </c>
      <c r="D348" s="183">
        <f>'Residential Rental'!$E$93/12*B347</f>
        <v>5227.0609643449188</v>
      </c>
      <c r="E348" s="185">
        <f t="shared" si="95"/>
        <v>4693.4026289194098</v>
      </c>
      <c r="F348" s="72">
        <f t="shared" si="100"/>
        <v>181</v>
      </c>
      <c r="G348" s="180">
        <f t="shared" si="96"/>
        <v>125095.86779542782</v>
      </c>
      <c r="H348" s="186">
        <f>-'Residential Rental'!$E$100/12</f>
        <v>898.0893756176489</v>
      </c>
      <c r="I348" s="149">
        <f>'Residential Rental'!$E$98/12*G347</f>
        <v>366.41366854894824</v>
      </c>
      <c r="J348" s="187">
        <f t="shared" si="97"/>
        <v>531.6757070687006</v>
      </c>
      <c r="K348" s="72">
        <f t="shared" si="101"/>
        <v>181</v>
      </c>
      <c r="L348" s="180">
        <f t="shared" si="98"/>
        <v>1374897.0966092891</v>
      </c>
      <c r="M348" s="181">
        <f t="shared" si="98"/>
        <v>10818.552968881977</v>
      </c>
      <c r="N348" s="180">
        <f t="shared" si="98"/>
        <v>5593.4746328938672</v>
      </c>
      <c r="O348" s="132">
        <f t="shared" si="98"/>
        <v>5225.0783359881107</v>
      </c>
    </row>
    <row r="349" spans="1:15" x14ac:dyDescent="0.25">
      <c r="A349" s="72">
        <f t="shared" si="99"/>
        <v>182</v>
      </c>
      <c r="B349" s="183">
        <f t="shared" si="94"/>
        <v>1245088.2703406548</v>
      </c>
      <c r="C349" s="184">
        <f>-'Residential Rental'!$E$95/12</f>
        <v>9920.4635932643287</v>
      </c>
      <c r="D349" s="183">
        <f>'Residential Rental'!$E$93/12*B348</f>
        <v>5207.5051200577554</v>
      </c>
      <c r="E349" s="185">
        <f t="shared" si="95"/>
        <v>4712.9584732065732</v>
      </c>
      <c r="F349" s="72">
        <f t="shared" si="100"/>
        <v>182</v>
      </c>
      <c r="G349" s="180">
        <f t="shared" si="96"/>
        <v>124562.64136754684</v>
      </c>
      <c r="H349" s="186">
        <f>-'Residential Rental'!$E$100/12</f>
        <v>898.0893756176489</v>
      </c>
      <c r="I349" s="149">
        <f>'Residential Rental'!$E$98/12*G348</f>
        <v>364.86294773666452</v>
      </c>
      <c r="J349" s="187">
        <f t="shared" si="97"/>
        <v>533.22642788098437</v>
      </c>
      <c r="K349" s="72">
        <f t="shared" si="101"/>
        <v>182</v>
      </c>
      <c r="L349" s="180">
        <f t="shared" si="98"/>
        <v>1369650.9117082015</v>
      </c>
      <c r="M349" s="181">
        <f t="shared" si="98"/>
        <v>10818.552968881977</v>
      </c>
      <c r="N349" s="180">
        <f t="shared" si="98"/>
        <v>5572.3680677944203</v>
      </c>
      <c r="O349" s="132">
        <f t="shared" si="98"/>
        <v>5246.1849010875576</v>
      </c>
    </row>
    <row r="350" spans="1:15" x14ac:dyDescent="0.25">
      <c r="A350" s="72">
        <f t="shared" si="99"/>
        <v>183</v>
      </c>
      <c r="B350" s="183">
        <f t="shared" si="94"/>
        <v>1240355.6745404764</v>
      </c>
      <c r="C350" s="184">
        <f>-'Residential Rental'!$E$95/12</f>
        <v>9920.4635932643287</v>
      </c>
      <c r="D350" s="183">
        <f>'Residential Rental'!$E$93/12*B349</f>
        <v>5187.8677930860613</v>
      </c>
      <c r="E350" s="185">
        <f t="shared" si="95"/>
        <v>4732.5958001782674</v>
      </c>
      <c r="F350" s="72">
        <f t="shared" si="100"/>
        <v>183</v>
      </c>
      <c r="G350" s="180">
        <f t="shared" si="96"/>
        <v>124027.85969591787</v>
      </c>
      <c r="H350" s="186">
        <f>-'Residential Rental'!$E$100/12</f>
        <v>898.0893756176489</v>
      </c>
      <c r="I350" s="149">
        <f>'Residential Rental'!$E$98/12*G349</f>
        <v>363.30770398867827</v>
      </c>
      <c r="J350" s="187">
        <f t="shared" si="97"/>
        <v>534.78167162897057</v>
      </c>
      <c r="K350" s="72">
        <f t="shared" si="101"/>
        <v>183</v>
      </c>
      <c r="L350" s="180">
        <f t="shared" si="98"/>
        <v>1364383.5342363943</v>
      </c>
      <c r="M350" s="181">
        <f t="shared" si="98"/>
        <v>10818.552968881977</v>
      </c>
      <c r="N350" s="180">
        <f t="shared" si="98"/>
        <v>5551.1754970747397</v>
      </c>
      <c r="O350" s="132">
        <f t="shared" si="98"/>
        <v>5267.3774718072382</v>
      </c>
    </row>
    <row r="351" spans="1:15" x14ac:dyDescent="0.25">
      <c r="A351" s="72">
        <f t="shared" si="99"/>
        <v>184</v>
      </c>
      <c r="B351" s="183">
        <f t="shared" si="94"/>
        <v>1235603.3595911306</v>
      </c>
      <c r="C351" s="184">
        <f>-'Residential Rental'!$E$95/12</f>
        <v>9920.4635932643287</v>
      </c>
      <c r="D351" s="183">
        <f>'Residential Rental'!$E$93/12*B350</f>
        <v>5168.1486439186519</v>
      </c>
      <c r="E351" s="185">
        <f t="shared" si="95"/>
        <v>4752.3149493456767</v>
      </c>
      <c r="F351" s="72">
        <f t="shared" si="100"/>
        <v>184</v>
      </c>
      <c r="G351" s="180">
        <f t="shared" si="96"/>
        <v>123491.51824441331</v>
      </c>
      <c r="H351" s="186">
        <f>-'Residential Rental'!$E$100/12</f>
        <v>898.0893756176489</v>
      </c>
      <c r="I351" s="149">
        <f>'Residential Rental'!$E$98/12*G350</f>
        <v>361.7479241130938</v>
      </c>
      <c r="J351" s="187">
        <f t="shared" si="97"/>
        <v>536.34145150455515</v>
      </c>
      <c r="K351" s="72">
        <f t="shared" si="101"/>
        <v>184</v>
      </c>
      <c r="L351" s="180">
        <f t="shared" si="98"/>
        <v>1359094.8778355438</v>
      </c>
      <c r="M351" s="181">
        <f t="shared" si="98"/>
        <v>10818.552968881977</v>
      </c>
      <c r="N351" s="180">
        <f t="shared" si="98"/>
        <v>5529.896568031746</v>
      </c>
      <c r="O351" s="132">
        <f t="shared" si="98"/>
        <v>5288.6564008502319</v>
      </c>
    </row>
    <row r="352" spans="1:15" x14ac:dyDescent="0.25">
      <c r="A352" s="72">
        <f t="shared" si="99"/>
        <v>185</v>
      </c>
      <c r="B352" s="183">
        <f t="shared" si="94"/>
        <v>1230831.2433294961</v>
      </c>
      <c r="C352" s="184">
        <f>-'Residential Rental'!$E$95/12</f>
        <v>9920.4635932643287</v>
      </c>
      <c r="D352" s="183">
        <f>'Residential Rental'!$E$93/12*B351</f>
        <v>5148.3473316297113</v>
      </c>
      <c r="E352" s="185">
        <f t="shared" si="95"/>
        <v>4772.1162616346173</v>
      </c>
      <c r="F352" s="72">
        <f t="shared" si="100"/>
        <v>185</v>
      </c>
      <c r="G352" s="180">
        <f t="shared" si="96"/>
        <v>122953.61246367521</v>
      </c>
      <c r="H352" s="186">
        <f>-'Residential Rental'!$E$100/12</f>
        <v>898.0893756176489</v>
      </c>
      <c r="I352" s="149">
        <f>'Residential Rental'!$E$98/12*G351</f>
        <v>360.18359487953882</v>
      </c>
      <c r="J352" s="187">
        <f t="shared" si="97"/>
        <v>537.90578073811002</v>
      </c>
      <c r="K352" s="72">
        <f t="shared" si="101"/>
        <v>185</v>
      </c>
      <c r="L352" s="180">
        <f t="shared" si="98"/>
        <v>1353784.8557931713</v>
      </c>
      <c r="M352" s="181">
        <f t="shared" si="98"/>
        <v>10818.552968881977</v>
      </c>
      <c r="N352" s="180">
        <f t="shared" si="98"/>
        <v>5508.5309265092501</v>
      </c>
      <c r="O352" s="132">
        <f t="shared" si="98"/>
        <v>5310.0220423727278</v>
      </c>
    </row>
    <row r="353" spans="1:15" x14ac:dyDescent="0.25">
      <c r="A353" s="72">
        <f t="shared" si="99"/>
        <v>186</v>
      </c>
      <c r="B353" s="183">
        <f t="shared" si="94"/>
        <v>1226039.2432501046</v>
      </c>
      <c r="C353" s="184">
        <f>-'Residential Rental'!$E$95/12</f>
        <v>9920.4635932643287</v>
      </c>
      <c r="D353" s="183">
        <f>'Residential Rental'!$E$93/12*B352</f>
        <v>5128.4635138729009</v>
      </c>
      <c r="E353" s="185">
        <f t="shared" si="95"/>
        <v>4792.0000793914278</v>
      </c>
      <c r="F353" s="72">
        <f t="shared" si="100"/>
        <v>186</v>
      </c>
      <c r="G353" s="180">
        <f t="shared" si="96"/>
        <v>122414.13779107662</v>
      </c>
      <c r="H353" s="186">
        <f>-'Residential Rental'!$E$100/12</f>
        <v>898.0893756176489</v>
      </c>
      <c r="I353" s="149">
        <f>'Residential Rental'!$E$98/12*G352</f>
        <v>358.61470301905268</v>
      </c>
      <c r="J353" s="187">
        <f t="shared" si="97"/>
        <v>539.47467259859627</v>
      </c>
      <c r="K353" s="72">
        <f t="shared" si="101"/>
        <v>186</v>
      </c>
      <c r="L353" s="180">
        <f t="shared" si="98"/>
        <v>1348453.3810411813</v>
      </c>
      <c r="M353" s="181">
        <f t="shared" si="98"/>
        <v>10818.552968881977</v>
      </c>
      <c r="N353" s="180">
        <f t="shared" si="98"/>
        <v>5487.0782168919532</v>
      </c>
      <c r="O353" s="132">
        <f t="shared" si="98"/>
        <v>5331.4747519900238</v>
      </c>
    </row>
    <row r="354" spans="1:15" x14ac:dyDescent="0.25">
      <c r="A354" s="72">
        <f t="shared" si="99"/>
        <v>187</v>
      </c>
      <c r="B354" s="183">
        <f t="shared" si="94"/>
        <v>1221227.2765037157</v>
      </c>
      <c r="C354" s="184">
        <f>-'Residential Rental'!$E$95/12</f>
        <v>9920.4635932643287</v>
      </c>
      <c r="D354" s="183">
        <f>'Residential Rental'!$E$93/12*B353</f>
        <v>5108.4968468754359</v>
      </c>
      <c r="E354" s="185">
        <f t="shared" si="95"/>
        <v>4811.9667463888927</v>
      </c>
      <c r="F354" s="72">
        <f t="shared" si="100"/>
        <v>187</v>
      </c>
      <c r="G354" s="180">
        <f t="shared" si="96"/>
        <v>121873.08965068294</v>
      </c>
      <c r="H354" s="186">
        <f>-'Residential Rental'!$E$100/12</f>
        <v>898.0893756176489</v>
      </c>
      <c r="I354" s="149">
        <f>'Residential Rental'!$E$98/12*G353</f>
        <v>357.0412352239735</v>
      </c>
      <c r="J354" s="187">
        <f t="shared" si="97"/>
        <v>541.04814039367534</v>
      </c>
      <c r="K354" s="72">
        <f t="shared" si="101"/>
        <v>187</v>
      </c>
      <c r="L354" s="180">
        <f t="shared" si="98"/>
        <v>1343100.3661543985</v>
      </c>
      <c r="M354" s="181">
        <f t="shared" si="98"/>
        <v>10818.552968881977</v>
      </c>
      <c r="N354" s="180">
        <f t="shared" si="98"/>
        <v>5465.5380820994096</v>
      </c>
      <c r="O354" s="132">
        <f t="shared" si="98"/>
        <v>5353.0148867825683</v>
      </c>
    </row>
    <row r="355" spans="1:15" x14ac:dyDescent="0.25">
      <c r="A355" s="72">
        <f t="shared" si="99"/>
        <v>188</v>
      </c>
      <c r="B355" s="183">
        <f t="shared" si="94"/>
        <v>1216395.2598958835</v>
      </c>
      <c r="C355" s="184">
        <f>-'Residential Rental'!$E$95/12</f>
        <v>9920.4635932643287</v>
      </c>
      <c r="D355" s="183">
        <f>'Residential Rental'!$E$93/12*B354</f>
        <v>5088.4469854321487</v>
      </c>
      <c r="E355" s="185">
        <f t="shared" si="95"/>
        <v>4832.0166078321799</v>
      </c>
      <c r="F355" s="72">
        <f t="shared" si="100"/>
        <v>188</v>
      </c>
      <c r="G355" s="180">
        <f t="shared" si="96"/>
        <v>121330.46345321312</v>
      </c>
      <c r="H355" s="186">
        <f>-'Residential Rental'!$E$100/12</f>
        <v>898.0893756176489</v>
      </c>
      <c r="I355" s="149">
        <f>'Residential Rental'!$E$98/12*G354</f>
        <v>355.46317814782526</v>
      </c>
      <c r="J355" s="187">
        <f t="shared" si="97"/>
        <v>542.62619746982364</v>
      </c>
      <c r="K355" s="72">
        <f t="shared" si="101"/>
        <v>188</v>
      </c>
      <c r="L355" s="180">
        <f t="shared" si="98"/>
        <v>1337725.7233490967</v>
      </c>
      <c r="M355" s="181">
        <f t="shared" si="98"/>
        <v>10818.552968881977</v>
      </c>
      <c r="N355" s="180">
        <f t="shared" si="98"/>
        <v>5443.9101635799743</v>
      </c>
      <c r="O355" s="132">
        <f t="shared" si="98"/>
        <v>5374.6428053020036</v>
      </c>
    </row>
    <row r="356" spans="1:15" x14ac:dyDescent="0.25">
      <c r="A356" s="72">
        <f t="shared" si="99"/>
        <v>189</v>
      </c>
      <c r="B356" s="183">
        <f t="shared" si="94"/>
        <v>1211543.1098855187</v>
      </c>
      <c r="C356" s="184">
        <f>-'Residential Rental'!$E$95/12</f>
        <v>9920.4635932643287</v>
      </c>
      <c r="D356" s="183">
        <f>'Residential Rental'!$E$93/12*B355</f>
        <v>5068.3135828995146</v>
      </c>
      <c r="E356" s="185">
        <f t="shared" si="95"/>
        <v>4852.1500103648141</v>
      </c>
      <c r="F356" s="72">
        <f t="shared" si="100"/>
        <v>189</v>
      </c>
      <c r="G356" s="180">
        <f t="shared" si="96"/>
        <v>120786.25459600067</v>
      </c>
      <c r="H356" s="186">
        <f>-'Residential Rental'!$E$100/12</f>
        <v>898.0893756176489</v>
      </c>
      <c r="I356" s="149">
        <f>'Residential Rental'!$E$98/12*G355</f>
        <v>353.88051840520495</v>
      </c>
      <c r="J356" s="187">
        <f t="shared" si="97"/>
        <v>544.20885721244395</v>
      </c>
      <c r="K356" s="72">
        <f t="shared" si="101"/>
        <v>189</v>
      </c>
      <c r="L356" s="180">
        <f t="shared" si="98"/>
        <v>1332329.3644815194</v>
      </c>
      <c r="M356" s="181">
        <f t="shared" si="98"/>
        <v>10818.552968881977</v>
      </c>
      <c r="N356" s="180">
        <f t="shared" si="98"/>
        <v>5422.1941013047199</v>
      </c>
      <c r="O356" s="132">
        <f t="shared" si="98"/>
        <v>5396.358867577258</v>
      </c>
    </row>
    <row r="357" spans="1:15" x14ac:dyDescent="0.25">
      <c r="A357" s="72">
        <f t="shared" si="99"/>
        <v>190</v>
      </c>
      <c r="B357" s="183">
        <f t="shared" si="94"/>
        <v>1206670.7425834441</v>
      </c>
      <c r="C357" s="184">
        <f>-'Residential Rental'!$E$95/12</f>
        <v>9920.4635932643287</v>
      </c>
      <c r="D357" s="183">
        <f>'Residential Rental'!$E$93/12*B356</f>
        <v>5048.0962911896613</v>
      </c>
      <c r="E357" s="185">
        <f t="shared" si="95"/>
        <v>4872.3673020746674</v>
      </c>
      <c r="F357" s="72">
        <f t="shared" si="100"/>
        <v>190</v>
      </c>
      <c r="G357" s="180">
        <f t="shared" si="96"/>
        <v>120240.45846295469</v>
      </c>
      <c r="H357" s="186">
        <f>-'Residential Rental'!$E$100/12</f>
        <v>898.0893756176489</v>
      </c>
      <c r="I357" s="149">
        <f>'Residential Rental'!$E$98/12*G356</f>
        <v>352.29324257166866</v>
      </c>
      <c r="J357" s="187">
        <f t="shared" si="97"/>
        <v>545.79613304598024</v>
      </c>
      <c r="K357" s="72">
        <f t="shared" si="101"/>
        <v>190</v>
      </c>
      <c r="L357" s="180">
        <f t="shared" si="98"/>
        <v>1326911.2010463988</v>
      </c>
      <c r="M357" s="181">
        <f t="shared" si="98"/>
        <v>10818.552968881977</v>
      </c>
      <c r="N357" s="180">
        <f t="shared" si="98"/>
        <v>5400.3895337613303</v>
      </c>
      <c r="O357" s="132">
        <f t="shared" si="98"/>
        <v>5418.1634351206476</v>
      </c>
    </row>
    <row r="358" spans="1:15" x14ac:dyDescent="0.25">
      <c r="A358" s="72">
        <f t="shared" si="99"/>
        <v>191</v>
      </c>
      <c r="B358" s="183">
        <f t="shared" si="94"/>
        <v>1201778.0737509441</v>
      </c>
      <c r="C358" s="184">
        <f>-'Residential Rental'!$E$95/12</f>
        <v>9920.4635932643287</v>
      </c>
      <c r="D358" s="183">
        <f>'Residential Rental'!$E$93/12*B357</f>
        <v>5027.79476076435</v>
      </c>
      <c r="E358" s="185">
        <f t="shared" si="95"/>
        <v>4892.6688324999786</v>
      </c>
      <c r="F358" s="72">
        <f t="shared" si="100"/>
        <v>191</v>
      </c>
      <c r="G358" s="180">
        <f t="shared" si="96"/>
        <v>119693.07042452066</v>
      </c>
      <c r="H358" s="186">
        <f>-'Residential Rental'!$E$100/12</f>
        <v>898.0893756176489</v>
      </c>
      <c r="I358" s="149">
        <f>'Residential Rental'!$E$98/12*G357</f>
        <v>350.70133718361785</v>
      </c>
      <c r="J358" s="187">
        <f t="shared" si="97"/>
        <v>547.38803843403105</v>
      </c>
      <c r="K358" s="72">
        <f t="shared" si="101"/>
        <v>191</v>
      </c>
      <c r="L358" s="180">
        <f t="shared" si="98"/>
        <v>1321471.1441754648</v>
      </c>
      <c r="M358" s="181">
        <f t="shared" si="98"/>
        <v>10818.552968881977</v>
      </c>
      <c r="N358" s="180">
        <f t="shared" si="98"/>
        <v>5378.4960979479674</v>
      </c>
      <c r="O358" s="132">
        <f t="shared" si="98"/>
        <v>5440.0568709340096</v>
      </c>
    </row>
    <row r="359" spans="1:15" x14ac:dyDescent="0.25">
      <c r="A359" s="72">
        <f t="shared" si="99"/>
        <v>192</v>
      </c>
      <c r="B359" s="183">
        <f t="shared" si="94"/>
        <v>1196865.0187983087</v>
      </c>
      <c r="C359" s="184">
        <f>-'Residential Rental'!$E$95/12</f>
        <v>9920.4635932643287</v>
      </c>
      <c r="D359" s="183">
        <f>'Residential Rental'!$E$93/12*B358</f>
        <v>5007.4086406289334</v>
      </c>
      <c r="E359" s="185">
        <f t="shared" si="95"/>
        <v>4913.0549526353952</v>
      </c>
      <c r="F359" s="72">
        <f t="shared" si="100"/>
        <v>192</v>
      </c>
      <c r="G359" s="180">
        <f t="shared" si="96"/>
        <v>119144.08583764119</v>
      </c>
      <c r="H359" s="186">
        <f>-'Residential Rental'!$E$100/12</f>
        <v>898.0893756176489</v>
      </c>
      <c r="I359" s="149">
        <f>'Residential Rental'!$E$98/12*G358</f>
        <v>349.10478873818528</v>
      </c>
      <c r="J359" s="187">
        <f t="shared" si="97"/>
        <v>548.98458687946368</v>
      </c>
      <c r="K359" s="72">
        <f t="shared" si="101"/>
        <v>192</v>
      </c>
      <c r="L359" s="180">
        <f t="shared" si="98"/>
        <v>1316009.1046359499</v>
      </c>
      <c r="M359" s="181">
        <f t="shared" si="98"/>
        <v>10818.552968881977</v>
      </c>
      <c r="N359" s="180">
        <f t="shared" si="98"/>
        <v>5356.513429367119</v>
      </c>
      <c r="O359" s="132">
        <f t="shared" ref="O359:O422" si="102">J359+E359</f>
        <v>5462.0395395148589</v>
      </c>
    </row>
    <row r="360" spans="1:15" x14ac:dyDescent="0.25">
      <c r="A360" s="72">
        <f t="shared" si="99"/>
        <v>193</v>
      </c>
      <c r="B360" s="183">
        <f t="shared" ref="B360:B423" si="103">B359-E360</f>
        <v>1191931.4927833707</v>
      </c>
      <c r="C360" s="184">
        <f>-'Residential Rental'!$E$95/12</f>
        <v>9920.4635932643287</v>
      </c>
      <c r="D360" s="183">
        <f>'Residential Rental'!$E$93/12*B359</f>
        <v>4986.9375783262858</v>
      </c>
      <c r="E360" s="185">
        <f t="shared" ref="E360:E423" si="104">C360-D360</f>
        <v>4933.5260149380429</v>
      </c>
      <c r="F360" s="72">
        <f t="shared" si="100"/>
        <v>193</v>
      </c>
      <c r="G360" s="180">
        <f t="shared" ref="G360:G423" si="105">G359-J360</f>
        <v>118593.50004571666</v>
      </c>
      <c r="H360" s="186">
        <f>-'Residential Rental'!$E$100/12</f>
        <v>898.0893756176489</v>
      </c>
      <c r="I360" s="149">
        <f>'Residential Rental'!$E$98/12*G359</f>
        <v>347.50358369312016</v>
      </c>
      <c r="J360" s="187">
        <f t="shared" ref="J360:J423" si="106">H360-I360</f>
        <v>550.58579192452873</v>
      </c>
      <c r="K360" s="72">
        <f t="shared" si="101"/>
        <v>193</v>
      </c>
      <c r="L360" s="180">
        <f t="shared" ref="L360:O423" si="107">G360+B360</f>
        <v>1310524.9928290874</v>
      </c>
      <c r="M360" s="181">
        <f t="shared" si="107"/>
        <v>10818.552968881977</v>
      </c>
      <c r="N360" s="180">
        <f t="shared" si="107"/>
        <v>5334.441162019406</v>
      </c>
      <c r="O360" s="132">
        <f t="shared" si="102"/>
        <v>5484.1118068625719</v>
      </c>
    </row>
    <row r="361" spans="1:15" x14ac:dyDescent="0.25">
      <c r="A361" s="72">
        <f t="shared" ref="A361:A424" si="108">A360+1</f>
        <v>194</v>
      </c>
      <c r="B361" s="183">
        <f t="shared" si="103"/>
        <v>1186977.410410037</v>
      </c>
      <c r="C361" s="184">
        <f>-'Residential Rental'!$E$95/12</f>
        <v>9920.4635932643287</v>
      </c>
      <c r="D361" s="183">
        <f>'Residential Rental'!$E$93/12*B360</f>
        <v>4966.3812199307113</v>
      </c>
      <c r="E361" s="185">
        <f t="shared" si="104"/>
        <v>4954.0823733336174</v>
      </c>
      <c r="F361" s="72">
        <f t="shared" ref="F361:F424" si="109">F360+1</f>
        <v>194</v>
      </c>
      <c r="G361" s="180">
        <f t="shared" si="105"/>
        <v>118041.30837856568</v>
      </c>
      <c r="H361" s="186">
        <f>-'Residential Rental'!$E$100/12</f>
        <v>898.0893756176489</v>
      </c>
      <c r="I361" s="149">
        <f>'Residential Rental'!$E$98/12*G360</f>
        <v>345.89770846667363</v>
      </c>
      <c r="J361" s="187">
        <f t="shared" si="106"/>
        <v>552.19166715097526</v>
      </c>
      <c r="K361" s="72">
        <f t="shared" ref="K361:K424" si="110">K360+1</f>
        <v>194</v>
      </c>
      <c r="L361" s="180">
        <f t="shared" si="107"/>
        <v>1305018.7187886026</v>
      </c>
      <c r="M361" s="181">
        <f t="shared" si="107"/>
        <v>10818.552968881977</v>
      </c>
      <c r="N361" s="180">
        <f t="shared" si="107"/>
        <v>5312.2789283973852</v>
      </c>
      <c r="O361" s="132">
        <f t="shared" si="102"/>
        <v>5506.2740404845927</v>
      </c>
    </row>
    <row r="362" spans="1:15" x14ac:dyDescent="0.25">
      <c r="A362" s="72">
        <f t="shared" si="108"/>
        <v>195</v>
      </c>
      <c r="B362" s="183">
        <f t="shared" si="103"/>
        <v>1182002.6860268146</v>
      </c>
      <c r="C362" s="184">
        <f>-'Residential Rental'!$E$95/12</f>
        <v>9920.4635932643287</v>
      </c>
      <c r="D362" s="183">
        <f>'Residential Rental'!$E$93/12*B361</f>
        <v>4945.739210041821</v>
      </c>
      <c r="E362" s="185">
        <f t="shared" si="104"/>
        <v>4974.7243832225076</v>
      </c>
      <c r="F362" s="72">
        <f t="shared" si="109"/>
        <v>195</v>
      </c>
      <c r="G362" s="180">
        <f t="shared" si="105"/>
        <v>117487.50615238551</v>
      </c>
      <c r="H362" s="186">
        <f>-'Residential Rental'!$E$100/12</f>
        <v>898.0893756176489</v>
      </c>
      <c r="I362" s="149">
        <f>'Residential Rental'!$E$98/12*G361</f>
        <v>344.28714943748327</v>
      </c>
      <c r="J362" s="187">
        <f t="shared" si="106"/>
        <v>553.80222618016569</v>
      </c>
      <c r="K362" s="72">
        <f t="shared" si="110"/>
        <v>195</v>
      </c>
      <c r="L362" s="180">
        <f t="shared" si="107"/>
        <v>1299490.1921792002</v>
      </c>
      <c r="M362" s="181">
        <f t="shared" si="107"/>
        <v>10818.552968881977</v>
      </c>
      <c r="N362" s="180">
        <f t="shared" si="107"/>
        <v>5290.0263594793041</v>
      </c>
      <c r="O362" s="132">
        <f t="shared" si="102"/>
        <v>5528.5266094026738</v>
      </c>
    </row>
    <row r="363" spans="1:15" x14ac:dyDescent="0.25">
      <c r="A363" s="72">
        <f t="shared" si="108"/>
        <v>196</v>
      </c>
      <c r="B363" s="183">
        <f t="shared" si="103"/>
        <v>1177007.2336253286</v>
      </c>
      <c r="C363" s="184">
        <f>-'Residential Rental'!$E$95/12</f>
        <v>9920.4635932643287</v>
      </c>
      <c r="D363" s="183">
        <f>'Residential Rental'!$E$93/12*B362</f>
        <v>4925.0111917783943</v>
      </c>
      <c r="E363" s="185">
        <f t="shared" si="104"/>
        <v>4995.4524014859344</v>
      </c>
      <c r="F363" s="72">
        <f t="shared" si="109"/>
        <v>196</v>
      </c>
      <c r="G363" s="180">
        <f t="shared" si="105"/>
        <v>116932.08866971232</v>
      </c>
      <c r="H363" s="186">
        <f>-'Residential Rental'!$E$100/12</f>
        <v>898.0893756176489</v>
      </c>
      <c r="I363" s="149">
        <f>'Residential Rental'!$E$98/12*G362</f>
        <v>342.67189294445774</v>
      </c>
      <c r="J363" s="187">
        <f t="shared" si="106"/>
        <v>555.41748267319122</v>
      </c>
      <c r="K363" s="72">
        <f t="shared" si="110"/>
        <v>196</v>
      </c>
      <c r="L363" s="180">
        <f t="shared" si="107"/>
        <v>1293939.3222950411</v>
      </c>
      <c r="M363" s="181">
        <f t="shared" si="107"/>
        <v>10818.552968881977</v>
      </c>
      <c r="N363" s="180">
        <f t="shared" si="107"/>
        <v>5267.6830847228521</v>
      </c>
      <c r="O363" s="132">
        <f t="shared" si="102"/>
        <v>5550.8698841591258</v>
      </c>
    </row>
    <row r="364" spans="1:15" x14ac:dyDescent="0.25">
      <c r="A364" s="72">
        <f t="shared" si="108"/>
        <v>197</v>
      </c>
      <c r="B364" s="183">
        <f t="shared" si="103"/>
        <v>1171990.9668388364</v>
      </c>
      <c r="C364" s="184">
        <f>-'Residential Rental'!$E$95/12</f>
        <v>9920.4635932643287</v>
      </c>
      <c r="D364" s="183">
        <f>'Residential Rental'!$E$93/12*B363</f>
        <v>4904.1968067722028</v>
      </c>
      <c r="E364" s="185">
        <f t="shared" si="104"/>
        <v>5016.2667864921259</v>
      </c>
      <c r="F364" s="72">
        <f t="shared" si="109"/>
        <v>197</v>
      </c>
      <c r="G364" s="180">
        <f t="shared" si="105"/>
        <v>116375.05121938133</v>
      </c>
      <c r="H364" s="186">
        <f>-'Residential Rental'!$E$100/12</f>
        <v>898.0893756176489</v>
      </c>
      <c r="I364" s="149">
        <f>'Residential Rental'!$E$98/12*G363</f>
        <v>341.05192528666095</v>
      </c>
      <c r="J364" s="187">
        <f t="shared" si="106"/>
        <v>557.03745033098789</v>
      </c>
      <c r="K364" s="72">
        <f t="shared" si="110"/>
        <v>197</v>
      </c>
      <c r="L364" s="180">
        <f t="shared" si="107"/>
        <v>1288366.0180582178</v>
      </c>
      <c r="M364" s="181">
        <f t="shared" si="107"/>
        <v>10818.552968881977</v>
      </c>
      <c r="N364" s="180">
        <f t="shared" si="107"/>
        <v>5245.2487320588634</v>
      </c>
      <c r="O364" s="132">
        <f t="shared" si="102"/>
        <v>5573.3042368231136</v>
      </c>
    </row>
    <row r="365" spans="1:15" x14ac:dyDescent="0.25">
      <c r="A365" s="72">
        <f t="shared" si="108"/>
        <v>198</v>
      </c>
      <c r="B365" s="183">
        <f t="shared" si="103"/>
        <v>1166953.798940734</v>
      </c>
      <c r="C365" s="184">
        <f>-'Residential Rental'!$E$95/12</f>
        <v>9920.4635932643287</v>
      </c>
      <c r="D365" s="183">
        <f>'Residential Rental'!$E$93/12*B364</f>
        <v>4883.295695161818</v>
      </c>
      <c r="E365" s="185">
        <f t="shared" si="104"/>
        <v>5037.1678981025107</v>
      </c>
      <c r="F365" s="72">
        <f t="shared" si="109"/>
        <v>198</v>
      </c>
      <c r="G365" s="180">
        <f t="shared" si="105"/>
        <v>115816.38907648688</v>
      </c>
      <c r="H365" s="186">
        <f>-'Residential Rental'!$E$100/12</f>
        <v>898.0893756176489</v>
      </c>
      <c r="I365" s="149">
        <f>'Residential Rental'!$E$98/12*G364</f>
        <v>339.42723272319557</v>
      </c>
      <c r="J365" s="187">
        <f t="shared" si="106"/>
        <v>558.66214289445338</v>
      </c>
      <c r="K365" s="72">
        <f t="shared" si="110"/>
        <v>198</v>
      </c>
      <c r="L365" s="180">
        <f t="shared" si="107"/>
        <v>1282770.1880172209</v>
      </c>
      <c r="M365" s="181">
        <f t="shared" si="107"/>
        <v>10818.552968881977</v>
      </c>
      <c r="N365" s="180">
        <f t="shared" si="107"/>
        <v>5222.7229278850136</v>
      </c>
      <c r="O365" s="132">
        <f t="shared" si="102"/>
        <v>5595.8300409969643</v>
      </c>
    </row>
    <row r="366" spans="1:15" x14ac:dyDescent="0.25">
      <c r="A366" s="72">
        <f t="shared" si="108"/>
        <v>199</v>
      </c>
      <c r="B366" s="183">
        <f t="shared" si="103"/>
        <v>1161895.642843056</v>
      </c>
      <c r="C366" s="184">
        <f>-'Residential Rental'!$E$95/12</f>
        <v>9920.4635932643287</v>
      </c>
      <c r="D366" s="183">
        <f>'Residential Rental'!$E$93/12*B365</f>
        <v>4862.3074955863913</v>
      </c>
      <c r="E366" s="185">
        <f t="shared" si="104"/>
        <v>5058.1560976779374</v>
      </c>
      <c r="F366" s="72">
        <f t="shared" si="109"/>
        <v>199</v>
      </c>
      <c r="G366" s="180">
        <f t="shared" si="105"/>
        <v>115256.09750234232</v>
      </c>
      <c r="H366" s="186">
        <f>-'Residential Rental'!$E$100/12</f>
        <v>898.0893756176489</v>
      </c>
      <c r="I366" s="149">
        <f>'Residential Rental'!$E$98/12*G365</f>
        <v>337.79780147308674</v>
      </c>
      <c r="J366" s="187">
        <f t="shared" si="106"/>
        <v>560.29157414456222</v>
      </c>
      <c r="K366" s="72">
        <f t="shared" si="110"/>
        <v>199</v>
      </c>
      <c r="L366" s="180">
        <f t="shared" si="107"/>
        <v>1277151.7403453984</v>
      </c>
      <c r="M366" s="181">
        <f t="shared" si="107"/>
        <v>10818.552968881977</v>
      </c>
      <c r="N366" s="180">
        <f t="shared" si="107"/>
        <v>5200.1052970594783</v>
      </c>
      <c r="O366" s="132">
        <f t="shared" si="102"/>
        <v>5618.4476718224996</v>
      </c>
    </row>
    <row r="367" spans="1:15" x14ac:dyDescent="0.25">
      <c r="A367" s="72">
        <f t="shared" si="108"/>
        <v>200</v>
      </c>
      <c r="B367" s="183">
        <f t="shared" si="103"/>
        <v>1156816.411094971</v>
      </c>
      <c r="C367" s="184">
        <f>-'Residential Rental'!$E$95/12</f>
        <v>9920.4635932643287</v>
      </c>
      <c r="D367" s="183">
        <f>'Residential Rental'!$E$93/12*B366</f>
        <v>4841.2318451793999</v>
      </c>
      <c r="E367" s="185">
        <f t="shared" si="104"/>
        <v>5079.2317480849288</v>
      </c>
      <c r="F367" s="72">
        <f t="shared" si="109"/>
        <v>200</v>
      </c>
      <c r="G367" s="180">
        <f t="shared" si="105"/>
        <v>114694.17174443984</v>
      </c>
      <c r="H367" s="186">
        <f>-'Residential Rental'!$E$100/12</f>
        <v>898.0893756176489</v>
      </c>
      <c r="I367" s="149">
        <f>'Residential Rental'!$E$98/12*G366</f>
        <v>336.16361771516512</v>
      </c>
      <c r="J367" s="187">
        <f t="shared" si="106"/>
        <v>561.92575790248384</v>
      </c>
      <c r="K367" s="72">
        <f t="shared" si="110"/>
        <v>200</v>
      </c>
      <c r="L367" s="180">
        <f t="shared" si="107"/>
        <v>1271510.5828394108</v>
      </c>
      <c r="M367" s="181">
        <f t="shared" si="107"/>
        <v>10818.552968881977</v>
      </c>
      <c r="N367" s="180">
        <f t="shared" si="107"/>
        <v>5177.3954628945648</v>
      </c>
      <c r="O367" s="132">
        <f t="shared" si="102"/>
        <v>5641.1575059874122</v>
      </c>
    </row>
    <row r="368" spans="1:15" x14ac:dyDescent="0.25">
      <c r="A368" s="72">
        <f t="shared" si="108"/>
        <v>201</v>
      </c>
      <c r="B368" s="183">
        <f t="shared" si="103"/>
        <v>1151716.015881269</v>
      </c>
      <c r="C368" s="184">
        <f>-'Residential Rental'!$E$95/12</f>
        <v>9920.4635932643287</v>
      </c>
      <c r="D368" s="183">
        <f>'Residential Rental'!$E$93/12*B367</f>
        <v>4820.0683795623791</v>
      </c>
      <c r="E368" s="185">
        <f t="shared" si="104"/>
        <v>5100.3952137019496</v>
      </c>
      <c r="F368" s="72">
        <f t="shared" si="109"/>
        <v>201</v>
      </c>
      <c r="G368" s="180">
        <f t="shared" si="105"/>
        <v>114130.60703641013</v>
      </c>
      <c r="H368" s="186">
        <f>-'Residential Rental'!$E$100/12</f>
        <v>898.0893756176489</v>
      </c>
      <c r="I368" s="149">
        <f>'Residential Rental'!$E$98/12*G367</f>
        <v>334.52466758794952</v>
      </c>
      <c r="J368" s="187">
        <f t="shared" si="106"/>
        <v>563.56470802969943</v>
      </c>
      <c r="K368" s="72">
        <f t="shared" si="110"/>
        <v>201</v>
      </c>
      <c r="L368" s="180">
        <f t="shared" si="107"/>
        <v>1265846.6229176791</v>
      </c>
      <c r="M368" s="181">
        <f t="shared" si="107"/>
        <v>10818.552968881977</v>
      </c>
      <c r="N368" s="180">
        <f t="shared" si="107"/>
        <v>5154.5930471503289</v>
      </c>
      <c r="O368" s="132">
        <f t="shared" si="102"/>
        <v>5663.959921731649</v>
      </c>
    </row>
    <row r="369" spans="1:15" x14ac:dyDescent="0.25">
      <c r="A369" s="72">
        <f t="shared" si="108"/>
        <v>202</v>
      </c>
      <c r="B369" s="183">
        <f t="shared" si="103"/>
        <v>1146594.3690208434</v>
      </c>
      <c r="C369" s="184">
        <f>-'Residential Rental'!$E$95/12</f>
        <v>9920.4635932643287</v>
      </c>
      <c r="D369" s="183">
        <f>'Residential Rental'!$E$93/12*B368</f>
        <v>4798.8167328386207</v>
      </c>
      <c r="E369" s="185">
        <f t="shared" si="104"/>
        <v>5121.6468604257079</v>
      </c>
      <c r="F369" s="72">
        <f t="shared" si="109"/>
        <v>202</v>
      </c>
      <c r="G369" s="180">
        <f t="shared" si="105"/>
        <v>113565.39859798201</v>
      </c>
      <c r="H369" s="186">
        <f>-'Residential Rental'!$E$100/12</f>
        <v>898.0893756176489</v>
      </c>
      <c r="I369" s="149">
        <f>'Residential Rental'!$E$98/12*G368</f>
        <v>332.88093718952956</v>
      </c>
      <c r="J369" s="187">
        <f t="shared" si="106"/>
        <v>565.20843842811928</v>
      </c>
      <c r="K369" s="72">
        <f t="shared" si="110"/>
        <v>202</v>
      </c>
      <c r="L369" s="180">
        <f t="shared" si="107"/>
        <v>1260159.7676188254</v>
      </c>
      <c r="M369" s="181">
        <f t="shared" si="107"/>
        <v>10818.552968881977</v>
      </c>
      <c r="N369" s="180">
        <f t="shared" si="107"/>
        <v>5131.6976700281502</v>
      </c>
      <c r="O369" s="132">
        <f t="shared" si="102"/>
        <v>5686.8552988538268</v>
      </c>
    </row>
    <row r="370" spans="1:15" x14ac:dyDescent="0.25">
      <c r="A370" s="72">
        <f t="shared" si="108"/>
        <v>203</v>
      </c>
      <c r="B370" s="183">
        <f t="shared" si="103"/>
        <v>1141451.381965166</v>
      </c>
      <c r="C370" s="184">
        <f>-'Residential Rental'!$E$95/12</f>
        <v>9920.4635932643287</v>
      </c>
      <c r="D370" s="183">
        <f>'Residential Rental'!$E$93/12*B369</f>
        <v>4777.4765375868474</v>
      </c>
      <c r="E370" s="185">
        <f t="shared" si="104"/>
        <v>5142.9870556774813</v>
      </c>
      <c r="F370" s="72">
        <f t="shared" si="109"/>
        <v>203</v>
      </c>
      <c r="G370" s="180">
        <f t="shared" si="105"/>
        <v>112998.54163494181</v>
      </c>
      <c r="H370" s="186">
        <f>-'Residential Rental'!$E$100/12</f>
        <v>898.0893756176489</v>
      </c>
      <c r="I370" s="149">
        <f>'Residential Rental'!$E$98/12*G369</f>
        <v>331.23241257744758</v>
      </c>
      <c r="J370" s="187">
        <f t="shared" si="106"/>
        <v>566.85696304020132</v>
      </c>
      <c r="K370" s="72">
        <f t="shared" si="110"/>
        <v>203</v>
      </c>
      <c r="L370" s="180">
        <f t="shared" si="107"/>
        <v>1254449.9236001077</v>
      </c>
      <c r="M370" s="181">
        <f t="shared" si="107"/>
        <v>10818.552968881977</v>
      </c>
      <c r="N370" s="180">
        <f t="shared" si="107"/>
        <v>5108.7089501642949</v>
      </c>
      <c r="O370" s="132">
        <f t="shared" si="102"/>
        <v>5709.844018717683</v>
      </c>
    </row>
    <row r="371" spans="1:15" x14ac:dyDescent="0.25">
      <c r="A371" s="72">
        <f t="shared" si="108"/>
        <v>204</v>
      </c>
      <c r="B371" s="183">
        <f t="shared" si="103"/>
        <v>1136286.9657967566</v>
      </c>
      <c r="C371" s="184">
        <f>-'Residential Rental'!$E$95/12</f>
        <v>9920.4635932643287</v>
      </c>
      <c r="D371" s="183">
        <f>'Residential Rental'!$E$93/12*B370</f>
        <v>4756.047424854858</v>
      </c>
      <c r="E371" s="185">
        <f t="shared" si="104"/>
        <v>5164.4161684094706</v>
      </c>
      <c r="F371" s="72">
        <f t="shared" si="109"/>
        <v>204</v>
      </c>
      <c r="G371" s="180">
        <f t="shared" si="105"/>
        <v>112430.03133909273</v>
      </c>
      <c r="H371" s="186">
        <f>-'Residential Rental'!$E$100/12</f>
        <v>898.0893756176489</v>
      </c>
      <c r="I371" s="149">
        <f>'Residential Rental'!$E$98/12*G370</f>
        <v>329.5790797685803</v>
      </c>
      <c r="J371" s="187">
        <f t="shared" si="106"/>
        <v>568.5102958490686</v>
      </c>
      <c r="K371" s="72">
        <f t="shared" si="110"/>
        <v>204</v>
      </c>
      <c r="L371" s="180">
        <f t="shared" si="107"/>
        <v>1248716.9971358492</v>
      </c>
      <c r="M371" s="181">
        <f t="shared" si="107"/>
        <v>10818.552968881977</v>
      </c>
      <c r="N371" s="180">
        <f t="shared" si="107"/>
        <v>5085.6265046234384</v>
      </c>
      <c r="O371" s="132">
        <f t="shared" si="102"/>
        <v>5732.9264642585395</v>
      </c>
    </row>
    <row r="372" spans="1:15" x14ac:dyDescent="0.25">
      <c r="A372" s="72">
        <f t="shared" si="108"/>
        <v>205</v>
      </c>
      <c r="B372" s="183">
        <f t="shared" si="103"/>
        <v>1131101.0312276455</v>
      </c>
      <c r="C372" s="184">
        <f>-'Residential Rental'!$E$95/12</f>
        <v>9920.4635932643287</v>
      </c>
      <c r="D372" s="183">
        <f>'Residential Rental'!$E$93/12*B371</f>
        <v>4734.529024153152</v>
      </c>
      <c r="E372" s="185">
        <f t="shared" si="104"/>
        <v>5185.9345691111766</v>
      </c>
      <c r="F372" s="72">
        <f t="shared" si="109"/>
        <v>205</v>
      </c>
      <c r="G372" s="180">
        <f t="shared" si="105"/>
        <v>111859.86288821411</v>
      </c>
      <c r="H372" s="186">
        <f>-'Residential Rental'!$E$100/12</f>
        <v>898.0893756176489</v>
      </c>
      <c r="I372" s="149">
        <f>'Residential Rental'!$E$98/12*G371</f>
        <v>327.92092473902051</v>
      </c>
      <c r="J372" s="187">
        <f t="shared" si="106"/>
        <v>570.16845087862839</v>
      </c>
      <c r="K372" s="72">
        <f t="shared" si="110"/>
        <v>205</v>
      </c>
      <c r="L372" s="180">
        <f t="shared" si="107"/>
        <v>1242960.8941158596</v>
      </c>
      <c r="M372" s="181">
        <f t="shared" si="107"/>
        <v>10818.552968881977</v>
      </c>
      <c r="N372" s="180">
        <f t="shared" si="107"/>
        <v>5062.4499488921729</v>
      </c>
      <c r="O372" s="132">
        <f t="shared" si="102"/>
        <v>5756.103019989805</v>
      </c>
    </row>
    <row r="373" spans="1:15" x14ac:dyDescent="0.25">
      <c r="A373" s="72">
        <f t="shared" si="108"/>
        <v>206</v>
      </c>
      <c r="B373" s="183">
        <f t="shared" si="103"/>
        <v>1125893.4885978296</v>
      </c>
      <c r="C373" s="184">
        <f>-'Residential Rental'!$E$95/12</f>
        <v>9920.4635932643287</v>
      </c>
      <c r="D373" s="183">
        <f>'Residential Rental'!$E$93/12*B372</f>
        <v>4712.9209634485223</v>
      </c>
      <c r="E373" s="185">
        <f t="shared" si="104"/>
        <v>5207.5426298158063</v>
      </c>
      <c r="F373" s="72">
        <f t="shared" si="109"/>
        <v>206</v>
      </c>
      <c r="G373" s="180">
        <f t="shared" si="105"/>
        <v>111288.03144602041</v>
      </c>
      <c r="H373" s="186">
        <f>-'Residential Rental'!$E$100/12</f>
        <v>898.0893756176489</v>
      </c>
      <c r="I373" s="149">
        <f>'Residential Rental'!$E$98/12*G372</f>
        <v>326.25793342395781</v>
      </c>
      <c r="J373" s="187">
        <f t="shared" si="106"/>
        <v>571.83144219369115</v>
      </c>
      <c r="K373" s="72">
        <f t="shared" si="110"/>
        <v>206</v>
      </c>
      <c r="L373" s="180">
        <f t="shared" si="107"/>
        <v>1237181.5200438499</v>
      </c>
      <c r="M373" s="181">
        <f t="shared" si="107"/>
        <v>10818.552968881977</v>
      </c>
      <c r="N373" s="180">
        <f t="shared" si="107"/>
        <v>5039.1788968724804</v>
      </c>
      <c r="O373" s="132">
        <f t="shared" si="102"/>
        <v>5779.3740720094975</v>
      </c>
    </row>
    <row r="374" spans="1:15" x14ac:dyDescent="0.25">
      <c r="A374" s="72">
        <f t="shared" si="108"/>
        <v>207</v>
      </c>
      <c r="B374" s="183">
        <f t="shared" si="103"/>
        <v>1120664.2478737228</v>
      </c>
      <c r="C374" s="184">
        <f>-'Residential Rental'!$E$95/12</f>
        <v>9920.4635932643287</v>
      </c>
      <c r="D374" s="183">
        <f>'Residential Rental'!$E$93/12*B373</f>
        <v>4691.2228691576229</v>
      </c>
      <c r="E374" s="185">
        <f t="shared" si="104"/>
        <v>5229.2407241067058</v>
      </c>
      <c r="F374" s="72">
        <f t="shared" si="109"/>
        <v>207</v>
      </c>
      <c r="G374" s="180">
        <f t="shared" si="105"/>
        <v>110714.53216212032</v>
      </c>
      <c r="H374" s="186">
        <f>-'Residential Rental'!$E$100/12</f>
        <v>898.0893756176489</v>
      </c>
      <c r="I374" s="149">
        <f>'Residential Rental'!$E$98/12*G373</f>
        <v>324.59009171755952</v>
      </c>
      <c r="J374" s="187">
        <f t="shared" si="106"/>
        <v>573.49928390008938</v>
      </c>
      <c r="K374" s="72">
        <f t="shared" si="110"/>
        <v>207</v>
      </c>
      <c r="L374" s="180">
        <f t="shared" si="107"/>
        <v>1231378.7800358431</v>
      </c>
      <c r="M374" s="181">
        <f t="shared" si="107"/>
        <v>10818.552968881977</v>
      </c>
      <c r="N374" s="180">
        <f t="shared" si="107"/>
        <v>5015.8129608751824</v>
      </c>
      <c r="O374" s="132">
        <f t="shared" si="102"/>
        <v>5802.7400080067955</v>
      </c>
    </row>
    <row r="375" spans="1:15" x14ac:dyDescent="0.25">
      <c r="A375" s="72">
        <f t="shared" si="108"/>
        <v>208</v>
      </c>
      <c r="B375" s="183">
        <f t="shared" si="103"/>
        <v>1115413.218646599</v>
      </c>
      <c r="C375" s="184">
        <f>-'Residential Rental'!$E$95/12</f>
        <v>9920.4635932643287</v>
      </c>
      <c r="D375" s="183">
        <f>'Residential Rental'!$E$93/12*B374</f>
        <v>4669.4343661405119</v>
      </c>
      <c r="E375" s="185">
        <f t="shared" si="104"/>
        <v>5251.0292271238168</v>
      </c>
      <c r="F375" s="72">
        <f t="shared" si="109"/>
        <v>208</v>
      </c>
      <c r="G375" s="180">
        <f t="shared" si="105"/>
        <v>110139.36017197552</v>
      </c>
      <c r="H375" s="186">
        <f>-'Residential Rental'!$E$100/12</f>
        <v>898.0893756176489</v>
      </c>
      <c r="I375" s="149">
        <f>'Residential Rental'!$E$98/12*G374</f>
        <v>322.91738547285092</v>
      </c>
      <c r="J375" s="187">
        <f t="shared" si="106"/>
        <v>575.17199014479797</v>
      </c>
      <c r="K375" s="72">
        <f t="shared" si="110"/>
        <v>208</v>
      </c>
      <c r="L375" s="180">
        <f t="shared" si="107"/>
        <v>1225552.5788185745</v>
      </c>
      <c r="M375" s="181">
        <f t="shared" si="107"/>
        <v>10818.552968881977</v>
      </c>
      <c r="N375" s="180">
        <f t="shared" si="107"/>
        <v>4992.3517516133625</v>
      </c>
      <c r="O375" s="132">
        <f t="shared" si="102"/>
        <v>5826.2012172686145</v>
      </c>
    </row>
    <row r="376" spans="1:15" x14ac:dyDescent="0.25">
      <c r="A376" s="72">
        <f t="shared" si="108"/>
        <v>209</v>
      </c>
      <c r="B376" s="183">
        <f t="shared" si="103"/>
        <v>1110140.3101310288</v>
      </c>
      <c r="C376" s="184">
        <f>-'Residential Rental'!$E$95/12</f>
        <v>9920.4635932643287</v>
      </c>
      <c r="D376" s="183">
        <f>'Residential Rental'!$E$93/12*B375</f>
        <v>4647.5550776941627</v>
      </c>
      <c r="E376" s="185">
        <f t="shared" si="104"/>
        <v>5272.9085155701659</v>
      </c>
      <c r="F376" s="72">
        <f t="shared" si="109"/>
        <v>209</v>
      </c>
      <c r="G376" s="180">
        <f t="shared" si="105"/>
        <v>109562.51059685947</v>
      </c>
      <c r="H376" s="186">
        <f>-'Residential Rental'!$E$100/12</f>
        <v>898.0893756176489</v>
      </c>
      <c r="I376" s="149">
        <f>'Residential Rental'!$E$98/12*G375</f>
        <v>321.23980050159531</v>
      </c>
      <c r="J376" s="187">
        <f t="shared" si="106"/>
        <v>576.84957511605353</v>
      </c>
      <c r="K376" s="72">
        <f t="shared" si="110"/>
        <v>209</v>
      </c>
      <c r="L376" s="180">
        <f t="shared" si="107"/>
        <v>1219702.8207278883</v>
      </c>
      <c r="M376" s="181">
        <f t="shared" si="107"/>
        <v>10818.552968881977</v>
      </c>
      <c r="N376" s="180">
        <f t="shared" si="107"/>
        <v>4968.7948781957584</v>
      </c>
      <c r="O376" s="132">
        <f t="shared" si="102"/>
        <v>5849.7580906862195</v>
      </c>
    </row>
    <row r="377" spans="1:15" x14ac:dyDescent="0.25">
      <c r="A377" s="72">
        <f t="shared" si="108"/>
        <v>210</v>
      </c>
      <c r="B377" s="183">
        <f t="shared" si="103"/>
        <v>1104845.4311633103</v>
      </c>
      <c r="C377" s="184">
        <f>-'Residential Rental'!$E$95/12</f>
        <v>9920.4635932643287</v>
      </c>
      <c r="D377" s="183">
        <f>'Residential Rental'!$E$93/12*B376</f>
        <v>4625.5846255459528</v>
      </c>
      <c r="E377" s="185">
        <f t="shared" si="104"/>
        <v>5294.8789677183759</v>
      </c>
      <c r="F377" s="72">
        <f t="shared" si="109"/>
        <v>210</v>
      </c>
      <c r="G377" s="180">
        <f t="shared" si="105"/>
        <v>108983.978543816</v>
      </c>
      <c r="H377" s="186">
        <f>-'Residential Rental'!$E$100/12</f>
        <v>898.0893756176489</v>
      </c>
      <c r="I377" s="149">
        <f>'Residential Rental'!$E$98/12*G376</f>
        <v>319.5573225741735</v>
      </c>
      <c r="J377" s="187">
        <f t="shared" si="106"/>
        <v>578.53205304347534</v>
      </c>
      <c r="K377" s="72">
        <f t="shared" si="110"/>
        <v>210</v>
      </c>
      <c r="L377" s="180">
        <f t="shared" si="107"/>
        <v>1213829.4097071262</v>
      </c>
      <c r="M377" s="181">
        <f t="shared" si="107"/>
        <v>10818.552968881977</v>
      </c>
      <c r="N377" s="180">
        <f t="shared" si="107"/>
        <v>4945.1419481201265</v>
      </c>
      <c r="O377" s="132">
        <f t="shared" si="102"/>
        <v>5873.4110207618514</v>
      </c>
    </row>
    <row r="378" spans="1:15" x14ac:dyDescent="0.25">
      <c r="A378" s="72">
        <f t="shared" si="108"/>
        <v>211</v>
      </c>
      <c r="B378" s="183">
        <f t="shared" si="103"/>
        <v>1099528.490199893</v>
      </c>
      <c r="C378" s="184">
        <f>-'Residential Rental'!$E$95/12</f>
        <v>9920.4635932643287</v>
      </c>
      <c r="D378" s="183">
        <f>'Residential Rental'!$E$93/12*B377</f>
        <v>4603.5226298471262</v>
      </c>
      <c r="E378" s="185">
        <f t="shared" si="104"/>
        <v>5316.9409634172025</v>
      </c>
      <c r="F378" s="72">
        <f t="shared" si="109"/>
        <v>211</v>
      </c>
      <c r="G378" s="180">
        <f t="shared" si="105"/>
        <v>108403.75910561782</v>
      </c>
      <c r="H378" s="186">
        <f>-'Residential Rental'!$E$100/12</f>
        <v>898.0893756176489</v>
      </c>
      <c r="I378" s="149">
        <f>'Residential Rental'!$E$98/12*G377</f>
        <v>317.86993741946338</v>
      </c>
      <c r="J378" s="187">
        <f t="shared" si="106"/>
        <v>580.21943819818557</v>
      </c>
      <c r="K378" s="72">
        <f t="shared" si="110"/>
        <v>211</v>
      </c>
      <c r="L378" s="180">
        <f t="shared" si="107"/>
        <v>1207932.2493055109</v>
      </c>
      <c r="M378" s="181">
        <f t="shared" si="107"/>
        <v>10818.552968881977</v>
      </c>
      <c r="N378" s="180">
        <f t="shared" si="107"/>
        <v>4921.3925672665891</v>
      </c>
      <c r="O378" s="132">
        <f t="shared" si="102"/>
        <v>5897.1604016153879</v>
      </c>
    </row>
    <row r="379" spans="1:15" x14ac:dyDescent="0.25">
      <c r="A379" s="72">
        <f t="shared" si="108"/>
        <v>212</v>
      </c>
      <c r="B379" s="183">
        <f t="shared" si="103"/>
        <v>1094189.395315795</v>
      </c>
      <c r="C379" s="184">
        <f>-'Residential Rental'!$E$95/12</f>
        <v>9920.4635932643287</v>
      </c>
      <c r="D379" s="183">
        <f>'Residential Rental'!$E$93/12*B378</f>
        <v>4581.3687091662205</v>
      </c>
      <c r="E379" s="185">
        <f t="shared" si="104"/>
        <v>5339.0948840981082</v>
      </c>
      <c r="F379" s="72">
        <f t="shared" si="109"/>
        <v>212</v>
      </c>
      <c r="G379" s="180">
        <f t="shared" si="105"/>
        <v>107821.84736072489</v>
      </c>
      <c r="H379" s="186">
        <f>-'Residential Rental'!$E$100/12</f>
        <v>898.0893756176489</v>
      </c>
      <c r="I379" s="149">
        <f>'Residential Rental'!$E$98/12*G378</f>
        <v>316.17763072471865</v>
      </c>
      <c r="J379" s="187">
        <f t="shared" si="106"/>
        <v>581.9117448929303</v>
      </c>
      <c r="K379" s="72">
        <f t="shared" si="110"/>
        <v>212</v>
      </c>
      <c r="L379" s="180">
        <f t="shared" si="107"/>
        <v>1202011.2426765198</v>
      </c>
      <c r="M379" s="181">
        <f t="shared" si="107"/>
        <v>10818.552968881977</v>
      </c>
      <c r="N379" s="180">
        <f t="shared" si="107"/>
        <v>4897.5463398909387</v>
      </c>
      <c r="O379" s="132">
        <f t="shared" si="102"/>
        <v>5921.0066289910383</v>
      </c>
    </row>
    <row r="380" spans="1:15" x14ac:dyDescent="0.25">
      <c r="A380" s="72">
        <f t="shared" si="108"/>
        <v>213</v>
      </c>
      <c r="B380" s="183">
        <f t="shared" si="103"/>
        <v>1088828.0542030132</v>
      </c>
      <c r="C380" s="184">
        <f>-'Residential Rental'!$E$95/12</f>
        <v>9920.4635932643287</v>
      </c>
      <c r="D380" s="183">
        <f>'Residential Rental'!$E$93/12*B379</f>
        <v>4559.1224804824787</v>
      </c>
      <c r="E380" s="185">
        <f t="shared" si="104"/>
        <v>5361.3411127818499</v>
      </c>
      <c r="F380" s="72">
        <f t="shared" si="109"/>
        <v>213</v>
      </c>
      <c r="G380" s="180">
        <f t="shared" si="105"/>
        <v>107238.23837324268</v>
      </c>
      <c r="H380" s="186">
        <f>-'Residential Rental'!$E$100/12</f>
        <v>898.0893756176489</v>
      </c>
      <c r="I380" s="149">
        <f>'Residential Rental'!$E$98/12*G379</f>
        <v>314.48038813544758</v>
      </c>
      <c r="J380" s="187">
        <f t="shared" si="106"/>
        <v>583.60898748220131</v>
      </c>
      <c r="K380" s="72">
        <f t="shared" si="110"/>
        <v>213</v>
      </c>
      <c r="L380" s="180">
        <f t="shared" si="107"/>
        <v>1196066.292576256</v>
      </c>
      <c r="M380" s="181">
        <f t="shared" si="107"/>
        <v>10818.552968881977</v>
      </c>
      <c r="N380" s="180">
        <f t="shared" si="107"/>
        <v>4873.6028686179261</v>
      </c>
      <c r="O380" s="132">
        <f t="shared" si="102"/>
        <v>5944.9501002640509</v>
      </c>
    </row>
    <row r="381" spans="1:15" x14ac:dyDescent="0.25">
      <c r="A381" s="72">
        <f t="shared" si="108"/>
        <v>214</v>
      </c>
      <c r="B381" s="183">
        <f t="shared" si="103"/>
        <v>1083444.374168928</v>
      </c>
      <c r="C381" s="184">
        <f>-'Residential Rental'!$E$95/12</f>
        <v>9920.4635932643287</v>
      </c>
      <c r="D381" s="183">
        <f>'Residential Rental'!$E$93/12*B380</f>
        <v>4536.7835591792218</v>
      </c>
      <c r="E381" s="185">
        <f t="shared" si="104"/>
        <v>5383.6800340851069</v>
      </c>
      <c r="F381" s="72">
        <f t="shared" si="109"/>
        <v>214</v>
      </c>
      <c r="G381" s="180">
        <f t="shared" si="105"/>
        <v>106652.92719288032</v>
      </c>
      <c r="H381" s="186">
        <f>-'Residential Rental'!$E$100/12</f>
        <v>898.0893756176489</v>
      </c>
      <c r="I381" s="149">
        <f>'Residential Rental'!$E$98/12*G380</f>
        <v>312.77819525529117</v>
      </c>
      <c r="J381" s="187">
        <f t="shared" si="106"/>
        <v>585.31118036235773</v>
      </c>
      <c r="K381" s="72">
        <f t="shared" si="110"/>
        <v>214</v>
      </c>
      <c r="L381" s="180">
        <f t="shared" si="107"/>
        <v>1190097.3013618083</v>
      </c>
      <c r="M381" s="181">
        <f t="shared" si="107"/>
        <v>10818.552968881977</v>
      </c>
      <c r="N381" s="180">
        <f t="shared" si="107"/>
        <v>4849.5617544345132</v>
      </c>
      <c r="O381" s="132">
        <f t="shared" si="102"/>
        <v>5968.9912144474647</v>
      </c>
    </row>
    <row r="382" spans="1:15" x14ac:dyDescent="0.25">
      <c r="A382" s="72">
        <f t="shared" si="108"/>
        <v>215</v>
      </c>
      <c r="B382" s="183">
        <f t="shared" si="103"/>
        <v>1078038.2621347008</v>
      </c>
      <c r="C382" s="184">
        <f>-'Residential Rental'!$E$95/12</f>
        <v>9920.4635932643287</v>
      </c>
      <c r="D382" s="183">
        <f>'Residential Rental'!$E$93/12*B381</f>
        <v>4514.3515590371999</v>
      </c>
      <c r="E382" s="185">
        <f t="shared" si="104"/>
        <v>5406.1120342271288</v>
      </c>
      <c r="F382" s="72">
        <f t="shared" si="109"/>
        <v>215</v>
      </c>
      <c r="G382" s="180">
        <f t="shared" si="105"/>
        <v>106065.90885490857</v>
      </c>
      <c r="H382" s="186">
        <f>-'Residential Rental'!$E$100/12</f>
        <v>898.0893756176489</v>
      </c>
      <c r="I382" s="149">
        <f>'Residential Rental'!$E$98/12*G381</f>
        <v>311.07103764590096</v>
      </c>
      <c r="J382" s="187">
        <f t="shared" si="106"/>
        <v>587.018337971748</v>
      </c>
      <c r="K382" s="72">
        <f t="shared" si="110"/>
        <v>215</v>
      </c>
      <c r="L382" s="180">
        <f t="shared" si="107"/>
        <v>1184104.1709896093</v>
      </c>
      <c r="M382" s="181">
        <f t="shared" si="107"/>
        <v>10818.552968881977</v>
      </c>
      <c r="N382" s="180">
        <f t="shared" si="107"/>
        <v>4825.4225966831009</v>
      </c>
      <c r="O382" s="132">
        <f t="shared" si="102"/>
        <v>5993.130372198877</v>
      </c>
    </row>
    <row r="383" spans="1:15" x14ac:dyDescent="0.25">
      <c r="A383" s="72">
        <f t="shared" si="108"/>
        <v>216</v>
      </c>
      <c r="B383" s="183">
        <f t="shared" si="103"/>
        <v>1072609.6246336643</v>
      </c>
      <c r="C383" s="184">
        <f>-'Residential Rental'!$E$95/12</f>
        <v>9920.4635932643287</v>
      </c>
      <c r="D383" s="183">
        <f>'Residential Rental'!$E$93/12*B382</f>
        <v>4491.8260922279196</v>
      </c>
      <c r="E383" s="185">
        <f t="shared" si="104"/>
        <v>5428.637501036409</v>
      </c>
      <c r="F383" s="72">
        <f t="shared" si="109"/>
        <v>216</v>
      </c>
      <c r="G383" s="180">
        <f t="shared" si="105"/>
        <v>105477.17838011774</v>
      </c>
      <c r="H383" s="186">
        <f>-'Residential Rental'!$E$100/12</f>
        <v>898.0893756176489</v>
      </c>
      <c r="I383" s="149">
        <f>'Residential Rental'!$E$98/12*G382</f>
        <v>309.35890082681669</v>
      </c>
      <c r="J383" s="187">
        <f t="shared" si="106"/>
        <v>588.7304747908322</v>
      </c>
      <c r="K383" s="72">
        <f t="shared" si="110"/>
        <v>216</v>
      </c>
      <c r="L383" s="180">
        <f t="shared" si="107"/>
        <v>1178086.803013782</v>
      </c>
      <c r="M383" s="181">
        <f t="shared" si="107"/>
        <v>10818.552968881977</v>
      </c>
      <c r="N383" s="180">
        <f t="shared" si="107"/>
        <v>4801.184993054736</v>
      </c>
      <c r="O383" s="132">
        <f t="shared" si="102"/>
        <v>6017.367975827241</v>
      </c>
    </row>
    <row r="384" spans="1:15" x14ac:dyDescent="0.25">
      <c r="A384" s="72">
        <f t="shared" si="108"/>
        <v>217</v>
      </c>
      <c r="B384" s="183">
        <f t="shared" si="103"/>
        <v>1067158.3678097068</v>
      </c>
      <c r="C384" s="184">
        <f>-'Residential Rental'!$E$95/12</f>
        <v>9920.4635932643287</v>
      </c>
      <c r="D384" s="183">
        <f>'Residential Rental'!$E$93/12*B383</f>
        <v>4469.2067693069348</v>
      </c>
      <c r="E384" s="185">
        <f t="shared" si="104"/>
        <v>5451.2568239573939</v>
      </c>
      <c r="F384" s="72">
        <f t="shared" si="109"/>
        <v>217</v>
      </c>
      <c r="G384" s="180">
        <f t="shared" si="105"/>
        <v>104886.73077477544</v>
      </c>
      <c r="H384" s="186">
        <f>-'Residential Rental'!$E$100/12</f>
        <v>898.0893756176489</v>
      </c>
      <c r="I384" s="149">
        <f>'Residential Rental'!$E$98/12*G383</f>
        <v>307.64177027534339</v>
      </c>
      <c r="J384" s="187">
        <f t="shared" si="106"/>
        <v>590.44760534230545</v>
      </c>
      <c r="K384" s="72">
        <f t="shared" si="110"/>
        <v>217</v>
      </c>
      <c r="L384" s="180">
        <f t="shared" si="107"/>
        <v>1172045.0985844822</v>
      </c>
      <c r="M384" s="181">
        <f t="shared" si="107"/>
        <v>10818.552968881977</v>
      </c>
      <c r="N384" s="180">
        <f t="shared" si="107"/>
        <v>4776.8485395822781</v>
      </c>
      <c r="O384" s="132">
        <f t="shared" si="102"/>
        <v>6041.7044292996998</v>
      </c>
    </row>
    <row r="385" spans="1:15" x14ac:dyDescent="0.25">
      <c r="A385" s="72">
        <f t="shared" si="108"/>
        <v>218</v>
      </c>
      <c r="B385" s="183">
        <f t="shared" si="103"/>
        <v>1061684.3974156496</v>
      </c>
      <c r="C385" s="184">
        <f>-'Residential Rental'!$E$95/12</f>
        <v>9920.4635932643287</v>
      </c>
      <c r="D385" s="183">
        <f>'Residential Rental'!$E$93/12*B384</f>
        <v>4446.4931992071115</v>
      </c>
      <c r="E385" s="185">
        <f t="shared" si="104"/>
        <v>5473.9703940572172</v>
      </c>
      <c r="F385" s="72">
        <f t="shared" si="109"/>
        <v>218</v>
      </c>
      <c r="G385" s="180">
        <f t="shared" si="105"/>
        <v>104294.56103058421</v>
      </c>
      <c r="H385" s="186">
        <f>-'Residential Rental'!$E$100/12</f>
        <v>898.0893756176489</v>
      </c>
      <c r="I385" s="149">
        <f>'Residential Rental'!$E$98/12*G384</f>
        <v>305.9196314264284</v>
      </c>
      <c r="J385" s="187">
        <f t="shared" si="106"/>
        <v>592.1697441912205</v>
      </c>
      <c r="K385" s="72">
        <f t="shared" si="110"/>
        <v>218</v>
      </c>
      <c r="L385" s="180">
        <f t="shared" si="107"/>
        <v>1165978.9584462338</v>
      </c>
      <c r="M385" s="181">
        <f t="shared" si="107"/>
        <v>10818.552968881977</v>
      </c>
      <c r="N385" s="180">
        <f t="shared" si="107"/>
        <v>4752.4128306335397</v>
      </c>
      <c r="O385" s="132">
        <f t="shared" si="102"/>
        <v>6066.1401382484373</v>
      </c>
    </row>
    <row r="386" spans="1:15" x14ac:dyDescent="0.25">
      <c r="A386" s="72">
        <f t="shared" si="108"/>
        <v>219</v>
      </c>
      <c r="B386" s="183">
        <f t="shared" si="103"/>
        <v>1056187.6188116171</v>
      </c>
      <c r="C386" s="184">
        <f>-'Residential Rental'!$E$95/12</f>
        <v>9920.4635932643287</v>
      </c>
      <c r="D386" s="183">
        <f>'Residential Rental'!$E$93/12*B385</f>
        <v>4423.6849892318733</v>
      </c>
      <c r="E386" s="185">
        <f t="shared" si="104"/>
        <v>5496.7786040324554</v>
      </c>
      <c r="F386" s="72">
        <f t="shared" si="109"/>
        <v>219</v>
      </c>
      <c r="G386" s="180">
        <f t="shared" si="105"/>
        <v>103700.66412463911</v>
      </c>
      <c r="H386" s="186">
        <f>-'Residential Rental'!$E$100/12</f>
        <v>898.0893756176489</v>
      </c>
      <c r="I386" s="149">
        <f>'Residential Rental'!$E$98/12*G385</f>
        <v>304.1924696725373</v>
      </c>
      <c r="J386" s="187">
        <f t="shared" si="106"/>
        <v>593.8969059451116</v>
      </c>
      <c r="K386" s="72">
        <f t="shared" si="110"/>
        <v>219</v>
      </c>
      <c r="L386" s="180">
        <f t="shared" si="107"/>
        <v>1159888.2829362561</v>
      </c>
      <c r="M386" s="181">
        <f t="shared" si="107"/>
        <v>10818.552968881977</v>
      </c>
      <c r="N386" s="180">
        <f t="shared" si="107"/>
        <v>4727.8774589044106</v>
      </c>
      <c r="O386" s="132">
        <f t="shared" si="102"/>
        <v>6090.6755099775673</v>
      </c>
    </row>
    <row r="387" spans="1:15" x14ac:dyDescent="0.25">
      <c r="A387" s="72">
        <f t="shared" si="108"/>
        <v>220</v>
      </c>
      <c r="B387" s="183">
        <f t="shared" si="103"/>
        <v>1050667.9369634013</v>
      </c>
      <c r="C387" s="184">
        <f>-'Residential Rental'!$E$95/12</f>
        <v>9920.4635932643287</v>
      </c>
      <c r="D387" s="183">
        <f>'Residential Rental'!$E$93/12*B386</f>
        <v>4400.7817450484044</v>
      </c>
      <c r="E387" s="185">
        <f t="shared" si="104"/>
        <v>5519.6818482159242</v>
      </c>
      <c r="F387" s="72">
        <f t="shared" si="109"/>
        <v>220</v>
      </c>
      <c r="G387" s="180">
        <f t="shared" si="105"/>
        <v>103105.03501938499</v>
      </c>
      <c r="H387" s="186">
        <f>-'Residential Rental'!$E$100/12</f>
        <v>898.0893756176489</v>
      </c>
      <c r="I387" s="149">
        <f>'Residential Rental'!$E$98/12*G386</f>
        <v>302.46027036353075</v>
      </c>
      <c r="J387" s="187">
        <f t="shared" si="106"/>
        <v>595.62910525411814</v>
      </c>
      <c r="K387" s="72">
        <f t="shared" si="110"/>
        <v>220</v>
      </c>
      <c r="L387" s="180">
        <f t="shared" si="107"/>
        <v>1153772.9719827862</v>
      </c>
      <c r="M387" s="181">
        <f t="shared" si="107"/>
        <v>10818.552968881977</v>
      </c>
      <c r="N387" s="180">
        <f t="shared" si="107"/>
        <v>4703.2420154119354</v>
      </c>
      <c r="O387" s="132">
        <f t="shared" si="102"/>
        <v>6115.3109534700425</v>
      </c>
    </row>
    <row r="388" spans="1:15" x14ac:dyDescent="0.25">
      <c r="A388" s="72">
        <f t="shared" si="108"/>
        <v>221</v>
      </c>
      <c r="B388" s="183">
        <f t="shared" si="103"/>
        <v>1045125.2564408177</v>
      </c>
      <c r="C388" s="184">
        <f>-'Residential Rental'!$E$95/12</f>
        <v>9920.4635932643287</v>
      </c>
      <c r="D388" s="183">
        <f>'Residential Rental'!$E$93/12*B387</f>
        <v>4377.7830706808381</v>
      </c>
      <c r="E388" s="185">
        <f t="shared" si="104"/>
        <v>5542.6805225834905</v>
      </c>
      <c r="F388" s="72">
        <f t="shared" si="109"/>
        <v>221</v>
      </c>
      <c r="G388" s="180">
        <f t="shared" si="105"/>
        <v>102507.66866257388</v>
      </c>
      <c r="H388" s="186">
        <f>-'Residential Rental'!$E$100/12</f>
        <v>898.0893756176489</v>
      </c>
      <c r="I388" s="149">
        <f>'Residential Rental'!$E$98/12*G387</f>
        <v>300.72301880653959</v>
      </c>
      <c r="J388" s="187">
        <f t="shared" si="106"/>
        <v>597.36635681110931</v>
      </c>
      <c r="K388" s="72">
        <f t="shared" si="110"/>
        <v>221</v>
      </c>
      <c r="L388" s="180">
        <f t="shared" si="107"/>
        <v>1147632.9251033915</v>
      </c>
      <c r="M388" s="181">
        <f t="shared" si="107"/>
        <v>10818.552968881977</v>
      </c>
      <c r="N388" s="180">
        <f t="shared" si="107"/>
        <v>4678.5060894873777</v>
      </c>
      <c r="O388" s="132">
        <f t="shared" si="102"/>
        <v>6140.0468793946002</v>
      </c>
    </row>
    <row r="389" spans="1:15" x14ac:dyDescent="0.25">
      <c r="A389" s="72">
        <f t="shared" si="108"/>
        <v>222</v>
      </c>
      <c r="B389" s="183">
        <f t="shared" si="103"/>
        <v>1039559.4814160569</v>
      </c>
      <c r="C389" s="184">
        <f>-'Residential Rental'!$E$95/12</f>
        <v>9920.4635932643287</v>
      </c>
      <c r="D389" s="183">
        <f>'Residential Rental'!$E$93/12*B388</f>
        <v>4354.6885685034067</v>
      </c>
      <c r="E389" s="185">
        <f t="shared" si="104"/>
        <v>5565.775024760922</v>
      </c>
      <c r="F389" s="72">
        <f t="shared" si="109"/>
        <v>222</v>
      </c>
      <c r="G389" s="180">
        <f t="shared" si="105"/>
        <v>101908.55998722208</v>
      </c>
      <c r="H389" s="186">
        <f>-'Residential Rental'!$E$100/12</f>
        <v>898.0893756176489</v>
      </c>
      <c r="I389" s="149">
        <f>'Residential Rental'!$E$98/12*G388</f>
        <v>298.98070026584048</v>
      </c>
      <c r="J389" s="187">
        <f t="shared" si="106"/>
        <v>599.10867535180842</v>
      </c>
      <c r="K389" s="72">
        <f t="shared" si="110"/>
        <v>222</v>
      </c>
      <c r="L389" s="180">
        <f t="shared" si="107"/>
        <v>1141468.0414032789</v>
      </c>
      <c r="M389" s="181">
        <f t="shared" si="107"/>
        <v>10818.552968881977</v>
      </c>
      <c r="N389" s="180">
        <f t="shared" si="107"/>
        <v>4653.6692687692475</v>
      </c>
      <c r="O389" s="132">
        <f t="shared" si="102"/>
        <v>6164.8837001127304</v>
      </c>
    </row>
    <row r="390" spans="1:15" x14ac:dyDescent="0.25">
      <c r="A390" s="72">
        <f t="shared" si="108"/>
        <v>223</v>
      </c>
      <c r="B390" s="183">
        <f t="shared" si="103"/>
        <v>1033970.5156620261</v>
      </c>
      <c r="C390" s="184">
        <f>-'Residential Rental'!$E$95/12</f>
        <v>9920.4635932643287</v>
      </c>
      <c r="D390" s="183">
        <f>'Residential Rental'!$E$93/12*B389</f>
        <v>4331.4978392335706</v>
      </c>
      <c r="E390" s="185">
        <f t="shared" si="104"/>
        <v>5588.965754030758</v>
      </c>
      <c r="F390" s="72">
        <f t="shared" si="109"/>
        <v>223</v>
      </c>
      <c r="G390" s="180">
        <f t="shared" si="105"/>
        <v>101307.70391156717</v>
      </c>
      <c r="H390" s="186">
        <f>-'Residential Rental'!$E$100/12</f>
        <v>898.0893756176489</v>
      </c>
      <c r="I390" s="149">
        <f>'Residential Rental'!$E$98/12*G389</f>
        <v>297.23329996273105</v>
      </c>
      <c r="J390" s="187">
        <f t="shared" si="106"/>
        <v>600.85607565491784</v>
      </c>
      <c r="K390" s="72">
        <f t="shared" si="110"/>
        <v>223</v>
      </c>
      <c r="L390" s="180">
        <f t="shared" si="107"/>
        <v>1135278.2195735932</v>
      </c>
      <c r="M390" s="181">
        <f t="shared" si="107"/>
        <v>10818.552968881977</v>
      </c>
      <c r="N390" s="180">
        <f t="shared" si="107"/>
        <v>4628.7311391963012</v>
      </c>
      <c r="O390" s="132">
        <f t="shared" si="102"/>
        <v>6189.8218296856758</v>
      </c>
    </row>
    <row r="391" spans="1:15" x14ac:dyDescent="0.25">
      <c r="A391" s="72">
        <f t="shared" si="108"/>
        <v>224</v>
      </c>
      <c r="B391" s="183">
        <f t="shared" si="103"/>
        <v>1028358.262550687</v>
      </c>
      <c r="C391" s="184">
        <f>-'Residential Rental'!$E$95/12</f>
        <v>9920.4635932643287</v>
      </c>
      <c r="D391" s="183">
        <f>'Residential Rental'!$E$93/12*B390</f>
        <v>4308.210481925109</v>
      </c>
      <c r="E391" s="185">
        <f t="shared" si="104"/>
        <v>5612.2531113392197</v>
      </c>
      <c r="F391" s="72">
        <f t="shared" si="109"/>
        <v>224</v>
      </c>
      <c r="G391" s="180">
        <f t="shared" si="105"/>
        <v>100705.09533902492</v>
      </c>
      <c r="H391" s="186">
        <f>-'Residential Rental'!$E$100/12</f>
        <v>898.0893756176489</v>
      </c>
      <c r="I391" s="149">
        <f>'Residential Rental'!$E$98/12*G390</f>
        <v>295.48080307540425</v>
      </c>
      <c r="J391" s="187">
        <f t="shared" si="106"/>
        <v>602.6085725422447</v>
      </c>
      <c r="K391" s="72">
        <f t="shared" si="110"/>
        <v>224</v>
      </c>
      <c r="L391" s="180">
        <f t="shared" si="107"/>
        <v>1129063.3578897119</v>
      </c>
      <c r="M391" s="181">
        <f t="shared" si="107"/>
        <v>10818.552968881977</v>
      </c>
      <c r="N391" s="180">
        <f t="shared" si="107"/>
        <v>4603.6912850005128</v>
      </c>
      <c r="O391" s="132">
        <f t="shared" si="102"/>
        <v>6214.8616838814642</v>
      </c>
    </row>
    <row r="392" spans="1:15" x14ac:dyDescent="0.25">
      <c r="A392" s="72">
        <f t="shared" si="108"/>
        <v>225</v>
      </c>
      <c r="B392" s="183">
        <f t="shared" si="103"/>
        <v>1022722.6250513839</v>
      </c>
      <c r="C392" s="184">
        <f>-'Residential Rental'!$E$95/12</f>
        <v>9920.4635932643287</v>
      </c>
      <c r="D392" s="183">
        <f>'Residential Rental'!$E$93/12*B391</f>
        <v>4284.8260939611955</v>
      </c>
      <c r="E392" s="185">
        <f t="shared" si="104"/>
        <v>5635.6374993031332</v>
      </c>
      <c r="F392" s="72">
        <f t="shared" si="109"/>
        <v>225</v>
      </c>
      <c r="G392" s="180">
        <f t="shared" si="105"/>
        <v>100100.72915814609</v>
      </c>
      <c r="H392" s="186">
        <f>-'Residential Rental'!$E$100/12</f>
        <v>898.0893756176489</v>
      </c>
      <c r="I392" s="149">
        <f>'Residential Rental'!$E$98/12*G391</f>
        <v>293.72319473882271</v>
      </c>
      <c r="J392" s="187">
        <f t="shared" si="106"/>
        <v>604.36618087882619</v>
      </c>
      <c r="K392" s="72">
        <f t="shared" si="110"/>
        <v>225</v>
      </c>
      <c r="L392" s="180">
        <f t="shared" si="107"/>
        <v>1122823.3542095299</v>
      </c>
      <c r="M392" s="181">
        <f t="shared" si="107"/>
        <v>10818.552968881977</v>
      </c>
      <c r="N392" s="180">
        <f t="shared" si="107"/>
        <v>4578.5492887000182</v>
      </c>
      <c r="O392" s="132">
        <f t="shared" si="102"/>
        <v>6240.0036801819597</v>
      </c>
    </row>
    <row r="393" spans="1:15" x14ac:dyDescent="0.25">
      <c r="A393" s="72">
        <f t="shared" si="108"/>
        <v>226</v>
      </c>
      <c r="B393" s="183">
        <f t="shared" si="103"/>
        <v>1017063.5057291669</v>
      </c>
      <c r="C393" s="184">
        <f>-'Residential Rental'!$E$95/12</f>
        <v>9920.4635932643287</v>
      </c>
      <c r="D393" s="183">
        <f>'Residential Rental'!$E$93/12*B392</f>
        <v>4261.3442710474328</v>
      </c>
      <c r="E393" s="185">
        <f t="shared" si="104"/>
        <v>5659.1193222168959</v>
      </c>
      <c r="F393" s="72">
        <f t="shared" si="109"/>
        <v>226</v>
      </c>
      <c r="G393" s="180">
        <f t="shared" si="105"/>
        <v>99494.600242573026</v>
      </c>
      <c r="H393" s="186">
        <f>-'Residential Rental'!$E$100/12</f>
        <v>898.0893756176489</v>
      </c>
      <c r="I393" s="149">
        <f>'Residential Rental'!$E$98/12*G392</f>
        <v>291.96046004459276</v>
      </c>
      <c r="J393" s="187">
        <f t="shared" si="106"/>
        <v>606.12891557305613</v>
      </c>
      <c r="K393" s="72">
        <f t="shared" si="110"/>
        <v>226</v>
      </c>
      <c r="L393" s="180">
        <f t="shared" si="107"/>
        <v>1116558.1059717399</v>
      </c>
      <c r="M393" s="181">
        <f t="shared" si="107"/>
        <v>10818.552968881977</v>
      </c>
      <c r="N393" s="180">
        <f t="shared" si="107"/>
        <v>4553.3047310920256</v>
      </c>
      <c r="O393" s="132">
        <f t="shared" si="102"/>
        <v>6265.2482377899523</v>
      </c>
    </row>
    <row r="394" spans="1:15" x14ac:dyDescent="0.25">
      <c r="A394" s="72">
        <f t="shared" si="108"/>
        <v>227</v>
      </c>
      <c r="B394" s="183">
        <f t="shared" si="103"/>
        <v>1011380.8067431074</v>
      </c>
      <c r="C394" s="184">
        <f>-'Residential Rental'!$E$95/12</f>
        <v>9920.4635932643287</v>
      </c>
      <c r="D394" s="183">
        <f>'Residential Rental'!$E$93/12*B393</f>
        <v>4237.7646072048619</v>
      </c>
      <c r="E394" s="185">
        <f t="shared" si="104"/>
        <v>5682.6989860594667</v>
      </c>
      <c r="F394" s="72">
        <f t="shared" si="109"/>
        <v>227</v>
      </c>
      <c r="G394" s="180">
        <f t="shared" si="105"/>
        <v>98886.70345099621</v>
      </c>
      <c r="H394" s="186">
        <f>-'Residential Rental'!$E$100/12</f>
        <v>898.0893756176489</v>
      </c>
      <c r="I394" s="149">
        <f>'Residential Rental'!$E$98/12*G393</f>
        <v>290.19258404083803</v>
      </c>
      <c r="J394" s="187">
        <f t="shared" si="106"/>
        <v>607.89679157681087</v>
      </c>
      <c r="K394" s="72">
        <f t="shared" si="110"/>
        <v>227</v>
      </c>
      <c r="L394" s="180">
        <f t="shared" si="107"/>
        <v>1110267.5101941037</v>
      </c>
      <c r="M394" s="181">
        <f t="shared" si="107"/>
        <v>10818.552968881977</v>
      </c>
      <c r="N394" s="180">
        <f t="shared" si="107"/>
        <v>4527.9571912456995</v>
      </c>
      <c r="O394" s="132">
        <f t="shared" si="102"/>
        <v>6290.5957776362775</v>
      </c>
    </row>
    <row r="395" spans="1:15" x14ac:dyDescent="0.25">
      <c r="A395" s="72">
        <f t="shared" si="108"/>
        <v>228</v>
      </c>
      <c r="B395" s="183">
        <f t="shared" si="103"/>
        <v>1005674.429844606</v>
      </c>
      <c r="C395" s="184">
        <f>-'Residential Rental'!$E$95/12</f>
        <v>9920.4635932643287</v>
      </c>
      <c r="D395" s="183">
        <f>'Residential Rental'!$E$93/12*B394</f>
        <v>4214.0866947629474</v>
      </c>
      <c r="E395" s="185">
        <f t="shared" si="104"/>
        <v>5706.3768985013812</v>
      </c>
      <c r="F395" s="72">
        <f t="shared" si="109"/>
        <v>228</v>
      </c>
      <c r="G395" s="180">
        <f t="shared" si="105"/>
        <v>98277.033627110635</v>
      </c>
      <c r="H395" s="186">
        <f>-'Residential Rental'!$E$100/12</f>
        <v>898.0893756176489</v>
      </c>
      <c r="I395" s="149">
        <f>'Residential Rental'!$E$98/12*G394</f>
        <v>288.41955173207231</v>
      </c>
      <c r="J395" s="187">
        <f t="shared" si="106"/>
        <v>609.66982388557653</v>
      </c>
      <c r="K395" s="72">
        <f t="shared" si="110"/>
        <v>228</v>
      </c>
      <c r="L395" s="180">
        <f t="shared" si="107"/>
        <v>1103951.4634717165</v>
      </c>
      <c r="M395" s="181">
        <f t="shared" si="107"/>
        <v>10818.552968881977</v>
      </c>
      <c r="N395" s="180">
        <f t="shared" si="107"/>
        <v>4502.5062464950197</v>
      </c>
      <c r="O395" s="132">
        <f t="shared" si="102"/>
        <v>6316.0467223869582</v>
      </c>
    </row>
    <row r="396" spans="1:15" x14ac:dyDescent="0.25">
      <c r="A396" s="72">
        <f t="shared" si="108"/>
        <v>229</v>
      </c>
      <c r="B396" s="183">
        <f t="shared" si="103"/>
        <v>999944.2763756942</v>
      </c>
      <c r="C396" s="184">
        <f>-'Residential Rental'!$E$95/12</f>
        <v>9920.4635932643287</v>
      </c>
      <c r="D396" s="183">
        <f>'Residential Rental'!$E$93/12*B395</f>
        <v>4190.3101243525252</v>
      </c>
      <c r="E396" s="185">
        <f t="shared" si="104"/>
        <v>5730.1534689118034</v>
      </c>
      <c r="F396" s="72">
        <f t="shared" si="109"/>
        <v>229</v>
      </c>
      <c r="G396" s="180">
        <f t="shared" si="105"/>
        <v>97665.585599572063</v>
      </c>
      <c r="H396" s="186">
        <f>-'Residential Rental'!$E$100/12</f>
        <v>898.0893756176489</v>
      </c>
      <c r="I396" s="149">
        <f>'Residential Rental'!$E$98/12*G395</f>
        <v>286.64134807907271</v>
      </c>
      <c r="J396" s="187">
        <f t="shared" si="106"/>
        <v>611.44802753857618</v>
      </c>
      <c r="K396" s="72">
        <f t="shared" si="110"/>
        <v>229</v>
      </c>
      <c r="L396" s="180">
        <f t="shared" si="107"/>
        <v>1097609.8619752664</v>
      </c>
      <c r="M396" s="181">
        <f t="shared" si="107"/>
        <v>10818.552968881977</v>
      </c>
      <c r="N396" s="180">
        <f t="shared" si="107"/>
        <v>4476.9514724315977</v>
      </c>
      <c r="O396" s="132">
        <f t="shared" si="102"/>
        <v>6341.6014964503793</v>
      </c>
    </row>
    <row r="397" spans="1:15" x14ac:dyDescent="0.25">
      <c r="A397" s="72">
        <f t="shared" si="108"/>
        <v>230</v>
      </c>
      <c r="B397" s="183">
        <f t="shared" si="103"/>
        <v>994190.24726732855</v>
      </c>
      <c r="C397" s="184">
        <f>-'Residential Rental'!$E$95/12</f>
        <v>9920.4635932643287</v>
      </c>
      <c r="D397" s="183">
        <f>'Residential Rental'!$E$93/12*B396</f>
        <v>4166.4344848987257</v>
      </c>
      <c r="E397" s="185">
        <f t="shared" si="104"/>
        <v>5754.029108365603</v>
      </c>
      <c r="F397" s="72">
        <f t="shared" si="109"/>
        <v>230</v>
      </c>
      <c r="G397" s="180">
        <f t="shared" si="105"/>
        <v>97052.354181953167</v>
      </c>
      <c r="H397" s="186">
        <f>-'Residential Rental'!$E$100/12</f>
        <v>898.0893756176489</v>
      </c>
      <c r="I397" s="149">
        <f>'Residential Rental'!$E$98/12*G396</f>
        <v>284.85795799875189</v>
      </c>
      <c r="J397" s="187">
        <f t="shared" si="106"/>
        <v>613.23141761889701</v>
      </c>
      <c r="K397" s="72">
        <f t="shared" si="110"/>
        <v>230</v>
      </c>
      <c r="L397" s="180">
        <f t="shared" si="107"/>
        <v>1091242.6014492817</v>
      </c>
      <c r="M397" s="181">
        <f t="shared" si="107"/>
        <v>10818.552968881977</v>
      </c>
      <c r="N397" s="180">
        <f t="shared" si="107"/>
        <v>4451.2924428974775</v>
      </c>
      <c r="O397" s="132">
        <f t="shared" si="102"/>
        <v>6367.2605259845004</v>
      </c>
    </row>
    <row r="398" spans="1:15" x14ac:dyDescent="0.25">
      <c r="A398" s="72">
        <f t="shared" si="108"/>
        <v>231</v>
      </c>
      <c r="B398" s="183">
        <f t="shared" si="103"/>
        <v>988412.24303767807</v>
      </c>
      <c r="C398" s="184">
        <f>-'Residential Rental'!$E$95/12</f>
        <v>9920.4635932643287</v>
      </c>
      <c r="D398" s="183">
        <f>'Residential Rental'!$E$93/12*B397</f>
        <v>4142.4593636138688</v>
      </c>
      <c r="E398" s="185">
        <f t="shared" si="104"/>
        <v>5778.0042296504598</v>
      </c>
      <c r="F398" s="72">
        <f t="shared" si="109"/>
        <v>231</v>
      </c>
      <c r="G398" s="180">
        <f t="shared" si="105"/>
        <v>96437.334172699542</v>
      </c>
      <c r="H398" s="186">
        <f>-'Residential Rental'!$E$100/12</f>
        <v>898.0893756176489</v>
      </c>
      <c r="I398" s="149">
        <f>'Residential Rental'!$E$98/12*G397</f>
        <v>283.06936636403009</v>
      </c>
      <c r="J398" s="187">
        <f t="shared" si="106"/>
        <v>615.02000925361881</v>
      </c>
      <c r="K398" s="72">
        <f t="shared" si="110"/>
        <v>231</v>
      </c>
      <c r="L398" s="180">
        <f t="shared" si="107"/>
        <v>1084849.5772103777</v>
      </c>
      <c r="M398" s="181">
        <f t="shared" si="107"/>
        <v>10818.552968881977</v>
      </c>
      <c r="N398" s="180">
        <f t="shared" si="107"/>
        <v>4425.5287299778993</v>
      </c>
      <c r="O398" s="132">
        <f t="shared" si="102"/>
        <v>6393.0242389040786</v>
      </c>
    </row>
    <row r="399" spans="1:15" x14ac:dyDescent="0.25">
      <c r="A399" s="72">
        <f t="shared" si="108"/>
        <v>232</v>
      </c>
      <c r="B399" s="183">
        <f t="shared" si="103"/>
        <v>982610.1637904041</v>
      </c>
      <c r="C399" s="184">
        <f>-'Residential Rental'!$E$95/12</f>
        <v>9920.4635932643287</v>
      </c>
      <c r="D399" s="183">
        <f>'Residential Rental'!$E$93/12*B398</f>
        <v>4118.3843459903255</v>
      </c>
      <c r="E399" s="185">
        <f t="shared" si="104"/>
        <v>5802.0792472740031</v>
      </c>
      <c r="F399" s="72">
        <f t="shared" si="109"/>
        <v>232</v>
      </c>
      <c r="G399" s="180">
        <f t="shared" si="105"/>
        <v>95820.520355085595</v>
      </c>
      <c r="H399" s="186">
        <f>-'Residential Rental'!$E$100/12</f>
        <v>898.0893756176489</v>
      </c>
      <c r="I399" s="149">
        <f>'Residential Rental'!$E$98/12*G398</f>
        <v>281.27555800370703</v>
      </c>
      <c r="J399" s="187">
        <f t="shared" si="106"/>
        <v>616.81381761394186</v>
      </c>
      <c r="K399" s="72">
        <f t="shared" si="110"/>
        <v>232</v>
      </c>
      <c r="L399" s="180">
        <f t="shared" si="107"/>
        <v>1078430.6841454897</v>
      </c>
      <c r="M399" s="181">
        <f t="shared" si="107"/>
        <v>10818.552968881977</v>
      </c>
      <c r="N399" s="180">
        <f t="shared" si="107"/>
        <v>4399.6599039940329</v>
      </c>
      <c r="O399" s="132">
        <f t="shared" si="102"/>
        <v>6418.893064887945</v>
      </c>
    </row>
    <row r="400" spans="1:15" x14ac:dyDescent="0.25">
      <c r="A400" s="72">
        <f t="shared" si="108"/>
        <v>233</v>
      </c>
      <c r="B400" s="183">
        <f t="shared" si="103"/>
        <v>976783.90921293315</v>
      </c>
      <c r="C400" s="184">
        <f>-'Residential Rental'!$E$95/12</f>
        <v>9920.4635932643287</v>
      </c>
      <c r="D400" s="183">
        <f>'Residential Rental'!$E$93/12*B399</f>
        <v>4094.2090157933503</v>
      </c>
      <c r="E400" s="185">
        <f t="shared" si="104"/>
        <v>5826.2545774709779</v>
      </c>
      <c r="F400" s="72">
        <f t="shared" si="109"/>
        <v>233</v>
      </c>
      <c r="G400" s="180">
        <f t="shared" si="105"/>
        <v>95201.907497170279</v>
      </c>
      <c r="H400" s="186">
        <f>-'Residential Rental'!$E$100/12</f>
        <v>898.0893756176489</v>
      </c>
      <c r="I400" s="149">
        <f>'Residential Rental'!$E$98/12*G399</f>
        <v>279.47651770233301</v>
      </c>
      <c r="J400" s="187">
        <f t="shared" si="106"/>
        <v>618.61285791531589</v>
      </c>
      <c r="K400" s="72">
        <f t="shared" si="110"/>
        <v>233</v>
      </c>
      <c r="L400" s="180">
        <f t="shared" si="107"/>
        <v>1071985.8167101035</v>
      </c>
      <c r="M400" s="181">
        <f t="shared" si="107"/>
        <v>10818.552968881977</v>
      </c>
      <c r="N400" s="180">
        <f t="shared" si="107"/>
        <v>4373.6855334956836</v>
      </c>
      <c r="O400" s="132">
        <f t="shared" si="102"/>
        <v>6444.8674353862934</v>
      </c>
    </row>
    <row r="401" spans="1:15" x14ac:dyDescent="0.25">
      <c r="A401" s="72">
        <f t="shared" si="108"/>
        <v>234</v>
      </c>
      <c r="B401" s="183">
        <f t="shared" si="103"/>
        <v>970933.37857472268</v>
      </c>
      <c r="C401" s="184">
        <f>-'Residential Rental'!$E$95/12</f>
        <v>9920.4635932643287</v>
      </c>
      <c r="D401" s="183">
        <f>'Residential Rental'!$E$93/12*B400</f>
        <v>4069.9329550538882</v>
      </c>
      <c r="E401" s="185">
        <f t="shared" si="104"/>
        <v>5850.5306382104409</v>
      </c>
      <c r="F401" s="72">
        <f t="shared" si="109"/>
        <v>234</v>
      </c>
      <c r="G401" s="180">
        <f t="shared" si="105"/>
        <v>94581.490351752713</v>
      </c>
      <c r="H401" s="186">
        <f>-'Residential Rental'!$E$100/12</f>
        <v>898.0893756176489</v>
      </c>
      <c r="I401" s="149">
        <f>'Residential Rental'!$E$98/12*G400</f>
        <v>277.67223020007998</v>
      </c>
      <c r="J401" s="187">
        <f t="shared" si="106"/>
        <v>620.41714541756892</v>
      </c>
      <c r="K401" s="72">
        <f t="shared" si="110"/>
        <v>234</v>
      </c>
      <c r="L401" s="180">
        <f t="shared" si="107"/>
        <v>1065514.8689264753</v>
      </c>
      <c r="M401" s="181">
        <f t="shared" si="107"/>
        <v>10818.552968881977</v>
      </c>
      <c r="N401" s="180">
        <f t="shared" si="107"/>
        <v>4347.6051852539686</v>
      </c>
      <c r="O401" s="132">
        <f t="shared" si="102"/>
        <v>6470.9477836280093</v>
      </c>
    </row>
    <row r="402" spans="1:15" x14ac:dyDescent="0.25">
      <c r="A402" s="72">
        <f t="shared" si="108"/>
        <v>235</v>
      </c>
      <c r="B402" s="183">
        <f t="shared" si="103"/>
        <v>965058.4707255197</v>
      </c>
      <c r="C402" s="184">
        <f>-'Residential Rental'!$E$95/12</f>
        <v>9920.4635932643287</v>
      </c>
      <c r="D402" s="183">
        <f>'Residential Rental'!$E$93/12*B401</f>
        <v>4045.5557440613443</v>
      </c>
      <c r="E402" s="185">
        <f t="shared" si="104"/>
        <v>5874.9078492029839</v>
      </c>
      <c r="F402" s="72">
        <f t="shared" si="109"/>
        <v>235</v>
      </c>
      <c r="G402" s="180">
        <f t="shared" si="105"/>
        <v>93959.263656327676</v>
      </c>
      <c r="H402" s="186">
        <f>-'Residential Rental'!$E$100/12</f>
        <v>898.0893756176489</v>
      </c>
      <c r="I402" s="149">
        <f>'Residential Rental'!$E$98/12*G401</f>
        <v>275.86268019261212</v>
      </c>
      <c r="J402" s="187">
        <f t="shared" si="106"/>
        <v>622.22669542503672</v>
      </c>
      <c r="K402" s="72">
        <f t="shared" si="110"/>
        <v>235</v>
      </c>
      <c r="L402" s="180">
        <f t="shared" si="107"/>
        <v>1059017.7343818473</v>
      </c>
      <c r="M402" s="181">
        <f t="shared" si="107"/>
        <v>10818.552968881977</v>
      </c>
      <c r="N402" s="180">
        <f t="shared" si="107"/>
        <v>4321.4184242539568</v>
      </c>
      <c r="O402" s="132">
        <f t="shared" si="102"/>
        <v>6497.1345446280211</v>
      </c>
    </row>
    <row r="403" spans="1:15" x14ac:dyDescent="0.25">
      <c r="A403" s="72">
        <f t="shared" si="108"/>
        <v>236</v>
      </c>
      <c r="B403" s="183">
        <f t="shared" si="103"/>
        <v>959159.08409361169</v>
      </c>
      <c r="C403" s="184">
        <f>-'Residential Rental'!$E$95/12</f>
        <v>9920.4635932643287</v>
      </c>
      <c r="D403" s="183">
        <f>'Residential Rental'!$E$93/12*B402</f>
        <v>4021.076961356332</v>
      </c>
      <c r="E403" s="185">
        <f t="shared" si="104"/>
        <v>5899.3866319079971</v>
      </c>
      <c r="F403" s="72">
        <f t="shared" si="109"/>
        <v>236</v>
      </c>
      <c r="G403" s="180">
        <f t="shared" si="105"/>
        <v>93335.222133040981</v>
      </c>
      <c r="H403" s="186">
        <f>-'Residential Rental'!$E$100/12</f>
        <v>898.0893756176489</v>
      </c>
      <c r="I403" s="149">
        <f>'Residential Rental'!$E$98/12*G402</f>
        <v>274.04785233095572</v>
      </c>
      <c r="J403" s="187">
        <f t="shared" si="106"/>
        <v>624.04152328669318</v>
      </c>
      <c r="K403" s="72">
        <f t="shared" si="110"/>
        <v>236</v>
      </c>
      <c r="L403" s="180">
        <f t="shared" si="107"/>
        <v>1052494.3062266526</v>
      </c>
      <c r="M403" s="181">
        <f t="shared" si="107"/>
        <v>10818.552968881977</v>
      </c>
      <c r="N403" s="180">
        <f t="shared" si="107"/>
        <v>4295.1248136872873</v>
      </c>
      <c r="O403" s="132">
        <f t="shared" si="102"/>
        <v>6523.4281551946906</v>
      </c>
    </row>
    <row r="404" spans="1:15" x14ac:dyDescent="0.25">
      <c r="A404" s="72">
        <f t="shared" si="108"/>
        <v>237</v>
      </c>
      <c r="B404" s="183">
        <f t="shared" si="103"/>
        <v>953235.11668407079</v>
      </c>
      <c r="C404" s="184">
        <f>-'Residential Rental'!$E$95/12</f>
        <v>9920.4635932643287</v>
      </c>
      <c r="D404" s="183">
        <f>'Residential Rental'!$E$93/12*B403</f>
        <v>3996.4961837233818</v>
      </c>
      <c r="E404" s="185">
        <f t="shared" si="104"/>
        <v>5923.9674095409464</v>
      </c>
      <c r="F404" s="72">
        <f t="shared" si="109"/>
        <v>237</v>
      </c>
      <c r="G404" s="180">
        <f t="shared" si="105"/>
        <v>92709.360488644699</v>
      </c>
      <c r="H404" s="186">
        <f>-'Residential Rental'!$E$100/12</f>
        <v>898.0893756176489</v>
      </c>
      <c r="I404" s="149">
        <f>'Residential Rental'!$E$98/12*G403</f>
        <v>272.22773122136954</v>
      </c>
      <c r="J404" s="187">
        <f t="shared" si="106"/>
        <v>625.86164439627942</v>
      </c>
      <c r="K404" s="72">
        <f t="shared" si="110"/>
        <v>237</v>
      </c>
      <c r="L404" s="180">
        <f t="shared" si="107"/>
        <v>1045944.4771727155</v>
      </c>
      <c r="M404" s="181">
        <f t="shared" si="107"/>
        <v>10818.552968881977</v>
      </c>
      <c r="N404" s="180">
        <f t="shared" si="107"/>
        <v>4268.7239149447514</v>
      </c>
      <c r="O404" s="132">
        <f t="shared" si="102"/>
        <v>6549.8290539372256</v>
      </c>
    </row>
    <row r="405" spans="1:15" x14ac:dyDescent="0.25">
      <c r="A405" s="72">
        <f t="shared" si="108"/>
        <v>238</v>
      </c>
      <c r="B405" s="183">
        <f t="shared" si="103"/>
        <v>947286.46607699012</v>
      </c>
      <c r="C405" s="184">
        <f>-'Residential Rental'!$E$95/12</f>
        <v>9920.4635932643287</v>
      </c>
      <c r="D405" s="183">
        <f>'Residential Rental'!$E$93/12*B404</f>
        <v>3971.8129861836283</v>
      </c>
      <c r="E405" s="185">
        <f t="shared" si="104"/>
        <v>5948.6506070807009</v>
      </c>
      <c r="F405" s="72">
        <f t="shared" si="109"/>
        <v>238</v>
      </c>
      <c r="G405" s="180">
        <f t="shared" si="105"/>
        <v>92081.673414452263</v>
      </c>
      <c r="H405" s="186">
        <f>-'Residential Rental'!$E$100/12</f>
        <v>898.0893756176489</v>
      </c>
      <c r="I405" s="149">
        <f>'Residential Rental'!$E$98/12*G404</f>
        <v>270.40230142521369</v>
      </c>
      <c r="J405" s="187">
        <f t="shared" si="106"/>
        <v>627.68707419243515</v>
      </c>
      <c r="K405" s="72">
        <f t="shared" si="110"/>
        <v>238</v>
      </c>
      <c r="L405" s="180">
        <f t="shared" si="107"/>
        <v>1039368.1394914424</v>
      </c>
      <c r="M405" s="181">
        <f t="shared" si="107"/>
        <v>10818.552968881977</v>
      </c>
      <c r="N405" s="180">
        <f t="shared" si="107"/>
        <v>4242.2152876088421</v>
      </c>
      <c r="O405" s="132">
        <f t="shared" si="102"/>
        <v>6576.3376812731358</v>
      </c>
    </row>
    <row r="406" spans="1:15" x14ac:dyDescent="0.25">
      <c r="A406" s="72">
        <f t="shared" si="108"/>
        <v>239</v>
      </c>
      <c r="B406" s="183">
        <f t="shared" si="103"/>
        <v>941313.02942571323</v>
      </c>
      <c r="C406" s="184">
        <f>-'Residential Rental'!$E$95/12</f>
        <v>9920.4635932643287</v>
      </c>
      <c r="D406" s="183">
        <f>'Residential Rental'!$E$93/12*B405</f>
        <v>3947.0269419874589</v>
      </c>
      <c r="E406" s="185">
        <f t="shared" si="104"/>
        <v>5973.4366512768702</v>
      </c>
      <c r="F406" s="72">
        <f t="shared" si="109"/>
        <v>239</v>
      </c>
      <c r="G406" s="180">
        <f t="shared" si="105"/>
        <v>91452.155586293433</v>
      </c>
      <c r="H406" s="186">
        <f>-'Residential Rental'!$E$100/12</f>
        <v>898.0893756176489</v>
      </c>
      <c r="I406" s="149">
        <f>'Residential Rental'!$E$98/12*G405</f>
        <v>268.57154745881911</v>
      </c>
      <c r="J406" s="187">
        <f t="shared" si="106"/>
        <v>629.51782815882984</v>
      </c>
      <c r="K406" s="72">
        <f t="shared" si="110"/>
        <v>239</v>
      </c>
      <c r="L406" s="180">
        <f t="shared" si="107"/>
        <v>1032765.1850120067</v>
      </c>
      <c r="M406" s="181">
        <f t="shared" si="107"/>
        <v>10818.552968881977</v>
      </c>
      <c r="N406" s="180">
        <f t="shared" si="107"/>
        <v>4215.5984894462781</v>
      </c>
      <c r="O406" s="132">
        <f t="shared" si="102"/>
        <v>6602.9544794356998</v>
      </c>
    </row>
    <row r="407" spans="1:15" x14ac:dyDescent="0.25">
      <c r="A407" s="72">
        <f t="shared" si="108"/>
        <v>240</v>
      </c>
      <c r="B407" s="183">
        <f t="shared" si="103"/>
        <v>935314.70345505606</v>
      </c>
      <c r="C407" s="184">
        <f>-'Residential Rental'!$E$95/12</f>
        <v>9920.4635932643287</v>
      </c>
      <c r="D407" s="183">
        <f>'Residential Rental'!$E$93/12*B406</f>
        <v>3922.1376226071384</v>
      </c>
      <c r="E407" s="185">
        <f t="shared" si="104"/>
        <v>5998.3259706571898</v>
      </c>
      <c r="F407" s="72">
        <f t="shared" si="109"/>
        <v>240</v>
      </c>
      <c r="G407" s="180">
        <f t="shared" si="105"/>
        <v>90820.801664469138</v>
      </c>
      <c r="H407" s="186">
        <f>-'Residential Rental'!$E$100/12</f>
        <v>898.0893756176489</v>
      </c>
      <c r="I407" s="149">
        <f>'Residential Rental'!$E$98/12*G406</f>
        <v>266.73545379335587</v>
      </c>
      <c r="J407" s="187">
        <f t="shared" si="106"/>
        <v>631.35392182429302</v>
      </c>
      <c r="K407" s="72">
        <f t="shared" si="110"/>
        <v>240</v>
      </c>
      <c r="L407" s="180">
        <f t="shared" si="107"/>
        <v>1026135.5051195252</v>
      </c>
      <c r="M407" s="181">
        <f t="shared" si="107"/>
        <v>10818.552968881977</v>
      </c>
      <c r="N407" s="180">
        <f t="shared" si="107"/>
        <v>4188.873076400494</v>
      </c>
      <c r="O407" s="132">
        <f t="shared" si="102"/>
        <v>6629.679892481483</v>
      </c>
    </row>
    <row r="408" spans="1:15" x14ac:dyDescent="0.25">
      <c r="A408" s="72">
        <f t="shared" si="108"/>
        <v>241</v>
      </c>
      <c r="B408" s="183">
        <f t="shared" si="103"/>
        <v>929291.38445952116</v>
      </c>
      <c r="C408" s="184">
        <f>-'Residential Rental'!$E$95/12</f>
        <v>9920.4635932643287</v>
      </c>
      <c r="D408" s="183">
        <f>'Residential Rental'!$E$93/12*B407</f>
        <v>3897.1445977294002</v>
      </c>
      <c r="E408" s="185">
        <f t="shared" si="104"/>
        <v>6023.318995534928</v>
      </c>
      <c r="F408" s="72">
        <f t="shared" si="109"/>
        <v>241</v>
      </c>
      <c r="G408" s="180">
        <f t="shared" si="105"/>
        <v>90187.606293706194</v>
      </c>
      <c r="H408" s="186">
        <f>-'Residential Rental'!$E$100/12</f>
        <v>898.0893756176489</v>
      </c>
      <c r="I408" s="149">
        <f>'Residential Rental'!$E$98/12*G407</f>
        <v>264.89400485470168</v>
      </c>
      <c r="J408" s="187">
        <f t="shared" si="106"/>
        <v>633.19537076294728</v>
      </c>
      <c r="K408" s="72">
        <f t="shared" si="110"/>
        <v>241</v>
      </c>
      <c r="L408" s="180">
        <f t="shared" si="107"/>
        <v>1019478.9907532274</v>
      </c>
      <c r="M408" s="181">
        <f t="shared" si="107"/>
        <v>10818.552968881977</v>
      </c>
      <c r="N408" s="180">
        <f t="shared" si="107"/>
        <v>4162.0386025841017</v>
      </c>
      <c r="O408" s="132">
        <f t="shared" si="102"/>
        <v>6656.5143662978753</v>
      </c>
    </row>
    <row r="409" spans="1:15" x14ac:dyDescent="0.25">
      <c r="A409" s="72">
        <f t="shared" si="108"/>
        <v>242</v>
      </c>
      <c r="B409" s="183">
        <f t="shared" si="103"/>
        <v>923242.96830150485</v>
      </c>
      <c r="C409" s="184">
        <f>-'Residential Rental'!$E$95/12</f>
        <v>9920.4635932643287</v>
      </c>
      <c r="D409" s="183">
        <f>'Residential Rental'!$E$93/12*B408</f>
        <v>3872.0474352480046</v>
      </c>
      <c r="E409" s="185">
        <f t="shared" si="104"/>
        <v>6048.4161580163236</v>
      </c>
      <c r="F409" s="72">
        <f t="shared" si="109"/>
        <v>242</v>
      </c>
      <c r="G409" s="180">
        <f t="shared" si="105"/>
        <v>89552.564103111858</v>
      </c>
      <c r="H409" s="186">
        <f>-'Residential Rental'!$E$100/12</f>
        <v>898.0893756176489</v>
      </c>
      <c r="I409" s="149">
        <f>'Residential Rental'!$E$98/12*G408</f>
        <v>263.04718502330974</v>
      </c>
      <c r="J409" s="187">
        <f t="shared" si="106"/>
        <v>635.04219059433922</v>
      </c>
      <c r="K409" s="72">
        <f t="shared" si="110"/>
        <v>242</v>
      </c>
      <c r="L409" s="180">
        <f t="shared" si="107"/>
        <v>1012795.5324046167</v>
      </c>
      <c r="M409" s="181">
        <f t="shared" si="107"/>
        <v>10818.552968881977</v>
      </c>
      <c r="N409" s="180">
        <f t="shared" si="107"/>
        <v>4135.0946202713139</v>
      </c>
      <c r="O409" s="132">
        <f t="shared" si="102"/>
        <v>6683.4583486106631</v>
      </c>
    </row>
    <row r="410" spans="1:15" x14ac:dyDescent="0.25">
      <c r="A410" s="72">
        <f t="shared" si="108"/>
        <v>243</v>
      </c>
      <c r="B410" s="183">
        <f t="shared" si="103"/>
        <v>917169.35040949681</v>
      </c>
      <c r="C410" s="184">
        <f>-'Residential Rental'!$E$95/12</f>
        <v>9920.4635932643287</v>
      </c>
      <c r="D410" s="183">
        <f>'Residential Rental'!$E$93/12*B409</f>
        <v>3846.8457012562703</v>
      </c>
      <c r="E410" s="185">
        <f t="shared" si="104"/>
        <v>6073.6178920080583</v>
      </c>
      <c r="F410" s="72">
        <f t="shared" si="109"/>
        <v>243</v>
      </c>
      <c r="G410" s="180">
        <f t="shared" si="105"/>
        <v>88915.66970612829</v>
      </c>
      <c r="H410" s="186">
        <f>-'Residential Rental'!$E$100/12</f>
        <v>898.0893756176489</v>
      </c>
      <c r="I410" s="149">
        <f>'Residential Rental'!$E$98/12*G409</f>
        <v>261.19497863407628</v>
      </c>
      <c r="J410" s="187">
        <f t="shared" si="106"/>
        <v>636.89439698357262</v>
      </c>
      <c r="K410" s="72">
        <f t="shared" si="110"/>
        <v>243</v>
      </c>
      <c r="L410" s="180">
        <f t="shared" si="107"/>
        <v>1006085.0201156251</v>
      </c>
      <c r="M410" s="181">
        <f t="shared" si="107"/>
        <v>10818.552968881977</v>
      </c>
      <c r="N410" s="180">
        <f t="shared" si="107"/>
        <v>4108.0406798903468</v>
      </c>
      <c r="O410" s="132">
        <f t="shared" si="102"/>
        <v>6710.5122889916311</v>
      </c>
    </row>
    <row r="411" spans="1:15" x14ac:dyDescent="0.25">
      <c r="A411" s="72">
        <f t="shared" si="108"/>
        <v>244</v>
      </c>
      <c r="B411" s="183">
        <f t="shared" si="103"/>
        <v>911070.42577627208</v>
      </c>
      <c r="C411" s="184">
        <f>-'Residential Rental'!$E$95/12</f>
        <v>9920.4635932643287</v>
      </c>
      <c r="D411" s="183">
        <f>'Residential Rental'!$E$93/12*B410</f>
        <v>3821.5389600395702</v>
      </c>
      <c r="E411" s="185">
        <f t="shared" si="104"/>
        <v>6098.9246332247585</v>
      </c>
      <c r="F411" s="72">
        <f t="shared" si="109"/>
        <v>244</v>
      </c>
      <c r="G411" s="180">
        <f t="shared" si="105"/>
        <v>88276.917700486854</v>
      </c>
      <c r="H411" s="186">
        <f>-'Residential Rental'!$E$100/12</f>
        <v>898.0893756176489</v>
      </c>
      <c r="I411" s="149">
        <f>'Residential Rental'!$E$98/12*G410</f>
        <v>259.33736997620753</v>
      </c>
      <c r="J411" s="187">
        <f t="shared" si="106"/>
        <v>638.75200564144143</v>
      </c>
      <c r="K411" s="72">
        <f t="shared" si="110"/>
        <v>244</v>
      </c>
      <c r="L411" s="180">
        <f t="shared" si="107"/>
        <v>999347.34347675892</v>
      </c>
      <c r="M411" s="181">
        <f t="shared" si="107"/>
        <v>10818.552968881977</v>
      </c>
      <c r="N411" s="180">
        <f t="shared" si="107"/>
        <v>4080.8763300157775</v>
      </c>
      <c r="O411" s="132">
        <f t="shared" si="102"/>
        <v>6737.6766388661999</v>
      </c>
    </row>
    <row r="412" spans="1:15" x14ac:dyDescent="0.25">
      <c r="A412" s="72">
        <f t="shared" si="108"/>
        <v>245</v>
      </c>
      <c r="B412" s="183">
        <f t="shared" si="103"/>
        <v>904946.0889570755</v>
      </c>
      <c r="C412" s="184">
        <f>-'Residential Rental'!$E$95/12</f>
        <v>9920.4635932643287</v>
      </c>
      <c r="D412" s="183">
        <f>'Residential Rental'!$E$93/12*B411</f>
        <v>3796.1267740678004</v>
      </c>
      <c r="E412" s="185">
        <f t="shared" si="104"/>
        <v>6124.3368191965283</v>
      </c>
      <c r="F412" s="72">
        <f t="shared" si="109"/>
        <v>245</v>
      </c>
      <c r="G412" s="180">
        <f t="shared" si="105"/>
        <v>87636.302668162287</v>
      </c>
      <c r="H412" s="186">
        <f>-'Residential Rental'!$E$100/12</f>
        <v>898.0893756176489</v>
      </c>
      <c r="I412" s="149">
        <f>'Residential Rental'!$E$98/12*G411</f>
        <v>257.47434329308669</v>
      </c>
      <c r="J412" s="187">
        <f t="shared" si="106"/>
        <v>640.61503232456221</v>
      </c>
      <c r="K412" s="72">
        <f t="shared" si="110"/>
        <v>245</v>
      </c>
      <c r="L412" s="180">
        <f t="shared" si="107"/>
        <v>992582.39162523777</v>
      </c>
      <c r="M412" s="181">
        <f t="shared" si="107"/>
        <v>10818.552968881977</v>
      </c>
      <c r="N412" s="180">
        <f t="shared" si="107"/>
        <v>4053.6011173608872</v>
      </c>
      <c r="O412" s="132">
        <f t="shared" si="102"/>
        <v>6764.9518515210902</v>
      </c>
    </row>
    <row r="413" spans="1:15" x14ac:dyDescent="0.25">
      <c r="A413" s="72">
        <f t="shared" si="108"/>
        <v>246</v>
      </c>
      <c r="B413" s="183">
        <f t="shared" si="103"/>
        <v>898796.23406779894</v>
      </c>
      <c r="C413" s="184">
        <f>-'Residential Rental'!$E$95/12</f>
        <v>9920.4635932643287</v>
      </c>
      <c r="D413" s="183">
        <f>'Residential Rental'!$E$93/12*B412</f>
        <v>3770.6087039878144</v>
      </c>
      <c r="E413" s="185">
        <f t="shared" si="104"/>
        <v>6149.8548892765139</v>
      </c>
      <c r="F413" s="72">
        <f t="shared" si="109"/>
        <v>246</v>
      </c>
      <c r="G413" s="180">
        <f t="shared" si="105"/>
        <v>86993.819175326775</v>
      </c>
      <c r="H413" s="186">
        <f>-'Residential Rental'!$E$100/12</f>
        <v>898.0893756176489</v>
      </c>
      <c r="I413" s="149">
        <f>'Residential Rental'!$E$98/12*G412</f>
        <v>255.60588278214001</v>
      </c>
      <c r="J413" s="187">
        <f t="shared" si="106"/>
        <v>642.48349283550886</v>
      </c>
      <c r="K413" s="72">
        <f t="shared" si="110"/>
        <v>246</v>
      </c>
      <c r="L413" s="180">
        <f t="shared" si="107"/>
        <v>985790.05324312567</v>
      </c>
      <c r="M413" s="181">
        <f t="shared" si="107"/>
        <v>10818.552968881977</v>
      </c>
      <c r="N413" s="180">
        <f t="shared" si="107"/>
        <v>4026.2145867699542</v>
      </c>
      <c r="O413" s="132">
        <f t="shared" si="102"/>
        <v>6792.3383821120224</v>
      </c>
    </row>
    <row r="414" spans="1:15" x14ac:dyDescent="0.25">
      <c r="A414" s="72">
        <f t="shared" si="108"/>
        <v>247</v>
      </c>
      <c r="B414" s="183">
        <f t="shared" si="103"/>
        <v>892620.75478315039</v>
      </c>
      <c r="C414" s="184">
        <f>-'Residential Rental'!$E$95/12</f>
        <v>9920.4635932643287</v>
      </c>
      <c r="D414" s="183">
        <f>'Residential Rental'!$E$93/12*B413</f>
        <v>3744.9843086158289</v>
      </c>
      <c r="E414" s="185">
        <f t="shared" si="104"/>
        <v>6175.4792846484997</v>
      </c>
      <c r="F414" s="72">
        <f t="shared" si="109"/>
        <v>247</v>
      </c>
      <c r="G414" s="180">
        <f t="shared" si="105"/>
        <v>86349.461772303825</v>
      </c>
      <c r="H414" s="186">
        <f>-'Residential Rental'!$E$100/12</f>
        <v>898.0893756176489</v>
      </c>
      <c r="I414" s="149">
        <f>'Residential Rental'!$E$98/12*G413</f>
        <v>253.73197259470311</v>
      </c>
      <c r="J414" s="187">
        <f t="shared" si="106"/>
        <v>644.35740302294585</v>
      </c>
      <c r="K414" s="72">
        <f t="shared" si="110"/>
        <v>247</v>
      </c>
      <c r="L414" s="180">
        <f t="shared" si="107"/>
        <v>978970.21655545419</v>
      </c>
      <c r="M414" s="181">
        <f t="shared" si="107"/>
        <v>10818.552968881977</v>
      </c>
      <c r="N414" s="180">
        <f t="shared" si="107"/>
        <v>3998.7162812105321</v>
      </c>
      <c r="O414" s="132">
        <f t="shared" si="102"/>
        <v>6819.8366876714454</v>
      </c>
    </row>
    <row r="415" spans="1:15" x14ac:dyDescent="0.25">
      <c r="A415" s="72">
        <f t="shared" si="108"/>
        <v>248</v>
      </c>
      <c r="B415" s="183">
        <f t="shared" si="103"/>
        <v>886419.54433481582</v>
      </c>
      <c r="C415" s="184">
        <f>-'Residential Rental'!$E$95/12</f>
        <v>9920.4635932643287</v>
      </c>
      <c r="D415" s="183">
        <f>'Residential Rental'!$E$93/12*B414</f>
        <v>3719.2531449297931</v>
      </c>
      <c r="E415" s="185">
        <f t="shared" si="104"/>
        <v>6201.2104483345356</v>
      </c>
      <c r="F415" s="72">
        <f t="shared" si="109"/>
        <v>248</v>
      </c>
      <c r="G415" s="180">
        <f t="shared" si="105"/>
        <v>85703.224993522061</v>
      </c>
      <c r="H415" s="186">
        <f>-'Residential Rental'!$E$100/12</f>
        <v>898.0893756176489</v>
      </c>
      <c r="I415" s="149">
        <f>'Residential Rental'!$E$98/12*G414</f>
        <v>251.85259683588617</v>
      </c>
      <c r="J415" s="187">
        <f t="shared" si="106"/>
        <v>646.23677878176272</v>
      </c>
      <c r="K415" s="72">
        <f t="shared" si="110"/>
        <v>248</v>
      </c>
      <c r="L415" s="180">
        <f t="shared" si="107"/>
        <v>972122.76932833786</v>
      </c>
      <c r="M415" s="181">
        <f t="shared" si="107"/>
        <v>10818.552968881977</v>
      </c>
      <c r="N415" s="180">
        <f t="shared" si="107"/>
        <v>3971.1057417656793</v>
      </c>
      <c r="O415" s="132">
        <f t="shared" si="102"/>
        <v>6847.4472271162986</v>
      </c>
    </row>
    <row r="416" spans="1:15" x14ac:dyDescent="0.25">
      <c r="A416" s="72">
        <f t="shared" si="108"/>
        <v>249</v>
      </c>
      <c r="B416" s="183">
        <f t="shared" si="103"/>
        <v>880192.49550961319</v>
      </c>
      <c r="C416" s="184">
        <f>-'Residential Rental'!$E$95/12</f>
        <v>9920.4635932643287</v>
      </c>
      <c r="D416" s="183">
        <f>'Residential Rental'!$E$93/12*B415</f>
        <v>3693.4147680617325</v>
      </c>
      <c r="E416" s="185">
        <f t="shared" si="104"/>
        <v>6227.0488252025962</v>
      </c>
      <c r="F416" s="72">
        <f t="shared" si="109"/>
        <v>249</v>
      </c>
      <c r="G416" s="180">
        <f t="shared" si="105"/>
        <v>85055.103357468848</v>
      </c>
      <c r="H416" s="186">
        <f>-'Residential Rental'!$E$100/12</f>
        <v>898.0893756176489</v>
      </c>
      <c r="I416" s="149">
        <f>'Residential Rental'!$E$98/12*G415</f>
        <v>249.96773956443934</v>
      </c>
      <c r="J416" s="187">
        <f t="shared" si="106"/>
        <v>648.12163605320961</v>
      </c>
      <c r="K416" s="72">
        <f t="shared" si="110"/>
        <v>249</v>
      </c>
      <c r="L416" s="180">
        <f t="shared" si="107"/>
        <v>965247.59886708204</v>
      </c>
      <c r="M416" s="181">
        <f t="shared" si="107"/>
        <v>10818.552968881977</v>
      </c>
      <c r="N416" s="180">
        <f t="shared" si="107"/>
        <v>3943.3825076261719</v>
      </c>
      <c r="O416" s="132">
        <f t="shared" si="102"/>
        <v>6875.170461255806</v>
      </c>
    </row>
    <row r="417" spans="1:15" x14ac:dyDescent="0.25">
      <c r="A417" s="72">
        <f t="shared" si="108"/>
        <v>250</v>
      </c>
      <c r="B417" s="183">
        <f t="shared" si="103"/>
        <v>873939.50064763892</v>
      </c>
      <c r="C417" s="184">
        <f>-'Residential Rental'!$E$95/12</f>
        <v>9920.4635932643287</v>
      </c>
      <c r="D417" s="183">
        <f>'Residential Rental'!$E$93/12*B416</f>
        <v>3667.4687312900551</v>
      </c>
      <c r="E417" s="185">
        <f t="shared" si="104"/>
        <v>6252.9948619742736</v>
      </c>
      <c r="F417" s="72">
        <f t="shared" si="109"/>
        <v>250</v>
      </c>
      <c r="G417" s="180">
        <f t="shared" si="105"/>
        <v>84405.091366643814</v>
      </c>
      <c r="H417" s="186">
        <f>-'Residential Rental'!$E$100/12</f>
        <v>898.0893756176489</v>
      </c>
      <c r="I417" s="149">
        <f>'Residential Rental'!$E$98/12*G416</f>
        <v>248.07738479261749</v>
      </c>
      <c r="J417" s="187">
        <f t="shared" si="106"/>
        <v>650.01199082503138</v>
      </c>
      <c r="K417" s="72">
        <f t="shared" si="110"/>
        <v>250</v>
      </c>
      <c r="L417" s="180">
        <f t="shared" si="107"/>
        <v>958344.59201428271</v>
      </c>
      <c r="M417" s="181">
        <f t="shared" si="107"/>
        <v>10818.552968881977</v>
      </c>
      <c r="N417" s="180">
        <f t="shared" si="107"/>
        <v>3915.5461160826726</v>
      </c>
      <c r="O417" s="132">
        <f t="shared" si="102"/>
        <v>6903.0068527993053</v>
      </c>
    </row>
    <row r="418" spans="1:15" x14ac:dyDescent="0.25">
      <c r="A418" s="72">
        <f t="shared" si="108"/>
        <v>251</v>
      </c>
      <c r="B418" s="183">
        <f t="shared" si="103"/>
        <v>867660.45164040639</v>
      </c>
      <c r="C418" s="184">
        <f>-'Residential Rental'!$E$95/12</f>
        <v>9920.4635932643287</v>
      </c>
      <c r="D418" s="183">
        <f>'Residential Rental'!$E$93/12*B417</f>
        <v>3641.414586031829</v>
      </c>
      <c r="E418" s="185">
        <f t="shared" si="104"/>
        <v>6279.0490072324992</v>
      </c>
      <c r="F418" s="72">
        <f t="shared" si="109"/>
        <v>251</v>
      </c>
      <c r="G418" s="180">
        <f t="shared" si="105"/>
        <v>83753.183507512207</v>
      </c>
      <c r="H418" s="186">
        <f>-'Residential Rental'!$E$100/12</f>
        <v>898.0893756176489</v>
      </c>
      <c r="I418" s="149">
        <f>'Residential Rental'!$E$98/12*G417</f>
        <v>246.18151648604447</v>
      </c>
      <c r="J418" s="187">
        <f t="shared" si="106"/>
        <v>651.90785913160448</v>
      </c>
      <c r="K418" s="72">
        <f t="shared" si="110"/>
        <v>251</v>
      </c>
      <c r="L418" s="180">
        <f t="shared" si="107"/>
        <v>951413.6351479186</v>
      </c>
      <c r="M418" s="181">
        <f t="shared" si="107"/>
        <v>10818.552968881977</v>
      </c>
      <c r="N418" s="180">
        <f t="shared" si="107"/>
        <v>3887.5961025178735</v>
      </c>
      <c r="O418" s="132">
        <f t="shared" si="102"/>
        <v>6930.9568663641039</v>
      </c>
    </row>
    <row r="419" spans="1:15" x14ac:dyDescent="0.25">
      <c r="A419" s="72">
        <f t="shared" si="108"/>
        <v>252</v>
      </c>
      <c r="B419" s="183">
        <f t="shared" si="103"/>
        <v>861355.2399289771</v>
      </c>
      <c r="C419" s="184">
        <f>-'Residential Rental'!$E$95/12</f>
        <v>9920.4635932643287</v>
      </c>
      <c r="D419" s="183">
        <f>'Residential Rental'!$E$93/12*B418</f>
        <v>3615.2518818350268</v>
      </c>
      <c r="E419" s="185">
        <f t="shared" si="104"/>
        <v>6305.2117114293014</v>
      </c>
      <c r="F419" s="72">
        <f t="shared" si="109"/>
        <v>252</v>
      </c>
      <c r="G419" s="180">
        <f t="shared" si="105"/>
        <v>83099.374250458131</v>
      </c>
      <c r="H419" s="186">
        <f>-'Residential Rental'!$E$100/12</f>
        <v>898.0893756176489</v>
      </c>
      <c r="I419" s="149">
        <f>'Residential Rental'!$E$98/12*G418</f>
        <v>244.28011856357728</v>
      </c>
      <c r="J419" s="187">
        <f t="shared" si="106"/>
        <v>653.80925705407162</v>
      </c>
      <c r="K419" s="72">
        <f t="shared" si="110"/>
        <v>252</v>
      </c>
      <c r="L419" s="180">
        <f t="shared" si="107"/>
        <v>944454.61417943519</v>
      </c>
      <c r="M419" s="181">
        <f t="shared" si="107"/>
        <v>10818.552968881977</v>
      </c>
      <c r="N419" s="180">
        <f t="shared" si="107"/>
        <v>3859.5320003986039</v>
      </c>
      <c r="O419" s="132">
        <f t="shared" si="102"/>
        <v>6959.0209684833735</v>
      </c>
    </row>
    <row r="420" spans="1:15" x14ac:dyDescent="0.25">
      <c r="A420" s="72">
        <f t="shared" si="108"/>
        <v>253</v>
      </c>
      <c r="B420" s="183">
        <f t="shared" si="103"/>
        <v>855023.7565020835</v>
      </c>
      <c r="C420" s="184">
        <f>-'Residential Rental'!$E$95/12</f>
        <v>9920.4635932643287</v>
      </c>
      <c r="D420" s="183">
        <f>'Residential Rental'!$E$93/12*B419</f>
        <v>3588.9801663707381</v>
      </c>
      <c r="E420" s="185">
        <f t="shared" si="104"/>
        <v>6331.4834268935901</v>
      </c>
      <c r="F420" s="72">
        <f t="shared" si="109"/>
        <v>253</v>
      </c>
      <c r="G420" s="180">
        <f t="shared" si="105"/>
        <v>82443.658049737656</v>
      </c>
      <c r="H420" s="186">
        <f>-'Residential Rental'!$E$100/12</f>
        <v>898.0893756176489</v>
      </c>
      <c r="I420" s="149">
        <f>'Residential Rental'!$E$98/12*G419</f>
        <v>242.37317489716955</v>
      </c>
      <c r="J420" s="187">
        <f t="shared" si="106"/>
        <v>655.71620072047938</v>
      </c>
      <c r="K420" s="72">
        <f t="shared" si="110"/>
        <v>253</v>
      </c>
      <c r="L420" s="180">
        <f t="shared" si="107"/>
        <v>937467.41455182119</v>
      </c>
      <c r="M420" s="181">
        <f t="shared" si="107"/>
        <v>10818.552968881977</v>
      </c>
      <c r="N420" s="180">
        <f t="shared" si="107"/>
        <v>3831.3533412679076</v>
      </c>
      <c r="O420" s="132">
        <f t="shared" si="102"/>
        <v>6987.1996276140699</v>
      </c>
    </row>
    <row r="421" spans="1:15" x14ac:dyDescent="0.25">
      <c r="A421" s="72">
        <f t="shared" si="108"/>
        <v>254</v>
      </c>
      <c r="B421" s="183">
        <f t="shared" si="103"/>
        <v>848665.89189424447</v>
      </c>
      <c r="C421" s="184">
        <f>-'Residential Rental'!$E$95/12</f>
        <v>9920.4635932643287</v>
      </c>
      <c r="D421" s="183">
        <f>'Residential Rental'!$E$93/12*B420</f>
        <v>3562.598985425348</v>
      </c>
      <c r="E421" s="185">
        <f t="shared" si="104"/>
        <v>6357.8646078389811</v>
      </c>
      <c r="F421" s="72">
        <f t="shared" si="109"/>
        <v>254</v>
      </c>
      <c r="G421" s="180">
        <f t="shared" si="105"/>
        <v>81786.029343431743</v>
      </c>
      <c r="H421" s="186">
        <f>-'Residential Rental'!$E$100/12</f>
        <v>898.0893756176489</v>
      </c>
      <c r="I421" s="149">
        <f>'Residential Rental'!$E$98/12*G420</f>
        <v>240.46066931173485</v>
      </c>
      <c r="J421" s="187">
        <f t="shared" si="106"/>
        <v>657.62870630591408</v>
      </c>
      <c r="K421" s="72">
        <f t="shared" si="110"/>
        <v>254</v>
      </c>
      <c r="L421" s="180">
        <f t="shared" si="107"/>
        <v>930451.92123767617</v>
      </c>
      <c r="M421" s="181">
        <f t="shared" si="107"/>
        <v>10818.552968881977</v>
      </c>
      <c r="N421" s="180">
        <f t="shared" si="107"/>
        <v>3803.0596547370828</v>
      </c>
      <c r="O421" s="132">
        <f t="shared" si="102"/>
        <v>7015.4933141448955</v>
      </c>
    </row>
    <row r="422" spans="1:15" x14ac:dyDescent="0.25">
      <c r="A422" s="72">
        <f t="shared" si="108"/>
        <v>255</v>
      </c>
      <c r="B422" s="183">
        <f t="shared" si="103"/>
        <v>842281.53618387284</v>
      </c>
      <c r="C422" s="184">
        <f>-'Residential Rental'!$E$95/12</f>
        <v>9920.4635932643287</v>
      </c>
      <c r="D422" s="183">
        <f>'Residential Rental'!$E$93/12*B421</f>
        <v>3536.1078828926852</v>
      </c>
      <c r="E422" s="185">
        <f t="shared" si="104"/>
        <v>6384.355710371643</v>
      </c>
      <c r="F422" s="72">
        <f t="shared" si="109"/>
        <v>255</v>
      </c>
      <c r="G422" s="180">
        <f t="shared" si="105"/>
        <v>81126.48255339911</v>
      </c>
      <c r="H422" s="186">
        <f>-'Residential Rental'!$E$100/12</f>
        <v>898.0893756176489</v>
      </c>
      <c r="I422" s="149">
        <f>'Residential Rental'!$E$98/12*G421</f>
        <v>238.54258558500925</v>
      </c>
      <c r="J422" s="187">
        <f t="shared" si="106"/>
        <v>659.54679003263959</v>
      </c>
      <c r="K422" s="72">
        <f t="shared" si="110"/>
        <v>255</v>
      </c>
      <c r="L422" s="180">
        <f t="shared" si="107"/>
        <v>923408.01873727189</v>
      </c>
      <c r="M422" s="181">
        <f t="shared" si="107"/>
        <v>10818.552968881977</v>
      </c>
      <c r="N422" s="180">
        <f t="shared" si="107"/>
        <v>3774.6504684776946</v>
      </c>
      <c r="O422" s="132">
        <f t="shared" si="102"/>
        <v>7043.9025004042824</v>
      </c>
    </row>
    <row r="423" spans="1:15" x14ac:dyDescent="0.25">
      <c r="A423" s="72">
        <f t="shared" si="108"/>
        <v>256</v>
      </c>
      <c r="B423" s="183">
        <f t="shared" si="103"/>
        <v>835870.5789913747</v>
      </c>
      <c r="C423" s="184">
        <f>-'Residential Rental'!$E$95/12</f>
        <v>9920.4635932643287</v>
      </c>
      <c r="D423" s="183">
        <f>'Residential Rental'!$E$93/12*B422</f>
        <v>3509.5064007661367</v>
      </c>
      <c r="E423" s="185">
        <f t="shared" si="104"/>
        <v>6410.9571924981919</v>
      </c>
      <c r="F423" s="72">
        <f t="shared" si="109"/>
        <v>256</v>
      </c>
      <c r="G423" s="180">
        <f t="shared" si="105"/>
        <v>80465.012085228882</v>
      </c>
      <c r="H423" s="186">
        <f>-'Residential Rental'!$E$100/12</f>
        <v>898.0893756176489</v>
      </c>
      <c r="I423" s="149">
        <f>'Residential Rental'!$E$98/12*G422</f>
        <v>236.61890744741407</v>
      </c>
      <c r="J423" s="187">
        <f t="shared" si="106"/>
        <v>661.47046817023488</v>
      </c>
      <c r="K423" s="72">
        <f t="shared" si="110"/>
        <v>256</v>
      </c>
      <c r="L423" s="180">
        <f t="shared" si="107"/>
        <v>916335.59107660362</v>
      </c>
      <c r="M423" s="181">
        <f t="shared" si="107"/>
        <v>10818.552968881977</v>
      </c>
      <c r="N423" s="180">
        <f t="shared" si="107"/>
        <v>3746.1253082135509</v>
      </c>
      <c r="O423" s="132">
        <f t="shared" si="107"/>
        <v>7072.4276606684271</v>
      </c>
    </row>
    <row r="424" spans="1:15" x14ac:dyDescent="0.25">
      <c r="A424" s="72">
        <f t="shared" si="108"/>
        <v>257</v>
      </c>
      <c r="B424" s="183">
        <f t="shared" ref="B424:B487" si="111">B423-E424</f>
        <v>829432.9094772411</v>
      </c>
      <c r="C424" s="184">
        <f>-'Residential Rental'!$E$95/12</f>
        <v>9920.4635932643287</v>
      </c>
      <c r="D424" s="183">
        <f>'Residential Rental'!$E$93/12*B423</f>
        <v>3482.7940791307278</v>
      </c>
      <c r="E424" s="185">
        <f t="shared" ref="E424:E487" si="112">C424-D424</f>
        <v>6437.6695141336004</v>
      </c>
      <c r="F424" s="72">
        <f t="shared" si="109"/>
        <v>257</v>
      </c>
      <c r="G424" s="180">
        <f t="shared" ref="G424:G487" si="113">G423-J424</f>
        <v>79801.61232819315</v>
      </c>
      <c r="H424" s="186">
        <f>-'Residential Rental'!$E$100/12</f>
        <v>898.0893756176489</v>
      </c>
      <c r="I424" s="149">
        <f>'Residential Rental'!$E$98/12*G423</f>
        <v>234.68961858191759</v>
      </c>
      <c r="J424" s="187">
        <f t="shared" ref="J424:J487" si="114">H424-I424</f>
        <v>663.39975703573134</v>
      </c>
      <c r="K424" s="72">
        <f t="shared" si="110"/>
        <v>257</v>
      </c>
      <c r="L424" s="180">
        <f t="shared" ref="L424:O487" si="115">G424+B424</f>
        <v>909234.52180543425</v>
      </c>
      <c r="M424" s="181">
        <f t="shared" si="115"/>
        <v>10818.552968881977</v>
      </c>
      <c r="N424" s="180">
        <f t="shared" si="115"/>
        <v>3717.4836977126456</v>
      </c>
      <c r="O424" s="132">
        <f t="shared" si="115"/>
        <v>7101.0692711693318</v>
      </c>
    </row>
    <row r="425" spans="1:15" x14ac:dyDescent="0.25">
      <c r="A425" s="72">
        <f t="shared" ref="A425:A488" si="116">A424+1</f>
        <v>258</v>
      </c>
      <c r="B425" s="183">
        <f t="shared" si="111"/>
        <v>822968.41634013189</v>
      </c>
      <c r="C425" s="184">
        <f>-'Residential Rental'!$E$95/12</f>
        <v>9920.4635932643287</v>
      </c>
      <c r="D425" s="183">
        <f>'Residential Rental'!$E$93/12*B424</f>
        <v>3455.9704561551712</v>
      </c>
      <c r="E425" s="185">
        <f t="shared" si="112"/>
        <v>6464.493137109157</v>
      </c>
      <c r="F425" s="72">
        <f t="shared" ref="F425:F488" si="117">F424+1</f>
        <v>258</v>
      </c>
      <c r="G425" s="180">
        <f t="shared" si="113"/>
        <v>79136.277655199403</v>
      </c>
      <c r="H425" s="186">
        <f>-'Residential Rental'!$E$100/12</f>
        <v>898.0893756176489</v>
      </c>
      <c r="I425" s="149">
        <f>'Residential Rental'!$E$98/12*G424</f>
        <v>232.75470262389669</v>
      </c>
      <c r="J425" s="187">
        <f t="shared" si="114"/>
        <v>665.33467299375218</v>
      </c>
      <c r="K425" s="72">
        <f t="shared" ref="K425:K488" si="118">K424+1</f>
        <v>258</v>
      </c>
      <c r="L425" s="180">
        <f t="shared" si="115"/>
        <v>902104.6939953313</v>
      </c>
      <c r="M425" s="181">
        <f t="shared" si="115"/>
        <v>10818.552968881977</v>
      </c>
      <c r="N425" s="180">
        <f t="shared" si="115"/>
        <v>3688.7251587790679</v>
      </c>
      <c r="O425" s="132">
        <f t="shared" si="115"/>
        <v>7129.8278101029091</v>
      </c>
    </row>
    <row r="426" spans="1:15" x14ac:dyDescent="0.25">
      <c r="A426" s="72">
        <f t="shared" si="116"/>
        <v>259</v>
      </c>
      <c r="B426" s="183">
        <f t="shared" si="111"/>
        <v>816476.98781495146</v>
      </c>
      <c r="C426" s="184">
        <f>-'Residential Rental'!$E$95/12</f>
        <v>9920.4635932643287</v>
      </c>
      <c r="D426" s="183">
        <f>'Residential Rental'!$E$93/12*B425</f>
        <v>3429.0350680838828</v>
      </c>
      <c r="E426" s="185">
        <f t="shared" si="112"/>
        <v>6491.4285251804458</v>
      </c>
      <c r="F426" s="72">
        <f t="shared" si="117"/>
        <v>259</v>
      </c>
      <c r="G426" s="180">
        <f t="shared" si="113"/>
        <v>78469.002422742749</v>
      </c>
      <c r="H426" s="186">
        <f>-'Residential Rental'!$E$100/12</f>
        <v>898.0893756176489</v>
      </c>
      <c r="I426" s="149">
        <f>'Residential Rental'!$E$98/12*G425</f>
        <v>230.81414316099827</v>
      </c>
      <c r="J426" s="187">
        <f t="shared" si="114"/>
        <v>667.27523245665066</v>
      </c>
      <c r="K426" s="72">
        <f t="shared" si="118"/>
        <v>259</v>
      </c>
      <c r="L426" s="180">
        <f t="shared" si="115"/>
        <v>894945.99023769423</v>
      </c>
      <c r="M426" s="181">
        <f t="shared" si="115"/>
        <v>10818.552968881977</v>
      </c>
      <c r="N426" s="180">
        <f t="shared" si="115"/>
        <v>3659.8492112448812</v>
      </c>
      <c r="O426" s="132">
        <f t="shared" si="115"/>
        <v>7158.7037576370967</v>
      </c>
    </row>
    <row r="427" spans="1:15" x14ac:dyDescent="0.25">
      <c r="A427" s="72">
        <f t="shared" si="116"/>
        <v>260</v>
      </c>
      <c r="B427" s="183">
        <f t="shared" si="111"/>
        <v>809958.51167091611</v>
      </c>
      <c r="C427" s="184">
        <f>-'Residential Rental'!$E$95/12</f>
        <v>9920.4635932643287</v>
      </c>
      <c r="D427" s="183">
        <f>'Residential Rental'!$E$93/12*B426</f>
        <v>3401.9874492289641</v>
      </c>
      <c r="E427" s="185">
        <f t="shared" si="112"/>
        <v>6518.476144035365</v>
      </c>
      <c r="F427" s="72">
        <f t="shared" si="117"/>
        <v>260</v>
      </c>
      <c r="G427" s="180">
        <f t="shared" si="113"/>
        <v>77799.780970858104</v>
      </c>
      <c r="H427" s="186">
        <f>-'Residential Rental'!$E$100/12</f>
        <v>898.0893756176489</v>
      </c>
      <c r="I427" s="149">
        <f>'Residential Rental'!$E$98/12*G426</f>
        <v>228.86792373299969</v>
      </c>
      <c r="J427" s="187">
        <f t="shared" si="114"/>
        <v>669.22145188464924</v>
      </c>
      <c r="K427" s="72">
        <f t="shared" si="118"/>
        <v>260</v>
      </c>
      <c r="L427" s="180">
        <f t="shared" si="115"/>
        <v>887758.29264177417</v>
      </c>
      <c r="M427" s="181">
        <f t="shared" si="115"/>
        <v>10818.552968881977</v>
      </c>
      <c r="N427" s="180">
        <f t="shared" si="115"/>
        <v>3630.8553729619639</v>
      </c>
      <c r="O427" s="132">
        <f t="shared" si="115"/>
        <v>7187.6975959200145</v>
      </c>
    </row>
    <row r="428" spans="1:15" x14ac:dyDescent="0.25">
      <c r="A428" s="72">
        <f t="shared" si="116"/>
        <v>261</v>
      </c>
      <c r="B428" s="183">
        <f t="shared" si="111"/>
        <v>803412.87520961394</v>
      </c>
      <c r="C428" s="184">
        <f>-'Residential Rental'!$E$95/12</f>
        <v>9920.4635932643287</v>
      </c>
      <c r="D428" s="183">
        <f>'Residential Rental'!$E$93/12*B427</f>
        <v>3374.8271319621504</v>
      </c>
      <c r="E428" s="185">
        <f t="shared" si="112"/>
        <v>6545.6364613021778</v>
      </c>
      <c r="F428" s="72">
        <f t="shared" si="117"/>
        <v>261</v>
      </c>
      <c r="G428" s="180">
        <f t="shared" si="113"/>
        <v>77128.607623072123</v>
      </c>
      <c r="H428" s="186">
        <f>-'Residential Rental'!$E$100/12</f>
        <v>898.0893756176489</v>
      </c>
      <c r="I428" s="149">
        <f>'Residential Rental'!$E$98/12*G427</f>
        <v>226.91602783166948</v>
      </c>
      <c r="J428" s="187">
        <f t="shared" si="114"/>
        <v>671.17334778597944</v>
      </c>
      <c r="K428" s="72">
        <f t="shared" si="118"/>
        <v>261</v>
      </c>
      <c r="L428" s="180">
        <f t="shared" si="115"/>
        <v>880541.48283268604</v>
      </c>
      <c r="M428" s="181">
        <f t="shared" si="115"/>
        <v>10818.552968881977</v>
      </c>
      <c r="N428" s="180">
        <f t="shared" si="115"/>
        <v>3601.7431597938198</v>
      </c>
      <c r="O428" s="132">
        <f t="shared" si="115"/>
        <v>7216.8098090881576</v>
      </c>
    </row>
    <row r="429" spans="1:15" x14ac:dyDescent="0.25">
      <c r="A429" s="72">
        <f t="shared" si="116"/>
        <v>262</v>
      </c>
      <c r="B429" s="183">
        <f t="shared" si="111"/>
        <v>796839.96526305634</v>
      </c>
      <c r="C429" s="184">
        <f>-'Residential Rental'!$E$95/12</f>
        <v>9920.4635932643287</v>
      </c>
      <c r="D429" s="183">
        <f>'Residential Rental'!$E$93/12*B428</f>
        <v>3347.5536467067245</v>
      </c>
      <c r="E429" s="185">
        <f t="shared" si="112"/>
        <v>6572.9099465576037</v>
      </c>
      <c r="F429" s="72">
        <f t="shared" si="117"/>
        <v>262</v>
      </c>
      <c r="G429" s="180">
        <f t="shared" si="113"/>
        <v>76455.476686355105</v>
      </c>
      <c r="H429" s="186">
        <f>-'Residential Rental'!$E$100/12</f>
        <v>898.0893756176489</v>
      </c>
      <c r="I429" s="149">
        <f>'Residential Rental'!$E$98/12*G428</f>
        <v>224.95843890062704</v>
      </c>
      <c r="J429" s="187">
        <f t="shared" si="114"/>
        <v>673.13093671702188</v>
      </c>
      <c r="K429" s="72">
        <f t="shared" si="118"/>
        <v>262</v>
      </c>
      <c r="L429" s="180">
        <f t="shared" si="115"/>
        <v>873295.44194941141</v>
      </c>
      <c r="M429" s="181">
        <f t="shared" si="115"/>
        <v>10818.552968881977</v>
      </c>
      <c r="N429" s="180">
        <f t="shared" si="115"/>
        <v>3572.5120856073518</v>
      </c>
      <c r="O429" s="132">
        <f t="shared" si="115"/>
        <v>7246.0408832746252</v>
      </c>
    </row>
    <row r="430" spans="1:15" x14ac:dyDescent="0.25">
      <c r="A430" s="72">
        <f t="shared" si="116"/>
        <v>263</v>
      </c>
      <c r="B430" s="183">
        <f t="shared" si="111"/>
        <v>790239.66819172143</v>
      </c>
      <c r="C430" s="184">
        <f>-'Residential Rental'!$E$95/12</f>
        <v>9920.4635932643287</v>
      </c>
      <c r="D430" s="183">
        <f>'Residential Rental'!$E$93/12*B429</f>
        <v>3320.1665219294014</v>
      </c>
      <c r="E430" s="185">
        <f t="shared" si="112"/>
        <v>6600.2970713349278</v>
      </c>
      <c r="F430" s="72">
        <f t="shared" si="117"/>
        <v>263</v>
      </c>
      <c r="G430" s="180">
        <f t="shared" si="113"/>
        <v>75780.382451072655</v>
      </c>
      <c r="H430" s="186">
        <f>-'Residential Rental'!$E$100/12</f>
        <v>898.0893756176489</v>
      </c>
      <c r="I430" s="149">
        <f>'Residential Rental'!$E$98/12*G429</f>
        <v>222.99514033520239</v>
      </c>
      <c r="J430" s="187">
        <f t="shared" si="114"/>
        <v>675.09423528244656</v>
      </c>
      <c r="K430" s="72">
        <f t="shared" si="118"/>
        <v>263</v>
      </c>
      <c r="L430" s="180">
        <f t="shared" si="115"/>
        <v>866020.05064279411</v>
      </c>
      <c r="M430" s="181">
        <f t="shared" si="115"/>
        <v>10818.552968881977</v>
      </c>
      <c r="N430" s="180">
        <f t="shared" si="115"/>
        <v>3543.1616622646038</v>
      </c>
      <c r="O430" s="132">
        <f t="shared" si="115"/>
        <v>7275.3913066173745</v>
      </c>
    </row>
    <row r="431" spans="1:15" x14ac:dyDescent="0.25">
      <c r="A431" s="72">
        <f t="shared" si="116"/>
        <v>264</v>
      </c>
      <c r="B431" s="183">
        <f t="shared" si="111"/>
        <v>783611.86988258932</v>
      </c>
      <c r="C431" s="184">
        <f>-'Residential Rental'!$E$95/12</f>
        <v>9920.4635932643287</v>
      </c>
      <c r="D431" s="183">
        <f>'Residential Rental'!$E$93/12*B430</f>
        <v>3292.6652841321725</v>
      </c>
      <c r="E431" s="185">
        <f t="shared" si="112"/>
        <v>6627.7983091321566</v>
      </c>
      <c r="F431" s="72">
        <f t="shared" si="117"/>
        <v>264</v>
      </c>
      <c r="G431" s="180">
        <f t="shared" si="113"/>
        <v>75103.319190937298</v>
      </c>
      <c r="H431" s="186">
        <f>-'Residential Rental'!$E$100/12</f>
        <v>898.0893756176489</v>
      </c>
      <c r="I431" s="149">
        <f>'Residential Rental'!$E$98/12*G430</f>
        <v>221.02611548229527</v>
      </c>
      <c r="J431" s="187">
        <f t="shared" si="114"/>
        <v>677.06326013535363</v>
      </c>
      <c r="K431" s="72">
        <f t="shared" si="118"/>
        <v>264</v>
      </c>
      <c r="L431" s="180">
        <f t="shared" si="115"/>
        <v>858715.18907352665</v>
      </c>
      <c r="M431" s="181">
        <f t="shared" si="115"/>
        <v>10818.552968881977</v>
      </c>
      <c r="N431" s="180">
        <f t="shared" si="115"/>
        <v>3513.6913996144676</v>
      </c>
      <c r="O431" s="132">
        <f t="shared" si="115"/>
        <v>7304.8615692675103</v>
      </c>
    </row>
    <row r="432" spans="1:15" x14ac:dyDescent="0.25">
      <c r="A432" s="72">
        <f t="shared" si="116"/>
        <v>265</v>
      </c>
      <c r="B432" s="183">
        <f t="shared" si="111"/>
        <v>776956.45574716909</v>
      </c>
      <c r="C432" s="184">
        <f>-'Residential Rental'!$E$95/12</f>
        <v>9920.4635932643287</v>
      </c>
      <c r="D432" s="183">
        <f>'Residential Rental'!$E$93/12*B431</f>
        <v>3265.0494578441221</v>
      </c>
      <c r="E432" s="185">
        <f t="shared" si="112"/>
        <v>6655.4141354202065</v>
      </c>
      <c r="F432" s="72">
        <f t="shared" si="117"/>
        <v>265</v>
      </c>
      <c r="G432" s="180">
        <f t="shared" si="113"/>
        <v>74424.281162959887</v>
      </c>
      <c r="H432" s="186">
        <f>-'Residential Rental'!$E$100/12</f>
        <v>898.0893756176489</v>
      </c>
      <c r="I432" s="149">
        <f>'Residential Rental'!$E$98/12*G431</f>
        <v>219.05134764023379</v>
      </c>
      <c r="J432" s="187">
        <f t="shared" si="114"/>
        <v>679.03802797741514</v>
      </c>
      <c r="K432" s="72">
        <f t="shared" si="118"/>
        <v>265</v>
      </c>
      <c r="L432" s="180">
        <f t="shared" si="115"/>
        <v>851380.73691012897</v>
      </c>
      <c r="M432" s="181">
        <f t="shared" si="115"/>
        <v>10818.552968881977</v>
      </c>
      <c r="N432" s="180">
        <f t="shared" si="115"/>
        <v>3484.100805484356</v>
      </c>
      <c r="O432" s="132">
        <f t="shared" si="115"/>
        <v>7334.4521633976219</v>
      </c>
    </row>
    <row r="433" spans="1:15" x14ac:dyDescent="0.25">
      <c r="A433" s="72">
        <f t="shared" si="116"/>
        <v>266</v>
      </c>
      <c r="B433" s="183">
        <f t="shared" si="111"/>
        <v>770273.31071951799</v>
      </c>
      <c r="C433" s="184">
        <f>-'Residential Rental'!$E$95/12</f>
        <v>9920.4635932643287</v>
      </c>
      <c r="D433" s="183">
        <f>'Residential Rental'!$E$93/12*B432</f>
        <v>3237.3185656132046</v>
      </c>
      <c r="E433" s="185">
        <f t="shared" si="112"/>
        <v>6683.1450276511241</v>
      </c>
      <c r="F433" s="72">
        <f t="shared" si="117"/>
        <v>266</v>
      </c>
      <c r="G433" s="180">
        <f t="shared" si="113"/>
        <v>73743.262607400873</v>
      </c>
      <c r="H433" s="186">
        <f>-'Residential Rental'!$E$100/12</f>
        <v>898.0893756176489</v>
      </c>
      <c r="I433" s="149">
        <f>'Residential Rental'!$E$98/12*G432</f>
        <v>217.07082005863302</v>
      </c>
      <c r="J433" s="187">
        <f t="shared" si="114"/>
        <v>681.01855555901591</v>
      </c>
      <c r="K433" s="72">
        <f t="shared" si="118"/>
        <v>266</v>
      </c>
      <c r="L433" s="180">
        <f t="shared" si="115"/>
        <v>844016.57332691888</v>
      </c>
      <c r="M433" s="181">
        <f t="shared" si="115"/>
        <v>10818.552968881977</v>
      </c>
      <c r="N433" s="180">
        <f t="shared" si="115"/>
        <v>3454.3893856718378</v>
      </c>
      <c r="O433" s="132">
        <f t="shared" si="115"/>
        <v>7364.1635832101401</v>
      </c>
    </row>
    <row r="434" spans="1:15" x14ac:dyDescent="0.25">
      <c r="A434" s="72">
        <f t="shared" si="116"/>
        <v>267</v>
      </c>
      <c r="B434" s="183">
        <f t="shared" si="111"/>
        <v>763562.31925425166</v>
      </c>
      <c r="C434" s="184">
        <f>-'Residential Rental'!$E$95/12</f>
        <v>9920.4635932643287</v>
      </c>
      <c r="D434" s="183">
        <f>'Residential Rental'!$E$93/12*B433</f>
        <v>3209.4721279979917</v>
      </c>
      <c r="E434" s="185">
        <f t="shared" si="112"/>
        <v>6710.9914652663374</v>
      </c>
      <c r="F434" s="72">
        <f t="shared" si="117"/>
        <v>267</v>
      </c>
      <c r="G434" s="180">
        <f t="shared" si="113"/>
        <v>73060.25774772148</v>
      </c>
      <c r="H434" s="186">
        <f>-'Residential Rental'!$E$100/12</f>
        <v>898.0893756176489</v>
      </c>
      <c r="I434" s="149">
        <f>'Residential Rental'!$E$98/12*G433</f>
        <v>215.08451593825257</v>
      </c>
      <c r="J434" s="187">
        <f t="shared" si="114"/>
        <v>683.0048596793963</v>
      </c>
      <c r="K434" s="72">
        <f t="shared" si="118"/>
        <v>267</v>
      </c>
      <c r="L434" s="180">
        <f t="shared" si="115"/>
        <v>836622.57700197317</v>
      </c>
      <c r="M434" s="181">
        <f t="shared" si="115"/>
        <v>10818.552968881977</v>
      </c>
      <c r="N434" s="180">
        <f t="shared" si="115"/>
        <v>3424.5566439362442</v>
      </c>
      <c r="O434" s="132">
        <f t="shared" si="115"/>
        <v>7393.9963249457342</v>
      </c>
    </row>
    <row r="435" spans="1:15" x14ac:dyDescent="0.25">
      <c r="A435" s="72">
        <f t="shared" si="116"/>
        <v>268</v>
      </c>
      <c r="B435" s="183">
        <f t="shared" si="111"/>
        <v>756823.3653245467</v>
      </c>
      <c r="C435" s="184">
        <f>-'Residential Rental'!$E$95/12</f>
        <v>9920.4635932643287</v>
      </c>
      <c r="D435" s="183">
        <f>'Residential Rental'!$E$93/12*B434</f>
        <v>3181.5096635593818</v>
      </c>
      <c r="E435" s="185">
        <f t="shared" si="112"/>
        <v>6738.9539297049469</v>
      </c>
      <c r="F435" s="72">
        <f t="shared" si="117"/>
        <v>268</v>
      </c>
      <c r="G435" s="180">
        <f t="shared" si="113"/>
        <v>72375.260790534681</v>
      </c>
      <c r="H435" s="186">
        <f>-'Residential Rental'!$E$100/12</f>
        <v>898.0893756176489</v>
      </c>
      <c r="I435" s="149">
        <f>'Residential Rental'!$E$98/12*G434</f>
        <v>213.09241843085434</v>
      </c>
      <c r="J435" s="187">
        <f t="shared" si="114"/>
        <v>684.99695718679459</v>
      </c>
      <c r="K435" s="72">
        <f t="shared" si="118"/>
        <v>268</v>
      </c>
      <c r="L435" s="180">
        <f t="shared" si="115"/>
        <v>829198.62611508137</v>
      </c>
      <c r="M435" s="181">
        <f t="shared" si="115"/>
        <v>10818.552968881977</v>
      </c>
      <c r="N435" s="180">
        <f t="shared" si="115"/>
        <v>3394.602081990236</v>
      </c>
      <c r="O435" s="132">
        <f t="shared" si="115"/>
        <v>7423.9508868917419</v>
      </c>
    </row>
    <row r="436" spans="1:15" x14ac:dyDescent="0.25">
      <c r="A436" s="72">
        <f t="shared" si="116"/>
        <v>269</v>
      </c>
      <c r="B436" s="183">
        <f t="shared" si="111"/>
        <v>750056.33242013468</v>
      </c>
      <c r="C436" s="184">
        <f>-'Residential Rental'!$E$95/12</f>
        <v>9920.4635932643287</v>
      </c>
      <c r="D436" s="183">
        <f>'Residential Rental'!$E$93/12*B435</f>
        <v>3153.4306888522779</v>
      </c>
      <c r="E436" s="185">
        <f t="shared" si="112"/>
        <v>6767.0329044120508</v>
      </c>
      <c r="F436" s="72">
        <f t="shared" si="117"/>
        <v>269</v>
      </c>
      <c r="G436" s="180">
        <f t="shared" si="113"/>
        <v>71688.265925556087</v>
      </c>
      <c r="H436" s="186">
        <f>-'Residential Rental'!$E$100/12</f>
        <v>898.0893756176489</v>
      </c>
      <c r="I436" s="149">
        <f>'Residential Rental'!$E$98/12*G435</f>
        <v>211.09451063905951</v>
      </c>
      <c r="J436" s="187">
        <f t="shared" si="114"/>
        <v>686.99486497858936</v>
      </c>
      <c r="K436" s="72">
        <f t="shared" si="118"/>
        <v>269</v>
      </c>
      <c r="L436" s="180">
        <f t="shared" si="115"/>
        <v>821744.59834569076</v>
      </c>
      <c r="M436" s="181">
        <f t="shared" si="115"/>
        <v>10818.552968881977</v>
      </c>
      <c r="N436" s="180">
        <f t="shared" si="115"/>
        <v>3364.5251994913374</v>
      </c>
      <c r="O436" s="132">
        <f t="shared" si="115"/>
        <v>7454.0277693906401</v>
      </c>
    </row>
    <row r="437" spans="1:15" x14ac:dyDescent="0.25">
      <c r="A437" s="72">
        <f t="shared" si="116"/>
        <v>270</v>
      </c>
      <c r="B437" s="183">
        <f t="shared" si="111"/>
        <v>743261.10354528762</v>
      </c>
      <c r="C437" s="184">
        <f>-'Residential Rental'!$E$95/12</f>
        <v>9920.4635932643287</v>
      </c>
      <c r="D437" s="183">
        <f>'Residential Rental'!$E$93/12*B436</f>
        <v>3125.2347184172277</v>
      </c>
      <c r="E437" s="185">
        <f t="shared" si="112"/>
        <v>6795.228874847101</v>
      </c>
      <c r="F437" s="72">
        <f t="shared" si="117"/>
        <v>270</v>
      </c>
      <c r="G437" s="180">
        <f t="shared" si="113"/>
        <v>70999.26732555464</v>
      </c>
      <c r="H437" s="186">
        <f>-'Residential Rental'!$E$100/12</f>
        <v>898.0893756176489</v>
      </c>
      <c r="I437" s="149">
        <f>'Residential Rental'!$E$98/12*G436</f>
        <v>209.09077561620526</v>
      </c>
      <c r="J437" s="187">
        <f t="shared" si="114"/>
        <v>688.99860000144361</v>
      </c>
      <c r="K437" s="72">
        <f t="shared" si="118"/>
        <v>270</v>
      </c>
      <c r="L437" s="180">
        <f t="shared" si="115"/>
        <v>814260.37087084225</v>
      </c>
      <c r="M437" s="181">
        <f t="shared" si="115"/>
        <v>10818.552968881977</v>
      </c>
      <c r="N437" s="180">
        <f t="shared" si="115"/>
        <v>3334.3254940334327</v>
      </c>
      <c r="O437" s="132">
        <f t="shared" si="115"/>
        <v>7484.2274748485443</v>
      </c>
    </row>
    <row r="438" spans="1:15" x14ac:dyDescent="0.25">
      <c r="A438" s="72">
        <f t="shared" si="116"/>
        <v>271</v>
      </c>
      <c r="B438" s="183">
        <f t="shared" si="111"/>
        <v>736437.56121679535</v>
      </c>
      <c r="C438" s="184">
        <f>-'Residential Rental'!$E$95/12</f>
        <v>9920.4635932643287</v>
      </c>
      <c r="D438" s="183">
        <f>'Residential Rental'!$E$93/12*B437</f>
        <v>3096.9212647720319</v>
      </c>
      <c r="E438" s="185">
        <f t="shared" si="112"/>
        <v>6823.5423284922963</v>
      </c>
      <c r="F438" s="72">
        <f t="shared" si="117"/>
        <v>271</v>
      </c>
      <c r="G438" s="180">
        <f t="shared" si="113"/>
        <v>70308.259146303186</v>
      </c>
      <c r="H438" s="186">
        <f>-'Residential Rental'!$E$100/12</f>
        <v>898.0893756176489</v>
      </c>
      <c r="I438" s="149">
        <f>'Residential Rental'!$E$98/12*G437</f>
        <v>207.08119636620106</v>
      </c>
      <c r="J438" s="187">
        <f t="shared" si="114"/>
        <v>691.00817925144781</v>
      </c>
      <c r="K438" s="72">
        <f t="shared" si="118"/>
        <v>271</v>
      </c>
      <c r="L438" s="180">
        <f t="shared" si="115"/>
        <v>806745.82036309852</v>
      </c>
      <c r="M438" s="181">
        <f t="shared" si="115"/>
        <v>10818.552968881977</v>
      </c>
      <c r="N438" s="180">
        <f t="shared" si="115"/>
        <v>3304.0024611382328</v>
      </c>
      <c r="O438" s="132">
        <f t="shared" si="115"/>
        <v>7514.5505077437438</v>
      </c>
    </row>
    <row r="439" spans="1:15" x14ac:dyDescent="0.25">
      <c r="A439" s="72">
        <f t="shared" si="116"/>
        <v>272</v>
      </c>
      <c r="B439" s="183">
        <f t="shared" si="111"/>
        <v>729585.58746193431</v>
      </c>
      <c r="C439" s="184">
        <f>-'Residential Rental'!$E$95/12</f>
        <v>9920.4635932643287</v>
      </c>
      <c r="D439" s="183">
        <f>'Residential Rental'!$E$93/12*B438</f>
        <v>3068.489838403314</v>
      </c>
      <c r="E439" s="185">
        <f t="shared" si="112"/>
        <v>6851.9737548610146</v>
      </c>
      <c r="F439" s="72">
        <f t="shared" si="117"/>
        <v>272</v>
      </c>
      <c r="G439" s="180">
        <f t="shared" si="113"/>
        <v>69615.235526528922</v>
      </c>
      <c r="H439" s="186">
        <f>-'Residential Rental'!$E$100/12</f>
        <v>898.0893756176489</v>
      </c>
      <c r="I439" s="149">
        <f>'Residential Rental'!$E$98/12*G438</f>
        <v>205.0657558433843</v>
      </c>
      <c r="J439" s="187">
        <f t="shared" si="114"/>
        <v>693.0236197742646</v>
      </c>
      <c r="K439" s="72">
        <f t="shared" si="118"/>
        <v>272</v>
      </c>
      <c r="L439" s="180">
        <f t="shared" si="115"/>
        <v>799200.82298846322</v>
      </c>
      <c r="M439" s="181">
        <f t="shared" si="115"/>
        <v>10818.552968881977</v>
      </c>
      <c r="N439" s="180">
        <f t="shared" si="115"/>
        <v>3273.5555942466981</v>
      </c>
      <c r="O439" s="132">
        <f t="shared" si="115"/>
        <v>7544.9973746352789</v>
      </c>
    </row>
    <row r="440" spans="1:15" x14ac:dyDescent="0.25">
      <c r="A440" s="72">
        <f t="shared" si="116"/>
        <v>273</v>
      </c>
      <c r="B440" s="183">
        <f t="shared" si="111"/>
        <v>722705.06381642807</v>
      </c>
      <c r="C440" s="184">
        <f>-'Residential Rental'!$E$95/12</f>
        <v>9920.4635932643287</v>
      </c>
      <c r="D440" s="183">
        <f>'Residential Rental'!$E$93/12*B439</f>
        <v>3039.9399477580596</v>
      </c>
      <c r="E440" s="185">
        <f t="shared" si="112"/>
        <v>6880.5236455062695</v>
      </c>
      <c r="F440" s="72">
        <f t="shared" si="117"/>
        <v>273</v>
      </c>
      <c r="G440" s="180">
        <f t="shared" si="113"/>
        <v>68920.190587863646</v>
      </c>
      <c r="H440" s="186">
        <f>-'Residential Rental'!$E$100/12</f>
        <v>898.0893756176489</v>
      </c>
      <c r="I440" s="149">
        <f>'Residential Rental'!$E$98/12*G439</f>
        <v>203.04443695237603</v>
      </c>
      <c r="J440" s="187">
        <f t="shared" si="114"/>
        <v>695.04493866527287</v>
      </c>
      <c r="K440" s="72">
        <f t="shared" si="118"/>
        <v>273</v>
      </c>
      <c r="L440" s="180">
        <f t="shared" si="115"/>
        <v>791625.25440429174</v>
      </c>
      <c r="M440" s="181">
        <f t="shared" si="115"/>
        <v>10818.552968881977</v>
      </c>
      <c r="N440" s="180">
        <f t="shared" si="115"/>
        <v>3242.9843847104357</v>
      </c>
      <c r="O440" s="132">
        <f t="shared" si="115"/>
        <v>7575.5685841715422</v>
      </c>
    </row>
    <row r="441" spans="1:15" x14ac:dyDescent="0.25">
      <c r="A441" s="72">
        <f t="shared" si="116"/>
        <v>274</v>
      </c>
      <c r="B441" s="183">
        <f t="shared" si="111"/>
        <v>715795.87132239889</v>
      </c>
      <c r="C441" s="184">
        <f>-'Residential Rental'!$E$95/12</f>
        <v>9920.4635932643287</v>
      </c>
      <c r="D441" s="183">
        <f>'Residential Rental'!$E$93/12*B440</f>
        <v>3011.2710992351167</v>
      </c>
      <c r="E441" s="185">
        <f t="shared" si="112"/>
        <v>6909.192494029212</v>
      </c>
      <c r="F441" s="72">
        <f t="shared" si="117"/>
        <v>274</v>
      </c>
      <c r="G441" s="180">
        <f t="shared" si="113"/>
        <v>68223.118434793927</v>
      </c>
      <c r="H441" s="186">
        <f>-'Residential Rental'!$E$100/12</f>
        <v>898.0893756176489</v>
      </c>
      <c r="I441" s="149">
        <f>'Residential Rental'!$E$98/12*G440</f>
        <v>201.01722254793563</v>
      </c>
      <c r="J441" s="187">
        <f t="shared" si="114"/>
        <v>697.07215306971329</v>
      </c>
      <c r="K441" s="72">
        <f t="shared" si="118"/>
        <v>274</v>
      </c>
      <c r="L441" s="180">
        <f t="shared" si="115"/>
        <v>784018.98975719279</v>
      </c>
      <c r="M441" s="181">
        <f t="shared" si="115"/>
        <v>10818.552968881977</v>
      </c>
      <c r="N441" s="180">
        <f t="shared" si="115"/>
        <v>3212.2883217830522</v>
      </c>
      <c r="O441" s="132">
        <f t="shared" si="115"/>
        <v>7606.2646470989257</v>
      </c>
    </row>
    <row r="442" spans="1:15" x14ac:dyDescent="0.25">
      <c r="A442" s="72">
        <f t="shared" si="116"/>
        <v>275</v>
      </c>
      <c r="B442" s="183">
        <f t="shared" si="111"/>
        <v>708857.89052631124</v>
      </c>
      <c r="C442" s="184">
        <f>-'Residential Rental'!$E$95/12</f>
        <v>9920.4635932643287</v>
      </c>
      <c r="D442" s="183">
        <f>'Residential Rental'!$E$93/12*B441</f>
        <v>2982.4827971766622</v>
      </c>
      <c r="E442" s="185">
        <f t="shared" si="112"/>
        <v>6937.980796087666</v>
      </c>
      <c r="F442" s="72">
        <f t="shared" si="117"/>
        <v>275</v>
      </c>
      <c r="G442" s="180">
        <f t="shared" si="113"/>
        <v>67524.013154611093</v>
      </c>
      <c r="H442" s="186">
        <f>-'Residential Rental'!$E$100/12</f>
        <v>898.0893756176489</v>
      </c>
      <c r="I442" s="149">
        <f>'Residential Rental'!$E$98/12*G441</f>
        <v>198.98409543481563</v>
      </c>
      <c r="J442" s="187">
        <f t="shared" si="114"/>
        <v>699.10528018283321</v>
      </c>
      <c r="K442" s="72">
        <f t="shared" si="118"/>
        <v>275</v>
      </c>
      <c r="L442" s="180">
        <f t="shared" si="115"/>
        <v>776381.90368092235</v>
      </c>
      <c r="M442" s="181">
        <f t="shared" si="115"/>
        <v>10818.552968881977</v>
      </c>
      <c r="N442" s="180">
        <f t="shared" si="115"/>
        <v>3181.4668926114778</v>
      </c>
      <c r="O442" s="132">
        <f t="shared" si="115"/>
        <v>7637.0860762704997</v>
      </c>
    </row>
    <row r="443" spans="1:15" x14ac:dyDescent="0.25">
      <c r="A443" s="72">
        <f t="shared" si="116"/>
        <v>276</v>
      </c>
      <c r="B443" s="183">
        <f t="shared" si="111"/>
        <v>701891.00147690659</v>
      </c>
      <c r="C443" s="184">
        <f>-'Residential Rental'!$E$95/12</f>
        <v>9920.4635932643287</v>
      </c>
      <c r="D443" s="183">
        <f>'Residential Rental'!$E$93/12*B442</f>
        <v>2953.57454385963</v>
      </c>
      <c r="E443" s="185">
        <f t="shared" si="112"/>
        <v>6966.8890494046991</v>
      </c>
      <c r="F443" s="72">
        <f t="shared" si="117"/>
        <v>276</v>
      </c>
      <c r="G443" s="180">
        <f t="shared" si="113"/>
        <v>66822.868817361057</v>
      </c>
      <c r="H443" s="186">
        <f>-'Residential Rental'!$E$100/12</f>
        <v>898.0893756176489</v>
      </c>
      <c r="I443" s="149">
        <f>'Residential Rental'!$E$98/12*G442</f>
        <v>196.94503836761569</v>
      </c>
      <c r="J443" s="187">
        <f t="shared" si="114"/>
        <v>701.14433725003323</v>
      </c>
      <c r="K443" s="72">
        <f t="shared" si="118"/>
        <v>276</v>
      </c>
      <c r="L443" s="180">
        <f t="shared" si="115"/>
        <v>768713.87029426766</v>
      </c>
      <c r="M443" s="181">
        <f t="shared" si="115"/>
        <v>10818.552968881977</v>
      </c>
      <c r="N443" s="180">
        <f t="shared" si="115"/>
        <v>3150.5195822272458</v>
      </c>
      <c r="O443" s="132">
        <f t="shared" si="115"/>
        <v>7668.0333866547326</v>
      </c>
    </row>
    <row r="444" spans="1:15" x14ac:dyDescent="0.25">
      <c r="A444" s="72">
        <f t="shared" si="116"/>
        <v>277</v>
      </c>
      <c r="B444" s="183">
        <f t="shared" si="111"/>
        <v>694895.08372312936</v>
      </c>
      <c r="C444" s="184">
        <f>-'Residential Rental'!$E$95/12</f>
        <v>9920.4635932643287</v>
      </c>
      <c r="D444" s="183">
        <f>'Residential Rental'!$E$93/12*B443</f>
        <v>2924.5458394871107</v>
      </c>
      <c r="E444" s="185">
        <f t="shared" si="112"/>
        <v>6995.9177537772175</v>
      </c>
      <c r="F444" s="72">
        <f t="shared" si="117"/>
        <v>277</v>
      </c>
      <c r="G444" s="180">
        <f t="shared" si="113"/>
        <v>66119.679475794052</v>
      </c>
      <c r="H444" s="186">
        <f>-'Residential Rental'!$E$100/12</f>
        <v>898.0893756176489</v>
      </c>
      <c r="I444" s="149">
        <f>'Residential Rental'!$E$98/12*G443</f>
        <v>194.90003405063644</v>
      </c>
      <c r="J444" s="187">
        <f t="shared" si="114"/>
        <v>703.18934156701243</v>
      </c>
      <c r="K444" s="72">
        <f t="shared" si="118"/>
        <v>277</v>
      </c>
      <c r="L444" s="180">
        <f t="shared" si="115"/>
        <v>761014.76319892344</v>
      </c>
      <c r="M444" s="181">
        <f t="shared" si="115"/>
        <v>10818.552968881977</v>
      </c>
      <c r="N444" s="180">
        <f t="shared" si="115"/>
        <v>3119.445873537747</v>
      </c>
      <c r="O444" s="132">
        <f t="shared" si="115"/>
        <v>7699.1070953442304</v>
      </c>
    </row>
    <row r="445" spans="1:15" x14ac:dyDescent="0.25">
      <c r="A445" s="72">
        <f t="shared" si="116"/>
        <v>278</v>
      </c>
      <c r="B445" s="183">
        <f t="shared" si="111"/>
        <v>687870.0163120447</v>
      </c>
      <c r="C445" s="184">
        <f>-'Residential Rental'!$E$95/12</f>
        <v>9920.4635932643287</v>
      </c>
      <c r="D445" s="183">
        <f>'Residential Rental'!$E$93/12*B444</f>
        <v>2895.3961821797056</v>
      </c>
      <c r="E445" s="185">
        <f t="shared" si="112"/>
        <v>7025.067411084623</v>
      </c>
      <c r="F445" s="72">
        <f t="shared" si="117"/>
        <v>278</v>
      </c>
      <c r="G445" s="180">
        <f t="shared" si="113"/>
        <v>65414.439165314136</v>
      </c>
      <c r="H445" s="186">
        <f>-'Residential Rental'!$E$100/12</f>
        <v>898.0893756176489</v>
      </c>
      <c r="I445" s="149">
        <f>'Residential Rental'!$E$98/12*G444</f>
        <v>192.84906513773265</v>
      </c>
      <c r="J445" s="187">
        <f t="shared" si="114"/>
        <v>705.24031047991627</v>
      </c>
      <c r="K445" s="72">
        <f t="shared" si="118"/>
        <v>278</v>
      </c>
      <c r="L445" s="180">
        <f t="shared" si="115"/>
        <v>753284.45547735877</v>
      </c>
      <c r="M445" s="181">
        <f t="shared" si="115"/>
        <v>10818.552968881977</v>
      </c>
      <c r="N445" s="180">
        <f t="shared" si="115"/>
        <v>3088.2452473174385</v>
      </c>
      <c r="O445" s="132">
        <f t="shared" si="115"/>
        <v>7730.307721564539</v>
      </c>
    </row>
    <row r="446" spans="1:15" x14ac:dyDescent="0.25">
      <c r="A446" s="72">
        <f t="shared" si="116"/>
        <v>279</v>
      </c>
      <c r="B446" s="183">
        <f t="shared" si="111"/>
        <v>680815.67778674723</v>
      </c>
      <c r="C446" s="184">
        <f>-'Residential Rental'!$E$95/12</f>
        <v>9920.4635932643287</v>
      </c>
      <c r="D446" s="183">
        <f>'Residential Rental'!$E$93/12*B445</f>
        <v>2866.1250679668528</v>
      </c>
      <c r="E446" s="185">
        <f t="shared" si="112"/>
        <v>7054.3385252974758</v>
      </c>
      <c r="F446" s="72">
        <f t="shared" si="117"/>
        <v>279</v>
      </c>
      <c r="G446" s="180">
        <f t="shared" si="113"/>
        <v>64707.141903928656</v>
      </c>
      <c r="H446" s="186">
        <f>-'Residential Rental'!$E$100/12</f>
        <v>898.0893756176489</v>
      </c>
      <c r="I446" s="149">
        <f>'Residential Rental'!$E$98/12*G445</f>
        <v>190.79211423216623</v>
      </c>
      <c r="J446" s="187">
        <f t="shared" si="114"/>
        <v>707.29726138548267</v>
      </c>
      <c r="K446" s="72">
        <f t="shared" si="118"/>
        <v>279</v>
      </c>
      <c r="L446" s="180">
        <f t="shared" si="115"/>
        <v>745522.81969067594</v>
      </c>
      <c r="M446" s="181">
        <f t="shared" si="115"/>
        <v>10818.552968881977</v>
      </c>
      <c r="N446" s="180">
        <f t="shared" si="115"/>
        <v>3056.917182199019</v>
      </c>
      <c r="O446" s="132">
        <f t="shared" si="115"/>
        <v>7761.6357866829585</v>
      </c>
    </row>
    <row r="447" spans="1:15" x14ac:dyDescent="0.25">
      <c r="A447" s="72">
        <f t="shared" si="116"/>
        <v>280</v>
      </c>
      <c r="B447" s="183">
        <f t="shared" si="111"/>
        <v>673731.946184261</v>
      </c>
      <c r="C447" s="184">
        <f>-'Residential Rental'!$E$95/12</f>
        <v>9920.4635932643287</v>
      </c>
      <c r="D447" s="183">
        <f>'Residential Rental'!$E$93/12*B446</f>
        <v>2836.7319907781134</v>
      </c>
      <c r="E447" s="185">
        <f t="shared" si="112"/>
        <v>7083.7316024862157</v>
      </c>
      <c r="F447" s="72">
        <f t="shared" si="117"/>
        <v>280</v>
      </c>
      <c r="G447" s="180">
        <f t="shared" si="113"/>
        <v>63997.781692197466</v>
      </c>
      <c r="H447" s="186">
        <f>-'Residential Rental'!$E$100/12</f>
        <v>898.0893756176489</v>
      </c>
      <c r="I447" s="149">
        <f>'Residential Rental'!$E$98/12*G446</f>
        <v>188.72916388645859</v>
      </c>
      <c r="J447" s="187">
        <f t="shared" si="114"/>
        <v>709.36021173119025</v>
      </c>
      <c r="K447" s="72">
        <f t="shared" si="118"/>
        <v>280</v>
      </c>
      <c r="L447" s="180">
        <f t="shared" si="115"/>
        <v>737729.72787645843</v>
      </c>
      <c r="M447" s="181">
        <f t="shared" si="115"/>
        <v>10818.552968881977</v>
      </c>
      <c r="N447" s="180">
        <f t="shared" si="115"/>
        <v>3025.4611546645719</v>
      </c>
      <c r="O447" s="132">
        <f t="shared" si="115"/>
        <v>7793.091814217406</v>
      </c>
    </row>
    <row r="448" spans="1:15" x14ac:dyDescent="0.25">
      <c r="A448" s="72">
        <f t="shared" si="116"/>
        <v>281</v>
      </c>
      <c r="B448" s="183">
        <f t="shared" si="111"/>
        <v>666618.69903343113</v>
      </c>
      <c r="C448" s="184">
        <f>-'Residential Rental'!$E$95/12</f>
        <v>9920.4635932643287</v>
      </c>
      <c r="D448" s="183">
        <f>'Residential Rental'!$E$93/12*B447</f>
        <v>2807.216442434421</v>
      </c>
      <c r="E448" s="185">
        <f t="shared" si="112"/>
        <v>7113.2471508299077</v>
      </c>
      <c r="F448" s="72">
        <f t="shared" si="117"/>
        <v>281</v>
      </c>
      <c r="G448" s="180">
        <f t="shared" si="113"/>
        <v>63286.352513182057</v>
      </c>
      <c r="H448" s="186">
        <f>-'Residential Rental'!$E$100/12</f>
        <v>898.0893756176489</v>
      </c>
      <c r="I448" s="149">
        <f>'Residential Rental'!$E$98/12*G447</f>
        <v>186.66019660224262</v>
      </c>
      <c r="J448" s="187">
        <f t="shared" si="114"/>
        <v>711.42917901540625</v>
      </c>
      <c r="K448" s="72">
        <f t="shared" si="118"/>
        <v>281</v>
      </c>
      <c r="L448" s="180">
        <f t="shared" si="115"/>
        <v>729905.05154661322</v>
      </c>
      <c r="M448" s="181">
        <f t="shared" si="115"/>
        <v>10818.552968881977</v>
      </c>
      <c r="N448" s="180">
        <f t="shared" si="115"/>
        <v>2993.8766390366636</v>
      </c>
      <c r="O448" s="132">
        <f t="shared" si="115"/>
        <v>7824.6763298453143</v>
      </c>
    </row>
    <row r="449" spans="1:15" x14ac:dyDescent="0.25">
      <c r="A449" s="72">
        <f t="shared" si="116"/>
        <v>282</v>
      </c>
      <c r="B449" s="183">
        <f t="shared" si="111"/>
        <v>659475.81335280614</v>
      </c>
      <c r="C449" s="184">
        <f>-'Residential Rental'!$E$95/12</f>
        <v>9920.4635932643287</v>
      </c>
      <c r="D449" s="183">
        <f>'Residential Rental'!$E$93/12*B448</f>
        <v>2777.5779126392963</v>
      </c>
      <c r="E449" s="185">
        <f t="shared" si="112"/>
        <v>7142.8856806250324</v>
      </c>
      <c r="F449" s="72">
        <f t="shared" si="117"/>
        <v>282</v>
      </c>
      <c r="G449" s="180">
        <f t="shared" si="113"/>
        <v>62572.848332394526</v>
      </c>
      <c r="H449" s="186">
        <f>-'Residential Rental'!$E$100/12</f>
        <v>898.0893756176489</v>
      </c>
      <c r="I449" s="149">
        <f>'Residential Rental'!$E$98/12*G448</f>
        <v>184.58519483011435</v>
      </c>
      <c r="J449" s="187">
        <f t="shared" si="114"/>
        <v>713.50418078753455</v>
      </c>
      <c r="K449" s="72">
        <f t="shared" si="118"/>
        <v>282</v>
      </c>
      <c r="L449" s="180">
        <f t="shared" si="115"/>
        <v>722048.66168520064</v>
      </c>
      <c r="M449" s="181">
        <f t="shared" si="115"/>
        <v>10818.552968881977</v>
      </c>
      <c r="N449" s="180">
        <f t="shared" si="115"/>
        <v>2962.1631074694105</v>
      </c>
      <c r="O449" s="132">
        <f t="shared" si="115"/>
        <v>7856.3898614125665</v>
      </c>
    </row>
    <row r="450" spans="1:15" x14ac:dyDescent="0.25">
      <c r="A450" s="72">
        <f t="shared" si="116"/>
        <v>283</v>
      </c>
      <c r="B450" s="183">
        <f t="shared" si="111"/>
        <v>652303.16564851184</v>
      </c>
      <c r="C450" s="184">
        <f>-'Residential Rental'!$E$95/12</f>
        <v>9920.4635932643287</v>
      </c>
      <c r="D450" s="183">
        <f>'Residential Rental'!$E$93/12*B449</f>
        <v>2747.8158889700258</v>
      </c>
      <c r="E450" s="185">
        <f t="shared" si="112"/>
        <v>7172.6477042943025</v>
      </c>
      <c r="F450" s="72">
        <f t="shared" si="117"/>
        <v>283</v>
      </c>
      <c r="G450" s="180">
        <f t="shared" si="113"/>
        <v>61857.263097746363</v>
      </c>
      <c r="H450" s="186">
        <f>-'Residential Rental'!$E$100/12</f>
        <v>898.0893756176489</v>
      </c>
      <c r="I450" s="149">
        <f>'Residential Rental'!$E$98/12*G449</f>
        <v>182.50414096948404</v>
      </c>
      <c r="J450" s="187">
        <f t="shared" si="114"/>
        <v>715.58523464816483</v>
      </c>
      <c r="K450" s="72">
        <f t="shared" si="118"/>
        <v>283</v>
      </c>
      <c r="L450" s="180">
        <f t="shared" si="115"/>
        <v>714160.42874625826</v>
      </c>
      <c r="M450" s="181">
        <f t="shared" si="115"/>
        <v>10818.552968881977</v>
      </c>
      <c r="N450" s="180">
        <f t="shared" si="115"/>
        <v>2930.3200299395098</v>
      </c>
      <c r="O450" s="132">
        <f t="shared" si="115"/>
        <v>7888.2329389424676</v>
      </c>
    </row>
    <row r="451" spans="1:15" x14ac:dyDescent="0.25">
      <c r="A451" s="72">
        <f t="shared" si="116"/>
        <v>284</v>
      </c>
      <c r="B451" s="183">
        <f t="shared" si="111"/>
        <v>645100.63191211631</v>
      </c>
      <c r="C451" s="184">
        <f>-'Residential Rental'!$E$95/12</f>
        <v>9920.4635932643287</v>
      </c>
      <c r="D451" s="183">
        <f>'Residential Rental'!$E$93/12*B450</f>
        <v>2717.9298568687991</v>
      </c>
      <c r="E451" s="185">
        <f t="shared" si="112"/>
        <v>7202.5337363955296</v>
      </c>
      <c r="F451" s="72">
        <f t="shared" si="117"/>
        <v>284</v>
      </c>
      <c r="G451" s="180">
        <f t="shared" si="113"/>
        <v>61139.590739497144</v>
      </c>
      <c r="H451" s="186">
        <f>-'Residential Rental'!$E$100/12</f>
        <v>898.0893756176489</v>
      </c>
      <c r="I451" s="149">
        <f>'Residential Rental'!$E$98/12*G450</f>
        <v>180.41701736842691</v>
      </c>
      <c r="J451" s="187">
        <f t="shared" si="114"/>
        <v>717.67235824922204</v>
      </c>
      <c r="K451" s="72">
        <f t="shared" si="118"/>
        <v>284</v>
      </c>
      <c r="L451" s="180">
        <f t="shared" si="115"/>
        <v>706240.22265161341</v>
      </c>
      <c r="M451" s="181">
        <f t="shared" si="115"/>
        <v>10818.552968881977</v>
      </c>
      <c r="N451" s="180">
        <f t="shared" si="115"/>
        <v>2898.3468742372261</v>
      </c>
      <c r="O451" s="132">
        <f t="shared" si="115"/>
        <v>7920.2060946447518</v>
      </c>
    </row>
    <row r="452" spans="1:15" x14ac:dyDescent="0.25">
      <c r="A452" s="72">
        <f t="shared" si="116"/>
        <v>285</v>
      </c>
      <c r="B452" s="183">
        <f t="shared" si="111"/>
        <v>637868.08761848579</v>
      </c>
      <c r="C452" s="184">
        <f>-'Residential Rental'!$E$95/12</f>
        <v>9920.4635932643287</v>
      </c>
      <c r="D452" s="183">
        <f>'Residential Rental'!$E$93/12*B451</f>
        <v>2687.9192996338179</v>
      </c>
      <c r="E452" s="185">
        <f t="shared" si="112"/>
        <v>7232.5442936305108</v>
      </c>
      <c r="F452" s="72">
        <f t="shared" si="117"/>
        <v>285</v>
      </c>
      <c r="G452" s="180">
        <f t="shared" si="113"/>
        <v>60419.825170203025</v>
      </c>
      <c r="H452" s="186">
        <f>-'Residential Rental'!$E$100/12</f>
        <v>898.0893756176489</v>
      </c>
      <c r="I452" s="149">
        <f>'Residential Rental'!$E$98/12*G451</f>
        <v>178.32380632353335</v>
      </c>
      <c r="J452" s="187">
        <f t="shared" si="114"/>
        <v>719.76556929411549</v>
      </c>
      <c r="K452" s="72">
        <f t="shared" si="118"/>
        <v>285</v>
      </c>
      <c r="L452" s="180">
        <f t="shared" si="115"/>
        <v>698287.91278868879</v>
      </c>
      <c r="M452" s="181">
        <f t="shared" si="115"/>
        <v>10818.552968881977</v>
      </c>
      <c r="N452" s="180">
        <f t="shared" si="115"/>
        <v>2866.2431059573514</v>
      </c>
      <c r="O452" s="132">
        <f t="shared" si="115"/>
        <v>7952.309862924626</v>
      </c>
    </row>
    <row r="453" spans="1:15" x14ac:dyDescent="0.25">
      <c r="A453" s="72">
        <f t="shared" si="116"/>
        <v>286</v>
      </c>
      <c r="B453" s="183">
        <f t="shared" si="111"/>
        <v>630605.40772363183</v>
      </c>
      <c r="C453" s="184">
        <f>-'Residential Rental'!$E$95/12</f>
        <v>9920.4635932643287</v>
      </c>
      <c r="D453" s="183">
        <f>'Residential Rental'!$E$93/12*B452</f>
        <v>2657.7836984103574</v>
      </c>
      <c r="E453" s="185">
        <f t="shared" si="112"/>
        <v>7262.6798948539708</v>
      </c>
      <c r="F453" s="72">
        <f t="shared" si="117"/>
        <v>286</v>
      </c>
      <c r="G453" s="180">
        <f t="shared" si="113"/>
        <v>59697.960284665132</v>
      </c>
      <c r="H453" s="186">
        <f>-'Residential Rental'!$E$100/12</f>
        <v>898.0893756176489</v>
      </c>
      <c r="I453" s="149">
        <f>'Residential Rental'!$E$98/12*G452</f>
        <v>176.22449007975882</v>
      </c>
      <c r="J453" s="187">
        <f t="shared" si="114"/>
        <v>721.86488553789013</v>
      </c>
      <c r="K453" s="72">
        <f t="shared" si="118"/>
        <v>286</v>
      </c>
      <c r="L453" s="180">
        <f t="shared" si="115"/>
        <v>690303.36800829694</v>
      </c>
      <c r="M453" s="181">
        <f t="shared" si="115"/>
        <v>10818.552968881977</v>
      </c>
      <c r="N453" s="180">
        <f t="shared" si="115"/>
        <v>2834.008188490116</v>
      </c>
      <c r="O453" s="132">
        <f t="shared" si="115"/>
        <v>7984.5447803918614</v>
      </c>
    </row>
    <row r="454" spans="1:15" x14ac:dyDescent="0.25">
      <c r="A454" s="72">
        <f t="shared" si="116"/>
        <v>287</v>
      </c>
      <c r="B454" s="183">
        <f t="shared" si="111"/>
        <v>623312.4666625493</v>
      </c>
      <c r="C454" s="184">
        <f>-'Residential Rental'!$E$95/12</f>
        <v>9920.4635932643287</v>
      </c>
      <c r="D454" s="183">
        <f>'Residential Rental'!$E$93/12*B453</f>
        <v>2627.5225321817993</v>
      </c>
      <c r="E454" s="185">
        <f t="shared" si="112"/>
        <v>7292.9410610825289</v>
      </c>
      <c r="F454" s="72">
        <f t="shared" si="117"/>
        <v>287</v>
      </c>
      <c r="G454" s="180">
        <f t="shared" si="113"/>
        <v>58973.989959877756</v>
      </c>
      <c r="H454" s="186">
        <f>-'Residential Rental'!$E$100/12</f>
        <v>898.0893756176489</v>
      </c>
      <c r="I454" s="149">
        <f>'Residential Rental'!$E$98/12*G453</f>
        <v>174.11905083027332</v>
      </c>
      <c r="J454" s="187">
        <f t="shared" si="114"/>
        <v>723.9703247873756</v>
      </c>
      <c r="K454" s="72">
        <f t="shared" si="118"/>
        <v>287</v>
      </c>
      <c r="L454" s="180">
        <f t="shared" si="115"/>
        <v>682286.4566224271</v>
      </c>
      <c r="M454" s="181">
        <f t="shared" si="115"/>
        <v>10818.552968881977</v>
      </c>
      <c r="N454" s="180">
        <f t="shared" si="115"/>
        <v>2801.6415830120727</v>
      </c>
      <c r="O454" s="132">
        <f t="shared" si="115"/>
        <v>8016.9113858699047</v>
      </c>
    </row>
    <row r="455" spans="1:15" x14ac:dyDescent="0.25">
      <c r="A455" s="72">
        <f t="shared" si="116"/>
        <v>288</v>
      </c>
      <c r="B455" s="183">
        <f t="shared" si="111"/>
        <v>615989.13834704563</v>
      </c>
      <c r="C455" s="184">
        <f>-'Residential Rental'!$E$95/12</f>
        <v>9920.4635932643287</v>
      </c>
      <c r="D455" s="183">
        <f>'Residential Rental'!$E$93/12*B454</f>
        <v>2597.1352777606221</v>
      </c>
      <c r="E455" s="185">
        <f t="shared" si="112"/>
        <v>7323.3283155037061</v>
      </c>
      <c r="F455" s="72">
        <f t="shared" si="117"/>
        <v>288</v>
      </c>
      <c r="G455" s="180">
        <f t="shared" si="113"/>
        <v>58247.908054976418</v>
      </c>
      <c r="H455" s="186">
        <f>-'Residential Rental'!$E$100/12</f>
        <v>898.0893756176489</v>
      </c>
      <c r="I455" s="149">
        <f>'Residential Rental'!$E$98/12*G454</f>
        <v>172.00747071631014</v>
      </c>
      <c r="J455" s="187">
        <f t="shared" si="114"/>
        <v>726.0819049013387</v>
      </c>
      <c r="K455" s="72">
        <f t="shared" si="118"/>
        <v>288</v>
      </c>
      <c r="L455" s="180">
        <f t="shared" si="115"/>
        <v>674237.04640202201</v>
      </c>
      <c r="M455" s="181">
        <f t="shared" si="115"/>
        <v>10818.552968881977</v>
      </c>
      <c r="N455" s="180">
        <f t="shared" si="115"/>
        <v>2769.1427484769324</v>
      </c>
      <c r="O455" s="132">
        <f t="shared" si="115"/>
        <v>8049.410220405045</v>
      </c>
    </row>
    <row r="456" spans="1:15" x14ac:dyDescent="0.25">
      <c r="A456" s="72">
        <f t="shared" si="116"/>
        <v>289</v>
      </c>
      <c r="B456" s="183">
        <f t="shared" si="111"/>
        <v>608635.29616356071</v>
      </c>
      <c r="C456" s="184">
        <f>-'Residential Rental'!$E$95/12</f>
        <v>9920.4635932643287</v>
      </c>
      <c r="D456" s="183">
        <f>'Residential Rental'!$E$93/12*B455</f>
        <v>2566.6214097793568</v>
      </c>
      <c r="E456" s="185">
        <f t="shared" si="112"/>
        <v>7353.8421834849723</v>
      </c>
      <c r="F456" s="72">
        <f t="shared" si="117"/>
        <v>289</v>
      </c>
      <c r="G456" s="180">
        <f t="shared" si="113"/>
        <v>57519.708411185784</v>
      </c>
      <c r="H456" s="186">
        <f>-'Residential Rental'!$E$100/12</f>
        <v>898.0893756176489</v>
      </c>
      <c r="I456" s="149">
        <f>'Residential Rental'!$E$98/12*G455</f>
        <v>169.88973182701457</v>
      </c>
      <c r="J456" s="187">
        <f t="shared" si="114"/>
        <v>728.19964379063435</v>
      </c>
      <c r="K456" s="72">
        <f t="shared" si="118"/>
        <v>289</v>
      </c>
      <c r="L456" s="180">
        <f t="shared" si="115"/>
        <v>666155.00457474648</v>
      </c>
      <c r="M456" s="181">
        <f t="shared" si="115"/>
        <v>10818.552968881977</v>
      </c>
      <c r="N456" s="180">
        <f t="shared" si="115"/>
        <v>2736.5111416063714</v>
      </c>
      <c r="O456" s="132">
        <f t="shared" si="115"/>
        <v>8082.0418272756069</v>
      </c>
    </row>
    <row r="457" spans="1:15" x14ac:dyDescent="0.25">
      <c r="A457" s="72">
        <f t="shared" si="116"/>
        <v>290</v>
      </c>
      <c r="B457" s="183">
        <f t="shared" si="111"/>
        <v>601250.81297097786</v>
      </c>
      <c r="C457" s="184">
        <f>-'Residential Rental'!$E$95/12</f>
        <v>9920.4635932643287</v>
      </c>
      <c r="D457" s="183">
        <f>'Residential Rental'!$E$93/12*B456</f>
        <v>2535.9804006815029</v>
      </c>
      <c r="E457" s="185">
        <f t="shared" si="112"/>
        <v>7384.4831925828257</v>
      </c>
      <c r="F457" s="72">
        <f t="shared" si="117"/>
        <v>290</v>
      </c>
      <c r="G457" s="180">
        <f t="shared" si="113"/>
        <v>56789.384851767427</v>
      </c>
      <c r="H457" s="186">
        <f>-'Residential Rental'!$E$100/12</f>
        <v>898.0893756176489</v>
      </c>
      <c r="I457" s="149">
        <f>'Residential Rental'!$E$98/12*G456</f>
        <v>167.76581619929189</v>
      </c>
      <c r="J457" s="187">
        <f t="shared" si="114"/>
        <v>730.32355941835704</v>
      </c>
      <c r="K457" s="72">
        <f t="shared" si="118"/>
        <v>290</v>
      </c>
      <c r="L457" s="180">
        <f t="shared" si="115"/>
        <v>658040.19782274531</v>
      </c>
      <c r="M457" s="181">
        <f t="shared" si="115"/>
        <v>10818.552968881977</v>
      </c>
      <c r="N457" s="180">
        <f t="shared" si="115"/>
        <v>2703.7462168807947</v>
      </c>
      <c r="O457" s="132">
        <f t="shared" si="115"/>
        <v>8114.8067520011828</v>
      </c>
    </row>
    <row r="458" spans="1:15" x14ac:dyDescent="0.25">
      <c r="A458" s="72">
        <f t="shared" si="116"/>
        <v>291</v>
      </c>
      <c r="B458" s="183">
        <f t="shared" si="111"/>
        <v>593835.56109842588</v>
      </c>
      <c r="C458" s="184">
        <f>-'Residential Rental'!$E$95/12</f>
        <v>9920.4635932643287</v>
      </c>
      <c r="D458" s="183">
        <f>'Residential Rental'!$E$93/12*B457</f>
        <v>2505.2117207124079</v>
      </c>
      <c r="E458" s="185">
        <f t="shared" si="112"/>
        <v>7415.2518725519203</v>
      </c>
      <c r="F458" s="72">
        <f t="shared" si="117"/>
        <v>291</v>
      </c>
      <c r="G458" s="180">
        <f t="shared" si="113"/>
        <v>56056.931181967433</v>
      </c>
      <c r="H458" s="186">
        <f>-'Residential Rental'!$E$100/12</f>
        <v>898.0893756176489</v>
      </c>
      <c r="I458" s="149">
        <f>'Residential Rental'!$E$98/12*G457</f>
        <v>165.63570581765501</v>
      </c>
      <c r="J458" s="187">
        <f t="shared" si="114"/>
        <v>732.45366979999392</v>
      </c>
      <c r="K458" s="72">
        <f t="shared" si="118"/>
        <v>291</v>
      </c>
      <c r="L458" s="180">
        <f t="shared" si="115"/>
        <v>649892.49228039337</v>
      </c>
      <c r="M458" s="181">
        <f t="shared" si="115"/>
        <v>10818.552968881977</v>
      </c>
      <c r="N458" s="180">
        <f t="shared" si="115"/>
        <v>2670.8474265300629</v>
      </c>
      <c r="O458" s="132">
        <f t="shared" si="115"/>
        <v>8147.7055423519141</v>
      </c>
    </row>
    <row r="459" spans="1:15" x14ac:dyDescent="0.25">
      <c r="A459" s="72">
        <f t="shared" si="116"/>
        <v>292</v>
      </c>
      <c r="B459" s="183">
        <f t="shared" si="111"/>
        <v>586389.41234307166</v>
      </c>
      <c r="C459" s="184">
        <f>-'Residential Rental'!$E$95/12</f>
        <v>9920.4635932643287</v>
      </c>
      <c r="D459" s="183">
        <f>'Residential Rental'!$E$93/12*B458</f>
        <v>2474.3148379101076</v>
      </c>
      <c r="E459" s="185">
        <f t="shared" si="112"/>
        <v>7446.1487553542211</v>
      </c>
      <c r="F459" s="72">
        <f t="shared" si="117"/>
        <v>292</v>
      </c>
      <c r="G459" s="180">
        <f t="shared" si="113"/>
        <v>55322.341188963859</v>
      </c>
      <c r="H459" s="186">
        <f>-'Residential Rental'!$E$100/12</f>
        <v>898.0893756176489</v>
      </c>
      <c r="I459" s="149">
        <f>'Residential Rental'!$E$98/12*G458</f>
        <v>163.49938261407169</v>
      </c>
      <c r="J459" s="187">
        <f t="shared" si="114"/>
        <v>734.58999300357721</v>
      </c>
      <c r="K459" s="72">
        <f t="shared" si="118"/>
        <v>292</v>
      </c>
      <c r="L459" s="180">
        <f t="shared" si="115"/>
        <v>641711.75353203551</v>
      </c>
      <c r="M459" s="181">
        <f t="shared" si="115"/>
        <v>10818.552968881977</v>
      </c>
      <c r="N459" s="180">
        <f t="shared" si="115"/>
        <v>2637.8142205241793</v>
      </c>
      <c r="O459" s="132">
        <f t="shared" si="115"/>
        <v>8180.7387483577986</v>
      </c>
    </row>
    <row r="460" spans="1:15" x14ac:dyDescent="0.25">
      <c r="A460" s="72">
        <f t="shared" si="116"/>
        <v>293</v>
      </c>
      <c r="B460" s="183">
        <f t="shared" si="111"/>
        <v>578912.23796790349</v>
      </c>
      <c r="C460" s="184">
        <f>-'Residential Rental'!$E$95/12</f>
        <v>9920.4635932643287</v>
      </c>
      <c r="D460" s="183">
        <f>'Residential Rental'!$E$93/12*B459</f>
        <v>2443.2892180961317</v>
      </c>
      <c r="E460" s="185">
        <f t="shared" si="112"/>
        <v>7477.174375168197</v>
      </c>
      <c r="F460" s="72">
        <f t="shared" si="117"/>
        <v>293</v>
      </c>
      <c r="G460" s="180">
        <f t="shared" si="113"/>
        <v>54585.608641814018</v>
      </c>
      <c r="H460" s="186">
        <f>-'Residential Rental'!$E$100/12</f>
        <v>898.0893756176489</v>
      </c>
      <c r="I460" s="149">
        <f>'Residential Rental'!$E$98/12*G459</f>
        <v>161.35682846781125</v>
      </c>
      <c r="J460" s="187">
        <f t="shared" si="114"/>
        <v>736.73254714983761</v>
      </c>
      <c r="K460" s="72">
        <f t="shared" si="118"/>
        <v>293</v>
      </c>
      <c r="L460" s="180">
        <f t="shared" si="115"/>
        <v>633497.84660971747</v>
      </c>
      <c r="M460" s="181">
        <f t="shared" si="115"/>
        <v>10818.552968881977</v>
      </c>
      <c r="N460" s="180">
        <f t="shared" si="115"/>
        <v>2604.6460465639429</v>
      </c>
      <c r="O460" s="132">
        <f t="shared" si="115"/>
        <v>8213.906922318034</v>
      </c>
    </row>
    <row r="461" spans="1:15" x14ac:dyDescent="0.25">
      <c r="A461" s="72">
        <f t="shared" si="116"/>
        <v>294</v>
      </c>
      <c r="B461" s="183">
        <f t="shared" si="111"/>
        <v>571403.90869950538</v>
      </c>
      <c r="C461" s="184">
        <f>-'Residential Rental'!$E$95/12</f>
        <v>9920.4635932643287</v>
      </c>
      <c r="D461" s="183">
        <f>'Residential Rental'!$E$93/12*B460</f>
        <v>2412.1343248662647</v>
      </c>
      <c r="E461" s="185">
        <f t="shared" si="112"/>
        <v>7508.3292683980635</v>
      </c>
      <c r="F461" s="72">
        <f t="shared" si="117"/>
        <v>294</v>
      </c>
      <c r="G461" s="180">
        <f t="shared" si="113"/>
        <v>53846.727291401658</v>
      </c>
      <c r="H461" s="186">
        <f>-'Residential Rental'!$E$100/12</f>
        <v>898.0893756176489</v>
      </c>
      <c r="I461" s="149">
        <f>'Residential Rental'!$E$98/12*G460</f>
        <v>159.20802520529088</v>
      </c>
      <c r="J461" s="187">
        <f t="shared" si="114"/>
        <v>738.88135041235796</v>
      </c>
      <c r="K461" s="72">
        <f t="shared" si="118"/>
        <v>294</v>
      </c>
      <c r="L461" s="180">
        <f t="shared" si="115"/>
        <v>625250.63599090709</v>
      </c>
      <c r="M461" s="181">
        <f t="shared" si="115"/>
        <v>10818.552968881977</v>
      </c>
      <c r="N461" s="180">
        <f t="shared" si="115"/>
        <v>2571.3423500715558</v>
      </c>
      <c r="O461" s="132">
        <f t="shared" si="115"/>
        <v>8247.2106188104208</v>
      </c>
    </row>
    <row r="462" spans="1:15" x14ac:dyDescent="0.25">
      <c r="A462" s="72">
        <f t="shared" si="116"/>
        <v>295</v>
      </c>
      <c r="B462" s="183">
        <f t="shared" si="111"/>
        <v>563864.29472582228</v>
      </c>
      <c r="C462" s="184">
        <f>-'Residential Rental'!$E$95/12</f>
        <v>9920.4635932643287</v>
      </c>
      <c r="D462" s="183">
        <f>'Residential Rental'!$E$93/12*B461</f>
        <v>2380.8496195812722</v>
      </c>
      <c r="E462" s="185">
        <f t="shared" si="112"/>
        <v>7539.6139736830564</v>
      </c>
      <c r="F462" s="72">
        <f t="shared" si="117"/>
        <v>295</v>
      </c>
      <c r="G462" s="180">
        <f t="shared" si="113"/>
        <v>53105.690870383929</v>
      </c>
      <c r="H462" s="186">
        <f>-'Residential Rental'!$E$100/12</f>
        <v>898.0893756176489</v>
      </c>
      <c r="I462" s="149">
        <f>'Residential Rental'!$E$98/12*G461</f>
        <v>157.05295459992152</v>
      </c>
      <c r="J462" s="187">
        <f t="shared" si="114"/>
        <v>741.03642101772743</v>
      </c>
      <c r="K462" s="72">
        <f t="shared" si="118"/>
        <v>295</v>
      </c>
      <c r="L462" s="180">
        <f t="shared" si="115"/>
        <v>616969.98559620627</v>
      </c>
      <c r="M462" s="181">
        <f t="shared" si="115"/>
        <v>10818.552968881977</v>
      </c>
      <c r="N462" s="180">
        <f t="shared" si="115"/>
        <v>2537.9025741811938</v>
      </c>
      <c r="O462" s="132">
        <f t="shared" si="115"/>
        <v>8280.6503947007841</v>
      </c>
    </row>
    <row r="463" spans="1:15" x14ac:dyDescent="0.25">
      <c r="A463" s="72">
        <f t="shared" si="116"/>
        <v>296</v>
      </c>
      <c r="B463" s="183">
        <f t="shared" si="111"/>
        <v>556293.26569391554</v>
      </c>
      <c r="C463" s="184">
        <f>-'Residential Rental'!$E$95/12</f>
        <v>9920.4635932643287</v>
      </c>
      <c r="D463" s="183">
        <f>'Residential Rental'!$E$93/12*B462</f>
        <v>2349.4345613575929</v>
      </c>
      <c r="E463" s="185">
        <f t="shared" si="112"/>
        <v>7571.0290319067353</v>
      </c>
      <c r="F463" s="72">
        <f t="shared" si="117"/>
        <v>296</v>
      </c>
      <c r="G463" s="180">
        <f t="shared" si="113"/>
        <v>52362.493093138233</v>
      </c>
      <c r="H463" s="186">
        <f>-'Residential Rental'!$E$100/12</f>
        <v>898.0893756176489</v>
      </c>
      <c r="I463" s="149">
        <f>'Residential Rental'!$E$98/12*G462</f>
        <v>154.89159837195314</v>
      </c>
      <c r="J463" s="187">
        <f t="shared" si="114"/>
        <v>743.19777724569576</v>
      </c>
      <c r="K463" s="72">
        <f t="shared" si="118"/>
        <v>296</v>
      </c>
      <c r="L463" s="180">
        <f t="shared" si="115"/>
        <v>608655.75878705375</v>
      </c>
      <c r="M463" s="181">
        <f t="shared" si="115"/>
        <v>10818.552968881977</v>
      </c>
      <c r="N463" s="180">
        <f t="shared" si="115"/>
        <v>2504.3261597295459</v>
      </c>
      <c r="O463" s="132">
        <f t="shared" si="115"/>
        <v>8314.2268091524311</v>
      </c>
    </row>
    <row r="464" spans="1:15" x14ac:dyDescent="0.25">
      <c r="A464" s="72">
        <f t="shared" si="116"/>
        <v>297</v>
      </c>
      <c r="B464" s="183">
        <f t="shared" si="111"/>
        <v>548690.69070770917</v>
      </c>
      <c r="C464" s="184">
        <f>-'Residential Rental'!$E$95/12</f>
        <v>9920.4635932643287</v>
      </c>
      <c r="D464" s="183">
        <f>'Residential Rental'!$E$93/12*B463</f>
        <v>2317.8886070579815</v>
      </c>
      <c r="E464" s="185">
        <f t="shared" si="112"/>
        <v>7602.5749862063476</v>
      </c>
      <c r="F464" s="72">
        <f t="shared" si="117"/>
        <v>297</v>
      </c>
      <c r="G464" s="180">
        <f t="shared" si="113"/>
        <v>51617.127655708908</v>
      </c>
      <c r="H464" s="186">
        <f>-'Residential Rental'!$E$100/12</f>
        <v>898.0893756176489</v>
      </c>
      <c r="I464" s="149">
        <f>'Residential Rental'!$E$98/12*G463</f>
        <v>152.72393818831986</v>
      </c>
      <c r="J464" s="187">
        <f t="shared" si="114"/>
        <v>745.36543742932906</v>
      </c>
      <c r="K464" s="72">
        <f t="shared" si="118"/>
        <v>297</v>
      </c>
      <c r="L464" s="180">
        <f t="shared" si="115"/>
        <v>600307.8183634181</v>
      </c>
      <c r="M464" s="181">
        <f t="shared" si="115"/>
        <v>10818.552968881977</v>
      </c>
      <c r="N464" s="180">
        <f t="shared" si="115"/>
        <v>2470.6125452463016</v>
      </c>
      <c r="O464" s="132">
        <f t="shared" si="115"/>
        <v>8347.9404236356768</v>
      </c>
    </row>
    <row r="465" spans="1:15" x14ac:dyDescent="0.25">
      <c r="A465" s="72">
        <f t="shared" si="116"/>
        <v>298</v>
      </c>
      <c r="B465" s="183">
        <f t="shared" si="111"/>
        <v>541056.43832572701</v>
      </c>
      <c r="C465" s="184">
        <f>-'Residential Rental'!$E$95/12</f>
        <v>9920.4635932643287</v>
      </c>
      <c r="D465" s="183">
        <f>'Residential Rental'!$E$93/12*B464</f>
        <v>2286.2112112821214</v>
      </c>
      <c r="E465" s="185">
        <f t="shared" si="112"/>
        <v>7634.2523819822072</v>
      </c>
      <c r="F465" s="72">
        <f t="shared" si="117"/>
        <v>298</v>
      </c>
      <c r="G465" s="180">
        <f t="shared" si="113"/>
        <v>50869.588235753741</v>
      </c>
      <c r="H465" s="186">
        <f>-'Residential Rental'!$E$100/12</f>
        <v>898.0893756176489</v>
      </c>
      <c r="I465" s="149">
        <f>'Residential Rental'!$E$98/12*G464</f>
        <v>150.54995566248431</v>
      </c>
      <c r="J465" s="187">
        <f t="shared" si="114"/>
        <v>747.53941995516459</v>
      </c>
      <c r="K465" s="72">
        <f t="shared" si="118"/>
        <v>298</v>
      </c>
      <c r="L465" s="180">
        <f t="shared" si="115"/>
        <v>591926.02656148071</v>
      </c>
      <c r="M465" s="181">
        <f t="shared" si="115"/>
        <v>10818.552968881977</v>
      </c>
      <c r="N465" s="180">
        <f t="shared" si="115"/>
        <v>2436.761166944606</v>
      </c>
      <c r="O465" s="132">
        <f t="shared" si="115"/>
        <v>8381.7918019373719</v>
      </c>
    </row>
    <row r="466" spans="1:15" x14ac:dyDescent="0.25">
      <c r="A466" s="72">
        <f t="shared" si="116"/>
        <v>299</v>
      </c>
      <c r="B466" s="183">
        <f t="shared" si="111"/>
        <v>533390.3765588199</v>
      </c>
      <c r="C466" s="184">
        <f>-'Residential Rental'!$E$95/12</f>
        <v>9920.4635932643287</v>
      </c>
      <c r="D466" s="183">
        <f>'Residential Rental'!$E$93/12*B465</f>
        <v>2254.4018263571957</v>
      </c>
      <c r="E466" s="185">
        <f t="shared" si="112"/>
        <v>7666.0617669071326</v>
      </c>
      <c r="F466" s="72">
        <f t="shared" si="117"/>
        <v>299</v>
      </c>
      <c r="G466" s="180">
        <f t="shared" si="113"/>
        <v>50119.868492490372</v>
      </c>
      <c r="H466" s="186">
        <f>-'Residential Rental'!$E$100/12</f>
        <v>898.0893756176489</v>
      </c>
      <c r="I466" s="149">
        <f>'Residential Rental'!$E$98/12*G465</f>
        <v>148.36963235428175</v>
      </c>
      <c r="J466" s="187">
        <f t="shared" si="114"/>
        <v>749.71974326336715</v>
      </c>
      <c r="K466" s="72">
        <f t="shared" si="118"/>
        <v>299</v>
      </c>
      <c r="L466" s="180">
        <f t="shared" si="115"/>
        <v>583510.24505131028</v>
      </c>
      <c r="M466" s="181">
        <f t="shared" si="115"/>
        <v>10818.552968881977</v>
      </c>
      <c r="N466" s="180">
        <f t="shared" si="115"/>
        <v>2402.7714587114774</v>
      </c>
      <c r="O466" s="132">
        <f t="shared" si="115"/>
        <v>8415.7815101705</v>
      </c>
    </row>
    <row r="467" spans="1:15" x14ac:dyDescent="0.25">
      <c r="A467" s="72">
        <f t="shared" si="116"/>
        <v>300</v>
      </c>
      <c r="B467" s="183">
        <f t="shared" si="111"/>
        <v>525692.372867884</v>
      </c>
      <c r="C467" s="184">
        <f>-'Residential Rental'!$E$95/12</f>
        <v>9920.4635932643287</v>
      </c>
      <c r="D467" s="183">
        <f>'Residential Rental'!$E$93/12*B466</f>
        <v>2222.4599023284163</v>
      </c>
      <c r="E467" s="185">
        <f t="shared" si="112"/>
        <v>7698.0036909359123</v>
      </c>
      <c r="F467" s="72">
        <f t="shared" si="117"/>
        <v>300</v>
      </c>
      <c r="G467" s="180">
        <f t="shared" si="113"/>
        <v>49367.962066642489</v>
      </c>
      <c r="H467" s="186">
        <f>-'Residential Rental'!$E$100/12</f>
        <v>898.0893756176489</v>
      </c>
      <c r="I467" s="149">
        <f>'Residential Rental'!$E$98/12*G466</f>
        <v>146.18294976976358</v>
      </c>
      <c r="J467" s="187">
        <f t="shared" si="114"/>
        <v>751.90642584788532</v>
      </c>
      <c r="K467" s="72">
        <f t="shared" si="118"/>
        <v>300</v>
      </c>
      <c r="L467" s="180">
        <f t="shared" si="115"/>
        <v>575060.33493452647</v>
      </c>
      <c r="M467" s="181">
        <f t="shared" si="115"/>
        <v>10818.552968881977</v>
      </c>
      <c r="N467" s="180">
        <f t="shared" si="115"/>
        <v>2368.6428520981799</v>
      </c>
      <c r="O467" s="132">
        <f t="shared" si="115"/>
        <v>8449.910116783798</v>
      </c>
    </row>
    <row r="468" spans="1:15" x14ac:dyDescent="0.25">
      <c r="A468" s="72">
        <f t="shared" si="116"/>
        <v>301</v>
      </c>
      <c r="B468" s="183">
        <f t="shared" si="111"/>
        <v>517962.29416156921</v>
      </c>
      <c r="C468" s="184">
        <f>-'Residential Rental'!$E$95/12</f>
        <v>9920.4635932643287</v>
      </c>
      <c r="D468" s="183">
        <f>'Residential Rental'!$E$93/12*B467</f>
        <v>2190.3848869495168</v>
      </c>
      <c r="E468" s="185">
        <f t="shared" si="112"/>
        <v>7730.0787063148118</v>
      </c>
      <c r="F468" s="72">
        <f t="shared" si="117"/>
        <v>301</v>
      </c>
      <c r="G468" s="180">
        <f t="shared" si="113"/>
        <v>48613.862580385881</v>
      </c>
      <c r="H468" s="186">
        <f>-'Residential Rental'!$E$100/12</f>
        <v>898.0893756176489</v>
      </c>
      <c r="I468" s="149">
        <f>'Residential Rental'!$E$98/12*G467</f>
        <v>143.98988936104061</v>
      </c>
      <c r="J468" s="187">
        <f t="shared" si="114"/>
        <v>754.09948625660832</v>
      </c>
      <c r="K468" s="72">
        <f t="shared" si="118"/>
        <v>301</v>
      </c>
      <c r="L468" s="180">
        <f t="shared" si="115"/>
        <v>566576.15674195508</v>
      </c>
      <c r="M468" s="181">
        <f t="shared" si="115"/>
        <v>10818.552968881977</v>
      </c>
      <c r="N468" s="180">
        <f t="shared" si="115"/>
        <v>2334.3747763105575</v>
      </c>
      <c r="O468" s="132">
        <f t="shared" si="115"/>
        <v>8484.1781925714204</v>
      </c>
    </row>
    <row r="469" spans="1:15" x14ac:dyDescent="0.25">
      <c r="A469" s="72">
        <f t="shared" si="116"/>
        <v>302</v>
      </c>
      <c r="B469" s="183">
        <f t="shared" si="111"/>
        <v>510200.0067939781</v>
      </c>
      <c r="C469" s="184">
        <f>-'Residential Rental'!$E$95/12</f>
        <v>9920.4635932643287</v>
      </c>
      <c r="D469" s="183">
        <f>'Residential Rental'!$E$93/12*B468</f>
        <v>2158.176225673205</v>
      </c>
      <c r="E469" s="185">
        <f t="shared" si="112"/>
        <v>7762.2873675911233</v>
      </c>
      <c r="F469" s="72">
        <f t="shared" si="117"/>
        <v>302</v>
      </c>
      <c r="G469" s="180">
        <f t="shared" si="113"/>
        <v>47857.563637294355</v>
      </c>
      <c r="H469" s="186">
        <f>-'Residential Rental'!$E$100/12</f>
        <v>898.0893756176489</v>
      </c>
      <c r="I469" s="149">
        <f>'Residential Rental'!$E$98/12*G468</f>
        <v>141.7904325261255</v>
      </c>
      <c r="J469" s="187">
        <f t="shared" si="114"/>
        <v>756.29894309152337</v>
      </c>
      <c r="K469" s="72">
        <f t="shared" si="118"/>
        <v>302</v>
      </c>
      <c r="L469" s="180">
        <f t="shared" si="115"/>
        <v>558057.5704312725</v>
      </c>
      <c r="M469" s="181">
        <f t="shared" si="115"/>
        <v>10818.552968881977</v>
      </c>
      <c r="N469" s="180">
        <f t="shared" si="115"/>
        <v>2299.9666581993306</v>
      </c>
      <c r="O469" s="132">
        <f t="shared" si="115"/>
        <v>8518.5863106826473</v>
      </c>
    </row>
    <row r="470" spans="1:15" x14ac:dyDescent="0.25">
      <c r="A470" s="72">
        <f t="shared" si="116"/>
        <v>303</v>
      </c>
      <c r="B470" s="183">
        <f t="shared" si="111"/>
        <v>502405.37656235532</v>
      </c>
      <c r="C470" s="184">
        <f>-'Residential Rental'!$E$95/12</f>
        <v>9920.4635932643287</v>
      </c>
      <c r="D470" s="183">
        <f>'Residential Rental'!$E$93/12*B469</f>
        <v>2125.8333616415753</v>
      </c>
      <c r="E470" s="185">
        <f t="shared" si="112"/>
        <v>7794.6302316227539</v>
      </c>
      <c r="F470" s="72">
        <f t="shared" si="117"/>
        <v>303</v>
      </c>
      <c r="G470" s="180">
        <f t="shared" si="113"/>
        <v>47099.058822285479</v>
      </c>
      <c r="H470" s="186">
        <f>-'Residential Rental'!$E$100/12</f>
        <v>898.0893756176489</v>
      </c>
      <c r="I470" s="149">
        <f>'Residential Rental'!$E$98/12*G469</f>
        <v>139.58456060877521</v>
      </c>
      <c r="J470" s="187">
        <f t="shared" si="114"/>
        <v>758.50481500887372</v>
      </c>
      <c r="K470" s="72">
        <f t="shared" si="118"/>
        <v>303</v>
      </c>
      <c r="L470" s="180">
        <f t="shared" si="115"/>
        <v>549504.43538464082</v>
      </c>
      <c r="M470" s="181">
        <f t="shared" si="115"/>
        <v>10818.552968881977</v>
      </c>
      <c r="N470" s="180">
        <f t="shared" si="115"/>
        <v>2265.4179222503503</v>
      </c>
      <c r="O470" s="132">
        <f t="shared" si="115"/>
        <v>8553.1350466316271</v>
      </c>
    </row>
    <row r="471" spans="1:15" x14ac:dyDescent="0.25">
      <c r="A471" s="72">
        <f t="shared" si="116"/>
        <v>304</v>
      </c>
      <c r="B471" s="183">
        <f t="shared" si="111"/>
        <v>494578.26870476746</v>
      </c>
      <c r="C471" s="184">
        <f>-'Residential Rental'!$E$95/12</f>
        <v>9920.4635932643287</v>
      </c>
      <c r="D471" s="183">
        <f>'Residential Rental'!$E$93/12*B470</f>
        <v>2093.3557356764804</v>
      </c>
      <c r="E471" s="185">
        <f t="shared" si="112"/>
        <v>7827.1078575878482</v>
      </c>
      <c r="F471" s="72">
        <f t="shared" si="117"/>
        <v>304</v>
      </c>
      <c r="G471" s="180">
        <f t="shared" si="113"/>
        <v>46338.341701566162</v>
      </c>
      <c r="H471" s="186">
        <f>-'Residential Rental'!$E$100/12</f>
        <v>898.0893756176489</v>
      </c>
      <c r="I471" s="149">
        <f>'Residential Rental'!$E$98/12*G470</f>
        <v>137.37225489833264</v>
      </c>
      <c r="J471" s="187">
        <f t="shared" si="114"/>
        <v>760.7171207193162</v>
      </c>
      <c r="K471" s="72">
        <f t="shared" si="118"/>
        <v>304</v>
      </c>
      <c r="L471" s="180">
        <f t="shared" si="115"/>
        <v>540916.61040633358</v>
      </c>
      <c r="M471" s="181">
        <f t="shared" si="115"/>
        <v>10818.552968881977</v>
      </c>
      <c r="N471" s="180">
        <f t="shared" si="115"/>
        <v>2230.7279905748132</v>
      </c>
      <c r="O471" s="132">
        <f t="shared" si="115"/>
        <v>8587.8249783071642</v>
      </c>
    </row>
    <row r="472" spans="1:15" x14ac:dyDescent="0.25">
      <c r="A472" s="72">
        <f t="shared" si="116"/>
        <v>305</v>
      </c>
      <c r="B472" s="183">
        <f t="shared" si="111"/>
        <v>486718.54789777298</v>
      </c>
      <c r="C472" s="184">
        <f>-'Residential Rental'!$E$95/12</f>
        <v>9920.4635932643287</v>
      </c>
      <c r="D472" s="183">
        <f>'Residential Rental'!$E$93/12*B471</f>
        <v>2060.7427862698642</v>
      </c>
      <c r="E472" s="185">
        <f t="shared" si="112"/>
        <v>7859.7208069944645</v>
      </c>
      <c r="F472" s="72">
        <f t="shared" si="117"/>
        <v>305</v>
      </c>
      <c r="G472" s="180">
        <f t="shared" si="113"/>
        <v>45575.405822578083</v>
      </c>
      <c r="H472" s="186">
        <f>-'Residential Rental'!$E$100/12</f>
        <v>898.0893756176489</v>
      </c>
      <c r="I472" s="149">
        <f>'Residential Rental'!$E$98/12*G471</f>
        <v>135.15349662956797</v>
      </c>
      <c r="J472" s="187">
        <f t="shared" si="114"/>
        <v>762.93587898808096</v>
      </c>
      <c r="K472" s="72">
        <f t="shared" si="118"/>
        <v>305</v>
      </c>
      <c r="L472" s="180">
        <f t="shared" si="115"/>
        <v>532293.9537203511</v>
      </c>
      <c r="M472" s="181">
        <f t="shared" si="115"/>
        <v>10818.552968881977</v>
      </c>
      <c r="N472" s="180">
        <f t="shared" si="115"/>
        <v>2195.8962828994322</v>
      </c>
      <c r="O472" s="132">
        <f t="shared" si="115"/>
        <v>8622.6566859825452</v>
      </c>
    </row>
    <row r="473" spans="1:15" x14ac:dyDescent="0.25">
      <c r="A473" s="72">
        <f t="shared" si="116"/>
        <v>306</v>
      </c>
      <c r="B473" s="183">
        <f t="shared" si="111"/>
        <v>478826.07825408271</v>
      </c>
      <c r="C473" s="184">
        <f>-'Residential Rental'!$E$95/12</f>
        <v>9920.4635932643287</v>
      </c>
      <c r="D473" s="183">
        <f>'Residential Rental'!$E$93/12*B472</f>
        <v>2027.9939495740541</v>
      </c>
      <c r="E473" s="185">
        <f t="shared" si="112"/>
        <v>7892.4696436902741</v>
      </c>
      <c r="F473" s="72">
        <f t="shared" si="117"/>
        <v>306</v>
      </c>
      <c r="G473" s="180">
        <f t="shared" si="113"/>
        <v>44810.244713942957</v>
      </c>
      <c r="H473" s="186">
        <f>-'Residential Rental'!$E$100/12</f>
        <v>898.0893756176489</v>
      </c>
      <c r="I473" s="149">
        <f>'Residential Rental'!$E$98/12*G472</f>
        <v>132.9282669825194</v>
      </c>
      <c r="J473" s="187">
        <f t="shared" si="114"/>
        <v>765.16110863512949</v>
      </c>
      <c r="K473" s="72">
        <f t="shared" si="118"/>
        <v>306</v>
      </c>
      <c r="L473" s="180">
        <f t="shared" si="115"/>
        <v>523636.32296802569</v>
      </c>
      <c r="M473" s="181">
        <f t="shared" si="115"/>
        <v>10818.552968881977</v>
      </c>
      <c r="N473" s="180">
        <f t="shared" si="115"/>
        <v>2160.9222165565734</v>
      </c>
      <c r="O473" s="132">
        <f t="shared" si="115"/>
        <v>8657.6307523254036</v>
      </c>
    </row>
    <row r="474" spans="1:15" x14ac:dyDescent="0.25">
      <c r="A474" s="72">
        <f t="shared" si="116"/>
        <v>307</v>
      </c>
      <c r="B474" s="183">
        <f t="shared" si="111"/>
        <v>470900.72332021041</v>
      </c>
      <c r="C474" s="184">
        <f>-'Residential Rental'!$E$95/12</f>
        <v>9920.4635932643287</v>
      </c>
      <c r="D474" s="183">
        <f>'Residential Rental'!$E$93/12*B473</f>
        <v>1995.1086593920113</v>
      </c>
      <c r="E474" s="185">
        <f t="shared" si="112"/>
        <v>7925.3549338723169</v>
      </c>
      <c r="F474" s="72">
        <f t="shared" si="117"/>
        <v>307</v>
      </c>
      <c r="G474" s="180">
        <f t="shared" si="113"/>
        <v>44042.851885407639</v>
      </c>
      <c r="H474" s="186">
        <f>-'Residential Rental'!$E$100/12</f>
        <v>898.0893756176489</v>
      </c>
      <c r="I474" s="149">
        <f>'Residential Rental'!$E$98/12*G473</f>
        <v>130.69654708233364</v>
      </c>
      <c r="J474" s="187">
        <f t="shared" si="114"/>
        <v>767.39282853531529</v>
      </c>
      <c r="K474" s="72">
        <f t="shared" si="118"/>
        <v>307</v>
      </c>
      <c r="L474" s="180">
        <f t="shared" si="115"/>
        <v>514943.57520561805</v>
      </c>
      <c r="M474" s="181">
        <f t="shared" si="115"/>
        <v>10818.552968881977</v>
      </c>
      <c r="N474" s="180">
        <f t="shared" si="115"/>
        <v>2125.8052064743451</v>
      </c>
      <c r="O474" s="132">
        <f t="shared" si="115"/>
        <v>8692.7477624076328</v>
      </c>
    </row>
    <row r="475" spans="1:15" x14ac:dyDescent="0.25">
      <c r="A475" s="72">
        <f t="shared" si="116"/>
        <v>308</v>
      </c>
      <c r="B475" s="183">
        <f t="shared" si="111"/>
        <v>462942.34607411362</v>
      </c>
      <c r="C475" s="184">
        <f>-'Residential Rental'!$E$95/12</f>
        <v>9920.4635932643287</v>
      </c>
      <c r="D475" s="183">
        <f>'Residential Rental'!$E$93/12*B474</f>
        <v>1962.0863471675434</v>
      </c>
      <c r="E475" s="185">
        <f t="shared" si="112"/>
        <v>7958.3772460967848</v>
      </c>
      <c r="F475" s="72">
        <f t="shared" si="117"/>
        <v>308</v>
      </c>
      <c r="G475" s="180">
        <f t="shared" si="113"/>
        <v>43273.220827789097</v>
      </c>
      <c r="H475" s="186">
        <f>-'Residential Rental'!$E$100/12</f>
        <v>898.0893756176489</v>
      </c>
      <c r="I475" s="149">
        <f>'Residential Rental'!$E$98/12*G474</f>
        <v>128.45831799910562</v>
      </c>
      <c r="J475" s="187">
        <f t="shared" si="114"/>
        <v>769.63105761854331</v>
      </c>
      <c r="K475" s="72">
        <f t="shared" si="118"/>
        <v>308</v>
      </c>
      <c r="L475" s="180">
        <f t="shared" si="115"/>
        <v>506215.56690190273</v>
      </c>
      <c r="M475" s="181">
        <f t="shared" si="115"/>
        <v>10818.552968881977</v>
      </c>
      <c r="N475" s="180">
        <f t="shared" si="115"/>
        <v>2090.5446651666489</v>
      </c>
      <c r="O475" s="132">
        <f t="shared" si="115"/>
        <v>8728.0083037153272</v>
      </c>
    </row>
    <row r="476" spans="1:15" x14ac:dyDescent="0.25">
      <c r="A476" s="72">
        <f t="shared" si="116"/>
        <v>309</v>
      </c>
      <c r="B476" s="183">
        <f t="shared" si="111"/>
        <v>454950.80892282474</v>
      </c>
      <c r="C476" s="184">
        <f>-'Residential Rental'!$E$95/12</f>
        <v>9920.4635932643287</v>
      </c>
      <c r="D476" s="183">
        <f>'Residential Rental'!$E$93/12*B475</f>
        <v>1928.9264419754734</v>
      </c>
      <c r="E476" s="185">
        <f t="shared" si="112"/>
        <v>7991.5371512888551</v>
      </c>
      <c r="F476" s="72">
        <f t="shared" si="117"/>
        <v>309</v>
      </c>
      <c r="G476" s="180">
        <f t="shared" si="113"/>
        <v>42501.34501291917</v>
      </c>
      <c r="H476" s="186">
        <f>-'Residential Rental'!$E$100/12</f>
        <v>898.0893756176489</v>
      </c>
      <c r="I476" s="149">
        <f>'Residential Rental'!$E$98/12*G475</f>
        <v>126.2135607477182</v>
      </c>
      <c r="J476" s="187">
        <f t="shared" si="114"/>
        <v>771.87581486993065</v>
      </c>
      <c r="K476" s="72">
        <f t="shared" si="118"/>
        <v>309</v>
      </c>
      <c r="L476" s="180">
        <f t="shared" si="115"/>
        <v>497452.1539357439</v>
      </c>
      <c r="M476" s="181">
        <f t="shared" si="115"/>
        <v>10818.552968881977</v>
      </c>
      <c r="N476" s="180">
        <f t="shared" si="115"/>
        <v>2055.1400027231916</v>
      </c>
      <c r="O476" s="132">
        <f t="shared" si="115"/>
        <v>8763.4129661587849</v>
      </c>
    </row>
    <row r="477" spans="1:15" x14ac:dyDescent="0.25">
      <c r="A477" s="72">
        <f t="shared" si="116"/>
        <v>310</v>
      </c>
      <c r="B477" s="183">
        <f t="shared" si="111"/>
        <v>446925.97370007221</v>
      </c>
      <c r="C477" s="184">
        <f>-'Residential Rental'!$E$95/12</f>
        <v>9920.4635932643287</v>
      </c>
      <c r="D477" s="183">
        <f>'Residential Rental'!$E$93/12*B476</f>
        <v>1895.6283705117696</v>
      </c>
      <c r="E477" s="185">
        <f t="shared" si="112"/>
        <v>8024.8352227525593</v>
      </c>
      <c r="F477" s="72">
        <f t="shared" si="117"/>
        <v>310</v>
      </c>
      <c r="G477" s="180">
        <f t="shared" si="113"/>
        <v>41727.217893589201</v>
      </c>
      <c r="H477" s="186">
        <f>-'Residential Rental'!$E$100/12</f>
        <v>898.0893756176489</v>
      </c>
      <c r="I477" s="149">
        <f>'Residential Rental'!$E$98/12*G476</f>
        <v>123.96225628768092</v>
      </c>
      <c r="J477" s="187">
        <f t="shared" si="114"/>
        <v>774.12711932996797</v>
      </c>
      <c r="K477" s="72">
        <f t="shared" si="118"/>
        <v>310</v>
      </c>
      <c r="L477" s="180">
        <f t="shared" si="115"/>
        <v>488653.19159366144</v>
      </c>
      <c r="M477" s="181">
        <f t="shared" si="115"/>
        <v>10818.552968881977</v>
      </c>
      <c r="N477" s="180">
        <f t="shared" si="115"/>
        <v>2019.5906267994505</v>
      </c>
      <c r="O477" s="132">
        <f t="shared" si="115"/>
        <v>8798.9623420825264</v>
      </c>
    </row>
    <row r="478" spans="1:15" x14ac:dyDescent="0.25">
      <c r="A478" s="72">
        <f t="shared" si="116"/>
        <v>311</v>
      </c>
      <c r="B478" s="183">
        <f t="shared" si="111"/>
        <v>438867.70166389149</v>
      </c>
      <c r="C478" s="184">
        <f>-'Residential Rental'!$E$95/12</f>
        <v>9920.4635932643287</v>
      </c>
      <c r="D478" s="183">
        <f>'Residential Rental'!$E$93/12*B477</f>
        <v>1862.1915570836343</v>
      </c>
      <c r="E478" s="185">
        <f t="shared" si="112"/>
        <v>8058.2720361806942</v>
      </c>
      <c r="F478" s="72">
        <f t="shared" si="117"/>
        <v>311</v>
      </c>
      <c r="G478" s="180">
        <f t="shared" si="113"/>
        <v>40950.83290349452</v>
      </c>
      <c r="H478" s="186">
        <f>-'Residential Rental'!$E$100/12</f>
        <v>898.0893756176489</v>
      </c>
      <c r="I478" s="149">
        <f>'Residential Rental'!$E$98/12*G477</f>
        <v>121.70438552296851</v>
      </c>
      <c r="J478" s="187">
        <f t="shared" si="114"/>
        <v>776.38499009468035</v>
      </c>
      <c r="K478" s="72">
        <f t="shared" si="118"/>
        <v>311</v>
      </c>
      <c r="L478" s="180">
        <f t="shared" si="115"/>
        <v>479818.53456738603</v>
      </c>
      <c r="M478" s="181">
        <f t="shared" si="115"/>
        <v>10818.552968881977</v>
      </c>
      <c r="N478" s="180">
        <f t="shared" si="115"/>
        <v>1983.8959426066028</v>
      </c>
      <c r="O478" s="132">
        <f t="shared" si="115"/>
        <v>8834.6570262753739</v>
      </c>
    </row>
    <row r="479" spans="1:15" x14ac:dyDescent="0.25">
      <c r="A479" s="72">
        <f t="shared" si="116"/>
        <v>312</v>
      </c>
      <c r="B479" s="183">
        <f t="shared" si="111"/>
        <v>430775.8534942267</v>
      </c>
      <c r="C479" s="184">
        <f>-'Residential Rental'!$E$95/12</f>
        <v>9920.4635932643287</v>
      </c>
      <c r="D479" s="183">
        <f>'Residential Rental'!$E$93/12*B478</f>
        <v>1828.615423599548</v>
      </c>
      <c r="E479" s="185">
        <f t="shared" si="112"/>
        <v>8091.8481696647805</v>
      </c>
      <c r="F479" s="72">
        <f t="shared" si="117"/>
        <v>312</v>
      </c>
      <c r="G479" s="180">
        <f t="shared" si="113"/>
        <v>40172.183457178733</v>
      </c>
      <c r="H479" s="186">
        <f>-'Residential Rental'!$E$100/12</f>
        <v>898.0893756176489</v>
      </c>
      <c r="I479" s="149">
        <f>'Residential Rental'!$E$98/12*G478</f>
        <v>119.43992930185902</v>
      </c>
      <c r="J479" s="187">
        <f t="shared" si="114"/>
        <v>778.64944631578987</v>
      </c>
      <c r="K479" s="72">
        <f t="shared" si="118"/>
        <v>312</v>
      </c>
      <c r="L479" s="180">
        <f t="shared" si="115"/>
        <v>470948.03695140546</v>
      </c>
      <c r="M479" s="181">
        <f t="shared" si="115"/>
        <v>10818.552968881977</v>
      </c>
      <c r="N479" s="180">
        <f t="shared" si="115"/>
        <v>1948.0553529014069</v>
      </c>
      <c r="O479" s="132">
        <f t="shared" si="115"/>
        <v>8870.4976159805701</v>
      </c>
    </row>
    <row r="480" spans="1:15" x14ac:dyDescent="0.25">
      <c r="A480" s="72">
        <f t="shared" si="116"/>
        <v>313</v>
      </c>
      <c r="B480" s="183">
        <f t="shared" si="111"/>
        <v>422650.28929052164</v>
      </c>
      <c r="C480" s="184">
        <f>-'Residential Rental'!$E$95/12</f>
        <v>9920.4635932643287</v>
      </c>
      <c r="D480" s="183">
        <f>'Residential Rental'!$E$93/12*B479</f>
        <v>1794.8993895592778</v>
      </c>
      <c r="E480" s="185">
        <f t="shared" si="112"/>
        <v>8125.5642037050511</v>
      </c>
      <c r="F480" s="72">
        <f t="shared" si="117"/>
        <v>313</v>
      </c>
      <c r="G480" s="180">
        <f t="shared" si="113"/>
        <v>39391.262949977856</v>
      </c>
      <c r="H480" s="186">
        <f>-'Residential Rental'!$E$100/12</f>
        <v>898.0893756176489</v>
      </c>
      <c r="I480" s="149">
        <f>'Residential Rental'!$E$98/12*G479</f>
        <v>117.1688684167713</v>
      </c>
      <c r="J480" s="187">
        <f t="shared" si="114"/>
        <v>780.92050720087764</v>
      </c>
      <c r="K480" s="72">
        <f t="shared" si="118"/>
        <v>313</v>
      </c>
      <c r="L480" s="180">
        <f t="shared" si="115"/>
        <v>462041.55224049953</v>
      </c>
      <c r="M480" s="181">
        <f t="shared" si="115"/>
        <v>10818.552968881977</v>
      </c>
      <c r="N480" s="180">
        <f t="shared" si="115"/>
        <v>1912.0682579760492</v>
      </c>
      <c r="O480" s="132">
        <f t="shared" si="115"/>
        <v>8906.4847109059283</v>
      </c>
    </row>
    <row r="481" spans="1:15" x14ac:dyDescent="0.25">
      <c r="A481" s="72">
        <f t="shared" si="116"/>
        <v>314</v>
      </c>
      <c r="B481" s="183">
        <f t="shared" si="111"/>
        <v>414490.86856930115</v>
      </c>
      <c r="C481" s="184">
        <f>-'Residential Rental'!$E$95/12</f>
        <v>9920.4635932643287</v>
      </c>
      <c r="D481" s="183">
        <f>'Residential Rental'!$E$93/12*B480</f>
        <v>1761.0428720438401</v>
      </c>
      <c r="E481" s="185">
        <f t="shared" si="112"/>
        <v>8159.4207212204883</v>
      </c>
      <c r="F481" s="72">
        <f t="shared" si="117"/>
        <v>314</v>
      </c>
      <c r="G481" s="180">
        <f t="shared" si="113"/>
        <v>38608.064757964312</v>
      </c>
      <c r="H481" s="186">
        <f>-'Residential Rental'!$E$100/12</f>
        <v>898.0893756176489</v>
      </c>
      <c r="I481" s="149">
        <f>'Residential Rental'!$E$98/12*G480</f>
        <v>114.89118360410208</v>
      </c>
      <c r="J481" s="187">
        <f t="shared" si="114"/>
        <v>783.19819201354676</v>
      </c>
      <c r="K481" s="72">
        <f t="shared" si="118"/>
        <v>314</v>
      </c>
      <c r="L481" s="180">
        <f t="shared" si="115"/>
        <v>453098.93332726543</v>
      </c>
      <c r="M481" s="181">
        <f t="shared" si="115"/>
        <v>10818.552968881977</v>
      </c>
      <c r="N481" s="180">
        <f t="shared" si="115"/>
        <v>1875.9340556479422</v>
      </c>
      <c r="O481" s="132">
        <f t="shared" si="115"/>
        <v>8942.6189132340351</v>
      </c>
    </row>
    <row r="482" spans="1:15" x14ac:dyDescent="0.25">
      <c r="A482" s="72">
        <f t="shared" si="116"/>
        <v>315</v>
      </c>
      <c r="B482" s="183">
        <f t="shared" si="111"/>
        <v>406297.45026174223</v>
      </c>
      <c r="C482" s="184">
        <f>-'Residential Rental'!$E$95/12</f>
        <v>9920.4635932643287</v>
      </c>
      <c r="D482" s="183">
        <f>'Residential Rental'!$E$93/12*B481</f>
        <v>1727.0452857054215</v>
      </c>
      <c r="E482" s="185">
        <f t="shared" si="112"/>
        <v>8193.4183075589062</v>
      </c>
      <c r="F482" s="72">
        <f t="shared" si="117"/>
        <v>315</v>
      </c>
      <c r="G482" s="180">
        <f t="shared" si="113"/>
        <v>37822.582237890725</v>
      </c>
      <c r="H482" s="186">
        <f>-'Residential Rental'!$E$100/12</f>
        <v>898.0893756176489</v>
      </c>
      <c r="I482" s="149">
        <f>'Residential Rental'!$E$98/12*G481</f>
        <v>112.60685554406258</v>
      </c>
      <c r="J482" s="187">
        <f t="shared" si="114"/>
        <v>785.48252007358633</v>
      </c>
      <c r="K482" s="72">
        <f t="shared" si="118"/>
        <v>315</v>
      </c>
      <c r="L482" s="180">
        <f t="shared" si="115"/>
        <v>444120.03249963297</v>
      </c>
      <c r="M482" s="181">
        <f t="shared" si="115"/>
        <v>10818.552968881977</v>
      </c>
      <c r="N482" s="180">
        <f t="shared" si="115"/>
        <v>1839.6521412494842</v>
      </c>
      <c r="O482" s="132">
        <f t="shared" si="115"/>
        <v>8978.900827632493</v>
      </c>
    </row>
    <row r="483" spans="1:15" x14ac:dyDescent="0.25">
      <c r="A483" s="72">
        <f t="shared" si="116"/>
        <v>316</v>
      </c>
      <c r="B483" s="183">
        <f t="shared" si="111"/>
        <v>398069.89271123515</v>
      </c>
      <c r="C483" s="184">
        <f>-'Residential Rental'!$E$95/12</f>
        <v>9920.4635932643287</v>
      </c>
      <c r="D483" s="183">
        <f>'Residential Rental'!$E$93/12*B482</f>
        <v>1692.9060427572592</v>
      </c>
      <c r="E483" s="185">
        <f t="shared" si="112"/>
        <v>8227.5575505070701</v>
      </c>
      <c r="F483" s="72">
        <f t="shared" si="117"/>
        <v>316</v>
      </c>
      <c r="G483" s="180">
        <f t="shared" si="113"/>
        <v>37034.80872713359</v>
      </c>
      <c r="H483" s="186">
        <f>-'Residential Rental'!$E$100/12</f>
        <v>898.0893756176489</v>
      </c>
      <c r="I483" s="149">
        <f>'Residential Rental'!$E$98/12*G482</f>
        <v>110.31586486051462</v>
      </c>
      <c r="J483" s="187">
        <f t="shared" si="114"/>
        <v>787.77351075713432</v>
      </c>
      <c r="K483" s="72">
        <f t="shared" si="118"/>
        <v>316</v>
      </c>
      <c r="L483" s="180">
        <f t="shared" si="115"/>
        <v>435104.70143836876</v>
      </c>
      <c r="M483" s="181">
        <f t="shared" si="115"/>
        <v>10818.552968881977</v>
      </c>
      <c r="N483" s="180">
        <f t="shared" si="115"/>
        <v>1803.2219076177739</v>
      </c>
      <c r="O483" s="132">
        <f t="shared" si="115"/>
        <v>9015.3310612642053</v>
      </c>
    </row>
    <row r="484" spans="1:15" x14ac:dyDescent="0.25">
      <c r="A484" s="72">
        <f t="shared" si="116"/>
        <v>317</v>
      </c>
      <c r="B484" s="183">
        <f t="shared" si="111"/>
        <v>389808.05367093429</v>
      </c>
      <c r="C484" s="184">
        <f>-'Residential Rental'!$E$95/12</f>
        <v>9920.4635932643287</v>
      </c>
      <c r="D484" s="183">
        <f>'Residential Rental'!$E$93/12*B483</f>
        <v>1658.6245529634798</v>
      </c>
      <c r="E484" s="185">
        <f t="shared" si="112"/>
        <v>8261.8390403008489</v>
      </c>
      <c r="F484" s="72">
        <f t="shared" si="117"/>
        <v>317</v>
      </c>
      <c r="G484" s="180">
        <f t="shared" si="113"/>
        <v>36244.737543636744</v>
      </c>
      <c r="H484" s="186">
        <f>-'Residential Rental'!$E$100/12</f>
        <v>898.0893756176489</v>
      </c>
      <c r="I484" s="149">
        <f>'Residential Rental'!$E$98/12*G483</f>
        <v>108.0181921208063</v>
      </c>
      <c r="J484" s="187">
        <f t="shared" si="114"/>
        <v>790.07118349684265</v>
      </c>
      <c r="K484" s="72">
        <f t="shared" si="118"/>
        <v>317</v>
      </c>
      <c r="L484" s="180">
        <f t="shared" si="115"/>
        <v>426052.79121457104</v>
      </c>
      <c r="M484" s="181">
        <f t="shared" si="115"/>
        <v>10818.552968881977</v>
      </c>
      <c r="N484" s="180">
        <f t="shared" si="115"/>
        <v>1766.6427450842862</v>
      </c>
      <c r="O484" s="132">
        <f t="shared" si="115"/>
        <v>9051.9102237976913</v>
      </c>
    </row>
    <row r="485" spans="1:15" x14ac:dyDescent="0.25">
      <c r="A485" s="72">
        <f t="shared" si="116"/>
        <v>318</v>
      </c>
      <c r="B485" s="183">
        <f t="shared" si="111"/>
        <v>381511.79030129884</v>
      </c>
      <c r="C485" s="184">
        <f>-'Residential Rental'!$E$95/12</f>
        <v>9920.4635932643287</v>
      </c>
      <c r="D485" s="183">
        <f>'Residential Rental'!$E$93/12*B484</f>
        <v>1624.2002236288929</v>
      </c>
      <c r="E485" s="185">
        <f t="shared" si="112"/>
        <v>8296.2633696354351</v>
      </c>
      <c r="F485" s="72">
        <f t="shared" si="117"/>
        <v>318</v>
      </c>
      <c r="G485" s="180">
        <f t="shared" si="113"/>
        <v>35452.361985854703</v>
      </c>
      <c r="H485" s="186">
        <f>-'Residential Rental'!$E$100/12</f>
        <v>898.0893756176489</v>
      </c>
      <c r="I485" s="149">
        <f>'Residential Rental'!$E$98/12*G484</f>
        <v>105.71381783560717</v>
      </c>
      <c r="J485" s="187">
        <f t="shared" si="114"/>
        <v>792.37555778204171</v>
      </c>
      <c r="K485" s="72">
        <f t="shared" si="118"/>
        <v>318</v>
      </c>
      <c r="L485" s="180">
        <f t="shared" si="115"/>
        <v>416964.15228715353</v>
      </c>
      <c r="M485" s="181">
        <f t="shared" si="115"/>
        <v>10818.552968881977</v>
      </c>
      <c r="N485" s="180">
        <f t="shared" si="115"/>
        <v>1729.9140414645001</v>
      </c>
      <c r="O485" s="132">
        <f t="shared" si="115"/>
        <v>9088.6389274174762</v>
      </c>
    </row>
    <row r="486" spans="1:15" x14ac:dyDescent="0.25">
      <c r="A486" s="72">
        <f t="shared" si="116"/>
        <v>319</v>
      </c>
      <c r="B486" s="183">
        <f t="shared" si="111"/>
        <v>373180.95916762325</v>
      </c>
      <c r="C486" s="184">
        <f>-'Residential Rental'!$E$95/12</f>
        <v>9920.4635932643287</v>
      </c>
      <c r="D486" s="183">
        <f>'Residential Rental'!$E$93/12*B485</f>
        <v>1589.6324595887452</v>
      </c>
      <c r="E486" s="185">
        <f t="shared" si="112"/>
        <v>8330.8311336755833</v>
      </c>
      <c r="F486" s="72">
        <f t="shared" si="117"/>
        <v>319</v>
      </c>
      <c r="G486" s="180">
        <f t="shared" si="113"/>
        <v>34657.675332695799</v>
      </c>
      <c r="H486" s="186">
        <f>-'Residential Rental'!$E$100/12</f>
        <v>898.0893756176489</v>
      </c>
      <c r="I486" s="149">
        <f>'Residential Rental'!$E$98/12*G485</f>
        <v>103.40272245874289</v>
      </c>
      <c r="J486" s="187">
        <f t="shared" si="114"/>
        <v>794.68665315890598</v>
      </c>
      <c r="K486" s="72">
        <f t="shared" si="118"/>
        <v>319</v>
      </c>
      <c r="L486" s="180">
        <f t="shared" si="115"/>
        <v>407838.63450031902</v>
      </c>
      <c r="M486" s="181">
        <f t="shared" si="115"/>
        <v>10818.552968881977</v>
      </c>
      <c r="N486" s="180">
        <f t="shared" si="115"/>
        <v>1693.035182047488</v>
      </c>
      <c r="O486" s="132">
        <f t="shared" si="115"/>
        <v>9125.517786834489</v>
      </c>
    </row>
    <row r="487" spans="1:15" x14ac:dyDescent="0.25">
      <c r="A487" s="72">
        <f t="shared" si="116"/>
        <v>320</v>
      </c>
      <c r="B487" s="183">
        <f t="shared" si="111"/>
        <v>364815.41623755737</v>
      </c>
      <c r="C487" s="184">
        <f>-'Residential Rental'!$E$95/12</f>
        <v>9920.4635932643287</v>
      </c>
      <c r="D487" s="183">
        <f>'Residential Rental'!$E$93/12*B486</f>
        <v>1554.9206631984302</v>
      </c>
      <c r="E487" s="185">
        <f t="shared" si="112"/>
        <v>8365.542930065898</v>
      </c>
      <c r="F487" s="72">
        <f t="shared" si="117"/>
        <v>320</v>
      </c>
      <c r="G487" s="180">
        <f t="shared" si="113"/>
        <v>33860.670843465181</v>
      </c>
      <c r="H487" s="186">
        <f>-'Residential Rental'!$E$100/12</f>
        <v>898.0893756176489</v>
      </c>
      <c r="I487" s="149">
        <f>'Residential Rental'!$E$98/12*G486</f>
        <v>101.08488638702941</v>
      </c>
      <c r="J487" s="187">
        <f t="shared" si="114"/>
        <v>797.00448923061947</v>
      </c>
      <c r="K487" s="72">
        <f t="shared" si="118"/>
        <v>320</v>
      </c>
      <c r="L487" s="180">
        <f t="shared" si="115"/>
        <v>398676.08708102256</v>
      </c>
      <c r="M487" s="181">
        <f t="shared" si="115"/>
        <v>10818.552968881977</v>
      </c>
      <c r="N487" s="180">
        <f t="shared" si="115"/>
        <v>1656.0055495854597</v>
      </c>
      <c r="O487" s="132">
        <f t="shared" ref="O487:O527" si="119">J487+E487</f>
        <v>9162.5474192965175</v>
      </c>
    </row>
    <row r="488" spans="1:15" x14ac:dyDescent="0.25">
      <c r="A488" s="72">
        <f t="shared" si="116"/>
        <v>321</v>
      </c>
      <c r="B488" s="183">
        <f t="shared" ref="B488:B527" si="120">B487-E488</f>
        <v>356415.01687861618</v>
      </c>
      <c r="C488" s="184">
        <f>-'Residential Rental'!$E$95/12</f>
        <v>9920.4635932643287</v>
      </c>
      <c r="D488" s="183">
        <f>'Residential Rental'!$E$93/12*B487</f>
        <v>1520.0642343231557</v>
      </c>
      <c r="E488" s="185">
        <f t="shared" ref="E488:E527" si="121">C488-D488</f>
        <v>8400.399358941173</v>
      </c>
      <c r="F488" s="72">
        <f t="shared" si="117"/>
        <v>321</v>
      </c>
      <c r="G488" s="180">
        <f t="shared" ref="G488:G527" si="122">G487-J488</f>
        <v>33061.341757807641</v>
      </c>
      <c r="H488" s="186">
        <f>-'Residential Rental'!$E$100/12</f>
        <v>898.0893756176489</v>
      </c>
      <c r="I488" s="149">
        <f>'Residential Rental'!$E$98/12*G487</f>
        <v>98.760289960106789</v>
      </c>
      <c r="J488" s="187">
        <f t="shared" ref="J488:J527" si="123">H488-I488</f>
        <v>799.32908565754212</v>
      </c>
      <c r="K488" s="72">
        <f t="shared" si="118"/>
        <v>321</v>
      </c>
      <c r="L488" s="180">
        <f t="shared" ref="L488:N527" si="124">G488+B488</f>
        <v>389476.35863642383</v>
      </c>
      <c r="M488" s="181">
        <f t="shared" si="124"/>
        <v>10818.552968881977</v>
      </c>
      <c r="N488" s="180">
        <f t="shared" si="124"/>
        <v>1618.8245242832625</v>
      </c>
      <c r="O488" s="132">
        <f t="shared" si="119"/>
        <v>9199.7284445987152</v>
      </c>
    </row>
    <row r="489" spans="1:15" x14ac:dyDescent="0.25">
      <c r="A489" s="72">
        <f t="shared" ref="A489:A527" si="125">A488+1</f>
        <v>322</v>
      </c>
      <c r="B489" s="183">
        <f t="shared" si="120"/>
        <v>347979.61585567944</v>
      </c>
      <c r="C489" s="184">
        <f>-'Residential Rental'!$E$95/12</f>
        <v>9920.4635932643287</v>
      </c>
      <c r="D489" s="183">
        <f>'Residential Rental'!$E$93/12*B488</f>
        <v>1485.0625703275673</v>
      </c>
      <c r="E489" s="185">
        <f t="shared" si="121"/>
        <v>8435.4010229367614</v>
      </c>
      <c r="F489" s="72">
        <f t="shared" ref="F489:F527" si="126">F488+1</f>
        <v>322</v>
      </c>
      <c r="G489" s="180">
        <f t="shared" si="122"/>
        <v>32259.681295650265</v>
      </c>
      <c r="H489" s="186">
        <f>-'Residential Rental'!$E$100/12</f>
        <v>898.0893756176489</v>
      </c>
      <c r="I489" s="149">
        <f>'Residential Rental'!$E$98/12*G488</f>
        <v>96.428913460272284</v>
      </c>
      <c r="J489" s="187">
        <f t="shared" si="123"/>
        <v>801.66046215737663</v>
      </c>
      <c r="K489" s="72">
        <f t="shared" ref="K489:K527" si="127">K488+1</f>
        <v>322</v>
      </c>
      <c r="L489" s="180">
        <f t="shared" si="124"/>
        <v>380239.29715132969</v>
      </c>
      <c r="M489" s="181">
        <f t="shared" si="124"/>
        <v>10818.552968881977</v>
      </c>
      <c r="N489" s="180">
        <f t="shared" si="124"/>
        <v>1581.4914837878396</v>
      </c>
      <c r="O489" s="132">
        <f t="shared" si="119"/>
        <v>9237.0614850941383</v>
      </c>
    </row>
    <row r="490" spans="1:15" x14ac:dyDescent="0.25">
      <c r="A490" s="72">
        <f t="shared" si="125"/>
        <v>323</v>
      </c>
      <c r="B490" s="183">
        <f t="shared" si="120"/>
        <v>339509.06732848042</v>
      </c>
      <c r="C490" s="184">
        <f>-'Residential Rental'!$E$95/12</f>
        <v>9920.4635932643287</v>
      </c>
      <c r="D490" s="183">
        <f>'Residential Rental'!$E$93/12*B489</f>
        <v>1449.9150660653311</v>
      </c>
      <c r="E490" s="185">
        <f t="shared" si="121"/>
        <v>8470.5485271989983</v>
      </c>
      <c r="F490" s="72">
        <f t="shared" si="126"/>
        <v>323</v>
      </c>
      <c r="G490" s="180">
        <f t="shared" si="122"/>
        <v>31455.682657144931</v>
      </c>
      <c r="H490" s="186">
        <f>-'Residential Rental'!$E$100/12</f>
        <v>898.0893756176489</v>
      </c>
      <c r="I490" s="149">
        <f>'Residential Rental'!$E$98/12*G489</f>
        <v>94.090737112313278</v>
      </c>
      <c r="J490" s="187">
        <f t="shared" si="123"/>
        <v>803.99863850533563</v>
      </c>
      <c r="K490" s="72">
        <f t="shared" si="127"/>
        <v>323</v>
      </c>
      <c r="L490" s="180">
        <f t="shared" si="124"/>
        <v>370964.74998562533</v>
      </c>
      <c r="M490" s="181">
        <f t="shared" si="124"/>
        <v>10818.552968881977</v>
      </c>
      <c r="N490" s="180">
        <f t="shared" si="124"/>
        <v>1544.0058031776443</v>
      </c>
      <c r="O490" s="132">
        <f t="shared" si="119"/>
        <v>9274.5471657043345</v>
      </c>
    </row>
    <row r="491" spans="1:15" x14ac:dyDescent="0.25">
      <c r="A491" s="72">
        <f t="shared" si="125"/>
        <v>324</v>
      </c>
      <c r="B491" s="183">
        <f t="shared" si="120"/>
        <v>331003.22484908474</v>
      </c>
      <c r="C491" s="184">
        <f>-'Residential Rental'!$E$95/12</f>
        <v>9920.4635932643287</v>
      </c>
      <c r="D491" s="183">
        <f>'Residential Rental'!$E$93/12*B490</f>
        <v>1414.6211138686683</v>
      </c>
      <c r="E491" s="185">
        <f t="shared" si="121"/>
        <v>8505.8424793956601</v>
      </c>
      <c r="F491" s="72">
        <f t="shared" si="126"/>
        <v>324</v>
      </c>
      <c r="G491" s="180">
        <f t="shared" si="122"/>
        <v>30649.33902261062</v>
      </c>
      <c r="H491" s="186">
        <f>-'Residential Rental'!$E$100/12</f>
        <v>898.0893756176489</v>
      </c>
      <c r="I491" s="149">
        <f>'Residential Rental'!$E$98/12*G490</f>
        <v>91.745741083339382</v>
      </c>
      <c r="J491" s="187">
        <f t="shared" si="123"/>
        <v>806.34363453430956</v>
      </c>
      <c r="K491" s="72">
        <f t="shared" si="127"/>
        <v>324</v>
      </c>
      <c r="L491" s="180">
        <f t="shared" si="124"/>
        <v>361652.56387169537</v>
      </c>
      <c r="M491" s="181">
        <f t="shared" si="124"/>
        <v>10818.552968881977</v>
      </c>
      <c r="N491" s="180">
        <f t="shared" si="124"/>
        <v>1506.3668549520078</v>
      </c>
      <c r="O491" s="132">
        <f t="shared" si="119"/>
        <v>9312.186113929969</v>
      </c>
    </row>
    <row r="492" spans="1:15" x14ac:dyDescent="0.25">
      <c r="A492" s="72">
        <f t="shared" si="125"/>
        <v>325</v>
      </c>
      <c r="B492" s="183">
        <f t="shared" si="120"/>
        <v>322461.94135935826</v>
      </c>
      <c r="C492" s="184">
        <f>-'Residential Rental'!$E$95/12</f>
        <v>9920.4635932643287</v>
      </c>
      <c r="D492" s="183">
        <f>'Residential Rental'!$E$93/12*B491</f>
        <v>1379.180103537853</v>
      </c>
      <c r="E492" s="185">
        <f t="shared" si="121"/>
        <v>8541.2834897264765</v>
      </c>
      <c r="F492" s="72">
        <f t="shared" si="126"/>
        <v>325</v>
      </c>
      <c r="G492" s="180">
        <f t="shared" si="122"/>
        <v>29840.643552475587</v>
      </c>
      <c r="H492" s="186">
        <f>-'Residential Rental'!$E$100/12</f>
        <v>898.0893756176489</v>
      </c>
      <c r="I492" s="149">
        <f>'Residential Rental'!$E$98/12*G491</f>
        <v>89.393905482614315</v>
      </c>
      <c r="J492" s="187">
        <f t="shared" si="123"/>
        <v>808.69547013503461</v>
      </c>
      <c r="K492" s="72">
        <f t="shared" si="127"/>
        <v>325</v>
      </c>
      <c r="L492" s="180">
        <f t="shared" si="124"/>
        <v>352302.58491183387</v>
      </c>
      <c r="M492" s="181">
        <f t="shared" si="124"/>
        <v>10818.552968881977</v>
      </c>
      <c r="N492" s="180">
        <f t="shared" si="124"/>
        <v>1468.5740090204674</v>
      </c>
      <c r="O492" s="132">
        <f t="shared" si="119"/>
        <v>9349.9789598615116</v>
      </c>
    </row>
    <row r="493" spans="1:15" x14ac:dyDescent="0.25">
      <c r="A493" s="72">
        <f t="shared" si="125"/>
        <v>326</v>
      </c>
      <c r="B493" s="183">
        <f t="shared" si="120"/>
        <v>313885.06918842456</v>
      </c>
      <c r="C493" s="184">
        <f>-'Residential Rental'!$E$95/12</f>
        <v>9920.4635932643287</v>
      </c>
      <c r="D493" s="183">
        <f>'Residential Rental'!$E$93/12*B492</f>
        <v>1343.5914223306595</v>
      </c>
      <c r="E493" s="185">
        <f t="shared" si="121"/>
        <v>8576.8721709336696</v>
      </c>
      <c r="F493" s="72">
        <f t="shared" si="126"/>
        <v>326</v>
      </c>
      <c r="G493" s="180">
        <f t="shared" si="122"/>
        <v>29029.589387219326</v>
      </c>
      <c r="H493" s="186">
        <f>-'Residential Rental'!$E$100/12</f>
        <v>898.0893756176489</v>
      </c>
      <c r="I493" s="149">
        <f>'Residential Rental'!$E$98/12*G492</f>
        <v>87.035210361387129</v>
      </c>
      <c r="J493" s="187">
        <f t="shared" si="123"/>
        <v>811.05416525626174</v>
      </c>
      <c r="K493" s="72">
        <f t="shared" si="127"/>
        <v>326</v>
      </c>
      <c r="L493" s="180">
        <f t="shared" si="124"/>
        <v>342914.6585756439</v>
      </c>
      <c r="M493" s="181">
        <f t="shared" si="124"/>
        <v>10818.552968881977</v>
      </c>
      <c r="N493" s="180">
        <f t="shared" si="124"/>
        <v>1430.6266326920465</v>
      </c>
      <c r="O493" s="132">
        <f t="shared" si="119"/>
        <v>9387.926336189932</v>
      </c>
    </row>
    <row r="494" spans="1:15" x14ac:dyDescent="0.25">
      <c r="A494" s="72">
        <f t="shared" si="125"/>
        <v>327</v>
      </c>
      <c r="B494" s="183">
        <f t="shared" si="120"/>
        <v>305272.46005011199</v>
      </c>
      <c r="C494" s="184">
        <f>-'Residential Rental'!$E$95/12</f>
        <v>9920.4635932643287</v>
      </c>
      <c r="D494" s="183">
        <f>'Residential Rental'!$E$93/12*B493</f>
        <v>1307.854454951769</v>
      </c>
      <c r="E494" s="185">
        <f t="shared" si="121"/>
        <v>8612.6091383125604</v>
      </c>
      <c r="F494" s="72">
        <f t="shared" si="126"/>
        <v>327</v>
      </c>
      <c r="G494" s="180">
        <f t="shared" si="122"/>
        <v>28216.1696473144</v>
      </c>
      <c r="H494" s="186">
        <f>-'Residential Rental'!$E$100/12</f>
        <v>898.0893756176489</v>
      </c>
      <c r="I494" s="149">
        <f>'Residential Rental'!$E$98/12*G493</f>
        <v>84.669635712723036</v>
      </c>
      <c r="J494" s="187">
        <f t="shared" si="123"/>
        <v>813.4197399049259</v>
      </c>
      <c r="K494" s="72">
        <f t="shared" si="127"/>
        <v>327</v>
      </c>
      <c r="L494" s="180">
        <f t="shared" si="124"/>
        <v>333488.6296974264</v>
      </c>
      <c r="M494" s="181">
        <f t="shared" si="124"/>
        <v>10818.552968881977</v>
      </c>
      <c r="N494" s="180">
        <f t="shared" si="124"/>
        <v>1392.524090664492</v>
      </c>
      <c r="O494" s="132">
        <f t="shared" si="119"/>
        <v>9426.0288782174866</v>
      </c>
    </row>
    <row r="495" spans="1:15" x14ac:dyDescent="0.25">
      <c r="A495" s="72">
        <f t="shared" si="125"/>
        <v>328</v>
      </c>
      <c r="B495" s="183">
        <f t="shared" si="120"/>
        <v>296623.9650403898</v>
      </c>
      <c r="C495" s="184">
        <f>-'Residential Rental'!$E$95/12</f>
        <v>9920.4635932643287</v>
      </c>
      <c r="D495" s="183">
        <f>'Residential Rental'!$E$93/12*B494</f>
        <v>1271.9685835421333</v>
      </c>
      <c r="E495" s="185">
        <f t="shared" si="121"/>
        <v>8648.4950097221954</v>
      </c>
      <c r="F495" s="72">
        <f t="shared" si="126"/>
        <v>328</v>
      </c>
      <c r="G495" s="180">
        <f t="shared" si="122"/>
        <v>27400.377433168083</v>
      </c>
      <c r="H495" s="186">
        <f>-'Residential Rental'!$E$100/12</f>
        <v>898.0893756176489</v>
      </c>
      <c r="I495" s="149">
        <f>'Residential Rental'!$E$98/12*G494</f>
        <v>82.297161471333666</v>
      </c>
      <c r="J495" s="187">
        <f t="shared" si="123"/>
        <v>815.79221414631525</v>
      </c>
      <c r="K495" s="72">
        <f t="shared" si="127"/>
        <v>328</v>
      </c>
      <c r="L495" s="180">
        <f t="shared" si="124"/>
        <v>324024.34247355786</v>
      </c>
      <c r="M495" s="181">
        <f t="shared" si="124"/>
        <v>10818.552968881977</v>
      </c>
      <c r="N495" s="180">
        <f t="shared" si="124"/>
        <v>1354.265745013467</v>
      </c>
      <c r="O495" s="132">
        <f t="shared" si="119"/>
        <v>9464.2872238685104</v>
      </c>
    </row>
    <row r="496" spans="1:15" x14ac:dyDescent="0.25">
      <c r="A496" s="72">
        <f t="shared" si="125"/>
        <v>329</v>
      </c>
      <c r="B496" s="183">
        <f t="shared" si="120"/>
        <v>287939.43463479378</v>
      </c>
      <c r="C496" s="184">
        <f>-'Residential Rental'!$E$95/12</f>
        <v>9920.4635932643287</v>
      </c>
      <c r="D496" s="183">
        <f>'Residential Rental'!$E$93/12*B495</f>
        <v>1235.9331876682909</v>
      </c>
      <c r="E496" s="185">
        <f t="shared" si="121"/>
        <v>8684.5304055960369</v>
      </c>
      <c r="F496" s="72">
        <f t="shared" si="126"/>
        <v>329</v>
      </c>
      <c r="G496" s="180">
        <f t="shared" si="122"/>
        <v>26582.20582506384</v>
      </c>
      <c r="H496" s="186">
        <f>-'Residential Rental'!$E$100/12</f>
        <v>898.0893756176489</v>
      </c>
      <c r="I496" s="149">
        <f>'Residential Rental'!$E$98/12*G495</f>
        <v>79.917767513406915</v>
      </c>
      <c r="J496" s="187">
        <f t="shared" si="123"/>
        <v>818.17160810424195</v>
      </c>
      <c r="K496" s="72">
        <f t="shared" si="127"/>
        <v>329</v>
      </c>
      <c r="L496" s="180">
        <f t="shared" si="124"/>
        <v>314521.64045985765</v>
      </c>
      <c r="M496" s="181">
        <f t="shared" si="124"/>
        <v>10818.552968881977</v>
      </c>
      <c r="N496" s="180">
        <f t="shared" si="124"/>
        <v>1315.8509551816978</v>
      </c>
      <c r="O496" s="132">
        <f t="shared" si="119"/>
        <v>9502.7020137002783</v>
      </c>
    </row>
    <row r="497" spans="1:15" x14ac:dyDescent="0.25">
      <c r="A497" s="72">
        <f t="shared" si="125"/>
        <v>330</v>
      </c>
      <c r="B497" s="183">
        <f t="shared" si="120"/>
        <v>279218.71868584107</v>
      </c>
      <c r="C497" s="184">
        <f>-'Residential Rental'!$E$95/12</f>
        <v>9920.4635932643287</v>
      </c>
      <c r="D497" s="183">
        <f>'Residential Rental'!$E$93/12*B496</f>
        <v>1199.7476443116407</v>
      </c>
      <c r="E497" s="185">
        <f t="shared" si="121"/>
        <v>8720.7159489526875</v>
      </c>
      <c r="F497" s="72">
        <f t="shared" si="126"/>
        <v>330</v>
      </c>
      <c r="G497" s="180">
        <f t="shared" si="122"/>
        <v>25761.647883102629</v>
      </c>
      <c r="H497" s="186">
        <f>-'Residential Rental'!$E$100/12</f>
        <v>898.0893756176489</v>
      </c>
      <c r="I497" s="149">
        <f>'Residential Rental'!$E$98/12*G496</f>
        <v>77.531433656436207</v>
      </c>
      <c r="J497" s="187">
        <f t="shared" si="123"/>
        <v>820.55794196121269</v>
      </c>
      <c r="K497" s="72">
        <f t="shared" si="127"/>
        <v>330</v>
      </c>
      <c r="L497" s="180">
        <f t="shared" si="124"/>
        <v>304980.36656894372</v>
      </c>
      <c r="M497" s="181">
        <f t="shared" si="124"/>
        <v>10818.552968881977</v>
      </c>
      <c r="N497" s="180">
        <f t="shared" si="124"/>
        <v>1277.2790779680768</v>
      </c>
      <c r="O497" s="132">
        <f t="shared" si="119"/>
        <v>9541.2738909139007</v>
      </c>
    </row>
    <row r="498" spans="1:15" x14ac:dyDescent="0.25">
      <c r="A498" s="72">
        <f t="shared" si="125"/>
        <v>331</v>
      </c>
      <c r="B498" s="183">
        <f t="shared" si="120"/>
        <v>270461.66642043443</v>
      </c>
      <c r="C498" s="184">
        <f>-'Residential Rental'!$E$95/12</f>
        <v>9920.4635932643287</v>
      </c>
      <c r="D498" s="183">
        <f>'Residential Rental'!$E$93/12*B497</f>
        <v>1163.411327857671</v>
      </c>
      <c r="E498" s="185">
        <f t="shared" si="121"/>
        <v>8757.0522654066572</v>
      </c>
      <c r="F498" s="72">
        <f t="shared" si="126"/>
        <v>331</v>
      </c>
      <c r="G498" s="180">
        <f t="shared" si="122"/>
        <v>24938.696647144028</v>
      </c>
      <c r="H498" s="186">
        <f>-'Residential Rental'!$E$100/12</f>
        <v>898.0893756176489</v>
      </c>
      <c r="I498" s="149">
        <f>'Residential Rental'!$E$98/12*G497</f>
        <v>75.138139659049344</v>
      </c>
      <c r="J498" s="187">
        <f t="shared" si="123"/>
        <v>822.95123595859957</v>
      </c>
      <c r="K498" s="72">
        <f t="shared" si="127"/>
        <v>331</v>
      </c>
      <c r="L498" s="180">
        <f t="shared" si="124"/>
        <v>295400.36306757847</v>
      </c>
      <c r="M498" s="181">
        <f t="shared" si="124"/>
        <v>10818.552968881977</v>
      </c>
      <c r="N498" s="180">
        <f t="shared" si="124"/>
        <v>1238.5494675167204</v>
      </c>
      <c r="O498" s="132">
        <f t="shared" si="119"/>
        <v>9580.0035013652559</v>
      </c>
    </row>
    <row r="499" spans="1:15" x14ac:dyDescent="0.25">
      <c r="A499" s="72">
        <f t="shared" si="125"/>
        <v>332</v>
      </c>
      <c r="B499" s="183">
        <f t="shared" si="120"/>
        <v>261668.12643725524</v>
      </c>
      <c r="C499" s="184">
        <f>-'Residential Rental'!$E$95/12</f>
        <v>9920.4635932643287</v>
      </c>
      <c r="D499" s="183">
        <f>'Residential Rental'!$E$93/12*B498</f>
        <v>1126.9236100851435</v>
      </c>
      <c r="E499" s="185">
        <f t="shared" si="121"/>
        <v>8793.5399831791856</v>
      </c>
      <c r="F499" s="72">
        <f t="shared" si="126"/>
        <v>332</v>
      </c>
      <c r="G499" s="180">
        <f t="shared" si="122"/>
        <v>24113.345136747215</v>
      </c>
      <c r="H499" s="186">
        <f>-'Residential Rental'!$E$100/12</f>
        <v>898.0893756176489</v>
      </c>
      <c r="I499" s="149">
        <f>'Residential Rental'!$E$98/12*G498</f>
        <v>72.737865220836753</v>
      </c>
      <c r="J499" s="187">
        <f t="shared" si="123"/>
        <v>825.35151039681216</v>
      </c>
      <c r="K499" s="72">
        <f t="shared" si="127"/>
        <v>332</v>
      </c>
      <c r="L499" s="180">
        <f t="shared" si="124"/>
        <v>285781.47157400247</v>
      </c>
      <c r="M499" s="181">
        <f t="shared" si="124"/>
        <v>10818.552968881977</v>
      </c>
      <c r="N499" s="180">
        <f t="shared" si="124"/>
        <v>1199.6614753059803</v>
      </c>
      <c r="O499" s="132">
        <f t="shared" si="119"/>
        <v>9618.8914935759985</v>
      </c>
    </row>
    <row r="500" spans="1:15" x14ac:dyDescent="0.25">
      <c r="A500" s="72">
        <f t="shared" si="125"/>
        <v>333</v>
      </c>
      <c r="B500" s="183">
        <f t="shared" si="120"/>
        <v>252837.94670414613</v>
      </c>
      <c r="C500" s="184">
        <f>-'Residential Rental'!$E$95/12</f>
        <v>9920.4635932643287</v>
      </c>
      <c r="D500" s="183">
        <f>'Residential Rental'!$E$93/12*B499</f>
        <v>1090.2838601552301</v>
      </c>
      <c r="E500" s="185">
        <f t="shared" si="121"/>
        <v>8830.1797331090984</v>
      </c>
      <c r="F500" s="72">
        <f t="shared" si="126"/>
        <v>333</v>
      </c>
      <c r="G500" s="180">
        <f t="shared" si="122"/>
        <v>23285.586351111746</v>
      </c>
      <c r="H500" s="186">
        <f>-'Residential Rental'!$E$100/12</f>
        <v>898.0893756176489</v>
      </c>
      <c r="I500" s="149">
        <f>'Residential Rental'!$E$98/12*G499</f>
        <v>70.330589982179376</v>
      </c>
      <c r="J500" s="187">
        <f t="shared" si="123"/>
        <v>827.75878563546951</v>
      </c>
      <c r="K500" s="72">
        <f t="shared" si="127"/>
        <v>333</v>
      </c>
      <c r="L500" s="180">
        <f t="shared" si="124"/>
        <v>276123.53305525787</v>
      </c>
      <c r="M500" s="181">
        <f t="shared" si="124"/>
        <v>10818.552968881977</v>
      </c>
      <c r="N500" s="180">
        <f t="shared" si="124"/>
        <v>1160.6144501374094</v>
      </c>
      <c r="O500" s="132">
        <f t="shared" si="119"/>
        <v>9657.9385187445678</v>
      </c>
    </row>
    <row r="501" spans="1:15" x14ac:dyDescent="0.25">
      <c r="A501" s="72">
        <f t="shared" si="125"/>
        <v>334</v>
      </c>
      <c r="B501" s="183">
        <f t="shared" si="120"/>
        <v>243970.97455548242</v>
      </c>
      <c r="C501" s="184">
        <f>-'Residential Rental'!$E$95/12</f>
        <v>9920.4635932643287</v>
      </c>
      <c r="D501" s="183">
        <f>'Residential Rental'!$E$93/12*B500</f>
        <v>1053.4914446006089</v>
      </c>
      <c r="E501" s="185">
        <f t="shared" si="121"/>
        <v>8866.9721486637191</v>
      </c>
      <c r="F501" s="72">
        <f t="shared" si="126"/>
        <v>334</v>
      </c>
      <c r="G501" s="180">
        <f t="shared" si="122"/>
        <v>22455.413269018172</v>
      </c>
      <c r="H501" s="186">
        <f>-'Residential Rental'!$E$100/12</f>
        <v>898.0893756176489</v>
      </c>
      <c r="I501" s="149">
        <f>'Residential Rental'!$E$98/12*G500</f>
        <v>67.916293524075925</v>
      </c>
      <c r="J501" s="187">
        <f t="shared" si="123"/>
        <v>830.17308209357293</v>
      </c>
      <c r="K501" s="72">
        <f t="shared" si="127"/>
        <v>334</v>
      </c>
      <c r="L501" s="180">
        <f t="shared" si="124"/>
        <v>266426.38782450056</v>
      </c>
      <c r="M501" s="181">
        <f t="shared" si="124"/>
        <v>10818.552968881977</v>
      </c>
      <c r="N501" s="180">
        <f t="shared" si="124"/>
        <v>1121.4077381246848</v>
      </c>
      <c r="O501" s="132">
        <f t="shared" si="119"/>
        <v>9697.1452307572927</v>
      </c>
    </row>
    <row r="502" spans="1:15" x14ac:dyDescent="0.25">
      <c r="A502" s="72">
        <f t="shared" si="125"/>
        <v>335</v>
      </c>
      <c r="B502" s="183">
        <f t="shared" si="120"/>
        <v>235067.05668953259</v>
      </c>
      <c r="C502" s="184">
        <f>-'Residential Rental'!$E$95/12</f>
        <v>9920.4635932643287</v>
      </c>
      <c r="D502" s="183">
        <f>'Residential Rental'!$E$93/12*B501</f>
        <v>1016.54572731451</v>
      </c>
      <c r="E502" s="185">
        <f t="shared" si="121"/>
        <v>8903.9178659498193</v>
      </c>
      <c r="F502" s="72">
        <f t="shared" si="126"/>
        <v>335</v>
      </c>
      <c r="G502" s="180">
        <f t="shared" si="122"/>
        <v>21622.818848768493</v>
      </c>
      <c r="H502" s="186">
        <f>-'Residential Rental'!$E$100/12</f>
        <v>898.0893756176489</v>
      </c>
      <c r="I502" s="149">
        <f>'Residential Rental'!$E$98/12*G501</f>
        <v>65.494955367969666</v>
      </c>
      <c r="J502" s="187">
        <f t="shared" si="123"/>
        <v>832.59442024967927</v>
      </c>
      <c r="K502" s="72">
        <f t="shared" si="127"/>
        <v>335</v>
      </c>
      <c r="L502" s="180">
        <f t="shared" si="124"/>
        <v>256689.87553830107</v>
      </c>
      <c r="M502" s="181">
        <f t="shared" si="124"/>
        <v>10818.552968881977</v>
      </c>
      <c r="N502" s="180">
        <f t="shared" si="124"/>
        <v>1082.0406826824797</v>
      </c>
      <c r="O502" s="132">
        <f t="shared" si="119"/>
        <v>9736.5122861994987</v>
      </c>
    </row>
    <row r="503" spans="1:15" x14ac:dyDescent="0.25">
      <c r="A503" s="72">
        <f t="shared" si="125"/>
        <v>336</v>
      </c>
      <c r="B503" s="183">
        <f t="shared" si="120"/>
        <v>226126.03916580798</v>
      </c>
      <c r="C503" s="184">
        <f>-'Residential Rental'!$E$95/12</f>
        <v>9920.4635932643287</v>
      </c>
      <c r="D503" s="183">
        <f>'Residential Rental'!$E$93/12*B502</f>
        <v>979.44606953971913</v>
      </c>
      <c r="E503" s="185">
        <f t="shared" si="121"/>
        <v>8941.0175237246094</v>
      </c>
      <c r="F503" s="72">
        <f t="shared" si="126"/>
        <v>336</v>
      </c>
      <c r="G503" s="180">
        <f t="shared" si="122"/>
        <v>20787.79602812642</v>
      </c>
      <c r="H503" s="186">
        <f>-'Residential Rental'!$E$100/12</f>
        <v>898.0893756176489</v>
      </c>
      <c r="I503" s="149">
        <f>'Residential Rental'!$E$98/12*G502</f>
        <v>63.066554975574775</v>
      </c>
      <c r="J503" s="187">
        <f t="shared" si="123"/>
        <v>835.02282064207407</v>
      </c>
      <c r="K503" s="72">
        <f t="shared" si="127"/>
        <v>336</v>
      </c>
      <c r="L503" s="180">
        <f t="shared" si="124"/>
        <v>246913.83519393438</v>
      </c>
      <c r="M503" s="181">
        <f t="shared" si="124"/>
        <v>10818.552968881977</v>
      </c>
      <c r="N503" s="180">
        <f t="shared" si="124"/>
        <v>1042.512624515294</v>
      </c>
      <c r="O503" s="132">
        <f t="shared" si="119"/>
        <v>9776.0403443666837</v>
      </c>
    </row>
    <row r="504" spans="1:15" x14ac:dyDescent="0.25">
      <c r="A504" s="72">
        <f t="shared" si="125"/>
        <v>337</v>
      </c>
      <c r="B504" s="183">
        <f t="shared" si="120"/>
        <v>217147.76740240119</v>
      </c>
      <c r="C504" s="184">
        <f>-'Residential Rental'!$E$95/12</f>
        <v>9920.4635932643287</v>
      </c>
      <c r="D504" s="183">
        <f>'Residential Rental'!$E$93/12*B503</f>
        <v>942.19182985753321</v>
      </c>
      <c r="E504" s="185">
        <f t="shared" si="121"/>
        <v>8978.2717634067958</v>
      </c>
      <c r="F504" s="72">
        <f t="shared" si="126"/>
        <v>337</v>
      </c>
      <c r="G504" s="180">
        <f t="shared" si="122"/>
        <v>19950.337724257475</v>
      </c>
      <c r="H504" s="186">
        <f>-'Residential Rental'!$E$100/12</f>
        <v>898.0893756176489</v>
      </c>
      <c r="I504" s="149">
        <f>'Residential Rental'!$E$98/12*G503</f>
        <v>60.631071748702063</v>
      </c>
      <c r="J504" s="187">
        <f t="shared" si="123"/>
        <v>837.45830386894681</v>
      </c>
      <c r="K504" s="72">
        <f t="shared" si="127"/>
        <v>337</v>
      </c>
      <c r="L504" s="180">
        <f t="shared" si="124"/>
        <v>237098.10512665866</v>
      </c>
      <c r="M504" s="181">
        <f t="shared" si="124"/>
        <v>10818.552968881977</v>
      </c>
      <c r="N504" s="180">
        <f t="shared" si="124"/>
        <v>1002.8229016062353</v>
      </c>
      <c r="O504" s="132">
        <f t="shared" si="119"/>
        <v>9815.7300672757428</v>
      </c>
    </row>
    <row r="505" spans="1:15" x14ac:dyDescent="0.25">
      <c r="A505" s="72">
        <f t="shared" si="125"/>
        <v>338</v>
      </c>
      <c r="B505" s="183">
        <f t="shared" si="120"/>
        <v>208132.08617331352</v>
      </c>
      <c r="C505" s="184">
        <f>-'Residential Rental'!$E$95/12</f>
        <v>9920.4635932643287</v>
      </c>
      <c r="D505" s="183">
        <f>'Residential Rental'!$E$93/12*B504</f>
        <v>904.78236417667165</v>
      </c>
      <c r="E505" s="185">
        <f t="shared" si="121"/>
        <v>9015.6812290876569</v>
      </c>
      <c r="F505" s="72">
        <f t="shared" si="126"/>
        <v>338</v>
      </c>
      <c r="G505" s="180">
        <f t="shared" si="122"/>
        <v>19110.436833668911</v>
      </c>
      <c r="H505" s="186">
        <f>-'Residential Rental'!$E$100/12</f>
        <v>898.0893756176489</v>
      </c>
      <c r="I505" s="149">
        <f>'Residential Rental'!$E$98/12*G504</f>
        <v>58.188485029084305</v>
      </c>
      <c r="J505" s="187">
        <f t="shared" si="123"/>
        <v>839.90089058856461</v>
      </c>
      <c r="K505" s="72">
        <f t="shared" si="127"/>
        <v>338</v>
      </c>
      <c r="L505" s="180">
        <f t="shared" si="124"/>
        <v>227242.52300698243</v>
      </c>
      <c r="M505" s="181">
        <f t="shared" si="124"/>
        <v>10818.552968881977</v>
      </c>
      <c r="N505" s="180">
        <f t="shared" si="124"/>
        <v>962.97084920575594</v>
      </c>
      <c r="O505" s="132">
        <f t="shared" si="119"/>
        <v>9855.5821196762208</v>
      </c>
    </row>
    <row r="506" spans="1:15" x14ac:dyDescent="0.25">
      <c r="A506" s="72">
        <f t="shared" si="125"/>
        <v>339</v>
      </c>
      <c r="B506" s="183">
        <f t="shared" si="120"/>
        <v>199078.83960577133</v>
      </c>
      <c r="C506" s="184">
        <f>-'Residential Rental'!$E$95/12</f>
        <v>9920.4635932643287</v>
      </c>
      <c r="D506" s="183">
        <f>'Residential Rental'!$E$93/12*B505</f>
        <v>867.21702572213962</v>
      </c>
      <c r="E506" s="185">
        <f t="shared" si="121"/>
        <v>9053.2465675421881</v>
      </c>
      <c r="F506" s="72">
        <f t="shared" si="126"/>
        <v>339</v>
      </c>
      <c r="G506" s="180">
        <f t="shared" si="122"/>
        <v>18268.086232149464</v>
      </c>
      <c r="H506" s="186">
        <f>-'Residential Rental'!$E$100/12</f>
        <v>898.0893756176489</v>
      </c>
      <c r="I506" s="149">
        <f>'Residential Rental'!$E$98/12*G505</f>
        <v>55.738774098200992</v>
      </c>
      <c r="J506" s="187">
        <f t="shared" si="123"/>
        <v>842.35060151944788</v>
      </c>
      <c r="K506" s="72">
        <f t="shared" si="127"/>
        <v>339</v>
      </c>
      <c r="L506" s="180">
        <f t="shared" si="124"/>
        <v>217346.9258379208</v>
      </c>
      <c r="M506" s="181">
        <f t="shared" si="124"/>
        <v>10818.552968881977</v>
      </c>
      <c r="N506" s="180">
        <f t="shared" si="124"/>
        <v>922.95579982034064</v>
      </c>
      <c r="O506" s="132">
        <f t="shared" si="119"/>
        <v>9895.5971690616352</v>
      </c>
    </row>
    <row r="507" spans="1:15" x14ac:dyDescent="0.25">
      <c r="A507" s="72">
        <f t="shared" si="125"/>
        <v>340</v>
      </c>
      <c r="B507" s="183">
        <f t="shared" si="120"/>
        <v>189987.87117753105</v>
      </c>
      <c r="C507" s="184">
        <f>-'Residential Rental'!$E$95/12</f>
        <v>9920.4635932643287</v>
      </c>
      <c r="D507" s="183">
        <f>'Residential Rental'!$E$93/12*B506</f>
        <v>829.4951650240472</v>
      </c>
      <c r="E507" s="185">
        <f t="shared" si="121"/>
        <v>9090.9684282402814</v>
      </c>
      <c r="F507" s="72">
        <f t="shared" si="126"/>
        <v>340</v>
      </c>
      <c r="G507" s="180">
        <f t="shared" si="122"/>
        <v>17423.278774708917</v>
      </c>
      <c r="H507" s="186">
        <f>-'Residential Rental'!$E$100/12</f>
        <v>898.0893756176489</v>
      </c>
      <c r="I507" s="149">
        <f>'Residential Rental'!$E$98/12*G506</f>
        <v>53.281918177102604</v>
      </c>
      <c r="J507" s="187">
        <f t="shared" si="123"/>
        <v>844.80745744054627</v>
      </c>
      <c r="K507" s="72">
        <f t="shared" si="127"/>
        <v>340</v>
      </c>
      <c r="L507" s="180">
        <f t="shared" si="124"/>
        <v>207411.14995223997</v>
      </c>
      <c r="M507" s="181">
        <f t="shared" si="124"/>
        <v>10818.552968881977</v>
      </c>
      <c r="N507" s="180">
        <f t="shared" si="124"/>
        <v>882.77708320114982</v>
      </c>
      <c r="O507" s="132">
        <f t="shared" si="119"/>
        <v>9935.7758856808268</v>
      </c>
    </row>
    <row r="508" spans="1:15" x14ac:dyDescent="0.25">
      <c r="A508" s="72">
        <f t="shared" si="125"/>
        <v>341</v>
      </c>
      <c r="B508" s="183">
        <f t="shared" si="120"/>
        <v>180859.02371417309</v>
      </c>
      <c r="C508" s="184">
        <f>-'Residential Rental'!$E$95/12</f>
        <v>9920.4635932643287</v>
      </c>
      <c r="D508" s="183">
        <f>'Residential Rental'!$E$93/12*B507</f>
        <v>791.61612990637934</v>
      </c>
      <c r="E508" s="185">
        <f t="shared" si="121"/>
        <v>9128.8474633579499</v>
      </c>
      <c r="F508" s="72">
        <f t="shared" si="126"/>
        <v>341</v>
      </c>
      <c r="G508" s="180">
        <f t="shared" si="122"/>
        <v>16576.007295517502</v>
      </c>
      <c r="H508" s="186">
        <f>-'Residential Rental'!$E$100/12</f>
        <v>898.0893756176489</v>
      </c>
      <c r="I508" s="149">
        <f>'Residential Rental'!$E$98/12*G507</f>
        <v>50.817896426234341</v>
      </c>
      <c r="J508" s="187">
        <f t="shared" si="123"/>
        <v>847.27147919141453</v>
      </c>
      <c r="K508" s="72">
        <f t="shared" si="127"/>
        <v>341</v>
      </c>
      <c r="L508" s="180">
        <f t="shared" si="124"/>
        <v>197435.0310096906</v>
      </c>
      <c r="M508" s="181">
        <f t="shared" si="124"/>
        <v>10818.552968881977</v>
      </c>
      <c r="N508" s="180">
        <f t="shared" si="124"/>
        <v>842.43402633261371</v>
      </c>
      <c r="O508" s="132">
        <f t="shared" si="119"/>
        <v>9976.1189425493649</v>
      </c>
    </row>
    <row r="509" spans="1:15" x14ac:dyDescent="0.25">
      <c r="A509" s="72">
        <f t="shared" si="125"/>
        <v>342</v>
      </c>
      <c r="B509" s="183">
        <f t="shared" si="120"/>
        <v>171692.13938638449</v>
      </c>
      <c r="C509" s="184">
        <f>-'Residential Rental'!$E$95/12</f>
        <v>9920.4635932643287</v>
      </c>
      <c r="D509" s="183">
        <f>'Residential Rental'!$E$93/12*B508</f>
        <v>753.57926547572117</v>
      </c>
      <c r="E509" s="185">
        <f t="shared" si="121"/>
        <v>9166.8843277886081</v>
      </c>
      <c r="F509" s="72">
        <f t="shared" si="126"/>
        <v>342</v>
      </c>
      <c r="G509" s="180">
        <f t="shared" si="122"/>
        <v>15726.264607845113</v>
      </c>
      <c r="H509" s="186">
        <f>-'Residential Rental'!$E$100/12</f>
        <v>898.0893756176489</v>
      </c>
      <c r="I509" s="149">
        <f>'Residential Rental'!$E$98/12*G508</f>
        <v>48.346687945259383</v>
      </c>
      <c r="J509" s="187">
        <f t="shared" si="123"/>
        <v>849.74268767238948</v>
      </c>
      <c r="K509" s="72">
        <f t="shared" si="127"/>
        <v>342</v>
      </c>
      <c r="L509" s="180">
        <f t="shared" si="124"/>
        <v>187418.40399422959</v>
      </c>
      <c r="M509" s="181">
        <f t="shared" si="124"/>
        <v>10818.552968881977</v>
      </c>
      <c r="N509" s="180">
        <f t="shared" si="124"/>
        <v>801.92595342098059</v>
      </c>
      <c r="O509" s="132">
        <f t="shared" si="119"/>
        <v>10016.627015460997</v>
      </c>
    </row>
    <row r="510" spans="1:15" x14ac:dyDescent="0.25">
      <c r="A510" s="72">
        <f t="shared" si="125"/>
        <v>343</v>
      </c>
      <c r="B510" s="183">
        <f t="shared" si="120"/>
        <v>162487.0597072301</v>
      </c>
      <c r="C510" s="184">
        <f>-'Residential Rental'!$E$95/12</f>
        <v>9920.4635932643287</v>
      </c>
      <c r="D510" s="183">
        <f>'Residential Rental'!$E$93/12*B509</f>
        <v>715.3839141099354</v>
      </c>
      <c r="E510" s="185">
        <f t="shared" si="121"/>
        <v>9205.0796791543926</v>
      </c>
      <c r="F510" s="72">
        <f t="shared" si="126"/>
        <v>343</v>
      </c>
      <c r="G510" s="180">
        <f t="shared" si="122"/>
        <v>14874.043504000345</v>
      </c>
      <c r="H510" s="186">
        <f>-'Residential Rental'!$E$100/12</f>
        <v>898.0893756176489</v>
      </c>
      <c r="I510" s="149">
        <f>'Residential Rental'!$E$98/12*G509</f>
        <v>45.868271772881577</v>
      </c>
      <c r="J510" s="187">
        <f t="shared" si="123"/>
        <v>852.2211038447673</v>
      </c>
      <c r="K510" s="72">
        <f t="shared" si="127"/>
        <v>343</v>
      </c>
      <c r="L510" s="180">
        <f t="shared" si="124"/>
        <v>177361.10321123045</v>
      </c>
      <c r="M510" s="181">
        <f t="shared" si="124"/>
        <v>10818.552968881977</v>
      </c>
      <c r="N510" s="180">
        <f t="shared" si="124"/>
        <v>761.252185882817</v>
      </c>
      <c r="O510" s="132">
        <f t="shared" si="119"/>
        <v>10057.30078299916</v>
      </c>
    </row>
    <row r="511" spans="1:15" x14ac:dyDescent="0.25">
      <c r="A511" s="72">
        <f t="shared" si="125"/>
        <v>344</v>
      </c>
      <c r="B511" s="183">
        <f t="shared" si="120"/>
        <v>153243.62552941256</v>
      </c>
      <c r="C511" s="184">
        <f>-'Residential Rental'!$E$95/12</f>
        <v>9920.4635932643287</v>
      </c>
      <c r="D511" s="183">
        <f>'Residential Rental'!$E$93/12*B510</f>
        <v>677.02941544679209</v>
      </c>
      <c r="E511" s="185">
        <f t="shared" si="121"/>
        <v>9243.4341778175367</v>
      </c>
      <c r="F511" s="72">
        <f t="shared" si="126"/>
        <v>344</v>
      </c>
      <c r="G511" s="180">
        <f t="shared" si="122"/>
        <v>14019.336755269363</v>
      </c>
      <c r="H511" s="186">
        <f>-'Residential Rental'!$E$100/12</f>
        <v>898.0893756176489</v>
      </c>
      <c r="I511" s="149">
        <f>'Residential Rental'!$E$98/12*G510</f>
        <v>43.382626886667673</v>
      </c>
      <c r="J511" s="187">
        <f t="shared" si="123"/>
        <v>854.70674873098119</v>
      </c>
      <c r="K511" s="72">
        <f t="shared" si="127"/>
        <v>344</v>
      </c>
      <c r="L511" s="180">
        <f t="shared" si="124"/>
        <v>167262.96228468191</v>
      </c>
      <c r="M511" s="181">
        <f t="shared" si="124"/>
        <v>10818.552968881977</v>
      </c>
      <c r="N511" s="180">
        <f t="shared" si="124"/>
        <v>720.41204233345979</v>
      </c>
      <c r="O511" s="132">
        <f t="shared" si="119"/>
        <v>10098.140926548518</v>
      </c>
    </row>
    <row r="512" spans="1:15" x14ac:dyDescent="0.25">
      <c r="A512" s="72">
        <f t="shared" si="125"/>
        <v>345</v>
      </c>
      <c r="B512" s="183">
        <f t="shared" si="120"/>
        <v>143961.67704252078</v>
      </c>
      <c r="C512" s="184">
        <f>-'Residential Rental'!$E$95/12</f>
        <v>9920.4635932643287</v>
      </c>
      <c r="D512" s="183">
        <f>'Residential Rental'!$E$93/12*B511</f>
        <v>638.51510637255228</v>
      </c>
      <c r="E512" s="185">
        <f t="shared" si="121"/>
        <v>9281.9484868917771</v>
      </c>
      <c r="F512" s="72">
        <f t="shared" si="126"/>
        <v>345</v>
      </c>
      <c r="G512" s="180">
        <f t="shared" si="122"/>
        <v>13162.137111854583</v>
      </c>
      <c r="H512" s="186">
        <f>-'Residential Rental'!$E$100/12</f>
        <v>898.0893756176489</v>
      </c>
      <c r="I512" s="149">
        <f>'Residential Rental'!$E$98/12*G511</f>
        <v>40.889732202868977</v>
      </c>
      <c r="J512" s="187">
        <f t="shared" si="123"/>
        <v>857.19964341477987</v>
      </c>
      <c r="K512" s="72">
        <f t="shared" si="127"/>
        <v>345</v>
      </c>
      <c r="L512" s="180">
        <f t="shared" si="124"/>
        <v>157123.81415437537</v>
      </c>
      <c r="M512" s="181">
        <f t="shared" si="124"/>
        <v>10818.552968881977</v>
      </c>
      <c r="N512" s="180">
        <f t="shared" si="124"/>
        <v>679.40483857542131</v>
      </c>
      <c r="O512" s="132">
        <f t="shared" si="119"/>
        <v>10139.148130306558</v>
      </c>
    </row>
    <row r="513" spans="1:15" x14ac:dyDescent="0.25">
      <c r="A513" s="72">
        <f t="shared" si="125"/>
        <v>346</v>
      </c>
      <c r="B513" s="183">
        <f t="shared" si="120"/>
        <v>134641.05377026694</v>
      </c>
      <c r="C513" s="184">
        <f>-'Residential Rental'!$E$95/12</f>
        <v>9920.4635932643287</v>
      </c>
      <c r="D513" s="183">
        <f>'Residential Rental'!$E$93/12*B512</f>
        <v>599.8403210105032</v>
      </c>
      <c r="E513" s="185">
        <f t="shared" si="121"/>
        <v>9320.6232722538261</v>
      </c>
      <c r="F513" s="72">
        <f t="shared" si="126"/>
        <v>346</v>
      </c>
      <c r="G513" s="180">
        <f t="shared" si="122"/>
        <v>12302.437302813176</v>
      </c>
      <c r="H513" s="186">
        <f>-'Residential Rental'!$E$100/12</f>
        <v>898.0893756176489</v>
      </c>
      <c r="I513" s="149">
        <f>'Residential Rental'!$E$98/12*G512</f>
        <v>38.389566576242537</v>
      </c>
      <c r="J513" s="187">
        <f t="shared" si="123"/>
        <v>859.69980904140641</v>
      </c>
      <c r="K513" s="72">
        <f t="shared" si="127"/>
        <v>346</v>
      </c>
      <c r="L513" s="180">
        <f t="shared" si="124"/>
        <v>146943.49107308011</v>
      </c>
      <c r="M513" s="181">
        <f t="shared" si="124"/>
        <v>10818.552968881977</v>
      </c>
      <c r="N513" s="180">
        <f t="shared" si="124"/>
        <v>638.22988758674569</v>
      </c>
      <c r="O513" s="132">
        <f t="shared" si="119"/>
        <v>10180.323081295233</v>
      </c>
    </row>
    <row r="514" spans="1:15" x14ac:dyDescent="0.25">
      <c r="A514" s="72">
        <f t="shared" si="125"/>
        <v>347</v>
      </c>
      <c r="B514" s="183">
        <f t="shared" si="120"/>
        <v>125281.59456771206</v>
      </c>
      <c r="C514" s="184">
        <f>-'Residential Rental'!$E$95/12</f>
        <v>9920.4635932643287</v>
      </c>
      <c r="D514" s="183">
        <f>'Residential Rental'!$E$93/12*B513</f>
        <v>561.0043907094456</v>
      </c>
      <c r="E514" s="185">
        <f t="shared" si="121"/>
        <v>9359.4592025548827</v>
      </c>
      <c r="F514" s="72">
        <f t="shared" si="126"/>
        <v>347</v>
      </c>
      <c r="G514" s="180">
        <f t="shared" si="122"/>
        <v>11440.230035995399</v>
      </c>
      <c r="H514" s="186">
        <f>-'Residential Rental'!$E$100/12</f>
        <v>898.0893756176489</v>
      </c>
      <c r="I514" s="149">
        <f>'Residential Rental'!$E$98/12*G513</f>
        <v>35.882108799871766</v>
      </c>
      <c r="J514" s="187">
        <f t="shared" si="123"/>
        <v>862.20726681777717</v>
      </c>
      <c r="K514" s="72">
        <f t="shared" si="127"/>
        <v>347</v>
      </c>
      <c r="L514" s="180">
        <f t="shared" si="124"/>
        <v>136721.82460370747</v>
      </c>
      <c r="M514" s="181">
        <f t="shared" si="124"/>
        <v>10818.552968881977</v>
      </c>
      <c r="N514" s="180">
        <f t="shared" si="124"/>
        <v>596.88649950931733</v>
      </c>
      <c r="O514" s="132">
        <f t="shared" si="119"/>
        <v>10221.66646937266</v>
      </c>
    </row>
    <row r="515" spans="1:15" x14ac:dyDescent="0.25">
      <c r="A515" s="72">
        <f t="shared" si="125"/>
        <v>348</v>
      </c>
      <c r="B515" s="183">
        <f t="shared" si="120"/>
        <v>115883.13761847987</v>
      </c>
      <c r="C515" s="184">
        <f>-'Residential Rental'!$E$95/12</f>
        <v>9920.4635932643287</v>
      </c>
      <c r="D515" s="183">
        <f>'Residential Rental'!$E$93/12*B514</f>
        <v>522.00664403213364</v>
      </c>
      <c r="E515" s="185">
        <f t="shared" si="121"/>
        <v>9398.4569492321953</v>
      </c>
      <c r="F515" s="72">
        <f t="shared" si="126"/>
        <v>348</v>
      </c>
      <c r="G515" s="180">
        <f t="shared" si="122"/>
        <v>10575.507997982737</v>
      </c>
      <c r="H515" s="186">
        <f>-'Residential Rental'!$E$100/12</f>
        <v>898.0893756176489</v>
      </c>
      <c r="I515" s="149">
        <f>'Residential Rental'!$E$98/12*G514</f>
        <v>33.367337604986581</v>
      </c>
      <c r="J515" s="187">
        <f t="shared" si="123"/>
        <v>864.72203801266232</v>
      </c>
      <c r="K515" s="72">
        <f t="shared" si="127"/>
        <v>348</v>
      </c>
      <c r="L515" s="180">
        <f t="shared" si="124"/>
        <v>126458.64561646261</v>
      </c>
      <c r="M515" s="181">
        <f t="shared" si="124"/>
        <v>10818.552968881977</v>
      </c>
      <c r="N515" s="180">
        <f t="shared" si="124"/>
        <v>555.37398163712021</v>
      </c>
      <c r="O515" s="132">
        <f t="shared" si="119"/>
        <v>10263.178987244857</v>
      </c>
    </row>
    <row r="516" spans="1:15" x14ac:dyDescent="0.25">
      <c r="A516" s="72">
        <f t="shared" si="125"/>
        <v>349</v>
      </c>
      <c r="B516" s="183">
        <f t="shared" si="120"/>
        <v>106445.52043195922</v>
      </c>
      <c r="C516" s="184">
        <f>-'Residential Rental'!$E$95/12</f>
        <v>9920.4635932643287</v>
      </c>
      <c r="D516" s="183">
        <f>'Residential Rental'!$E$93/12*B515</f>
        <v>482.84640674366614</v>
      </c>
      <c r="E516" s="185">
        <f t="shared" si="121"/>
        <v>9437.6171865206634</v>
      </c>
      <c r="F516" s="72">
        <f t="shared" si="126"/>
        <v>349</v>
      </c>
      <c r="G516" s="180">
        <f t="shared" si="122"/>
        <v>9708.2638540258704</v>
      </c>
      <c r="H516" s="186">
        <f>-'Residential Rental'!$E$100/12</f>
        <v>898.0893756176489</v>
      </c>
      <c r="I516" s="149">
        <f>'Residential Rental'!$E$98/12*G515</f>
        <v>30.845231660782986</v>
      </c>
      <c r="J516" s="187">
        <f t="shared" si="123"/>
        <v>867.24414395686586</v>
      </c>
      <c r="K516" s="72">
        <f t="shared" si="127"/>
        <v>349</v>
      </c>
      <c r="L516" s="180">
        <f t="shared" si="124"/>
        <v>116153.78428598508</v>
      </c>
      <c r="M516" s="181">
        <f t="shared" si="124"/>
        <v>10818.552968881977</v>
      </c>
      <c r="N516" s="180">
        <f t="shared" si="124"/>
        <v>513.69163840444912</v>
      </c>
      <c r="O516" s="132">
        <f t="shared" si="119"/>
        <v>10304.86133047753</v>
      </c>
    </row>
    <row r="517" spans="1:15" x14ac:dyDescent="0.25">
      <c r="A517" s="72">
        <f t="shared" si="125"/>
        <v>350</v>
      </c>
      <c r="B517" s="183">
        <f t="shared" si="120"/>
        <v>96968.579840494713</v>
      </c>
      <c r="C517" s="184">
        <f>-'Residential Rental'!$E$95/12</f>
        <v>9920.4635932643287</v>
      </c>
      <c r="D517" s="183">
        <f>'Residential Rental'!$E$93/12*B516</f>
        <v>443.52300179983007</v>
      </c>
      <c r="E517" s="185">
        <f t="shared" si="121"/>
        <v>9476.9405914644994</v>
      </c>
      <c r="F517" s="72">
        <f t="shared" si="126"/>
        <v>350</v>
      </c>
      <c r="G517" s="180">
        <f t="shared" si="122"/>
        <v>8838.4902479824632</v>
      </c>
      <c r="H517" s="186">
        <f>-'Residential Rental'!$E$100/12</f>
        <v>898.0893756176489</v>
      </c>
      <c r="I517" s="149">
        <f>'Residential Rental'!$E$98/12*G516</f>
        <v>28.315769574242122</v>
      </c>
      <c r="J517" s="187">
        <f t="shared" si="123"/>
        <v>869.77360604340674</v>
      </c>
      <c r="K517" s="72">
        <f t="shared" si="127"/>
        <v>350</v>
      </c>
      <c r="L517" s="180">
        <f t="shared" si="124"/>
        <v>105807.07008847718</v>
      </c>
      <c r="M517" s="181">
        <f t="shared" si="124"/>
        <v>10818.552968881977</v>
      </c>
      <c r="N517" s="180">
        <f t="shared" si="124"/>
        <v>471.83877137407217</v>
      </c>
      <c r="O517" s="132">
        <f t="shared" si="119"/>
        <v>10346.714197507907</v>
      </c>
    </row>
    <row r="518" spans="1:15" x14ac:dyDescent="0.25">
      <c r="A518" s="72">
        <f t="shared" si="125"/>
        <v>351</v>
      </c>
      <c r="B518" s="183">
        <f t="shared" si="120"/>
        <v>87452.151996565779</v>
      </c>
      <c r="C518" s="184">
        <f>-'Residential Rental'!$E$95/12</f>
        <v>9920.4635932643287</v>
      </c>
      <c r="D518" s="183">
        <f>'Residential Rental'!$E$93/12*B517</f>
        <v>404.03574933539466</v>
      </c>
      <c r="E518" s="185">
        <f t="shared" si="121"/>
        <v>9516.4278439289337</v>
      </c>
      <c r="F518" s="72">
        <f t="shared" si="126"/>
        <v>351</v>
      </c>
      <c r="G518" s="180">
        <f t="shared" si="122"/>
        <v>7966.1798022547628</v>
      </c>
      <c r="H518" s="186">
        <f>-'Residential Rental'!$E$100/12</f>
        <v>898.0893756176489</v>
      </c>
      <c r="I518" s="149">
        <f>'Residential Rental'!$E$98/12*G517</f>
        <v>25.778929889948852</v>
      </c>
      <c r="J518" s="187">
        <f t="shared" si="123"/>
        <v>872.31044572770008</v>
      </c>
      <c r="K518" s="72">
        <f t="shared" si="127"/>
        <v>351</v>
      </c>
      <c r="L518" s="180">
        <f t="shared" si="124"/>
        <v>95418.331798820538</v>
      </c>
      <c r="M518" s="181">
        <f t="shared" si="124"/>
        <v>10818.552968881977</v>
      </c>
      <c r="N518" s="180">
        <f t="shared" si="124"/>
        <v>429.81467922534353</v>
      </c>
      <c r="O518" s="132">
        <f t="shared" si="119"/>
        <v>10388.738289656634</v>
      </c>
    </row>
    <row r="519" spans="1:15" x14ac:dyDescent="0.25">
      <c r="A519" s="72">
        <f t="shared" si="125"/>
        <v>352</v>
      </c>
      <c r="B519" s="183">
        <f t="shared" si="120"/>
        <v>77896.072369953807</v>
      </c>
      <c r="C519" s="184">
        <f>-'Residential Rental'!$E$95/12</f>
        <v>9920.4635932643287</v>
      </c>
      <c r="D519" s="183">
        <f>'Residential Rental'!$E$93/12*B518</f>
        <v>364.3839666523574</v>
      </c>
      <c r="E519" s="185">
        <f t="shared" si="121"/>
        <v>9556.0796266119705</v>
      </c>
      <c r="F519" s="72">
        <f t="shared" si="126"/>
        <v>352</v>
      </c>
      <c r="G519" s="180">
        <f t="shared" si="122"/>
        <v>7091.3251177270231</v>
      </c>
      <c r="H519" s="186">
        <f>-'Residential Rental'!$E$100/12</f>
        <v>898.0893756176489</v>
      </c>
      <c r="I519" s="149">
        <f>'Residential Rental'!$E$98/12*G518</f>
        <v>23.234691089909727</v>
      </c>
      <c r="J519" s="187">
        <f t="shared" si="123"/>
        <v>874.85468452773921</v>
      </c>
      <c r="K519" s="72">
        <f t="shared" si="127"/>
        <v>352</v>
      </c>
      <c r="L519" s="180">
        <f t="shared" si="124"/>
        <v>84987.397487680835</v>
      </c>
      <c r="M519" s="181">
        <f t="shared" si="124"/>
        <v>10818.552968881977</v>
      </c>
      <c r="N519" s="180">
        <f t="shared" si="124"/>
        <v>387.61865774226715</v>
      </c>
      <c r="O519" s="132">
        <f t="shared" si="119"/>
        <v>10430.93431113971</v>
      </c>
    </row>
    <row r="520" spans="1:15" x14ac:dyDescent="0.25">
      <c r="A520" s="72">
        <f t="shared" si="125"/>
        <v>353</v>
      </c>
      <c r="B520" s="183">
        <f t="shared" si="120"/>
        <v>68300.175744897613</v>
      </c>
      <c r="C520" s="184">
        <f>-'Residential Rental'!$E$95/12</f>
        <v>9920.4635932643287</v>
      </c>
      <c r="D520" s="183">
        <f>'Residential Rental'!$E$93/12*B519</f>
        <v>324.56696820814085</v>
      </c>
      <c r="E520" s="185">
        <f t="shared" si="121"/>
        <v>9595.896625056188</v>
      </c>
      <c r="F520" s="72">
        <f t="shared" si="126"/>
        <v>353</v>
      </c>
      <c r="G520" s="180">
        <f t="shared" si="122"/>
        <v>6213.9187737027451</v>
      </c>
      <c r="H520" s="186">
        <f>-'Residential Rental'!$E$100/12</f>
        <v>898.0893756176489</v>
      </c>
      <c r="I520" s="149">
        <f>'Residential Rental'!$E$98/12*G519</f>
        <v>20.683031593370487</v>
      </c>
      <c r="J520" s="187">
        <f t="shared" si="123"/>
        <v>877.40634402427838</v>
      </c>
      <c r="K520" s="72">
        <f t="shared" si="127"/>
        <v>353</v>
      </c>
      <c r="L520" s="180">
        <f t="shared" si="124"/>
        <v>74514.094518600352</v>
      </c>
      <c r="M520" s="181">
        <f t="shared" si="124"/>
        <v>10818.552968881977</v>
      </c>
      <c r="N520" s="180">
        <f t="shared" si="124"/>
        <v>345.24999980151131</v>
      </c>
      <c r="O520" s="132">
        <f t="shared" si="119"/>
        <v>10473.302969080467</v>
      </c>
    </row>
    <row r="521" spans="1:15" x14ac:dyDescent="0.25">
      <c r="A521" s="72">
        <f t="shared" si="125"/>
        <v>354</v>
      </c>
      <c r="B521" s="183">
        <f t="shared" si="120"/>
        <v>58664.296217237024</v>
      </c>
      <c r="C521" s="184">
        <f>-'Residential Rental'!$E$95/12</f>
        <v>9920.4635932643287</v>
      </c>
      <c r="D521" s="183">
        <f>'Residential Rental'!$E$93/12*B520</f>
        <v>284.58406560374004</v>
      </c>
      <c r="E521" s="185">
        <f t="shared" si="121"/>
        <v>9635.8795276605888</v>
      </c>
      <c r="F521" s="72">
        <f t="shared" si="126"/>
        <v>354</v>
      </c>
      <c r="G521" s="180">
        <f t="shared" si="122"/>
        <v>5333.9533278417293</v>
      </c>
      <c r="H521" s="186">
        <f>-'Residential Rental'!$E$100/12</f>
        <v>898.0893756176489</v>
      </c>
      <c r="I521" s="149">
        <f>'Residential Rental'!$E$98/12*G520</f>
        <v>18.123929756633007</v>
      </c>
      <c r="J521" s="187">
        <f t="shared" si="123"/>
        <v>879.96544586101584</v>
      </c>
      <c r="K521" s="72">
        <f t="shared" si="127"/>
        <v>354</v>
      </c>
      <c r="L521" s="180">
        <f t="shared" si="124"/>
        <v>63998.249545078754</v>
      </c>
      <c r="M521" s="181">
        <f t="shared" si="124"/>
        <v>10818.552968881977</v>
      </c>
      <c r="N521" s="180">
        <f t="shared" si="124"/>
        <v>302.70799536037305</v>
      </c>
      <c r="O521" s="132">
        <f t="shared" si="119"/>
        <v>10515.844973521605</v>
      </c>
    </row>
    <row r="522" spans="1:15" x14ac:dyDescent="0.25">
      <c r="A522" s="72">
        <f t="shared" si="125"/>
        <v>355</v>
      </c>
      <c r="B522" s="183">
        <f t="shared" si="120"/>
        <v>48988.267191544517</v>
      </c>
      <c r="C522" s="184">
        <f>-'Residential Rental'!$E$95/12</f>
        <v>9920.4635932643287</v>
      </c>
      <c r="D522" s="183">
        <f>'Residential Rental'!$E$93/12*B521</f>
        <v>244.43456757182093</v>
      </c>
      <c r="E522" s="185">
        <f t="shared" si="121"/>
        <v>9676.0290256925073</v>
      </c>
      <c r="F522" s="72">
        <f t="shared" si="126"/>
        <v>355</v>
      </c>
      <c r="G522" s="180">
        <f t="shared" si="122"/>
        <v>4451.4213160969521</v>
      </c>
      <c r="H522" s="186">
        <f>-'Residential Rental'!$E$100/12</f>
        <v>898.0893756176489</v>
      </c>
      <c r="I522" s="149">
        <f>'Residential Rental'!$E$98/12*G521</f>
        <v>15.557363872871711</v>
      </c>
      <c r="J522" s="187">
        <f t="shared" si="123"/>
        <v>882.53201174477715</v>
      </c>
      <c r="K522" s="72">
        <f t="shared" si="127"/>
        <v>355</v>
      </c>
      <c r="L522" s="180">
        <f t="shared" si="124"/>
        <v>53439.688507641469</v>
      </c>
      <c r="M522" s="181">
        <f t="shared" si="124"/>
        <v>10818.552968881977</v>
      </c>
      <c r="N522" s="180">
        <f t="shared" si="124"/>
        <v>259.99193144469263</v>
      </c>
      <c r="O522" s="132">
        <f t="shared" si="119"/>
        <v>10558.561037437285</v>
      </c>
    </row>
    <row r="523" spans="1:15" x14ac:dyDescent="0.25">
      <c r="A523" s="72">
        <f t="shared" si="125"/>
        <v>356</v>
      </c>
      <c r="B523" s="183">
        <f t="shared" si="120"/>
        <v>39271.921378244959</v>
      </c>
      <c r="C523" s="184">
        <f>-'Residential Rental'!$E$95/12</f>
        <v>9920.4635932643287</v>
      </c>
      <c r="D523" s="183">
        <f>'Residential Rental'!$E$93/12*B522</f>
        <v>204.11777996476883</v>
      </c>
      <c r="E523" s="185">
        <f t="shared" si="121"/>
        <v>9716.3458132995602</v>
      </c>
      <c r="F523" s="72">
        <f t="shared" si="126"/>
        <v>356</v>
      </c>
      <c r="G523" s="180">
        <f t="shared" si="122"/>
        <v>3566.3152526512526</v>
      </c>
      <c r="H523" s="186">
        <f>-'Residential Rental'!$E$100/12</f>
        <v>898.0893756176489</v>
      </c>
      <c r="I523" s="149">
        <f>'Residential Rental'!$E$98/12*G522</f>
        <v>12.983312171949445</v>
      </c>
      <c r="J523" s="187">
        <f t="shared" si="123"/>
        <v>885.10606344569942</v>
      </c>
      <c r="K523" s="72">
        <f t="shared" si="127"/>
        <v>356</v>
      </c>
      <c r="L523" s="180">
        <f t="shared" si="124"/>
        <v>42838.236630896208</v>
      </c>
      <c r="M523" s="181">
        <f t="shared" si="124"/>
        <v>10818.552968881977</v>
      </c>
      <c r="N523" s="180">
        <f t="shared" si="124"/>
        <v>217.10109213671828</v>
      </c>
      <c r="O523" s="132">
        <f t="shared" si="119"/>
        <v>10601.451876745259</v>
      </c>
    </row>
    <row r="524" spans="1:15" x14ac:dyDescent="0.25">
      <c r="A524" s="72">
        <f t="shared" si="125"/>
        <v>357</v>
      </c>
      <c r="B524" s="183">
        <f t="shared" si="120"/>
        <v>29515.09079072332</v>
      </c>
      <c r="C524" s="184">
        <f>-'Residential Rental'!$E$95/12</f>
        <v>9920.4635932643287</v>
      </c>
      <c r="D524" s="183">
        <f>'Residential Rental'!$E$93/12*B523</f>
        <v>163.63300574268732</v>
      </c>
      <c r="E524" s="185">
        <f t="shared" si="121"/>
        <v>9756.8305875216411</v>
      </c>
      <c r="F524" s="72">
        <f t="shared" si="126"/>
        <v>357</v>
      </c>
      <c r="G524" s="180">
        <f t="shared" si="122"/>
        <v>2678.6276298538364</v>
      </c>
      <c r="H524" s="186">
        <f>-'Residential Rental'!$E$100/12</f>
        <v>898.0893756176489</v>
      </c>
      <c r="I524" s="149">
        <f>'Residential Rental'!$E$98/12*G523</f>
        <v>10.40175282023282</v>
      </c>
      <c r="J524" s="187">
        <f t="shared" si="123"/>
        <v>887.68762279741611</v>
      </c>
      <c r="K524" s="72">
        <f t="shared" si="127"/>
        <v>357</v>
      </c>
      <c r="L524" s="180">
        <f t="shared" si="124"/>
        <v>32193.718420577155</v>
      </c>
      <c r="M524" s="181">
        <f t="shared" si="124"/>
        <v>10818.552968881977</v>
      </c>
      <c r="N524" s="180">
        <f t="shared" si="124"/>
        <v>174.03475856292013</v>
      </c>
      <c r="O524" s="132">
        <f t="shared" si="119"/>
        <v>10644.518210319056</v>
      </c>
    </row>
    <row r="525" spans="1:15" x14ac:dyDescent="0.25">
      <c r="A525" s="72">
        <f t="shared" si="125"/>
        <v>358</v>
      </c>
      <c r="B525" s="183">
        <f t="shared" si="120"/>
        <v>19717.606742420336</v>
      </c>
      <c r="C525" s="184">
        <f>-'Residential Rental'!$E$95/12</f>
        <v>9920.4635932643287</v>
      </c>
      <c r="D525" s="183">
        <f>'Residential Rental'!$E$93/12*B524</f>
        <v>122.97954496134716</v>
      </c>
      <c r="E525" s="185">
        <f t="shared" si="121"/>
        <v>9797.484048302982</v>
      </c>
      <c r="F525" s="72">
        <f t="shared" si="126"/>
        <v>358</v>
      </c>
      <c r="G525" s="180">
        <f t="shared" si="122"/>
        <v>1788.3509181565946</v>
      </c>
      <c r="H525" s="186">
        <f>-'Residential Rental'!$E$100/12</f>
        <v>898.0893756176489</v>
      </c>
      <c r="I525" s="149">
        <f>'Residential Rental'!$E$98/12*G524</f>
        <v>7.8126639204070232</v>
      </c>
      <c r="J525" s="187">
        <f t="shared" si="123"/>
        <v>890.27671169724192</v>
      </c>
      <c r="K525" s="72">
        <f t="shared" si="127"/>
        <v>358</v>
      </c>
      <c r="L525" s="180">
        <f t="shared" si="124"/>
        <v>21505.957660576929</v>
      </c>
      <c r="M525" s="181">
        <f t="shared" si="124"/>
        <v>10818.552968881977</v>
      </c>
      <c r="N525" s="180">
        <f t="shared" si="124"/>
        <v>130.79220888175419</v>
      </c>
      <c r="O525" s="132">
        <f t="shared" si="119"/>
        <v>10687.760760000225</v>
      </c>
    </row>
    <row r="526" spans="1:15" x14ac:dyDescent="0.25">
      <c r="A526" s="72">
        <f t="shared" si="125"/>
        <v>359</v>
      </c>
      <c r="B526" s="183">
        <f t="shared" si="120"/>
        <v>9879.299843916091</v>
      </c>
      <c r="C526" s="184">
        <f>-'Residential Rental'!$E$95/12</f>
        <v>9920.4635932643287</v>
      </c>
      <c r="D526" s="183">
        <f>'Residential Rental'!$E$93/12*B525</f>
        <v>82.156694760084733</v>
      </c>
      <c r="E526" s="185">
        <f t="shared" si="121"/>
        <v>9838.3068985042446</v>
      </c>
      <c r="F526" s="72">
        <f t="shared" si="126"/>
        <v>359</v>
      </c>
      <c r="G526" s="180">
        <f t="shared" si="122"/>
        <v>895.47756605023574</v>
      </c>
      <c r="H526" s="186">
        <f>-'Residential Rental'!$E$100/12</f>
        <v>898.0893756176489</v>
      </c>
      <c r="I526" s="149">
        <f>'Residential Rental'!$E$98/12*G525</f>
        <v>5.2160235112900679</v>
      </c>
      <c r="J526" s="187">
        <f t="shared" si="123"/>
        <v>892.87335210635888</v>
      </c>
      <c r="K526" s="72">
        <f t="shared" si="127"/>
        <v>359</v>
      </c>
      <c r="L526" s="180">
        <f t="shared" si="124"/>
        <v>10774.777409966327</v>
      </c>
      <c r="M526" s="181">
        <f t="shared" si="124"/>
        <v>10818.552968881977</v>
      </c>
      <c r="N526" s="180">
        <f t="shared" si="124"/>
        <v>87.372718271374794</v>
      </c>
      <c r="O526" s="132">
        <f t="shared" si="119"/>
        <v>10731.180250610603</v>
      </c>
    </row>
    <row r="527" spans="1:15" ht="16.5" thickBot="1" x14ac:dyDescent="0.3">
      <c r="A527" s="73">
        <f t="shared" si="125"/>
        <v>360</v>
      </c>
      <c r="B527" s="191">
        <f t="shared" si="120"/>
        <v>1.4133547665551305E-9</v>
      </c>
      <c r="C527" s="192">
        <f>-'Residential Rental'!$E$95/12</f>
        <v>9920.4635932643287</v>
      </c>
      <c r="D527" s="191">
        <f>'Residential Rental'!$E$93/12*B526</f>
        <v>41.163749349650381</v>
      </c>
      <c r="E527" s="193">
        <f t="shared" si="121"/>
        <v>9879.2998439146777</v>
      </c>
      <c r="F527" s="73">
        <f t="shared" si="126"/>
        <v>360</v>
      </c>
      <c r="G527" s="188">
        <f t="shared" si="122"/>
        <v>2.3339907784247771E-10</v>
      </c>
      <c r="H527" s="194">
        <f>-'Residential Rental'!$E$100/12</f>
        <v>898.0893756176489</v>
      </c>
      <c r="I527" s="195">
        <f>'Residential Rental'!$E$98/12*G526</f>
        <v>2.6118095676465209</v>
      </c>
      <c r="J527" s="196">
        <f t="shared" si="123"/>
        <v>895.47756605000234</v>
      </c>
      <c r="K527" s="73">
        <f t="shared" si="127"/>
        <v>360</v>
      </c>
      <c r="L527" s="188">
        <f t="shared" si="124"/>
        <v>1.6467538443976082E-9</v>
      </c>
      <c r="M527" s="189">
        <f t="shared" si="124"/>
        <v>10818.552968881977</v>
      </c>
      <c r="N527" s="188">
        <f t="shared" si="124"/>
        <v>43.775558917296905</v>
      </c>
      <c r="O527" s="190">
        <f t="shared" si="119"/>
        <v>10774.777409964679</v>
      </c>
    </row>
  </sheetData>
  <sortState ref="I54:I69">
    <sortCondition ref="I69"/>
  </sortState>
  <pageMargins left="0" right="0" top="0" bottom="0" header="0" footer="0"/>
  <pageSetup scale="55" orientation="landscape"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25"/>
  <sheetViews>
    <sheetView zoomScale="70" zoomScaleNormal="70" zoomScalePageLayoutView="70" workbookViewId="0"/>
  </sheetViews>
  <sheetFormatPr defaultColWidth="8.85546875" defaultRowHeight="15.75" x14ac:dyDescent="0.25"/>
  <cols>
    <col min="1" max="1" width="15.28515625" style="11" customWidth="1"/>
    <col min="2" max="2" width="27.7109375" style="11" customWidth="1"/>
    <col min="3" max="3" width="23.140625" style="11" customWidth="1"/>
    <col min="4" max="4" width="21.42578125" style="11" customWidth="1"/>
    <col min="5" max="5" width="17.85546875" style="11" customWidth="1"/>
    <col min="6" max="6" width="17" style="11" customWidth="1"/>
    <col min="7" max="7" width="14.85546875" style="11" customWidth="1"/>
    <col min="8" max="8" width="13.42578125" style="11" customWidth="1"/>
    <col min="9" max="9" width="13.28515625" style="11" customWidth="1"/>
    <col min="10" max="10" width="15" style="11" customWidth="1"/>
    <col min="11" max="11" width="13.42578125" style="11" customWidth="1"/>
    <col min="12" max="12" width="14.42578125" style="11" customWidth="1"/>
    <col min="13" max="13" width="14.140625" style="11" customWidth="1"/>
    <col min="14" max="14" width="14.85546875" style="11" customWidth="1"/>
    <col min="15" max="15" width="16.28515625" style="11" customWidth="1"/>
    <col min="16" max="16" width="14.7109375" style="11" customWidth="1"/>
    <col min="17" max="17" width="14.140625" style="11" customWidth="1"/>
    <col min="18" max="18" width="16.42578125" style="11" customWidth="1"/>
    <col min="19" max="21" width="14.28515625" style="11" customWidth="1"/>
    <col min="22" max="22" width="17.140625" style="11" customWidth="1"/>
    <col min="23" max="23" width="15.710937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5.71093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527</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431</v>
      </c>
      <c r="I4" s="114"/>
      <c r="J4" s="114"/>
      <c r="K4" s="114"/>
      <c r="L4" s="463">
        <f>C25</f>
        <v>2160000</v>
      </c>
      <c r="M4" s="336"/>
      <c r="S4" s="39"/>
      <c r="Y4" s="39"/>
      <c r="Z4" s="39"/>
      <c r="AA4" s="39"/>
    </row>
    <row r="5" spans="1:27" x14ac:dyDescent="0.25">
      <c r="A5" s="67" t="s">
        <v>37</v>
      </c>
      <c r="B5" s="65"/>
      <c r="C5" s="65"/>
      <c r="D5" s="310">
        <v>0.1</v>
      </c>
      <c r="E5" s="311">
        <f>G124</f>
        <v>9.8493657164612364E-2</v>
      </c>
      <c r="F5" s="290"/>
      <c r="G5" s="336"/>
      <c r="H5" s="17" t="s">
        <v>38</v>
      </c>
      <c r="I5" s="18"/>
      <c r="J5" s="18"/>
      <c r="K5" s="18"/>
      <c r="L5" s="134">
        <f>H73</f>
        <v>0</v>
      </c>
    </row>
    <row r="6" spans="1:27" x14ac:dyDescent="0.25">
      <c r="A6" s="17" t="s">
        <v>416</v>
      </c>
      <c r="B6" s="18"/>
      <c r="C6" s="18"/>
      <c r="D6" s="247">
        <v>0.12</v>
      </c>
      <c r="E6" s="312">
        <f>IF($C$11=10,N137,IF($C$11=15,S137,IF($C$11=20,X137,IF($C$11=25,AC137,IF($C$11=30,AH137)))))</f>
        <v>9.8549368665077575E-2</v>
      </c>
      <c r="F6" s="313">
        <f>IF($C$11=10,N138,IF($C$11=15,S138,IF($C$11=20,X138,IF($C$11=25,AC138,IF($C$11=30,AH138)))))</f>
        <v>-267852.46101823682</v>
      </c>
      <c r="H6" s="17" t="s">
        <v>39</v>
      </c>
      <c r="I6" s="24"/>
      <c r="J6" s="24"/>
      <c r="K6" s="24"/>
      <c r="L6" s="134">
        <f>H47</f>
        <v>0</v>
      </c>
    </row>
    <row r="7" spans="1:27" x14ac:dyDescent="0.25">
      <c r="A7" s="17" t="s">
        <v>417</v>
      </c>
      <c r="B7" s="18"/>
      <c r="C7" s="18"/>
      <c r="D7" s="247">
        <v>0.25</v>
      </c>
      <c r="E7" s="312">
        <f>IF($C$11=10,N145,IF($C$11=15,S145,IF($C$11=20,X145,IF($C$11=25,AC145,IF($C$11=30,AH145)))))</f>
        <v>0.21048177513824351</v>
      </c>
      <c r="F7" s="313">
        <f>IF($C$11=10,N146,IF($C$11=15,S146,IF($C$11=20,X146,IF($C$11=25,AC146,IF($C$11=30,AH146)))))</f>
        <v>-82752.252693171264</v>
      </c>
      <c r="G7" s="336"/>
      <c r="H7" s="17" t="s">
        <v>40</v>
      </c>
      <c r="I7" s="24"/>
      <c r="J7" s="24"/>
      <c r="K7" s="24"/>
      <c r="L7" s="134">
        <f>H53</f>
        <v>200000</v>
      </c>
    </row>
    <row r="8" spans="1:27" x14ac:dyDescent="0.25">
      <c r="A8" s="17" t="s">
        <v>24</v>
      </c>
      <c r="B8" s="18"/>
      <c r="C8" s="18"/>
      <c r="D8" s="100">
        <v>1.25</v>
      </c>
      <c r="E8" s="33">
        <f>G118/G120</f>
        <v>1.3853950805040691</v>
      </c>
      <c r="F8" s="34"/>
      <c r="H8" s="17" t="s">
        <v>533</v>
      </c>
      <c r="I8" s="24"/>
      <c r="J8" s="27"/>
      <c r="K8" s="27"/>
      <c r="L8" s="28">
        <f>SUM(L5:L7)</f>
        <v>200000</v>
      </c>
      <c r="P8" s="272"/>
    </row>
    <row r="9" spans="1:27" ht="16.5" thickBot="1" x14ac:dyDescent="0.3">
      <c r="A9" s="35" t="s">
        <v>418</v>
      </c>
      <c r="B9" s="36"/>
      <c r="C9" s="36"/>
      <c r="D9" s="37">
        <f>L98</f>
        <v>0.05</v>
      </c>
      <c r="E9" s="314">
        <f>IF($C$11=10,N158,IF($C$11=15,S158,IF($C$11=20,X158,IF($C$11=25,AC158,IF($C$11=30,AH158)))))</f>
        <v>6.8994372356951272E-2</v>
      </c>
      <c r="F9" s="315">
        <f>IF($C$11=10,N159,IF($C$11=15,S159,IF($C$11=20,X159,IF($C$11=25,AC159,IF($C$11=30,AH159)))))</f>
        <v>43944.130324079539</v>
      </c>
      <c r="H9" s="29" t="s">
        <v>432</v>
      </c>
      <c r="I9" s="30"/>
      <c r="J9" s="31"/>
      <c r="K9" s="31"/>
      <c r="L9" s="32">
        <f>L4-L8</f>
        <v>1960000</v>
      </c>
    </row>
    <row r="10" spans="1:27" ht="16.5" thickBot="1" x14ac:dyDescent="0.3">
      <c r="F10" s="38"/>
      <c r="G10" s="38"/>
      <c r="U10" s="369"/>
      <c r="V10" s="263"/>
    </row>
    <row r="11" spans="1:27" ht="16.5" thickBot="1" x14ac:dyDescent="0.3">
      <c r="A11" s="829" t="s">
        <v>427</v>
      </c>
      <c r="B11" s="304"/>
      <c r="C11" s="305">
        <v>10</v>
      </c>
      <c r="D11" s="166" t="s">
        <v>555</v>
      </c>
      <c r="E11" s="38"/>
      <c r="H11" s="344" t="s">
        <v>457</v>
      </c>
      <c r="I11" s="12"/>
      <c r="J11" s="12"/>
      <c r="K11" s="12"/>
      <c r="L11" s="13"/>
      <c r="U11" s="369"/>
      <c r="V11" s="263"/>
    </row>
    <row r="12" spans="1:27" ht="16.5" thickBot="1" x14ac:dyDescent="0.3">
      <c r="H12" s="40" t="s">
        <v>42</v>
      </c>
      <c r="I12" s="15"/>
      <c r="J12" s="15"/>
      <c r="K12" s="15"/>
      <c r="L12" s="246">
        <v>2.5000000000000001E-3</v>
      </c>
      <c r="U12" s="369"/>
      <c r="V12" s="263"/>
    </row>
    <row r="13" spans="1:27" ht="16.5" thickBot="1" x14ac:dyDescent="0.3">
      <c r="A13" s="43" t="s">
        <v>409</v>
      </c>
      <c r="B13" s="51"/>
      <c r="C13" s="359" t="s">
        <v>407</v>
      </c>
      <c r="H13" s="50" t="s">
        <v>131</v>
      </c>
      <c r="I13" s="44"/>
      <c r="J13" s="44"/>
      <c r="K13" s="15"/>
      <c r="L13" s="246">
        <v>2.5000000000000001E-2</v>
      </c>
      <c r="U13" s="369"/>
      <c r="V13" s="263"/>
    </row>
    <row r="14" spans="1:27" ht="16.5" thickBot="1" x14ac:dyDescent="0.3">
      <c r="A14" s="414" t="s">
        <v>408</v>
      </c>
      <c r="B14" s="128"/>
      <c r="C14" s="415">
        <v>0</v>
      </c>
      <c r="D14" s="166" t="s">
        <v>525</v>
      </c>
      <c r="H14" s="43" t="s">
        <v>61</v>
      </c>
      <c r="I14" s="76" t="s">
        <v>81</v>
      </c>
      <c r="J14" s="77" t="s">
        <v>82</v>
      </c>
      <c r="K14" s="77" t="s">
        <v>83</v>
      </c>
      <c r="L14" s="78" t="s">
        <v>84</v>
      </c>
      <c r="U14" s="369"/>
      <c r="V14" s="263"/>
    </row>
    <row r="15" spans="1:27" x14ac:dyDescent="0.25">
      <c r="A15" s="416" t="s">
        <v>528</v>
      </c>
      <c r="B15" s="58"/>
      <c r="C15" s="411"/>
      <c r="H15" s="335" t="s">
        <v>85</v>
      </c>
      <c r="I15" s="310">
        <v>0</v>
      </c>
      <c r="J15" s="310">
        <v>0</v>
      </c>
      <c r="K15" s="363">
        <v>0</v>
      </c>
      <c r="L15" s="364">
        <v>0</v>
      </c>
      <c r="U15" s="369"/>
      <c r="V15" s="263"/>
    </row>
    <row r="16" spans="1:27" x14ac:dyDescent="0.25">
      <c r="A16" s="72" t="s">
        <v>423</v>
      </c>
      <c r="B16" s="24"/>
      <c r="C16" s="252">
        <v>1300000</v>
      </c>
      <c r="D16" s="166" t="s">
        <v>521</v>
      </c>
      <c r="H16" s="72" t="s">
        <v>86</v>
      </c>
      <c r="I16" s="247">
        <v>0</v>
      </c>
      <c r="J16" s="247">
        <v>0</v>
      </c>
      <c r="K16" s="243">
        <v>0</v>
      </c>
      <c r="L16" s="252">
        <v>0</v>
      </c>
      <c r="U16" s="369"/>
      <c r="V16" s="263"/>
    </row>
    <row r="17" spans="1:22" x14ac:dyDescent="0.25">
      <c r="A17" s="72" t="s">
        <v>384</v>
      </c>
      <c r="B17" s="24"/>
      <c r="C17" s="252"/>
      <c r="H17" s="72" t="s">
        <v>87</v>
      </c>
      <c r="I17" s="247">
        <v>0</v>
      </c>
      <c r="J17" s="247">
        <v>0</v>
      </c>
      <c r="K17" s="243">
        <v>0</v>
      </c>
      <c r="L17" s="252">
        <v>0</v>
      </c>
      <c r="U17" s="369"/>
      <c r="V17" s="263"/>
    </row>
    <row r="18" spans="1:22" x14ac:dyDescent="0.25">
      <c r="A18" s="72" t="s">
        <v>389</v>
      </c>
      <c r="B18" s="24"/>
      <c r="C18" s="252">
        <v>60000</v>
      </c>
      <c r="D18" s="166" t="s">
        <v>521</v>
      </c>
      <c r="H18" s="72" t="s">
        <v>88</v>
      </c>
      <c r="I18" s="247">
        <v>0</v>
      </c>
      <c r="J18" s="247">
        <v>0</v>
      </c>
      <c r="K18" s="243">
        <v>0</v>
      </c>
      <c r="L18" s="252">
        <v>0</v>
      </c>
      <c r="U18" s="369"/>
      <c r="V18" s="263"/>
    </row>
    <row r="19" spans="1:22" x14ac:dyDescent="0.25">
      <c r="A19" s="72" t="s">
        <v>385</v>
      </c>
      <c r="B19" s="24"/>
      <c r="C19" s="252">
        <v>60000</v>
      </c>
      <c r="D19" s="166" t="s">
        <v>521</v>
      </c>
      <c r="H19" s="72" t="s">
        <v>89</v>
      </c>
      <c r="I19" s="247">
        <v>0</v>
      </c>
      <c r="J19" s="247">
        <v>0</v>
      </c>
      <c r="K19" s="243">
        <v>0</v>
      </c>
      <c r="L19" s="252">
        <v>0</v>
      </c>
      <c r="U19" s="369"/>
      <c r="V19" s="263"/>
    </row>
    <row r="20" spans="1:22" x14ac:dyDescent="0.25">
      <c r="A20" s="72" t="s">
        <v>386</v>
      </c>
      <c r="B20" s="24"/>
      <c r="C20" s="252">
        <v>60000</v>
      </c>
      <c r="D20" s="166" t="s">
        <v>521</v>
      </c>
      <c r="H20" s="72" t="s">
        <v>90</v>
      </c>
      <c r="I20" s="247">
        <v>0</v>
      </c>
      <c r="J20" s="247">
        <v>0</v>
      </c>
      <c r="K20" s="243">
        <v>0</v>
      </c>
      <c r="L20" s="252">
        <v>0</v>
      </c>
      <c r="U20" s="369"/>
      <c r="V20" s="263"/>
    </row>
    <row r="21" spans="1:22" x14ac:dyDescent="0.25">
      <c r="A21" s="72" t="s">
        <v>387</v>
      </c>
      <c r="B21" s="24"/>
      <c r="C21" s="252">
        <v>120000</v>
      </c>
      <c r="D21" s="166" t="s">
        <v>521</v>
      </c>
      <c r="H21" s="72" t="s">
        <v>91</v>
      </c>
      <c r="I21" s="247">
        <v>0</v>
      </c>
      <c r="J21" s="247">
        <v>0</v>
      </c>
      <c r="K21" s="243">
        <v>0</v>
      </c>
      <c r="L21" s="252">
        <v>0</v>
      </c>
      <c r="U21" s="369"/>
      <c r="V21" s="263"/>
    </row>
    <row r="22" spans="1:22" x14ac:dyDescent="0.25">
      <c r="A22" s="72" t="s">
        <v>388</v>
      </c>
      <c r="B22" s="24"/>
      <c r="C22" s="252">
        <v>60000</v>
      </c>
      <c r="D22" s="166" t="s">
        <v>521</v>
      </c>
      <c r="H22" s="72" t="s">
        <v>92</v>
      </c>
      <c r="I22" s="247">
        <v>0</v>
      </c>
      <c r="J22" s="247">
        <v>0</v>
      </c>
      <c r="K22" s="243">
        <v>0</v>
      </c>
      <c r="L22" s="252">
        <v>0</v>
      </c>
      <c r="U22" s="369"/>
      <c r="V22" s="263"/>
    </row>
    <row r="23" spans="1:22" x14ac:dyDescent="0.25">
      <c r="A23" s="72" t="s">
        <v>390</v>
      </c>
      <c r="B23" s="24"/>
      <c r="C23" s="134">
        <f>SUM(C18:C22)</f>
        <v>360000</v>
      </c>
      <c r="H23" s="72" t="s">
        <v>93</v>
      </c>
      <c r="I23" s="247">
        <v>0</v>
      </c>
      <c r="J23" s="247">
        <v>0</v>
      </c>
      <c r="K23" s="243">
        <v>0</v>
      </c>
      <c r="L23" s="252">
        <v>0</v>
      </c>
      <c r="U23" s="369"/>
      <c r="V23" s="263"/>
    </row>
    <row r="24" spans="1:22" x14ac:dyDescent="0.25">
      <c r="A24" s="413" t="s">
        <v>398</v>
      </c>
      <c r="B24" s="27"/>
      <c r="C24" s="419">
        <v>500000</v>
      </c>
      <c r="D24" s="166" t="s">
        <v>521</v>
      </c>
      <c r="H24" s="72" t="s">
        <v>94</v>
      </c>
      <c r="I24" s="247">
        <v>0</v>
      </c>
      <c r="J24" s="247">
        <v>0</v>
      </c>
      <c r="K24" s="243">
        <v>0</v>
      </c>
      <c r="L24" s="252">
        <v>0</v>
      </c>
      <c r="U24" s="369"/>
      <c r="V24" s="263"/>
    </row>
    <row r="25" spans="1:22" x14ac:dyDescent="0.25">
      <c r="A25" s="418" t="s">
        <v>44</v>
      </c>
      <c r="B25" s="27"/>
      <c r="C25" s="412">
        <f>IF(C14&gt;0,C14,C16+C23+C24)</f>
        <v>2160000</v>
      </c>
      <c r="H25" s="72" t="s">
        <v>239</v>
      </c>
      <c r="I25" s="247">
        <v>0</v>
      </c>
      <c r="J25" s="247">
        <v>0</v>
      </c>
      <c r="K25" s="243">
        <v>0</v>
      </c>
      <c r="L25" s="252">
        <v>0</v>
      </c>
      <c r="U25" s="369"/>
      <c r="V25" s="263"/>
    </row>
    <row r="26" spans="1:22" x14ac:dyDescent="0.25">
      <c r="A26" s="49" t="s">
        <v>533</v>
      </c>
      <c r="B26" s="24"/>
      <c r="C26" s="827">
        <f>L8</f>
        <v>200000</v>
      </c>
      <c r="D26" s="166" t="s">
        <v>532</v>
      </c>
      <c r="H26" s="72" t="s">
        <v>240</v>
      </c>
      <c r="I26" s="247">
        <v>0</v>
      </c>
      <c r="J26" s="247">
        <v>0</v>
      </c>
      <c r="K26" s="243">
        <v>0</v>
      </c>
      <c r="L26" s="252">
        <v>0</v>
      </c>
      <c r="U26" s="369"/>
      <c r="V26" s="263"/>
    </row>
    <row r="27" spans="1:22" ht="16.5" thickBot="1" x14ac:dyDescent="0.3">
      <c r="A27" s="118" t="s">
        <v>534</v>
      </c>
      <c r="B27" s="36"/>
      <c r="C27" s="421">
        <f>C25-C26</f>
        <v>1960000</v>
      </c>
      <c r="D27" s="336"/>
      <c r="H27" s="72" t="s">
        <v>241</v>
      </c>
      <c r="I27" s="247">
        <v>0</v>
      </c>
      <c r="J27" s="247">
        <v>0</v>
      </c>
      <c r="K27" s="243">
        <v>0</v>
      </c>
      <c r="L27" s="252">
        <v>0</v>
      </c>
      <c r="U27" s="369"/>
      <c r="V27" s="263"/>
    </row>
    <row r="28" spans="1:22" ht="16.5" thickBot="1" x14ac:dyDescent="0.3">
      <c r="H28" s="72" t="s">
        <v>242</v>
      </c>
      <c r="I28" s="247">
        <v>0</v>
      </c>
      <c r="J28" s="247">
        <v>0</v>
      </c>
      <c r="K28" s="243">
        <v>0</v>
      </c>
      <c r="L28" s="252">
        <v>0</v>
      </c>
      <c r="U28" s="369"/>
      <c r="V28" s="263"/>
    </row>
    <row r="29" spans="1:22" ht="16.5" thickBot="1" x14ac:dyDescent="0.3">
      <c r="A29" s="43" t="s">
        <v>400</v>
      </c>
      <c r="B29" s="51"/>
      <c r="C29" s="53"/>
      <c r="H29" s="72" t="s">
        <v>243</v>
      </c>
      <c r="I29" s="247">
        <v>0</v>
      </c>
      <c r="J29" s="247">
        <v>0</v>
      </c>
      <c r="K29" s="243">
        <v>0</v>
      </c>
      <c r="L29" s="252">
        <v>0</v>
      </c>
      <c r="U29" s="369"/>
      <c r="V29" s="263"/>
    </row>
    <row r="30" spans="1:22" x14ac:dyDescent="0.25">
      <c r="A30" s="54" t="s">
        <v>530</v>
      </c>
      <c r="B30" s="24"/>
      <c r="C30" s="422">
        <v>12000</v>
      </c>
      <c r="H30" s="72" t="s">
        <v>244</v>
      </c>
      <c r="I30" s="247">
        <v>0</v>
      </c>
      <c r="J30" s="247">
        <v>0</v>
      </c>
      <c r="K30" s="243">
        <v>0</v>
      </c>
      <c r="L30" s="252">
        <v>0</v>
      </c>
      <c r="U30" s="369"/>
      <c r="V30" s="263"/>
    </row>
    <row r="31" spans="1:22" x14ac:dyDescent="0.25">
      <c r="A31" s="54" t="s">
        <v>391</v>
      </c>
      <c r="B31" s="24"/>
      <c r="C31" s="424">
        <v>1.25</v>
      </c>
      <c r="H31" s="72" t="s">
        <v>245</v>
      </c>
      <c r="I31" s="247">
        <v>0</v>
      </c>
      <c r="J31" s="247">
        <v>0</v>
      </c>
      <c r="K31" s="243">
        <v>0</v>
      </c>
      <c r="L31" s="252">
        <v>0</v>
      </c>
      <c r="U31" s="369"/>
      <c r="V31" s="263"/>
    </row>
    <row r="32" spans="1:22" x14ac:dyDescent="0.25">
      <c r="A32" s="54" t="s">
        <v>402</v>
      </c>
      <c r="B32" s="24"/>
      <c r="C32" s="423">
        <f>C30/C31</f>
        <v>9600</v>
      </c>
      <c r="H32" s="72" t="s">
        <v>246</v>
      </c>
      <c r="I32" s="247">
        <v>0</v>
      </c>
      <c r="J32" s="247">
        <v>0</v>
      </c>
      <c r="K32" s="243">
        <v>0</v>
      </c>
      <c r="L32" s="252">
        <v>0</v>
      </c>
      <c r="U32" s="369"/>
      <c r="V32" s="263"/>
    </row>
    <row r="33" spans="1:22" ht="16.5" thickBot="1" x14ac:dyDescent="0.3">
      <c r="A33" s="73" t="s">
        <v>393</v>
      </c>
      <c r="B33" s="36"/>
      <c r="C33" s="427">
        <f>C32/43560</f>
        <v>0.22038567493112948</v>
      </c>
      <c r="H33" s="72" t="s">
        <v>247</v>
      </c>
      <c r="I33" s="247">
        <v>0</v>
      </c>
      <c r="J33" s="247">
        <v>0</v>
      </c>
      <c r="K33" s="243">
        <v>0</v>
      </c>
      <c r="L33" s="252">
        <v>0</v>
      </c>
      <c r="U33" s="369"/>
      <c r="V33" s="263"/>
    </row>
    <row r="34" spans="1:22" ht="16.5" thickBot="1" x14ac:dyDescent="0.3">
      <c r="H34" s="72" t="s">
        <v>248</v>
      </c>
      <c r="I34" s="247">
        <v>0</v>
      </c>
      <c r="J34" s="247">
        <v>0</v>
      </c>
      <c r="K34" s="243">
        <v>0</v>
      </c>
      <c r="L34" s="252">
        <v>0</v>
      </c>
      <c r="U34" s="369"/>
      <c r="V34" s="263"/>
    </row>
    <row r="35" spans="1:22" ht="16.5" thickBot="1" x14ac:dyDescent="0.3">
      <c r="A35" s="43" t="s">
        <v>397</v>
      </c>
      <c r="B35" s="44"/>
      <c r="C35" s="45"/>
      <c r="H35" s="72" t="s">
        <v>249</v>
      </c>
      <c r="I35" s="247">
        <v>0</v>
      </c>
      <c r="J35" s="247">
        <v>0</v>
      </c>
      <c r="K35" s="243">
        <v>0</v>
      </c>
      <c r="L35" s="252">
        <v>0</v>
      </c>
      <c r="U35" s="369"/>
      <c r="V35" s="263"/>
    </row>
    <row r="36" spans="1:22" x14ac:dyDescent="0.25">
      <c r="A36" s="72" t="s">
        <v>404</v>
      </c>
      <c r="B36" s="24"/>
      <c r="C36" s="830">
        <v>21</v>
      </c>
      <c r="E36" s="39"/>
      <c r="H36" s="72" t="s">
        <v>250</v>
      </c>
      <c r="I36" s="247">
        <v>0</v>
      </c>
      <c r="J36" s="247">
        <v>0</v>
      </c>
      <c r="K36" s="243">
        <v>0</v>
      </c>
      <c r="L36" s="252">
        <v>0</v>
      </c>
      <c r="U36" s="369"/>
      <c r="V36" s="263"/>
    </row>
    <row r="37" spans="1:22" x14ac:dyDescent="0.25">
      <c r="A37" s="72" t="s">
        <v>531</v>
      </c>
      <c r="B37" s="18"/>
      <c r="C37" s="835">
        <v>0.05</v>
      </c>
      <c r="E37" s="39"/>
      <c r="H37" s="72" t="s">
        <v>251</v>
      </c>
      <c r="I37" s="247">
        <v>0</v>
      </c>
      <c r="J37" s="247">
        <v>0</v>
      </c>
      <c r="K37" s="243">
        <v>0</v>
      </c>
      <c r="L37" s="252">
        <v>0</v>
      </c>
      <c r="U37" s="369"/>
      <c r="V37" s="263"/>
    </row>
    <row r="38" spans="1:22" x14ac:dyDescent="0.25">
      <c r="A38" s="333" t="s">
        <v>394</v>
      </c>
      <c r="B38" s="18"/>
      <c r="C38" s="250">
        <v>0.06</v>
      </c>
      <c r="E38" s="39"/>
      <c r="H38" s="72" t="s">
        <v>252</v>
      </c>
      <c r="I38" s="247">
        <v>0</v>
      </c>
      <c r="J38" s="247">
        <v>0</v>
      </c>
      <c r="K38" s="243">
        <v>0</v>
      </c>
      <c r="L38" s="252">
        <v>0</v>
      </c>
      <c r="U38" s="369"/>
      <c r="V38" s="263"/>
    </row>
    <row r="39" spans="1:22" x14ac:dyDescent="0.25">
      <c r="A39" s="333" t="s">
        <v>395</v>
      </c>
      <c r="B39" s="18"/>
      <c r="C39" s="250">
        <v>1.4999999999999999E-2</v>
      </c>
      <c r="E39" s="39"/>
      <c r="H39" s="72" t="s">
        <v>253</v>
      </c>
      <c r="I39" s="247">
        <v>0</v>
      </c>
      <c r="J39" s="247">
        <v>0</v>
      </c>
      <c r="K39" s="243">
        <v>0</v>
      </c>
      <c r="L39" s="252">
        <v>0</v>
      </c>
      <c r="U39" s="369"/>
      <c r="V39" s="263"/>
    </row>
    <row r="40" spans="1:22" ht="16.5" thickBot="1" x14ac:dyDescent="0.3">
      <c r="A40" s="334" t="s">
        <v>463</v>
      </c>
      <c r="B40" s="31"/>
      <c r="C40" s="464">
        <v>8.82</v>
      </c>
      <c r="D40" s="11" t="s">
        <v>406</v>
      </c>
      <c r="H40" s="72" t="s">
        <v>254</v>
      </c>
      <c r="I40" s="247">
        <v>0</v>
      </c>
      <c r="J40" s="247">
        <v>0</v>
      </c>
      <c r="K40" s="243">
        <v>0</v>
      </c>
      <c r="L40" s="252">
        <v>0</v>
      </c>
      <c r="U40" s="369"/>
      <c r="V40" s="263"/>
    </row>
    <row r="41" spans="1:22" ht="16.5" thickBot="1" x14ac:dyDescent="0.3">
      <c r="E41" s="39"/>
      <c r="H41" s="72" t="s">
        <v>255</v>
      </c>
      <c r="I41" s="247">
        <v>0</v>
      </c>
      <c r="J41" s="247">
        <v>0</v>
      </c>
      <c r="K41" s="243">
        <v>0</v>
      </c>
      <c r="L41" s="252">
        <v>0</v>
      </c>
      <c r="U41" s="369"/>
      <c r="V41" s="263"/>
    </row>
    <row r="42" spans="1:22" ht="16.5" thickBot="1" x14ac:dyDescent="0.3">
      <c r="A42" s="84" t="s">
        <v>428</v>
      </c>
      <c r="B42" s="85"/>
      <c r="C42" s="52" t="s">
        <v>43</v>
      </c>
      <c r="D42" s="86"/>
      <c r="E42" s="39"/>
      <c r="H42" s="72" t="s">
        <v>256</v>
      </c>
      <c r="I42" s="247">
        <v>0</v>
      </c>
      <c r="J42" s="247">
        <v>0</v>
      </c>
      <c r="K42" s="243">
        <v>0</v>
      </c>
      <c r="L42" s="252">
        <v>0</v>
      </c>
      <c r="U42" s="369"/>
      <c r="V42" s="263"/>
    </row>
    <row r="43" spans="1:22" s="39" customFormat="1" x14ac:dyDescent="0.25">
      <c r="A43" s="87" t="s">
        <v>449</v>
      </c>
      <c r="B43" s="82"/>
      <c r="C43" s="88">
        <f>C27</f>
        <v>1960000</v>
      </c>
      <c r="D43" s="290"/>
      <c r="F43" s="11"/>
      <c r="G43" s="11"/>
      <c r="H43" s="72" t="s">
        <v>257</v>
      </c>
      <c r="I43" s="247">
        <v>0</v>
      </c>
      <c r="J43" s="247">
        <v>0</v>
      </c>
      <c r="K43" s="243">
        <v>0</v>
      </c>
      <c r="L43" s="252">
        <v>0</v>
      </c>
      <c r="U43" s="369"/>
      <c r="V43" s="263"/>
    </row>
    <row r="44" spans="1:22" ht="16.5" thickBot="1" x14ac:dyDescent="0.3">
      <c r="A44" s="90" t="s">
        <v>543</v>
      </c>
      <c r="B44" s="24"/>
      <c r="C44" s="200">
        <f>IFERROR(C43/C46,0)</f>
        <v>163.33333333333334</v>
      </c>
      <c r="D44" s="91"/>
      <c r="G44" s="39"/>
      <c r="H44" s="73" t="s">
        <v>258</v>
      </c>
      <c r="I44" s="253">
        <v>0</v>
      </c>
      <c r="J44" s="253">
        <v>0</v>
      </c>
      <c r="K44" s="254">
        <v>0</v>
      </c>
      <c r="L44" s="255">
        <v>0</v>
      </c>
      <c r="U44" s="369"/>
      <c r="V44" s="263"/>
    </row>
    <row r="45" spans="1:22" ht="16.5" thickBot="1" x14ac:dyDescent="0.3">
      <c r="A45" s="50" t="s">
        <v>45</v>
      </c>
      <c r="B45" s="51"/>
      <c r="C45" s="52" t="s">
        <v>43</v>
      </c>
      <c r="D45" s="53" t="s">
        <v>137</v>
      </c>
      <c r="E45" s="39"/>
      <c r="F45" s="39"/>
      <c r="U45" s="369"/>
      <c r="V45" s="263"/>
    </row>
    <row r="46" spans="1:22" ht="16.5" thickBot="1" x14ac:dyDescent="0.3">
      <c r="A46" s="54" t="s">
        <v>50</v>
      </c>
      <c r="B46" s="24"/>
      <c r="C46" s="828">
        <f>C30</f>
        <v>12000</v>
      </c>
      <c r="D46" s="831">
        <f>C36</f>
        <v>21</v>
      </c>
      <c r="E46" s="39"/>
      <c r="F46" s="39"/>
      <c r="H46" s="43" t="s">
        <v>419</v>
      </c>
      <c r="I46" s="44"/>
      <c r="J46" s="44"/>
      <c r="K46" s="44"/>
      <c r="L46" s="45"/>
      <c r="U46" s="369"/>
      <c r="V46" s="263"/>
    </row>
    <row r="47" spans="1:22" x14ac:dyDescent="0.25">
      <c r="A47" s="17" t="s">
        <v>420</v>
      </c>
      <c r="B47" s="18"/>
      <c r="C47" s="97"/>
      <c r="D47" s="217">
        <f>C46*D46</f>
        <v>252000</v>
      </c>
      <c r="E47" s="39"/>
      <c r="F47" s="39"/>
      <c r="H47" s="273">
        <f>SUM(H48:H52)</f>
        <v>0</v>
      </c>
      <c r="I47" s="274" t="s">
        <v>441</v>
      </c>
      <c r="J47" s="128"/>
      <c r="K47" s="128"/>
      <c r="L47" s="267"/>
      <c r="M47" s="336"/>
      <c r="U47" s="369"/>
      <c r="V47" s="263"/>
    </row>
    <row r="48" spans="1:22" x14ac:dyDescent="0.25">
      <c r="A48" s="17" t="s">
        <v>421</v>
      </c>
      <c r="B48" s="18"/>
      <c r="C48" s="25">
        <f>C37</f>
        <v>0.05</v>
      </c>
      <c r="D48" s="134">
        <f>D47*C48</f>
        <v>12600</v>
      </c>
      <c r="E48" s="39"/>
      <c r="F48" s="39"/>
      <c r="H48" s="264">
        <v>0</v>
      </c>
      <c r="I48" s="265" t="s">
        <v>147</v>
      </c>
      <c r="J48" s="24"/>
      <c r="K48" s="24"/>
      <c r="L48" s="275"/>
      <c r="U48" s="369"/>
      <c r="V48" s="263"/>
    </row>
    <row r="49" spans="1:22" x14ac:dyDescent="0.25">
      <c r="A49" s="17" t="s">
        <v>430</v>
      </c>
      <c r="B49" s="18"/>
      <c r="C49" s="247"/>
      <c r="D49" s="217">
        <f>D47+D48</f>
        <v>264600</v>
      </c>
      <c r="E49" s="39"/>
      <c r="F49" s="39"/>
      <c r="H49" s="264">
        <v>0</v>
      </c>
      <c r="I49" s="266" t="s">
        <v>149</v>
      </c>
      <c r="J49" s="24"/>
      <c r="K49" s="24"/>
      <c r="L49" s="275"/>
      <c r="U49" s="369"/>
      <c r="V49" s="263"/>
    </row>
    <row r="50" spans="1:22" x14ac:dyDescent="0.25">
      <c r="A50" s="59" t="s">
        <v>54</v>
      </c>
      <c r="B50" s="18"/>
      <c r="C50" s="25">
        <f>C38</f>
        <v>0.06</v>
      </c>
      <c r="D50" s="217">
        <f>D49*C50</f>
        <v>15876</v>
      </c>
      <c r="E50" s="39"/>
      <c r="F50" s="39"/>
      <c r="H50" s="264">
        <v>0</v>
      </c>
      <c r="I50" s="265" t="s">
        <v>151</v>
      </c>
      <c r="J50" s="24"/>
      <c r="K50" s="24"/>
      <c r="L50" s="275"/>
    </row>
    <row r="51" spans="1:22" x14ac:dyDescent="0.25">
      <c r="A51" s="59" t="s">
        <v>55</v>
      </c>
      <c r="B51" s="18"/>
      <c r="C51" s="25">
        <f>C39</f>
        <v>1.4999999999999999E-2</v>
      </c>
      <c r="D51" s="217">
        <f>D49*C51</f>
        <v>3969</v>
      </c>
      <c r="E51" s="39"/>
      <c r="F51" s="39"/>
      <c r="G51" s="39"/>
      <c r="H51" s="264">
        <v>0</v>
      </c>
      <c r="I51" s="265" t="s">
        <v>510</v>
      </c>
      <c r="J51" s="24"/>
      <c r="K51" s="24"/>
      <c r="L51" s="275"/>
      <c r="U51" s="261"/>
      <c r="V51" s="166"/>
    </row>
    <row r="52" spans="1:22" ht="16.5" thickBot="1" x14ac:dyDescent="0.3">
      <c r="A52" s="17" t="s">
        <v>56</v>
      </c>
      <c r="B52" s="18"/>
      <c r="C52" s="100"/>
      <c r="D52" s="217">
        <f>D49-D50-D51</f>
        <v>244755</v>
      </c>
      <c r="E52" s="39"/>
      <c r="F52" s="39"/>
      <c r="G52" s="39"/>
      <c r="H52" s="264">
        <v>0</v>
      </c>
      <c r="I52" s="265" t="s">
        <v>458</v>
      </c>
      <c r="J52" s="24"/>
      <c r="K52" s="24"/>
      <c r="L52" s="275"/>
      <c r="U52" s="369"/>
      <c r="V52" s="263"/>
    </row>
    <row r="53" spans="1:22" ht="16.5" thickBot="1" x14ac:dyDescent="0.3">
      <c r="A53" s="59" t="s">
        <v>422</v>
      </c>
      <c r="B53" s="18"/>
      <c r="C53" s="368">
        <f>C40</f>
        <v>8.82</v>
      </c>
      <c r="D53" s="217">
        <f>C53*C46</f>
        <v>105840</v>
      </c>
      <c r="E53" s="39"/>
      <c r="F53" s="39"/>
      <c r="G53" s="39"/>
      <c r="H53" s="273">
        <f>SUM(H54:H72)</f>
        <v>200000</v>
      </c>
      <c r="I53" s="274" t="s">
        <v>195</v>
      </c>
      <c r="J53" s="128"/>
      <c r="K53" s="128"/>
      <c r="L53" s="267"/>
      <c r="U53" s="369"/>
      <c r="V53" s="263"/>
    </row>
    <row r="54" spans="1:22" ht="16.5" thickBot="1" x14ac:dyDescent="0.3">
      <c r="A54" s="102" t="s">
        <v>4</v>
      </c>
      <c r="B54" s="103"/>
      <c r="C54" s="104"/>
      <c r="D54" s="140">
        <f>D52-D53</f>
        <v>138915</v>
      </c>
      <c r="E54" s="39"/>
      <c r="F54" s="39"/>
      <c r="G54" s="39"/>
      <c r="H54" s="264">
        <v>0</v>
      </c>
      <c r="I54" s="265" t="s">
        <v>161</v>
      </c>
      <c r="J54" s="24"/>
      <c r="K54" s="24"/>
      <c r="L54" s="275"/>
      <c r="U54" s="369"/>
      <c r="V54" s="263"/>
    </row>
    <row r="55" spans="1:22" ht="16.5" thickBot="1" x14ac:dyDescent="0.3">
      <c r="E55" s="39"/>
      <c r="F55" s="39"/>
      <c r="G55" s="39"/>
      <c r="H55" s="264">
        <v>0</v>
      </c>
      <c r="I55" s="265" t="s">
        <v>196</v>
      </c>
      <c r="J55" s="24"/>
      <c r="K55" s="24"/>
      <c r="L55" s="275"/>
    </row>
    <row r="56" spans="1:22" ht="16.5" thickBot="1" x14ac:dyDescent="0.3">
      <c r="A56" s="60" t="s">
        <v>58</v>
      </c>
      <c r="B56" s="61"/>
      <c r="C56" s="62"/>
      <c r="E56" s="39"/>
      <c r="F56" s="39"/>
      <c r="G56" s="11" t="s">
        <v>9</v>
      </c>
      <c r="H56" s="264">
        <v>0</v>
      </c>
      <c r="I56" s="265" t="s">
        <v>197</v>
      </c>
      <c r="J56" s="24"/>
      <c r="K56" s="24"/>
      <c r="L56" s="275"/>
      <c r="U56" s="261"/>
      <c r="V56" s="166"/>
    </row>
    <row r="57" spans="1:22" ht="16.5" thickBot="1" x14ac:dyDescent="0.3">
      <c r="A57" s="64" t="s">
        <v>59</v>
      </c>
      <c r="B57" s="65"/>
      <c r="C57" s="106">
        <f>IFERROR(D54/L4,0)</f>
        <v>6.4312499999999995E-2</v>
      </c>
      <c r="E57" s="39"/>
      <c r="F57" s="39"/>
      <c r="H57" s="264">
        <v>0</v>
      </c>
      <c r="I57" s="265" t="s">
        <v>204</v>
      </c>
      <c r="J57" s="24"/>
      <c r="K57" s="24"/>
      <c r="L57" s="275"/>
      <c r="U57" s="261"/>
      <c r="V57" s="166"/>
    </row>
    <row r="58" spans="1:22" x14ac:dyDescent="0.25">
      <c r="A58" s="107" t="s">
        <v>60</v>
      </c>
      <c r="B58" s="108"/>
      <c r="C58" s="109">
        <f>IFERROR(-E99,0)</f>
        <v>99159.384520130377</v>
      </c>
      <c r="E58" s="39"/>
      <c r="F58" s="39"/>
      <c r="H58" s="264">
        <v>0</v>
      </c>
      <c r="I58" s="265" t="s">
        <v>199</v>
      </c>
      <c r="J58" s="24"/>
      <c r="K58" s="24"/>
      <c r="L58" s="275"/>
      <c r="P58" s="39"/>
      <c r="U58" s="369"/>
      <c r="V58" s="263"/>
    </row>
    <row r="59" spans="1:22" ht="16.5" thickBot="1" x14ac:dyDescent="0.3">
      <c r="A59" s="59" t="s">
        <v>436</v>
      </c>
      <c r="B59" s="110"/>
      <c r="C59" s="111">
        <f>D54-C58</f>
        <v>39755.615479869623</v>
      </c>
      <c r="E59" s="39"/>
      <c r="F59" s="39"/>
      <c r="H59" s="264">
        <v>0</v>
      </c>
      <c r="I59" s="265" t="s">
        <v>175</v>
      </c>
      <c r="J59" s="24"/>
      <c r="K59" s="24"/>
      <c r="L59" s="275"/>
      <c r="P59" s="39"/>
      <c r="U59" s="369"/>
      <c r="V59" s="263"/>
    </row>
    <row r="60" spans="1:22" ht="16.5" thickBot="1" x14ac:dyDescent="0.3">
      <c r="A60" s="102" t="s">
        <v>62</v>
      </c>
      <c r="B60" s="103"/>
      <c r="C60" s="112">
        <f>IFERROR(C59/E102,0)</f>
        <v>0.10246292649450933</v>
      </c>
      <c r="E60" s="39"/>
      <c r="F60" s="39"/>
      <c r="H60" s="264">
        <v>0</v>
      </c>
      <c r="I60" s="265" t="s">
        <v>203</v>
      </c>
      <c r="J60" s="24"/>
      <c r="K60" s="24"/>
      <c r="L60" s="275"/>
      <c r="P60" s="39"/>
      <c r="U60" s="369"/>
      <c r="V60" s="263"/>
    </row>
    <row r="61" spans="1:22" ht="16.5" thickBot="1" x14ac:dyDescent="0.3">
      <c r="A61" s="113" t="s">
        <v>63</v>
      </c>
      <c r="B61" s="114"/>
      <c r="C61" s="63"/>
      <c r="E61" s="39"/>
      <c r="F61" s="39"/>
      <c r="H61" s="264">
        <v>0</v>
      </c>
      <c r="I61" s="265" t="s">
        <v>167</v>
      </c>
      <c r="J61" s="24"/>
      <c r="K61" s="24"/>
      <c r="L61" s="275"/>
      <c r="U61" s="369"/>
      <c r="V61" s="263"/>
    </row>
    <row r="62" spans="1:22" x14ac:dyDescent="0.25">
      <c r="A62" s="59" t="s">
        <v>64</v>
      </c>
      <c r="B62" s="18"/>
      <c r="C62" s="115">
        <f>D54</f>
        <v>138915</v>
      </c>
      <c r="E62" s="39"/>
      <c r="F62" s="39"/>
      <c r="H62" s="264">
        <v>0</v>
      </c>
      <c r="I62" s="265" t="s">
        <v>200</v>
      </c>
      <c r="J62" s="24"/>
      <c r="K62" s="24"/>
      <c r="L62" s="275"/>
    </row>
    <row r="63" spans="1:22" ht="16.5" thickBot="1" x14ac:dyDescent="0.3">
      <c r="A63" s="59" t="s">
        <v>65</v>
      </c>
      <c r="B63" s="18"/>
      <c r="C63" s="250">
        <v>7.4999999999999997E-2</v>
      </c>
      <c r="D63" s="336"/>
      <c r="E63" s="39"/>
      <c r="F63" s="39"/>
      <c r="H63" s="264">
        <v>0</v>
      </c>
      <c r="I63" s="265" t="s">
        <v>165</v>
      </c>
      <c r="J63" s="24"/>
      <c r="K63" s="24"/>
      <c r="L63" s="275"/>
    </row>
    <row r="64" spans="1:22" ht="16.5" thickBot="1" x14ac:dyDescent="0.3">
      <c r="A64" s="19" t="s">
        <v>66</v>
      </c>
      <c r="B64" s="20"/>
      <c r="C64" s="117">
        <f>IFERROR(C62/C63,0)</f>
        <v>1852200</v>
      </c>
      <c r="E64" s="39"/>
      <c r="F64" s="39"/>
      <c r="H64" s="396">
        <v>0</v>
      </c>
      <c r="I64" s="46" t="s">
        <v>497</v>
      </c>
      <c r="J64" s="24"/>
      <c r="K64" s="24"/>
      <c r="L64" s="275"/>
    </row>
    <row r="65" spans="1:12" ht="16.5" thickBot="1" x14ac:dyDescent="0.3">
      <c r="A65" s="655" t="s">
        <v>559</v>
      </c>
      <c r="B65" s="36"/>
      <c r="C65" s="119">
        <f>C64-C25</f>
        <v>-307800</v>
      </c>
      <c r="E65" s="39"/>
      <c r="F65" s="39"/>
      <c r="H65" s="264">
        <v>0</v>
      </c>
      <c r="I65" s="265" t="s">
        <v>163</v>
      </c>
      <c r="J65" s="24"/>
      <c r="K65" s="24"/>
      <c r="L65" s="275"/>
    </row>
    <row r="66" spans="1:12" ht="16.5" thickBot="1" x14ac:dyDescent="0.3">
      <c r="E66" s="38"/>
      <c r="F66" s="39"/>
      <c r="H66" s="264">
        <v>0</v>
      </c>
      <c r="I66" s="265" t="s">
        <v>206</v>
      </c>
      <c r="J66" s="24"/>
      <c r="K66" s="24"/>
      <c r="L66" s="275"/>
    </row>
    <row r="67" spans="1:12" ht="16.5" thickBot="1" x14ac:dyDescent="0.3">
      <c r="A67" s="79" t="s">
        <v>96</v>
      </c>
      <c r="B67" s="51"/>
      <c r="C67" s="51"/>
      <c r="D67" s="80"/>
      <c r="E67" s="38"/>
      <c r="F67" s="38"/>
      <c r="H67" s="264">
        <v>0</v>
      </c>
      <c r="I67" s="265" t="s">
        <v>198</v>
      </c>
      <c r="J67" s="24"/>
      <c r="K67" s="24"/>
      <c r="L67" s="275"/>
    </row>
    <row r="68" spans="1:12" x14ac:dyDescent="0.25">
      <c r="A68" s="429" t="s">
        <v>425</v>
      </c>
      <c r="B68" s="18"/>
      <c r="C68" s="24" t="s">
        <v>96</v>
      </c>
      <c r="D68" s="250">
        <v>0.03</v>
      </c>
      <c r="E68" s="38"/>
      <c r="F68" s="38"/>
      <c r="H68" s="264">
        <v>0</v>
      </c>
      <c r="I68" s="265" t="s">
        <v>201</v>
      </c>
      <c r="J68" s="24"/>
      <c r="K68" s="24"/>
      <c r="L68" s="275"/>
    </row>
    <row r="69" spans="1:12" ht="16.5" thickBot="1" x14ac:dyDescent="0.3">
      <c r="A69" s="428" t="s">
        <v>438</v>
      </c>
      <c r="B69" s="30"/>
      <c r="C69" s="83" t="s">
        <v>96</v>
      </c>
      <c r="D69" s="257">
        <v>0.03</v>
      </c>
      <c r="E69" s="38"/>
      <c r="F69" s="38"/>
      <c r="H69" s="264">
        <v>0</v>
      </c>
      <c r="I69" s="265" t="s">
        <v>205</v>
      </c>
      <c r="J69" s="24"/>
      <c r="K69" s="24"/>
      <c r="L69" s="275"/>
    </row>
    <row r="70" spans="1:12" ht="16.5" thickBot="1" x14ac:dyDescent="0.3">
      <c r="E70" s="120"/>
      <c r="F70" s="38"/>
      <c r="H70" s="264">
        <v>0</v>
      </c>
      <c r="I70" s="265" t="s">
        <v>207</v>
      </c>
      <c r="J70" s="24"/>
      <c r="K70" s="24"/>
      <c r="L70" s="275"/>
    </row>
    <row r="71" spans="1:12" ht="16.5" thickBot="1" x14ac:dyDescent="0.3">
      <c r="A71" s="79" t="s">
        <v>412</v>
      </c>
      <c r="B71" s="51"/>
      <c r="C71" s="51"/>
      <c r="D71" s="53" t="s">
        <v>85</v>
      </c>
      <c r="E71" s="120"/>
      <c r="F71" s="120"/>
      <c r="H71" s="264">
        <v>0</v>
      </c>
      <c r="I71" s="265" t="s">
        <v>508</v>
      </c>
      <c r="J71" s="24"/>
      <c r="K71" s="24"/>
      <c r="L71" s="275"/>
    </row>
    <row r="72" spans="1:12" ht="16.5" thickBot="1" x14ac:dyDescent="0.3">
      <c r="A72" s="327" t="s">
        <v>411</v>
      </c>
      <c r="B72" s="122"/>
      <c r="C72" s="128"/>
      <c r="D72" s="476">
        <v>0.06</v>
      </c>
      <c r="E72" s="120"/>
      <c r="F72" s="120"/>
      <c r="H72" s="264">
        <v>200000</v>
      </c>
      <c r="I72" s="265" t="s">
        <v>509</v>
      </c>
      <c r="J72" s="24"/>
      <c r="K72" s="24"/>
      <c r="L72" s="275"/>
    </row>
    <row r="73" spans="1:12" ht="16.5" thickBot="1" x14ac:dyDescent="0.3">
      <c r="A73" s="35" t="s">
        <v>410</v>
      </c>
      <c r="B73" s="31"/>
      <c r="C73" s="31"/>
      <c r="D73" s="248">
        <v>0.05</v>
      </c>
      <c r="E73" s="120"/>
      <c r="F73" s="120"/>
      <c r="H73" s="273">
        <f>SUM(H74:H79)</f>
        <v>0</v>
      </c>
      <c r="I73" s="274" t="s">
        <v>208</v>
      </c>
      <c r="J73" s="128"/>
      <c r="K73" s="128"/>
      <c r="L73" s="267"/>
    </row>
    <row r="74" spans="1:12" ht="16.5" thickBot="1" x14ac:dyDescent="0.3">
      <c r="E74" s="120"/>
      <c r="F74" s="120"/>
      <c r="H74" s="264">
        <v>0</v>
      </c>
      <c r="I74" s="265" t="s">
        <v>188</v>
      </c>
      <c r="J74" s="24"/>
      <c r="K74" s="24"/>
      <c r="L74" s="275"/>
    </row>
    <row r="75" spans="1:12" ht="16.5" thickBot="1" x14ac:dyDescent="0.3">
      <c r="A75" s="199" t="s">
        <v>67</v>
      </c>
      <c r="B75" s="51"/>
      <c r="C75" s="45" t="s">
        <v>202</v>
      </c>
      <c r="E75" s="120"/>
      <c r="F75" s="120"/>
      <c r="H75" s="264">
        <v>0</v>
      </c>
      <c r="I75" s="265" t="s">
        <v>184</v>
      </c>
      <c r="J75" s="24"/>
      <c r="K75" s="24"/>
      <c r="L75" s="275"/>
    </row>
    <row r="76" spans="1:12" ht="16.5" thickBot="1" x14ac:dyDescent="0.3">
      <c r="A76" s="64" t="s">
        <v>414</v>
      </c>
      <c r="B76" s="65"/>
      <c r="C76" s="66"/>
      <c r="E76" s="120"/>
      <c r="F76" s="120"/>
      <c r="H76" s="264">
        <v>0</v>
      </c>
      <c r="I76" s="265" t="s">
        <v>186</v>
      </c>
      <c r="J76" s="24"/>
      <c r="K76" s="24"/>
      <c r="L76" s="275"/>
    </row>
    <row r="77" spans="1:12" x14ac:dyDescent="0.25">
      <c r="A77" s="335" t="s">
        <v>413</v>
      </c>
      <c r="B77" s="65"/>
      <c r="C77" s="249">
        <v>0.7</v>
      </c>
      <c r="E77" s="120"/>
      <c r="F77" s="120"/>
      <c r="H77" s="394">
        <v>0</v>
      </c>
      <c r="I77" s="46" t="s">
        <v>494</v>
      </c>
      <c r="J77" s="24"/>
      <c r="K77" s="24"/>
      <c r="L77" s="275"/>
    </row>
    <row r="78" spans="1:12" x14ac:dyDescent="0.25">
      <c r="A78" s="467" t="s">
        <v>437</v>
      </c>
      <c r="B78" s="468"/>
      <c r="C78" s="469">
        <f>C77*C27</f>
        <v>1372000</v>
      </c>
      <c r="D78" s="261"/>
      <c r="E78" s="120"/>
      <c r="F78" s="120"/>
      <c r="H78" s="264">
        <v>0</v>
      </c>
      <c r="I78" s="265" t="s">
        <v>458</v>
      </c>
      <c r="J78" s="24"/>
      <c r="K78" s="24"/>
      <c r="L78" s="275"/>
    </row>
    <row r="79" spans="1:12" ht="16.5" thickBot="1" x14ac:dyDescent="0.3">
      <c r="A79" s="17" t="s">
        <v>68</v>
      </c>
      <c r="B79" s="18"/>
      <c r="C79" s="250">
        <v>0.05</v>
      </c>
      <c r="E79" s="120"/>
      <c r="F79" s="120"/>
      <c r="H79" s="264">
        <v>0</v>
      </c>
      <c r="I79" s="265" t="s">
        <v>458</v>
      </c>
      <c r="J79" s="24"/>
      <c r="K79" s="24"/>
      <c r="L79" s="275"/>
    </row>
    <row r="80" spans="1:12" ht="16.5" thickBot="1" x14ac:dyDescent="0.3">
      <c r="A80" s="35" t="s">
        <v>69</v>
      </c>
      <c r="B80" s="31"/>
      <c r="C80" s="251">
        <v>30</v>
      </c>
      <c r="E80" s="120"/>
      <c r="F80" s="120"/>
      <c r="H80" s="273">
        <f>SUM(H81:H88)</f>
        <v>200000</v>
      </c>
      <c r="I80" s="274" t="s">
        <v>399</v>
      </c>
      <c r="J80" s="128"/>
      <c r="K80" s="128"/>
      <c r="L80" s="267"/>
    </row>
    <row r="81" spans="1:12" ht="16.5" thickBot="1" x14ac:dyDescent="0.3">
      <c r="A81" s="68" t="s">
        <v>522</v>
      </c>
      <c r="B81" s="31"/>
      <c r="C81" s="69"/>
      <c r="E81" s="120"/>
      <c r="F81" s="120"/>
      <c r="H81" s="264">
        <v>0</v>
      </c>
      <c r="I81" s="265" t="s">
        <v>238</v>
      </c>
      <c r="J81" s="24"/>
      <c r="K81" s="24"/>
      <c r="L81" s="275"/>
    </row>
    <row r="82" spans="1:12" x14ac:dyDescent="0.25">
      <c r="A82" s="438" t="s">
        <v>401</v>
      </c>
      <c r="B82" s="122"/>
      <c r="C82" s="437">
        <f>H80</f>
        <v>200000</v>
      </c>
      <c r="D82" s="11" t="s">
        <v>524</v>
      </c>
      <c r="E82" s="120"/>
      <c r="F82" s="120"/>
      <c r="H82" s="264">
        <v>200000</v>
      </c>
      <c r="I82" s="265" t="s">
        <v>181</v>
      </c>
      <c r="J82" s="24"/>
      <c r="K82" s="24"/>
      <c r="L82" s="275"/>
    </row>
    <row r="83" spans="1:12" x14ac:dyDescent="0.25">
      <c r="A83" s="17" t="s">
        <v>68</v>
      </c>
      <c r="B83" s="18"/>
      <c r="C83" s="250">
        <v>3.5000000000000003E-2</v>
      </c>
      <c r="D83" s="336"/>
      <c r="E83" s="120"/>
      <c r="F83" s="120"/>
      <c r="H83" s="396">
        <v>0</v>
      </c>
      <c r="I83" s="265" t="s">
        <v>492</v>
      </c>
      <c r="J83" s="24"/>
      <c r="K83" s="24"/>
      <c r="L83" s="275"/>
    </row>
    <row r="84" spans="1:12" ht="16.5" thickBot="1" x14ac:dyDescent="0.3">
      <c r="A84" s="35" t="s">
        <v>69</v>
      </c>
      <c r="B84" s="31"/>
      <c r="C84" s="251">
        <v>30</v>
      </c>
      <c r="E84" s="120"/>
      <c r="F84" s="120"/>
      <c r="H84" s="264">
        <v>0</v>
      </c>
      <c r="I84" s="265" t="s">
        <v>178</v>
      </c>
      <c r="J84" s="24"/>
      <c r="K84" s="24"/>
      <c r="L84" s="275"/>
    </row>
    <row r="85" spans="1:12" ht="16.5" thickBot="1" x14ac:dyDescent="0.3">
      <c r="E85" s="120"/>
      <c r="F85" s="120"/>
      <c r="H85" s="264">
        <v>0</v>
      </c>
      <c r="I85" s="265" t="s">
        <v>180</v>
      </c>
      <c r="J85" s="24"/>
      <c r="K85" s="24"/>
      <c r="L85" s="275"/>
    </row>
    <row r="86" spans="1:12" ht="16.5" thickBot="1" x14ac:dyDescent="0.3">
      <c r="A86" s="199" t="s">
        <v>439</v>
      </c>
      <c r="B86" s="51"/>
      <c r="C86" s="51"/>
      <c r="D86" s="51"/>
      <c r="E86" s="80"/>
      <c r="F86" s="120"/>
      <c r="H86" s="264">
        <v>0</v>
      </c>
      <c r="I86" s="265" t="s">
        <v>209</v>
      </c>
      <c r="J86" s="24"/>
      <c r="K86" s="24"/>
      <c r="L86" s="275"/>
    </row>
    <row r="87" spans="1:12" x14ac:dyDescent="0.25">
      <c r="A87" s="121" t="s">
        <v>414</v>
      </c>
      <c r="B87" s="122"/>
      <c r="C87" s="122"/>
      <c r="D87" s="123"/>
      <c r="E87" s="124"/>
      <c r="F87" s="120"/>
      <c r="H87" s="264">
        <v>0</v>
      </c>
      <c r="I87" s="265" t="s">
        <v>458</v>
      </c>
      <c r="J87" s="24"/>
      <c r="K87" s="24"/>
      <c r="L87" s="275"/>
    </row>
    <row r="88" spans="1:12" ht="16.5" thickBot="1" x14ac:dyDescent="0.3">
      <c r="A88" s="17" t="s">
        <v>538</v>
      </c>
      <c r="B88" s="18"/>
      <c r="C88" s="18"/>
      <c r="D88" s="38"/>
      <c r="E88" s="111">
        <f>IF(C64&gt;C43,C43,C64)</f>
        <v>1852200</v>
      </c>
      <c r="F88" s="120"/>
      <c r="H88" s="264">
        <v>0</v>
      </c>
      <c r="I88" s="265" t="s">
        <v>458</v>
      </c>
      <c r="J88" s="24"/>
      <c r="K88" s="24"/>
      <c r="L88" s="275"/>
    </row>
    <row r="89" spans="1:12" x14ac:dyDescent="0.25">
      <c r="A89" s="72" t="s">
        <v>518</v>
      </c>
      <c r="B89" s="18"/>
      <c r="C89" s="18"/>
      <c r="D89" s="365">
        <f>C77</f>
        <v>0.7</v>
      </c>
      <c r="E89" s="111">
        <f>C78</f>
        <v>1372000</v>
      </c>
      <c r="F89" s="120"/>
      <c r="H89" s="273">
        <f>SUM(H90:H91)</f>
        <v>0</v>
      </c>
      <c r="I89" s="274" t="s">
        <v>377</v>
      </c>
      <c r="J89" s="128"/>
      <c r="K89" s="128"/>
      <c r="L89" s="267"/>
    </row>
    <row r="90" spans="1:12" x14ac:dyDescent="0.25">
      <c r="A90" s="17" t="s">
        <v>515</v>
      </c>
      <c r="B90" s="18"/>
      <c r="C90" s="18"/>
      <c r="D90" s="38"/>
      <c r="E90" s="116">
        <f>C79</f>
        <v>0.05</v>
      </c>
      <c r="F90" s="120"/>
      <c r="H90" s="264">
        <v>0</v>
      </c>
      <c r="I90" s="265" t="s">
        <v>379</v>
      </c>
      <c r="J90" s="24"/>
      <c r="K90" s="24"/>
      <c r="L90" s="275"/>
    </row>
    <row r="91" spans="1:12" ht="16.5" thickBot="1" x14ac:dyDescent="0.3">
      <c r="A91" s="17" t="s">
        <v>516</v>
      </c>
      <c r="B91" s="18"/>
      <c r="C91" s="18"/>
      <c r="D91" s="38"/>
      <c r="E91" s="34">
        <f>C80</f>
        <v>30</v>
      </c>
      <c r="F91" s="120"/>
      <c r="H91" s="268">
        <v>0</v>
      </c>
      <c r="I91" s="269" t="s">
        <v>382</v>
      </c>
      <c r="J91" s="36"/>
      <c r="K91" s="36"/>
      <c r="L91" s="277"/>
    </row>
    <row r="92" spans="1:12" ht="16.5" thickBot="1" x14ac:dyDescent="0.3">
      <c r="A92" s="125" t="s">
        <v>519</v>
      </c>
      <c r="B92" s="30"/>
      <c r="C92" s="30"/>
      <c r="D92" s="126"/>
      <c r="E92" s="127">
        <f>IFERROR(PMT(E90/12,E91*12,E89)*12,0)</f>
        <v>-88382.312012718583</v>
      </c>
      <c r="F92" s="120"/>
    </row>
    <row r="93" spans="1:12" ht="16.5" thickBot="1" x14ac:dyDescent="0.3">
      <c r="A93" s="121" t="s">
        <v>415</v>
      </c>
      <c r="B93" s="122"/>
      <c r="C93" s="128"/>
      <c r="D93" s="129"/>
      <c r="E93" s="130"/>
      <c r="F93" s="120"/>
      <c r="H93" s="70" t="s">
        <v>443</v>
      </c>
      <c r="I93" s="71"/>
      <c r="J93" s="71"/>
      <c r="K93" s="71"/>
      <c r="L93" s="341" t="s">
        <v>407</v>
      </c>
    </row>
    <row r="94" spans="1:12" x14ac:dyDescent="0.25">
      <c r="A94" s="335" t="s">
        <v>399</v>
      </c>
      <c r="B94" s="430"/>
      <c r="C94" s="430"/>
      <c r="D94" s="39"/>
      <c r="E94" s="431">
        <f>C82</f>
        <v>200000</v>
      </c>
      <c r="H94" s="72" t="s">
        <v>77</v>
      </c>
      <c r="I94" s="24"/>
      <c r="J94" s="24"/>
      <c r="K94" s="24"/>
      <c r="L94" s="252">
        <v>100000</v>
      </c>
    </row>
    <row r="95" spans="1:12" x14ac:dyDescent="0.25">
      <c r="A95" s="17" t="s">
        <v>68</v>
      </c>
      <c r="B95" s="18"/>
      <c r="C95" s="18"/>
      <c r="D95" s="38"/>
      <c r="E95" s="116">
        <f>C83</f>
        <v>3.5000000000000003E-2</v>
      </c>
      <c r="H95" s="72" t="s">
        <v>78</v>
      </c>
      <c r="I95" s="24"/>
      <c r="J95" s="24"/>
      <c r="K95" s="24"/>
      <c r="L95" s="252">
        <v>10000</v>
      </c>
    </row>
    <row r="96" spans="1:12" x14ac:dyDescent="0.25">
      <c r="A96" s="17" t="s">
        <v>69</v>
      </c>
      <c r="B96" s="18"/>
      <c r="C96" s="18"/>
      <c r="D96" s="38"/>
      <c r="E96" s="34">
        <f>C84</f>
        <v>30</v>
      </c>
      <c r="H96" s="72" t="s">
        <v>442</v>
      </c>
      <c r="I96" s="24"/>
      <c r="J96" s="24"/>
      <c r="K96" s="24"/>
      <c r="L96" s="252">
        <v>0</v>
      </c>
    </row>
    <row r="97" spans="1:34" x14ac:dyDescent="0.25">
      <c r="A97" s="17" t="s">
        <v>70</v>
      </c>
      <c r="B97" s="18"/>
      <c r="C97" s="18"/>
      <c r="D97" s="38"/>
      <c r="E97" s="131">
        <f>IFERROR(PMT(E95/12,E96*12,E94)*12,0)</f>
        <v>-10777.072507411787</v>
      </c>
      <c r="F97" s="336"/>
      <c r="H97" s="72" t="s">
        <v>79</v>
      </c>
      <c r="I97" s="24"/>
      <c r="J97" s="24"/>
      <c r="K97" s="24"/>
      <c r="L97" s="250">
        <v>0.1</v>
      </c>
    </row>
    <row r="98" spans="1:34" ht="16.5" thickBot="1" x14ac:dyDescent="0.3">
      <c r="A98" s="49" t="s">
        <v>71</v>
      </c>
      <c r="B98" s="24"/>
      <c r="C98" s="24"/>
      <c r="D98" s="39"/>
      <c r="E98" s="132">
        <f>E89+E94</f>
        <v>1572000</v>
      </c>
      <c r="H98" s="73" t="s">
        <v>424</v>
      </c>
      <c r="I98" s="36"/>
      <c r="J98" s="36"/>
      <c r="K98" s="36"/>
      <c r="L98" s="248">
        <v>0.05</v>
      </c>
    </row>
    <row r="99" spans="1:34" ht="16.5" thickBot="1" x14ac:dyDescent="0.3">
      <c r="A99" s="17" t="s">
        <v>539</v>
      </c>
      <c r="B99" s="24"/>
      <c r="C99" s="24"/>
      <c r="D99" s="39"/>
      <c r="E99" s="132">
        <f>E92+E97</f>
        <v>-99159.384520130377</v>
      </c>
    </row>
    <row r="100" spans="1:34" ht="16.5" thickBot="1" x14ac:dyDescent="0.3">
      <c r="A100" s="102" t="s">
        <v>72</v>
      </c>
      <c r="B100" s="114"/>
      <c r="C100" s="114"/>
      <c r="D100" s="104"/>
      <c r="E100" s="63"/>
    </row>
    <row r="101" spans="1:34" x14ac:dyDescent="0.25">
      <c r="A101" s="17" t="s">
        <v>449</v>
      </c>
      <c r="B101" s="18"/>
      <c r="C101" s="18"/>
      <c r="D101" s="38"/>
      <c r="E101" s="111">
        <f>C27</f>
        <v>1960000</v>
      </c>
    </row>
    <row r="102" spans="1:34" ht="16.5" thickBot="1" x14ac:dyDescent="0.3">
      <c r="A102" s="135" t="s">
        <v>74</v>
      </c>
      <c r="B102" s="136"/>
      <c r="C102" s="136"/>
      <c r="D102" s="137"/>
      <c r="E102" s="138">
        <f>E101-E98</f>
        <v>388000</v>
      </c>
      <c r="F102" s="336"/>
    </row>
    <row r="104" spans="1:34" ht="16.5" thickBot="1" x14ac:dyDescent="0.3"/>
    <row r="105" spans="1:34" ht="16.5" thickBot="1" x14ac:dyDescent="0.3">
      <c r="A105" s="79" t="s">
        <v>95</v>
      </c>
      <c r="B105" s="51"/>
      <c r="C105" s="51"/>
      <c r="D105" s="51"/>
      <c r="E105" s="355" t="s">
        <v>85</v>
      </c>
      <c r="F105" s="356" t="s">
        <v>86</v>
      </c>
      <c r="G105" s="355" t="s">
        <v>87</v>
      </c>
      <c r="H105" s="356" t="s">
        <v>88</v>
      </c>
      <c r="I105" s="355" t="s">
        <v>89</v>
      </c>
      <c r="J105" s="356" t="s">
        <v>90</v>
      </c>
      <c r="K105" s="355" t="s">
        <v>91</v>
      </c>
      <c r="L105" s="356" t="s">
        <v>92</v>
      </c>
      <c r="M105" s="355" t="s">
        <v>93</v>
      </c>
      <c r="N105" s="355" t="s">
        <v>94</v>
      </c>
      <c r="O105" s="357" t="s">
        <v>239</v>
      </c>
      <c r="P105" s="358" t="s">
        <v>240</v>
      </c>
      <c r="Q105" s="358" t="s">
        <v>241</v>
      </c>
      <c r="R105" s="340" t="s">
        <v>242</v>
      </c>
      <c r="S105" s="358" t="s">
        <v>243</v>
      </c>
      <c r="T105" s="340" t="s">
        <v>244</v>
      </c>
      <c r="U105" s="358" t="s">
        <v>245</v>
      </c>
      <c r="V105" s="340" t="s">
        <v>246</v>
      </c>
      <c r="W105" s="358" t="s">
        <v>247</v>
      </c>
      <c r="X105" s="340" t="s">
        <v>248</v>
      </c>
      <c r="Y105" s="358" t="s">
        <v>249</v>
      </c>
      <c r="Z105" s="340" t="s">
        <v>250</v>
      </c>
      <c r="AA105" s="358" t="s">
        <v>251</v>
      </c>
      <c r="AB105" s="340" t="s">
        <v>252</v>
      </c>
      <c r="AC105" s="358" t="s">
        <v>253</v>
      </c>
      <c r="AD105" s="340" t="s">
        <v>254</v>
      </c>
      <c r="AE105" s="358" t="s">
        <v>255</v>
      </c>
      <c r="AF105" s="340" t="s">
        <v>256</v>
      </c>
      <c r="AG105" s="358" t="s">
        <v>257</v>
      </c>
      <c r="AH105" s="359" t="s">
        <v>258</v>
      </c>
    </row>
    <row r="106" spans="1:34" x14ac:dyDescent="0.25">
      <c r="A106" s="90" t="s">
        <v>425</v>
      </c>
      <c r="B106" s="18"/>
      <c r="C106" s="345" t="s">
        <v>96</v>
      </c>
      <c r="D106" s="25">
        <f>D68</f>
        <v>0.03</v>
      </c>
      <c r="E106" s="203">
        <f>D47</f>
        <v>252000</v>
      </c>
      <c r="F106" s="98">
        <f t="shared" ref="F106:U107" si="0">E106*(1+$D$106)</f>
        <v>259560</v>
      </c>
      <c r="G106" s="203">
        <f t="shared" si="0"/>
        <v>267346.8</v>
      </c>
      <c r="H106" s="98">
        <f t="shared" si="0"/>
        <v>275367.20399999997</v>
      </c>
      <c r="I106" s="203">
        <f t="shared" si="0"/>
        <v>283628.22011999995</v>
      </c>
      <c r="J106" s="98">
        <f t="shared" si="0"/>
        <v>292137.06672359997</v>
      </c>
      <c r="K106" s="203">
        <f t="shared" si="0"/>
        <v>300901.17872530798</v>
      </c>
      <c r="L106" s="98">
        <f t="shared" si="0"/>
        <v>309928.21408706723</v>
      </c>
      <c r="M106" s="203">
        <f t="shared" si="0"/>
        <v>319226.06050967926</v>
      </c>
      <c r="N106" s="203">
        <f t="shared" si="0"/>
        <v>328802.84232496965</v>
      </c>
      <c r="O106" s="284">
        <f t="shared" si="0"/>
        <v>338666.92759471876</v>
      </c>
      <c r="P106" s="203">
        <f t="shared" si="0"/>
        <v>348826.93542256032</v>
      </c>
      <c r="Q106" s="203">
        <f t="shared" si="0"/>
        <v>359291.74348523712</v>
      </c>
      <c r="R106" s="98">
        <f t="shared" si="0"/>
        <v>370070.49578979425</v>
      </c>
      <c r="S106" s="287">
        <f t="shared" si="0"/>
        <v>381172.6106634881</v>
      </c>
      <c r="T106" s="98">
        <f t="shared" si="0"/>
        <v>392607.78898339276</v>
      </c>
      <c r="U106" s="287">
        <f t="shared" si="0"/>
        <v>404386.02265289455</v>
      </c>
      <c r="V106" s="98">
        <f t="shared" ref="V106:AH107" si="1">U106*(1+$D$106)</f>
        <v>416517.60333248141</v>
      </c>
      <c r="W106" s="203">
        <f t="shared" si="1"/>
        <v>429013.13143245585</v>
      </c>
      <c r="X106" s="98">
        <f t="shared" si="1"/>
        <v>441883.52537542954</v>
      </c>
      <c r="Y106" s="203">
        <f t="shared" si="1"/>
        <v>455140.03113669244</v>
      </c>
      <c r="Z106" s="98">
        <f t="shared" si="1"/>
        <v>468794.23207079322</v>
      </c>
      <c r="AA106" s="203">
        <f t="shared" si="1"/>
        <v>482858.05903291702</v>
      </c>
      <c r="AB106" s="98">
        <f t="shared" si="1"/>
        <v>497343.80080390454</v>
      </c>
      <c r="AC106" s="203">
        <f t="shared" si="1"/>
        <v>512264.11482802167</v>
      </c>
      <c r="AD106" s="98">
        <f t="shared" si="1"/>
        <v>527632.03827286232</v>
      </c>
      <c r="AE106" s="203">
        <f t="shared" si="1"/>
        <v>543460.99942104821</v>
      </c>
      <c r="AF106" s="98">
        <f t="shared" si="1"/>
        <v>559764.8294036797</v>
      </c>
      <c r="AG106" s="203">
        <f t="shared" si="1"/>
        <v>576557.77428579016</v>
      </c>
      <c r="AH106" s="217">
        <f t="shared" si="1"/>
        <v>593854.50751436385</v>
      </c>
    </row>
    <row r="107" spans="1:34" x14ac:dyDescent="0.25">
      <c r="A107" s="17" t="s">
        <v>421</v>
      </c>
      <c r="B107" s="24"/>
      <c r="C107" s="24"/>
      <c r="D107" s="278"/>
      <c r="E107" s="352">
        <f>D48</f>
        <v>12600</v>
      </c>
      <c r="F107" s="98">
        <f t="shared" si="0"/>
        <v>12978</v>
      </c>
      <c r="G107" s="203">
        <f t="shared" si="0"/>
        <v>13367.34</v>
      </c>
      <c r="H107" s="98">
        <f t="shared" si="0"/>
        <v>13768.360200000001</v>
      </c>
      <c r="I107" s="203">
        <f t="shared" si="0"/>
        <v>14181.411006000002</v>
      </c>
      <c r="J107" s="98">
        <f t="shared" si="0"/>
        <v>14606.853336180002</v>
      </c>
      <c r="K107" s="203">
        <f t="shared" si="0"/>
        <v>15045.058936265403</v>
      </c>
      <c r="L107" s="98">
        <f t="shared" si="0"/>
        <v>15496.410704353366</v>
      </c>
      <c r="M107" s="203">
        <f t="shared" si="0"/>
        <v>15961.303025483967</v>
      </c>
      <c r="N107" s="203">
        <f t="shared" si="0"/>
        <v>16440.142116248488</v>
      </c>
      <c r="O107" s="284">
        <f t="shared" si="0"/>
        <v>16933.346379735944</v>
      </c>
      <c r="P107" s="283">
        <f t="shared" si="0"/>
        <v>17441.346771128021</v>
      </c>
      <c r="Q107" s="203">
        <f t="shared" si="0"/>
        <v>17964.587174261862</v>
      </c>
      <c r="R107" s="98">
        <f t="shared" si="0"/>
        <v>18503.524789489718</v>
      </c>
      <c r="S107" s="203">
        <f t="shared" si="0"/>
        <v>19058.630533174412</v>
      </c>
      <c r="T107" s="284">
        <f t="shared" si="0"/>
        <v>19630.389449169645</v>
      </c>
      <c r="U107" s="203">
        <f t="shared" si="0"/>
        <v>20219.301132644734</v>
      </c>
      <c r="V107" s="98">
        <f t="shared" si="1"/>
        <v>20825.880166624076</v>
      </c>
      <c r="W107" s="203">
        <f t="shared" si="1"/>
        <v>21450.6565716228</v>
      </c>
      <c r="X107" s="98">
        <f t="shared" si="1"/>
        <v>22094.176268771484</v>
      </c>
      <c r="Y107" s="203">
        <f t="shared" si="1"/>
        <v>22757.001556834628</v>
      </c>
      <c r="Z107" s="98">
        <f t="shared" si="1"/>
        <v>23439.711603539668</v>
      </c>
      <c r="AA107" s="203">
        <f t="shared" si="1"/>
        <v>24142.902951645858</v>
      </c>
      <c r="AB107" s="98">
        <f t="shared" si="1"/>
        <v>24867.190040195233</v>
      </c>
      <c r="AC107" s="203">
        <f t="shared" si="1"/>
        <v>25613.205741401092</v>
      </c>
      <c r="AD107" s="98">
        <f t="shared" si="1"/>
        <v>26381.601913643124</v>
      </c>
      <c r="AE107" s="203">
        <f t="shared" si="1"/>
        <v>27173.04997105242</v>
      </c>
      <c r="AF107" s="98">
        <f t="shared" si="1"/>
        <v>27988.241470183992</v>
      </c>
      <c r="AG107" s="203">
        <f t="shared" si="1"/>
        <v>28827.888714289511</v>
      </c>
      <c r="AH107" s="217">
        <f t="shared" si="1"/>
        <v>29692.725375718197</v>
      </c>
    </row>
    <row r="108" spans="1:34" ht="16.5" thickBot="1" x14ac:dyDescent="0.3">
      <c r="A108" s="29" t="s">
        <v>444</v>
      </c>
      <c r="B108" s="30"/>
      <c r="C108" s="83"/>
      <c r="D108" s="279"/>
      <c r="E108" s="232">
        <f>E106+E107</f>
        <v>264600</v>
      </c>
      <c r="F108" s="231">
        <f>F106+F107</f>
        <v>272538</v>
      </c>
      <c r="G108" s="232">
        <f>G106+G107</f>
        <v>280714.14</v>
      </c>
      <c r="H108" s="231">
        <f>H106+H107</f>
        <v>289135.56419999996</v>
      </c>
      <c r="I108" s="232">
        <f>I106+I107</f>
        <v>297809.63112599996</v>
      </c>
      <c r="J108" s="231">
        <f t="shared" ref="J108:AH108" si="2">J106+J107</f>
        <v>306743.92005977995</v>
      </c>
      <c r="K108" s="232">
        <f t="shared" si="2"/>
        <v>315946.2376615734</v>
      </c>
      <c r="L108" s="231">
        <f t="shared" si="2"/>
        <v>325424.62479142059</v>
      </c>
      <c r="M108" s="232">
        <f t="shared" si="2"/>
        <v>335187.36353516323</v>
      </c>
      <c r="N108" s="232">
        <f t="shared" si="2"/>
        <v>345242.98444121814</v>
      </c>
      <c r="O108" s="285">
        <f t="shared" si="2"/>
        <v>355600.27397445473</v>
      </c>
      <c r="P108" s="232">
        <f t="shared" si="2"/>
        <v>366268.28219368833</v>
      </c>
      <c r="Q108" s="232">
        <f t="shared" si="2"/>
        <v>377256.33065949898</v>
      </c>
      <c r="R108" s="231">
        <f t="shared" si="2"/>
        <v>388574.02057928394</v>
      </c>
      <c r="S108" s="232">
        <f t="shared" si="2"/>
        <v>400231.24119666254</v>
      </c>
      <c r="T108" s="231">
        <f t="shared" si="2"/>
        <v>412238.17843256239</v>
      </c>
      <c r="U108" s="232">
        <f t="shared" si="2"/>
        <v>424605.32378553931</v>
      </c>
      <c r="V108" s="231">
        <f t="shared" si="2"/>
        <v>437343.4834991055</v>
      </c>
      <c r="W108" s="232">
        <f t="shared" si="2"/>
        <v>450463.78800407867</v>
      </c>
      <c r="X108" s="231">
        <f t="shared" si="2"/>
        <v>463977.70164420101</v>
      </c>
      <c r="Y108" s="232">
        <f t="shared" si="2"/>
        <v>477897.03269352706</v>
      </c>
      <c r="Z108" s="231">
        <f t="shared" si="2"/>
        <v>492233.94367433287</v>
      </c>
      <c r="AA108" s="232">
        <f t="shared" si="2"/>
        <v>507000.96198456286</v>
      </c>
      <c r="AB108" s="231">
        <f t="shared" si="2"/>
        <v>522210.99084409978</v>
      </c>
      <c r="AC108" s="232">
        <f t="shared" si="2"/>
        <v>537877.32056942279</v>
      </c>
      <c r="AD108" s="231">
        <f t="shared" si="2"/>
        <v>554013.64018650539</v>
      </c>
      <c r="AE108" s="232">
        <f t="shared" si="2"/>
        <v>570634.04939210066</v>
      </c>
      <c r="AF108" s="231">
        <f t="shared" si="2"/>
        <v>587753.07087386365</v>
      </c>
      <c r="AG108" s="232">
        <f t="shared" si="2"/>
        <v>605385.66300007969</v>
      </c>
      <c r="AH108" s="245">
        <f t="shared" si="2"/>
        <v>623547.23289008206</v>
      </c>
    </row>
    <row r="109" spans="1:34" x14ac:dyDescent="0.25">
      <c r="A109" s="17" t="s">
        <v>54</v>
      </c>
      <c r="B109" s="18"/>
      <c r="C109" s="24"/>
      <c r="D109" s="280">
        <f>C50</f>
        <v>0.06</v>
      </c>
      <c r="E109" s="203">
        <f t="shared" ref="E109:AH109" si="3">$D$109*E108</f>
        <v>15876</v>
      </c>
      <c r="F109" s="98">
        <f t="shared" si="3"/>
        <v>16352.279999999999</v>
      </c>
      <c r="G109" s="203">
        <f t="shared" si="3"/>
        <v>16842.848399999999</v>
      </c>
      <c r="H109" s="98">
        <f t="shared" si="3"/>
        <v>17348.133851999999</v>
      </c>
      <c r="I109" s="203">
        <f t="shared" si="3"/>
        <v>17868.577867559998</v>
      </c>
      <c r="J109" s="98">
        <f t="shared" si="3"/>
        <v>18404.635203586797</v>
      </c>
      <c r="K109" s="203">
        <f t="shared" si="3"/>
        <v>18956.774259694404</v>
      </c>
      <c r="L109" s="98">
        <f t="shared" si="3"/>
        <v>19525.477487485234</v>
      </c>
      <c r="M109" s="203">
        <f t="shared" si="3"/>
        <v>20111.241812109794</v>
      </c>
      <c r="N109" s="203">
        <f t="shared" si="3"/>
        <v>20714.579066473088</v>
      </c>
      <c r="O109" s="284">
        <f t="shared" si="3"/>
        <v>21336.016438467283</v>
      </c>
      <c r="P109" s="203">
        <f t="shared" si="3"/>
        <v>21976.096931621298</v>
      </c>
      <c r="Q109" s="203">
        <f t="shared" si="3"/>
        <v>22635.379839569938</v>
      </c>
      <c r="R109" s="98">
        <f t="shared" si="3"/>
        <v>23314.441234757036</v>
      </c>
      <c r="S109" s="203">
        <f t="shared" si="3"/>
        <v>24013.874471799751</v>
      </c>
      <c r="T109" s="98">
        <f t="shared" si="3"/>
        <v>24734.290705953743</v>
      </c>
      <c r="U109" s="203">
        <f t="shared" si="3"/>
        <v>25476.319427132359</v>
      </c>
      <c r="V109" s="98">
        <f t="shared" si="3"/>
        <v>26240.609009946329</v>
      </c>
      <c r="W109" s="203">
        <f t="shared" si="3"/>
        <v>27027.827280244721</v>
      </c>
      <c r="X109" s="98">
        <f t="shared" si="3"/>
        <v>27838.662098652061</v>
      </c>
      <c r="Y109" s="203">
        <f t="shared" si="3"/>
        <v>28673.821961611622</v>
      </c>
      <c r="Z109" s="98">
        <f t="shared" si="3"/>
        <v>29534.03662045997</v>
      </c>
      <c r="AA109" s="203">
        <f t="shared" si="3"/>
        <v>30420.057719073771</v>
      </c>
      <c r="AB109" s="98">
        <f t="shared" si="3"/>
        <v>31332.659450645984</v>
      </c>
      <c r="AC109" s="203">
        <f t="shared" si="3"/>
        <v>32272.639234165366</v>
      </c>
      <c r="AD109" s="98">
        <f t="shared" si="3"/>
        <v>33240.818411190325</v>
      </c>
      <c r="AE109" s="203">
        <f t="shared" si="3"/>
        <v>34238.042963526037</v>
      </c>
      <c r="AF109" s="98">
        <f t="shared" si="3"/>
        <v>35265.18425243182</v>
      </c>
      <c r="AG109" s="203">
        <f t="shared" si="3"/>
        <v>36323.139780004778</v>
      </c>
      <c r="AH109" s="217">
        <f t="shared" si="3"/>
        <v>37412.833973404922</v>
      </c>
    </row>
    <row r="110" spans="1:34" x14ac:dyDescent="0.25">
      <c r="A110" s="17" t="s">
        <v>55</v>
      </c>
      <c r="B110" s="18"/>
      <c r="C110" s="24"/>
      <c r="D110" s="280">
        <f>C51</f>
        <v>1.4999999999999999E-2</v>
      </c>
      <c r="E110" s="352">
        <f t="shared" ref="E110:AH110" si="4">$D$110*E108</f>
        <v>3969</v>
      </c>
      <c r="F110" s="353">
        <f t="shared" si="4"/>
        <v>4088.0699999999997</v>
      </c>
      <c r="G110" s="352">
        <f t="shared" si="4"/>
        <v>4210.7120999999997</v>
      </c>
      <c r="H110" s="353">
        <f t="shared" si="4"/>
        <v>4337.0334629999998</v>
      </c>
      <c r="I110" s="352">
        <f t="shared" si="4"/>
        <v>4467.1444668899994</v>
      </c>
      <c r="J110" s="353">
        <f t="shared" si="4"/>
        <v>4601.1588008966992</v>
      </c>
      <c r="K110" s="352">
        <f t="shared" si="4"/>
        <v>4739.1935649236011</v>
      </c>
      <c r="L110" s="353">
        <f t="shared" si="4"/>
        <v>4881.3693718713084</v>
      </c>
      <c r="M110" s="352">
        <f t="shared" si="4"/>
        <v>5027.8104530274486</v>
      </c>
      <c r="N110" s="352">
        <f t="shared" si="4"/>
        <v>5178.6447666182721</v>
      </c>
      <c r="O110" s="354">
        <f t="shared" si="4"/>
        <v>5334.0041096168206</v>
      </c>
      <c r="P110" s="352">
        <f t="shared" si="4"/>
        <v>5494.0242329053244</v>
      </c>
      <c r="Q110" s="352">
        <f t="shared" si="4"/>
        <v>5658.8449598924844</v>
      </c>
      <c r="R110" s="353">
        <f t="shared" si="4"/>
        <v>5828.610308689259</v>
      </c>
      <c r="S110" s="352">
        <f t="shared" si="4"/>
        <v>6003.4686179499377</v>
      </c>
      <c r="T110" s="353">
        <f t="shared" si="4"/>
        <v>6183.5726764884357</v>
      </c>
      <c r="U110" s="352">
        <f t="shared" si="4"/>
        <v>6369.0798567830898</v>
      </c>
      <c r="V110" s="353">
        <f t="shared" si="4"/>
        <v>6560.1522524865823</v>
      </c>
      <c r="W110" s="352">
        <f t="shared" si="4"/>
        <v>6756.9568200611802</v>
      </c>
      <c r="X110" s="353">
        <f t="shared" si="4"/>
        <v>6959.6655246630153</v>
      </c>
      <c r="Y110" s="352">
        <f t="shared" si="4"/>
        <v>7168.4554904029055</v>
      </c>
      <c r="Z110" s="353">
        <f t="shared" si="4"/>
        <v>7383.5091551149926</v>
      </c>
      <c r="AA110" s="352">
        <f t="shared" si="4"/>
        <v>7605.0144297684428</v>
      </c>
      <c r="AB110" s="353">
        <f t="shared" si="4"/>
        <v>7833.164862661496</v>
      </c>
      <c r="AC110" s="352">
        <f t="shared" si="4"/>
        <v>8068.1598085413416</v>
      </c>
      <c r="AD110" s="353">
        <f t="shared" si="4"/>
        <v>8310.2046027975812</v>
      </c>
      <c r="AE110" s="352">
        <f t="shared" si="4"/>
        <v>8559.5107408815093</v>
      </c>
      <c r="AF110" s="353">
        <f t="shared" si="4"/>
        <v>8816.296063107955</v>
      </c>
      <c r="AG110" s="352">
        <f t="shared" si="4"/>
        <v>9080.7849450011945</v>
      </c>
      <c r="AH110" s="317">
        <f t="shared" si="4"/>
        <v>9353.2084933512306</v>
      </c>
    </row>
    <row r="111" spans="1:34" ht="16.5" thickBot="1" x14ac:dyDescent="0.3">
      <c r="A111" s="29" t="s">
        <v>99</v>
      </c>
      <c r="B111" s="30"/>
      <c r="C111" s="83"/>
      <c r="D111" s="279"/>
      <c r="E111" s="232">
        <f>E108-E109-E110</f>
        <v>244755</v>
      </c>
      <c r="F111" s="231">
        <f>F108-F109-F110</f>
        <v>252097.65</v>
      </c>
      <c r="G111" s="232">
        <f>G108-G109-G110</f>
        <v>259660.57949999999</v>
      </c>
      <c r="H111" s="231">
        <f>H108-H109-H110</f>
        <v>267450.39688499994</v>
      </c>
      <c r="I111" s="232">
        <f>I108-I109-I110</f>
        <v>275473.90879154997</v>
      </c>
      <c r="J111" s="231">
        <f t="shared" ref="J111:AH111" si="5">J108-J109-J110</f>
        <v>283738.12605529645</v>
      </c>
      <c r="K111" s="232">
        <f t="shared" si="5"/>
        <v>292250.26983695541</v>
      </c>
      <c r="L111" s="231">
        <f t="shared" si="5"/>
        <v>301017.77793206408</v>
      </c>
      <c r="M111" s="232">
        <f t="shared" si="5"/>
        <v>310048.31127002602</v>
      </c>
      <c r="N111" s="232">
        <f t="shared" si="5"/>
        <v>319349.76060812676</v>
      </c>
      <c r="O111" s="285">
        <f t="shared" si="5"/>
        <v>328930.25342637062</v>
      </c>
      <c r="P111" s="232">
        <f t="shared" si="5"/>
        <v>338798.16102916171</v>
      </c>
      <c r="Q111" s="232">
        <f t="shared" si="5"/>
        <v>348962.10586003656</v>
      </c>
      <c r="R111" s="231">
        <f t="shared" si="5"/>
        <v>359430.96903583768</v>
      </c>
      <c r="S111" s="232">
        <f t="shared" si="5"/>
        <v>370213.89810691285</v>
      </c>
      <c r="T111" s="231">
        <f t="shared" si="5"/>
        <v>381320.31505012023</v>
      </c>
      <c r="U111" s="232">
        <f t="shared" si="5"/>
        <v>392759.92450162384</v>
      </c>
      <c r="V111" s="231">
        <f t="shared" si="5"/>
        <v>404542.72223667259</v>
      </c>
      <c r="W111" s="232">
        <f t="shared" si="5"/>
        <v>416679.00390377274</v>
      </c>
      <c r="X111" s="231">
        <f t="shared" si="5"/>
        <v>429179.37402088597</v>
      </c>
      <c r="Y111" s="232">
        <f t="shared" si="5"/>
        <v>442054.75524151255</v>
      </c>
      <c r="Z111" s="231">
        <f t="shared" si="5"/>
        <v>455316.39789875789</v>
      </c>
      <c r="AA111" s="232">
        <f t="shared" si="5"/>
        <v>468975.88983572065</v>
      </c>
      <c r="AB111" s="231">
        <f t="shared" si="5"/>
        <v>483045.16653079231</v>
      </c>
      <c r="AC111" s="232">
        <f t="shared" si="5"/>
        <v>497536.52152671607</v>
      </c>
      <c r="AD111" s="231">
        <f t="shared" si="5"/>
        <v>512462.61717251752</v>
      </c>
      <c r="AE111" s="232">
        <f t="shared" si="5"/>
        <v>527836.49568769312</v>
      </c>
      <c r="AF111" s="231">
        <f t="shared" si="5"/>
        <v>543671.59055832389</v>
      </c>
      <c r="AG111" s="232">
        <f t="shared" si="5"/>
        <v>559981.7382750737</v>
      </c>
      <c r="AH111" s="245">
        <f t="shared" si="5"/>
        <v>576781.19042332587</v>
      </c>
    </row>
    <row r="112" spans="1:34" x14ac:dyDescent="0.25">
      <c r="A112" s="17" t="s">
        <v>57</v>
      </c>
      <c r="B112" s="18"/>
      <c r="C112" s="345" t="s">
        <v>96</v>
      </c>
      <c r="D112" s="25">
        <f>D69</f>
        <v>0.03</v>
      </c>
      <c r="E112" s="352">
        <f>D53</f>
        <v>105840</v>
      </c>
      <c r="F112" s="353">
        <f t="shared" ref="F112:AH112" si="6">E112*(1+$D$112)</f>
        <v>109015.2</v>
      </c>
      <c r="G112" s="352">
        <f t="shared" si="6"/>
        <v>112285.656</v>
      </c>
      <c r="H112" s="353">
        <f t="shared" si="6"/>
        <v>115654.22568</v>
      </c>
      <c r="I112" s="352">
        <f t="shared" si="6"/>
        <v>119123.85245040001</v>
      </c>
      <c r="J112" s="353">
        <f t="shared" si="6"/>
        <v>122697.56802391201</v>
      </c>
      <c r="K112" s="352">
        <f t="shared" si="6"/>
        <v>126378.49506462937</v>
      </c>
      <c r="L112" s="353">
        <f t="shared" si="6"/>
        <v>130169.84991656826</v>
      </c>
      <c r="M112" s="352">
        <f t="shared" si="6"/>
        <v>134074.9454140653</v>
      </c>
      <c r="N112" s="352">
        <f t="shared" si="6"/>
        <v>138097.19377648726</v>
      </c>
      <c r="O112" s="354">
        <f t="shared" si="6"/>
        <v>142240.10958978187</v>
      </c>
      <c r="P112" s="352">
        <f t="shared" si="6"/>
        <v>146507.31287747534</v>
      </c>
      <c r="Q112" s="352">
        <f t="shared" si="6"/>
        <v>150902.5322637996</v>
      </c>
      <c r="R112" s="353">
        <f t="shared" si="6"/>
        <v>155429.60823171359</v>
      </c>
      <c r="S112" s="352">
        <f t="shared" si="6"/>
        <v>160092.49647866501</v>
      </c>
      <c r="T112" s="353">
        <f t="shared" si="6"/>
        <v>164895.27137302497</v>
      </c>
      <c r="U112" s="352">
        <f t="shared" si="6"/>
        <v>169842.12951421572</v>
      </c>
      <c r="V112" s="353">
        <f t="shared" si="6"/>
        <v>174937.3933996422</v>
      </c>
      <c r="W112" s="352">
        <f t="shared" si="6"/>
        <v>180185.51520163147</v>
      </c>
      <c r="X112" s="353">
        <f t="shared" si="6"/>
        <v>185591.0806576804</v>
      </c>
      <c r="Y112" s="352">
        <f t="shared" si="6"/>
        <v>191158.81307741083</v>
      </c>
      <c r="Z112" s="353">
        <f t="shared" si="6"/>
        <v>196893.57746973317</v>
      </c>
      <c r="AA112" s="352">
        <f t="shared" si="6"/>
        <v>202800.38479382516</v>
      </c>
      <c r="AB112" s="353">
        <f t="shared" si="6"/>
        <v>208884.39633763992</v>
      </c>
      <c r="AC112" s="352">
        <f t="shared" si="6"/>
        <v>215150.92822776912</v>
      </c>
      <c r="AD112" s="353">
        <f t="shared" si="6"/>
        <v>221605.4560746022</v>
      </c>
      <c r="AE112" s="352">
        <f t="shared" si="6"/>
        <v>228253.61975684029</v>
      </c>
      <c r="AF112" s="353">
        <f t="shared" si="6"/>
        <v>235101.2283495455</v>
      </c>
      <c r="AG112" s="352">
        <f t="shared" si="6"/>
        <v>242154.26520003186</v>
      </c>
      <c r="AH112" s="317">
        <f t="shared" si="6"/>
        <v>249418.89315603283</v>
      </c>
    </row>
    <row r="113" spans="1:35" x14ac:dyDescent="0.25">
      <c r="A113" s="17" t="s">
        <v>100</v>
      </c>
      <c r="B113" s="24"/>
      <c r="C113" s="24"/>
      <c r="D113" s="39"/>
      <c r="E113" s="149">
        <f>$L$12*$C$64*I15</f>
        <v>0</v>
      </c>
      <c r="F113" s="200">
        <f>$L$12*$C$64*(1+$D$106)*I16</f>
        <v>0</v>
      </c>
      <c r="G113" s="149">
        <f>$L$12*$C$64*(1+$D$106)^2*I17</f>
        <v>0</v>
      </c>
      <c r="H113" s="200">
        <f>$L$12*$C$64*(1+$D$106)^3*I18</f>
        <v>0</v>
      </c>
      <c r="I113" s="149">
        <f>$L$12*$C$64*(1+$D$106)^4*I19</f>
        <v>0</v>
      </c>
      <c r="J113" s="200">
        <f>$L$12*$C$64*(1+$D$106)^5*I20</f>
        <v>0</v>
      </c>
      <c r="K113" s="149">
        <f>$L$12*$C$64*(1+$D$106)^6*I21</f>
        <v>0</v>
      </c>
      <c r="L113" s="200">
        <f>$L$12*$C$64*(1+$D$106)^7*I22</f>
        <v>0</v>
      </c>
      <c r="M113" s="149">
        <f>$L$12*$C$64*(1+$D$106)^8*I23</f>
        <v>0</v>
      </c>
      <c r="N113" s="149">
        <f>$L$12*$C$64*(1+$D$106)^9*I24</f>
        <v>0</v>
      </c>
      <c r="O113" s="149">
        <f>$L$12*$C$64*(1+$D$106)^10*I25</f>
        <v>0</v>
      </c>
      <c r="P113" s="149">
        <f>$L$12*$C$64*(1+$D$106)^11*I26</f>
        <v>0</v>
      </c>
      <c r="Q113" s="149">
        <f>$L$12*$C$64*(1+$D$106)^12*I27</f>
        <v>0</v>
      </c>
      <c r="R113" s="149">
        <f>$L$12*$C$64*(1+$D$106)^13*I28</f>
        <v>0</v>
      </c>
      <c r="S113" s="149">
        <f>$L$12*$C$64*(1+$D$106)^14*I29</f>
        <v>0</v>
      </c>
      <c r="T113" s="149">
        <f>$L$12*$C$64*(1+$D$106)^15*I30</f>
        <v>0</v>
      </c>
      <c r="U113" s="149">
        <f>$L$12*$C$64*(1+$D$106)^16*I31</f>
        <v>0</v>
      </c>
      <c r="V113" s="149">
        <f>$L$12*$C$64*(1+$D$106)^17*I32</f>
        <v>0</v>
      </c>
      <c r="W113" s="149">
        <f>$L$12*$C$64*(1+$D$106)^18*I33</f>
        <v>0</v>
      </c>
      <c r="X113" s="149">
        <f>$L$12*$C$64*(1+$D$106)^19*I34</f>
        <v>0</v>
      </c>
      <c r="Y113" s="149">
        <f>$L$12*$C$64*(1+$D$106)^20*I35</f>
        <v>0</v>
      </c>
      <c r="Z113" s="149">
        <f>$L$12*$C$64*(1+$D$106)^21*I36</f>
        <v>0</v>
      </c>
      <c r="AA113" s="149">
        <f>$L$12*$C$64*(1+$D$106)^22*I37</f>
        <v>0</v>
      </c>
      <c r="AB113" s="149">
        <f>$L$12*$C$64*(1+$D$106)^23*I38</f>
        <v>0</v>
      </c>
      <c r="AC113" s="149">
        <f>$L$12*$C$64*(1+$D$106)^24*I39</f>
        <v>0</v>
      </c>
      <c r="AD113" s="149">
        <f>$L$12*$C$64*(1+$D$106)^25*I40</f>
        <v>0</v>
      </c>
      <c r="AE113" s="149">
        <f>$L$12*$C$64*(1+$D$106)^26*I41</f>
        <v>0</v>
      </c>
      <c r="AF113" s="149">
        <f>$L$12*$C$64*(1+$D$106)^27*I42</f>
        <v>0</v>
      </c>
      <c r="AG113" s="149">
        <f>$L$12*$C$64*(1+$D$106)^28*I43</f>
        <v>0</v>
      </c>
      <c r="AH113" s="205">
        <f>$L$12*$C$64*(1+$D$106)^29*I44</f>
        <v>0</v>
      </c>
    </row>
    <row r="114" spans="1:35" x14ac:dyDescent="0.25">
      <c r="A114" s="17" t="s">
        <v>133</v>
      </c>
      <c r="B114" s="24"/>
      <c r="C114" s="24"/>
      <c r="D114" s="39"/>
      <c r="E114" s="149">
        <f>J15*$L$13*E108</f>
        <v>0</v>
      </c>
      <c r="F114" s="149">
        <f>J16*$L$13*F108</f>
        <v>0</v>
      </c>
      <c r="G114" s="149">
        <f>J17*$L$13*G108</f>
        <v>0</v>
      </c>
      <c r="H114" s="149">
        <f>J18*$L$13*H108</f>
        <v>0</v>
      </c>
      <c r="I114" s="149">
        <f>J19*$L$13*I108</f>
        <v>0</v>
      </c>
      <c r="J114" s="149">
        <f>J20*$L$13*J108</f>
        <v>0</v>
      </c>
      <c r="K114" s="149">
        <f>J21*$L$13*K108</f>
        <v>0</v>
      </c>
      <c r="L114" s="149">
        <f>J22*$L$13*L108</f>
        <v>0</v>
      </c>
      <c r="M114" s="149">
        <f>J23*$L$13*M108</f>
        <v>0</v>
      </c>
      <c r="N114" s="149">
        <f>J24*$L$13*N108</f>
        <v>0</v>
      </c>
      <c r="O114" s="149">
        <f>J25*$L$13*O108</f>
        <v>0</v>
      </c>
      <c r="P114" s="149">
        <f>J26*$L$13*P108</f>
        <v>0</v>
      </c>
      <c r="Q114" s="149">
        <f>J27*$L$13*Q108</f>
        <v>0</v>
      </c>
      <c r="R114" s="149">
        <f>J28*$L$13*R108</f>
        <v>0</v>
      </c>
      <c r="S114" s="149">
        <f>J29*$L$13*S108</f>
        <v>0</v>
      </c>
      <c r="T114" s="149">
        <f>J30*$L$13*T108</f>
        <v>0</v>
      </c>
      <c r="U114" s="149">
        <f>J31*$L$13*U108</f>
        <v>0</v>
      </c>
      <c r="V114" s="149">
        <f>J32*$L$13*V108</f>
        <v>0</v>
      </c>
      <c r="W114" s="149">
        <f>J33*$L$13*W108</f>
        <v>0</v>
      </c>
      <c r="X114" s="149">
        <f>J34*$L$13*X108</f>
        <v>0</v>
      </c>
      <c r="Y114" s="149">
        <f>J35*$L$13*Y108</f>
        <v>0</v>
      </c>
      <c r="Z114" s="149">
        <f>J36*$L$13*Z108</f>
        <v>0</v>
      </c>
      <c r="AA114" s="149">
        <f>J37*$L$13*AA108</f>
        <v>0</v>
      </c>
      <c r="AB114" s="149">
        <f>J38*$L$13*AB108</f>
        <v>0</v>
      </c>
      <c r="AC114" s="149">
        <f>J39*$L$13*AC108</f>
        <v>0</v>
      </c>
      <c r="AD114" s="149">
        <f>J40*$L$13*AD108</f>
        <v>0</v>
      </c>
      <c r="AE114" s="149">
        <f>J41*$L$13*AE108</f>
        <v>0</v>
      </c>
      <c r="AF114" s="149">
        <f>J42*$L$13*AF108</f>
        <v>0</v>
      </c>
      <c r="AG114" s="149">
        <f>J43*$L$13*AG108</f>
        <v>0</v>
      </c>
      <c r="AH114" s="205">
        <f>J44*$L$13*AH108</f>
        <v>0</v>
      </c>
    </row>
    <row r="115" spans="1:35" x14ac:dyDescent="0.25">
      <c r="A115" s="17" t="s">
        <v>447</v>
      </c>
      <c r="B115" s="24"/>
      <c r="C115" s="24"/>
      <c r="D115" s="39"/>
      <c r="E115" s="472">
        <f t="shared" ref="E115:AH115" si="7">-$L$95</f>
        <v>-10000</v>
      </c>
      <c r="F115" s="472">
        <f t="shared" si="7"/>
        <v>-10000</v>
      </c>
      <c r="G115" s="472">
        <f t="shared" si="7"/>
        <v>-10000</v>
      </c>
      <c r="H115" s="472">
        <f t="shared" si="7"/>
        <v>-10000</v>
      </c>
      <c r="I115" s="472">
        <f t="shared" si="7"/>
        <v>-10000</v>
      </c>
      <c r="J115" s="472">
        <f t="shared" si="7"/>
        <v>-10000</v>
      </c>
      <c r="K115" s="149">
        <f t="shared" si="7"/>
        <v>-10000</v>
      </c>
      <c r="L115" s="149">
        <f t="shared" si="7"/>
        <v>-10000</v>
      </c>
      <c r="M115" s="149">
        <f t="shared" si="7"/>
        <v>-10000</v>
      </c>
      <c r="N115" s="149">
        <f t="shared" si="7"/>
        <v>-10000</v>
      </c>
      <c r="O115" s="149">
        <f t="shared" si="7"/>
        <v>-10000</v>
      </c>
      <c r="P115" s="149">
        <f t="shared" si="7"/>
        <v>-10000</v>
      </c>
      <c r="Q115" s="149">
        <f t="shared" si="7"/>
        <v>-10000</v>
      </c>
      <c r="R115" s="149">
        <f t="shared" si="7"/>
        <v>-10000</v>
      </c>
      <c r="S115" s="149">
        <f t="shared" si="7"/>
        <v>-10000</v>
      </c>
      <c r="T115" s="149">
        <f t="shared" si="7"/>
        <v>-10000</v>
      </c>
      <c r="U115" s="149">
        <f t="shared" si="7"/>
        <v>-10000</v>
      </c>
      <c r="V115" s="149">
        <f t="shared" si="7"/>
        <v>-10000</v>
      </c>
      <c r="W115" s="149">
        <f t="shared" si="7"/>
        <v>-10000</v>
      </c>
      <c r="X115" s="149">
        <f t="shared" si="7"/>
        <v>-10000</v>
      </c>
      <c r="Y115" s="149">
        <f t="shared" si="7"/>
        <v>-10000</v>
      </c>
      <c r="Z115" s="149">
        <f t="shared" si="7"/>
        <v>-10000</v>
      </c>
      <c r="AA115" s="149">
        <f t="shared" si="7"/>
        <v>-10000</v>
      </c>
      <c r="AB115" s="149">
        <f t="shared" si="7"/>
        <v>-10000</v>
      </c>
      <c r="AC115" s="149">
        <f t="shared" si="7"/>
        <v>-10000</v>
      </c>
      <c r="AD115" s="149">
        <f t="shared" si="7"/>
        <v>-10000</v>
      </c>
      <c r="AE115" s="149">
        <f t="shared" si="7"/>
        <v>-10000</v>
      </c>
      <c r="AF115" s="149">
        <f t="shared" si="7"/>
        <v>-10000</v>
      </c>
      <c r="AG115" s="149">
        <f t="shared" si="7"/>
        <v>-10000</v>
      </c>
      <c r="AH115" s="205">
        <f t="shared" si="7"/>
        <v>-10000</v>
      </c>
    </row>
    <row r="116" spans="1:35" x14ac:dyDescent="0.25">
      <c r="A116" s="17" t="s">
        <v>446</v>
      </c>
      <c r="B116" s="24"/>
      <c r="C116" s="24"/>
      <c r="D116" s="39"/>
      <c r="E116" s="472">
        <f t="shared" ref="E116:AH116" si="8">-$L$96</f>
        <v>0</v>
      </c>
      <c r="F116" s="472">
        <f t="shared" si="8"/>
        <v>0</v>
      </c>
      <c r="G116" s="472">
        <f t="shared" si="8"/>
        <v>0</v>
      </c>
      <c r="H116" s="472">
        <f t="shared" si="8"/>
        <v>0</v>
      </c>
      <c r="I116" s="472">
        <f t="shared" si="8"/>
        <v>0</v>
      </c>
      <c r="J116" s="472">
        <f t="shared" si="8"/>
        <v>0</v>
      </c>
      <c r="K116" s="472">
        <f t="shared" si="8"/>
        <v>0</v>
      </c>
      <c r="L116" s="472">
        <f t="shared" si="8"/>
        <v>0</v>
      </c>
      <c r="M116" s="472">
        <f t="shared" si="8"/>
        <v>0</v>
      </c>
      <c r="N116" s="472">
        <f t="shared" si="8"/>
        <v>0</v>
      </c>
      <c r="O116" s="472">
        <f t="shared" si="8"/>
        <v>0</v>
      </c>
      <c r="P116" s="472">
        <f t="shared" si="8"/>
        <v>0</v>
      </c>
      <c r="Q116" s="472">
        <f t="shared" si="8"/>
        <v>0</v>
      </c>
      <c r="R116" s="472">
        <f t="shared" si="8"/>
        <v>0</v>
      </c>
      <c r="S116" s="472">
        <f t="shared" si="8"/>
        <v>0</v>
      </c>
      <c r="T116" s="472">
        <f t="shared" si="8"/>
        <v>0</v>
      </c>
      <c r="U116" s="472">
        <f t="shared" si="8"/>
        <v>0</v>
      </c>
      <c r="V116" s="472">
        <f t="shared" si="8"/>
        <v>0</v>
      </c>
      <c r="W116" s="472">
        <f t="shared" si="8"/>
        <v>0</v>
      </c>
      <c r="X116" s="472">
        <f t="shared" si="8"/>
        <v>0</v>
      </c>
      <c r="Y116" s="472">
        <f t="shared" si="8"/>
        <v>0</v>
      </c>
      <c r="Z116" s="472">
        <f t="shared" si="8"/>
        <v>0</v>
      </c>
      <c r="AA116" s="472">
        <f t="shared" si="8"/>
        <v>0</v>
      </c>
      <c r="AB116" s="472">
        <f t="shared" si="8"/>
        <v>0</v>
      </c>
      <c r="AC116" s="472">
        <f t="shared" si="8"/>
        <v>0</v>
      </c>
      <c r="AD116" s="472">
        <f t="shared" si="8"/>
        <v>0</v>
      </c>
      <c r="AE116" s="472">
        <f t="shared" si="8"/>
        <v>0</v>
      </c>
      <c r="AF116" s="472">
        <f t="shared" si="8"/>
        <v>0</v>
      </c>
      <c r="AG116" s="472">
        <f t="shared" si="8"/>
        <v>0</v>
      </c>
      <c r="AH116" s="134">
        <f t="shared" si="8"/>
        <v>0</v>
      </c>
    </row>
    <row r="117" spans="1:35" x14ac:dyDescent="0.25">
      <c r="A117" s="17" t="s">
        <v>445</v>
      </c>
      <c r="B117" s="24"/>
      <c r="C117" s="24"/>
      <c r="D117" s="142"/>
      <c r="E117" s="200">
        <f>K15+L15</f>
        <v>0</v>
      </c>
      <c r="F117" s="472">
        <f>K16+L16</f>
        <v>0</v>
      </c>
      <c r="G117" s="472">
        <f>K17+L17</f>
        <v>0</v>
      </c>
      <c r="H117" s="472">
        <f>K18+L18</f>
        <v>0</v>
      </c>
      <c r="I117" s="472">
        <f>K19+L19</f>
        <v>0</v>
      </c>
      <c r="J117" s="472">
        <f>K20+L20</f>
        <v>0</v>
      </c>
      <c r="K117" s="472">
        <f>K21+L21</f>
        <v>0</v>
      </c>
      <c r="L117" s="472">
        <f>K22+L22</f>
        <v>0</v>
      </c>
      <c r="M117" s="472">
        <f>K23+L23</f>
        <v>0</v>
      </c>
      <c r="N117" s="472">
        <f>K24+L24</f>
        <v>0</v>
      </c>
      <c r="O117" s="472">
        <f>K25+L25</f>
        <v>0</v>
      </c>
      <c r="P117" s="472">
        <f>K26+L26</f>
        <v>0</v>
      </c>
      <c r="Q117" s="472">
        <f>K27+L27</f>
        <v>0</v>
      </c>
      <c r="R117" s="472">
        <f>K28+L28</f>
        <v>0</v>
      </c>
      <c r="S117" s="472">
        <f>K29+L29</f>
        <v>0</v>
      </c>
      <c r="T117" s="472">
        <f>K30+L30</f>
        <v>0</v>
      </c>
      <c r="U117" s="472">
        <f>K31+L31</f>
        <v>0</v>
      </c>
      <c r="V117" s="472">
        <f>K32+L32</f>
        <v>0</v>
      </c>
      <c r="W117" s="472">
        <f>K33+L33</f>
        <v>0</v>
      </c>
      <c r="X117" s="472">
        <f>K34+L34</f>
        <v>0</v>
      </c>
      <c r="Y117" s="472">
        <f>K35+L35</f>
        <v>0</v>
      </c>
      <c r="Z117" s="472">
        <f>K36+L36</f>
        <v>0</v>
      </c>
      <c r="AA117" s="472">
        <f>K37+L37</f>
        <v>0</v>
      </c>
      <c r="AB117" s="472">
        <f>K38+L38</f>
        <v>0</v>
      </c>
      <c r="AC117" s="472">
        <f>K39+L39</f>
        <v>0</v>
      </c>
      <c r="AD117" s="472">
        <f>K40+L40</f>
        <v>0</v>
      </c>
      <c r="AE117" s="472">
        <f>K41+L41</f>
        <v>0</v>
      </c>
      <c r="AF117" s="472">
        <f>K42+L42</f>
        <v>0</v>
      </c>
      <c r="AG117" s="472">
        <f>K43+L43</f>
        <v>0</v>
      </c>
      <c r="AH117" s="134">
        <f>K44+L44</f>
        <v>0</v>
      </c>
    </row>
    <row r="118" spans="1:35" ht="16.5" thickBot="1" x14ac:dyDescent="0.3">
      <c r="A118" s="29" t="s">
        <v>64</v>
      </c>
      <c r="B118" s="30"/>
      <c r="C118" s="83"/>
      <c r="D118" s="147"/>
      <c r="E118" s="470">
        <f>E111-E112+E113+E114+E115+E116+E117</f>
        <v>128915</v>
      </c>
      <c r="F118" s="474">
        <f t="shared" ref="F118:AH118" si="9">F111-F112+F113+F114+F115+F116+F117</f>
        <v>133082.45000000001</v>
      </c>
      <c r="G118" s="474">
        <f t="shared" si="9"/>
        <v>137374.92349999998</v>
      </c>
      <c r="H118" s="474">
        <f t="shared" si="9"/>
        <v>141796.17120499993</v>
      </c>
      <c r="I118" s="474">
        <f t="shared" si="9"/>
        <v>146350.05634114996</v>
      </c>
      <c r="J118" s="474">
        <f t="shared" si="9"/>
        <v>151040.55803138443</v>
      </c>
      <c r="K118" s="474">
        <f t="shared" si="9"/>
        <v>155871.77477232605</v>
      </c>
      <c r="L118" s="474">
        <f t="shared" si="9"/>
        <v>160847.92801549583</v>
      </c>
      <c r="M118" s="474">
        <f t="shared" si="9"/>
        <v>165973.36585596073</v>
      </c>
      <c r="N118" s="474">
        <f t="shared" si="9"/>
        <v>171252.5668316395</v>
      </c>
      <c r="O118" s="474">
        <f t="shared" si="9"/>
        <v>176690.14383658874</v>
      </c>
      <c r="P118" s="474">
        <f t="shared" si="9"/>
        <v>182290.84815168637</v>
      </c>
      <c r="Q118" s="474">
        <f t="shared" si="9"/>
        <v>188059.57359623697</v>
      </c>
      <c r="R118" s="474">
        <f t="shared" si="9"/>
        <v>194001.3608041241</v>
      </c>
      <c r="S118" s="474">
        <f t="shared" si="9"/>
        <v>200121.40162824784</v>
      </c>
      <c r="T118" s="474">
        <f t="shared" si="9"/>
        <v>206425.04367709527</v>
      </c>
      <c r="U118" s="474">
        <f t="shared" si="9"/>
        <v>212917.79498740812</v>
      </c>
      <c r="V118" s="474">
        <f t="shared" si="9"/>
        <v>219605.32883703039</v>
      </c>
      <c r="W118" s="474">
        <f t="shared" si="9"/>
        <v>226493.48870214127</v>
      </c>
      <c r="X118" s="474">
        <f t="shared" si="9"/>
        <v>233588.29336320556</v>
      </c>
      <c r="Y118" s="474">
        <f t="shared" si="9"/>
        <v>240895.94216410173</v>
      </c>
      <c r="Z118" s="474">
        <f t="shared" si="9"/>
        <v>248422.82042902472</v>
      </c>
      <c r="AA118" s="474">
        <f t="shared" si="9"/>
        <v>256175.50504189549</v>
      </c>
      <c r="AB118" s="474">
        <f t="shared" si="9"/>
        <v>264160.77019315236</v>
      </c>
      <c r="AC118" s="474">
        <f t="shared" si="9"/>
        <v>272385.59329894697</v>
      </c>
      <c r="AD118" s="474">
        <f t="shared" si="9"/>
        <v>280857.16109791532</v>
      </c>
      <c r="AE118" s="474">
        <f t="shared" si="9"/>
        <v>289582.87593085284</v>
      </c>
      <c r="AF118" s="474">
        <f t="shared" si="9"/>
        <v>298570.36220877839</v>
      </c>
      <c r="AG118" s="474">
        <f t="shared" si="9"/>
        <v>307827.47307504184</v>
      </c>
      <c r="AH118" s="471">
        <f t="shared" si="9"/>
        <v>317362.29726729303</v>
      </c>
      <c r="AI118" s="11" t="s">
        <v>462</v>
      </c>
    </row>
    <row r="119" spans="1:35" x14ac:dyDescent="0.25">
      <c r="A119" s="17"/>
      <c r="B119" s="18"/>
      <c r="C119" s="24"/>
      <c r="D119" s="38"/>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17"/>
    </row>
    <row r="120" spans="1:35" x14ac:dyDescent="0.25">
      <c r="A120" s="17" t="s">
        <v>101</v>
      </c>
      <c r="B120" s="18"/>
      <c r="C120" s="18"/>
      <c r="D120" s="143"/>
      <c r="E120" s="352">
        <f>-$E$99+(IF($L$102&gt;=1,#REF!,0))+(IF($L$104&gt;=1,#REF!,0))</f>
        <v>99159.384520130377</v>
      </c>
      <c r="F120" s="352">
        <f>-$E$99+(IF($L$102&gt;=2,#REF!,0))+(IF($L$104&gt;=2,#REF!,0))</f>
        <v>99159.384520130377</v>
      </c>
      <c r="G120" s="352">
        <f>-$E$99+(IF($L$102&gt;=3,#REF!,0))+(IF($L$104&gt;=3,#REF!,0))</f>
        <v>99159.384520130377</v>
      </c>
      <c r="H120" s="352">
        <f>-$E$99+(IF($L$102&gt;=4,#REF!,0))+(IF($L$104&gt;=4,#REF!,0))</f>
        <v>99159.384520130377</v>
      </c>
      <c r="I120" s="352">
        <f>-$E$99+(IF($L$102&gt;=5,#REF!,0))+(IF($L$104&gt;=5,#REF!,0))</f>
        <v>99159.384520130377</v>
      </c>
      <c r="J120" s="352">
        <f>-$E$99+(IF($L$102&gt;=6,#REF!,0))+(IF($L$104&gt;=6,#REF!,0))</f>
        <v>99159.384520130377</v>
      </c>
      <c r="K120" s="352">
        <f>-$E$99+(IF($L$102&gt;=7,#REF!,0))+(IF($L$104&gt;=7,#REF!,0))</f>
        <v>99159.384520130377</v>
      </c>
      <c r="L120" s="352">
        <f>-$E$99+(IF($L$102&gt;=8,#REF!,0))+(IF($L$104&gt;=8,#REF!,0))</f>
        <v>99159.384520130377</v>
      </c>
      <c r="M120" s="352">
        <f>-$E$99+(IF($L$102&gt;=9,#REF!,0))+(IF($L$104&gt;=9,#REF!,0))</f>
        <v>99159.384520130377</v>
      </c>
      <c r="N120" s="352">
        <f>-$E$99+(IF($L$102&gt;=10,#REF!,0))+(IF($L$104&gt;=10,#REF!,0))</f>
        <v>99159.384520130377</v>
      </c>
      <c r="O120" s="352">
        <f>-$E$99+(IF($L$102&gt;=11,#REF!,0))+(IF($L$104&gt;=11,#REF!,0))</f>
        <v>99159.384520130377</v>
      </c>
      <c r="P120" s="352">
        <f>-$E$99+(IF($L$102&gt;=12,#REF!,0))+(IF($L$104&gt;=12,#REF!,0))</f>
        <v>99159.384520130377</v>
      </c>
      <c r="Q120" s="352">
        <f>-$E$99+(IF($L$102&gt;=13,#REF!,0))+(IF($L$104&gt;=13,#REF!,0))</f>
        <v>99159.384520130377</v>
      </c>
      <c r="R120" s="352">
        <f>-$E$99+(IF($L$102&gt;=14,#REF!,0))+(IF($L$104&gt;=14,#REF!,0))</f>
        <v>99159.384520130377</v>
      </c>
      <c r="S120" s="352">
        <f>-$E$99+(IF($L$102&gt;=15,#REF!,0))+(IF($L$104&gt;=15,#REF!,0))</f>
        <v>99159.384520130377</v>
      </c>
      <c r="T120" s="352">
        <f>-$E$99+(IF($L$102&gt;=16,#REF!,0))+(IF($L$104&gt;=16,#REF!,0))</f>
        <v>99159.384520130377</v>
      </c>
      <c r="U120" s="352">
        <f>-$E$99+(IF($L$102&gt;=17,#REF!,0))+(IF($L$104&gt;=17,#REF!,0))</f>
        <v>99159.384520130377</v>
      </c>
      <c r="V120" s="352">
        <f>-$E$99+(IF($L$102&gt;=18,#REF!,0))+(IF($L$104&gt;=18,#REF!,0))</f>
        <v>99159.384520130377</v>
      </c>
      <c r="W120" s="352">
        <f>-$E$99+(IF($L$102&gt;=19,#REF!,0))+(IF($L$104&gt;=19,#REF!,0))</f>
        <v>99159.384520130377</v>
      </c>
      <c r="X120" s="352">
        <f>-$E$99+(IF($L$102&gt;=20,#REF!,0))+(IF($L$104&gt;=20,#REF!,0))</f>
        <v>99159.384520130377</v>
      </c>
      <c r="Y120" s="352">
        <f>-$E$99+(IF($L$102&gt;=21,#REF!,0))+(IF($L$104&gt;=21,#REF!,0))</f>
        <v>99159.384520130377</v>
      </c>
      <c r="Z120" s="352">
        <f>-$E$99+(IF($L$102&gt;=22,#REF!,0))+(IF($L$104&gt;=22,#REF!,0))</f>
        <v>99159.384520130377</v>
      </c>
      <c r="AA120" s="352">
        <f>-$E$99+(IF($L$102&gt;=23,#REF!,0))+(IF($L$104&gt;=23,#REF!,0))</f>
        <v>99159.384520130377</v>
      </c>
      <c r="AB120" s="352">
        <f>-$E$99+(IF($L$102&gt;=24,#REF!,0))+(IF($L$104&gt;=24,#REF!,0))</f>
        <v>99159.384520130377</v>
      </c>
      <c r="AC120" s="352">
        <f>-$E$99+(IF($L$102&gt;=25,#REF!,0))+(IF($L$104&gt;=25,#REF!,0))</f>
        <v>99159.384520130377</v>
      </c>
      <c r="AD120" s="352">
        <f>-$E$99+(IF($L$102&gt;=26,#REF!,0))+(IF($L$104&gt;=26,#REF!,0))</f>
        <v>99159.384520130377</v>
      </c>
      <c r="AE120" s="352">
        <f>-$E$99+(IF($L$102&gt;=27,#REF!,0))+(IF($L$104&gt;=27,#REF!,0))</f>
        <v>99159.384520130377</v>
      </c>
      <c r="AF120" s="352">
        <f>-$E$99+(IF($L$102&gt;=28,#REF!,0))+(IF($L$104&gt;=28,#REF!,0))</f>
        <v>99159.384520130377</v>
      </c>
      <c r="AG120" s="352">
        <f>-$E$99+(IF($L$102&gt;=29,#REF!,0))+(IF($L$104&gt;=29,#REF!,0))</f>
        <v>99159.384520130377</v>
      </c>
      <c r="AH120" s="317">
        <f>-$E$99+(IF($L$102&gt;=30,#REF!,0))+(IF($L$104&gt;=30,#REF!,0))</f>
        <v>99159.384520130377</v>
      </c>
    </row>
    <row r="121" spans="1:35" ht="16.5" thickBot="1" x14ac:dyDescent="0.3">
      <c r="A121" s="29" t="s">
        <v>436</v>
      </c>
      <c r="B121" s="30"/>
      <c r="C121" s="30"/>
      <c r="D121" s="147"/>
      <c r="E121" s="470">
        <f t="shared" ref="E121:AH121" si="10">E118-E120</f>
        <v>29755.615479869623</v>
      </c>
      <c r="F121" s="474">
        <f t="shared" si="10"/>
        <v>33923.065479869634</v>
      </c>
      <c r="G121" s="474">
        <f t="shared" si="10"/>
        <v>38215.538979869598</v>
      </c>
      <c r="H121" s="474">
        <f t="shared" si="10"/>
        <v>42636.786684869556</v>
      </c>
      <c r="I121" s="474">
        <f t="shared" si="10"/>
        <v>47190.671821019583</v>
      </c>
      <c r="J121" s="474">
        <f t="shared" si="10"/>
        <v>51881.173511254048</v>
      </c>
      <c r="K121" s="474">
        <f t="shared" si="10"/>
        <v>56712.390252195677</v>
      </c>
      <c r="L121" s="474">
        <f t="shared" si="10"/>
        <v>61688.543495365448</v>
      </c>
      <c r="M121" s="474">
        <f t="shared" si="10"/>
        <v>66813.981335830351</v>
      </c>
      <c r="N121" s="474">
        <f t="shared" si="10"/>
        <v>72093.182311509125</v>
      </c>
      <c r="O121" s="474">
        <f t="shared" si="10"/>
        <v>77530.759316458367</v>
      </c>
      <c r="P121" s="474">
        <f t="shared" si="10"/>
        <v>83131.463631555991</v>
      </c>
      <c r="Q121" s="474">
        <f t="shared" si="10"/>
        <v>88900.189076106588</v>
      </c>
      <c r="R121" s="474">
        <f t="shared" si="10"/>
        <v>94841.976283993718</v>
      </c>
      <c r="S121" s="474">
        <f t="shared" si="10"/>
        <v>100962.01710811746</v>
      </c>
      <c r="T121" s="474">
        <f t="shared" si="10"/>
        <v>107265.65915696489</v>
      </c>
      <c r="U121" s="474">
        <f t="shared" si="10"/>
        <v>113758.41046727775</v>
      </c>
      <c r="V121" s="474">
        <f t="shared" si="10"/>
        <v>120445.94431690002</v>
      </c>
      <c r="W121" s="474">
        <f t="shared" si="10"/>
        <v>127334.10418201089</v>
      </c>
      <c r="X121" s="474">
        <f t="shared" si="10"/>
        <v>134428.90884307519</v>
      </c>
      <c r="Y121" s="474">
        <f t="shared" si="10"/>
        <v>141736.55764397135</v>
      </c>
      <c r="Z121" s="474">
        <f t="shared" si="10"/>
        <v>149263.43590889435</v>
      </c>
      <c r="AA121" s="474">
        <f t="shared" si="10"/>
        <v>157016.12052176511</v>
      </c>
      <c r="AB121" s="474">
        <f t="shared" si="10"/>
        <v>165001.38567302198</v>
      </c>
      <c r="AC121" s="474">
        <f t="shared" si="10"/>
        <v>173226.2087788166</v>
      </c>
      <c r="AD121" s="474">
        <f t="shared" si="10"/>
        <v>181697.77657778494</v>
      </c>
      <c r="AE121" s="474">
        <f t="shared" si="10"/>
        <v>190423.49141072246</v>
      </c>
      <c r="AF121" s="474">
        <f t="shared" si="10"/>
        <v>199410.97768864801</v>
      </c>
      <c r="AG121" s="474">
        <f t="shared" si="10"/>
        <v>208668.08855491146</v>
      </c>
      <c r="AH121" s="471">
        <f t="shared" si="10"/>
        <v>218202.91274716266</v>
      </c>
    </row>
    <row r="122" spans="1:35" x14ac:dyDescent="0.25">
      <c r="A122" s="90"/>
      <c r="B122" s="18"/>
      <c r="C122" s="18"/>
      <c r="D122" s="38"/>
      <c r="E122" s="473"/>
      <c r="F122" s="473"/>
      <c r="G122" s="473"/>
      <c r="H122" s="473"/>
      <c r="I122" s="473"/>
      <c r="J122" s="473"/>
      <c r="K122" s="473"/>
      <c r="L122" s="473"/>
      <c r="M122" s="473"/>
      <c r="N122" s="473"/>
      <c r="O122" s="473"/>
      <c r="P122" s="473"/>
      <c r="Q122" s="473"/>
      <c r="R122" s="473"/>
      <c r="S122" s="473"/>
      <c r="T122" s="473"/>
      <c r="U122" s="473"/>
      <c r="V122" s="473"/>
      <c r="W122" s="473"/>
      <c r="X122" s="473"/>
      <c r="Y122" s="473"/>
      <c r="Z122" s="473"/>
      <c r="AA122" s="473"/>
      <c r="AB122" s="473"/>
      <c r="AC122" s="473"/>
      <c r="AD122" s="473"/>
      <c r="AE122" s="473"/>
      <c r="AF122" s="473"/>
      <c r="AG122" s="473"/>
      <c r="AH122" s="26"/>
    </row>
    <row r="123" spans="1:35" x14ac:dyDescent="0.25">
      <c r="A123" s="17" t="s">
        <v>6</v>
      </c>
      <c r="B123" s="18"/>
      <c r="C123" s="18"/>
      <c r="D123" s="38"/>
      <c r="E123" s="207">
        <f t="shared" ref="E123:AH123" si="11">IFERROR(E118/$E$101,0)</f>
        <v>6.5772959183673471E-2</v>
      </c>
      <c r="F123" s="209">
        <f t="shared" si="11"/>
        <v>6.7899209183673481E-2</v>
      </c>
      <c r="G123" s="207">
        <f t="shared" si="11"/>
        <v>7.0089246683673459E-2</v>
      </c>
      <c r="H123" s="209">
        <f t="shared" si="11"/>
        <v>7.2344985308673435E-2</v>
      </c>
      <c r="I123" s="207">
        <f t="shared" si="11"/>
        <v>7.4668396092423456E-2</v>
      </c>
      <c r="J123" s="209">
        <f t="shared" si="11"/>
        <v>7.7061509199685935E-2</v>
      </c>
      <c r="K123" s="475">
        <f t="shared" si="11"/>
        <v>7.9526415700166359E-2</v>
      </c>
      <c r="L123" s="475">
        <f t="shared" si="11"/>
        <v>8.2065269395661139E-2</v>
      </c>
      <c r="M123" s="475">
        <f t="shared" si="11"/>
        <v>8.4680288702020781E-2</v>
      </c>
      <c r="N123" s="475">
        <f t="shared" si="11"/>
        <v>8.7373758587571168E-2</v>
      </c>
      <c r="O123" s="475">
        <f t="shared" si="11"/>
        <v>9.0148032569688133E-2</v>
      </c>
      <c r="P123" s="475">
        <f t="shared" si="11"/>
        <v>9.300553477126855E-2</v>
      </c>
      <c r="Q123" s="475">
        <f t="shared" si="11"/>
        <v>9.5948762038896407E-2</v>
      </c>
      <c r="R123" s="475">
        <f t="shared" si="11"/>
        <v>9.8980286124553105E-2</v>
      </c>
      <c r="S123" s="475">
        <f t="shared" si="11"/>
        <v>0.10210275593277951</v>
      </c>
      <c r="T123" s="475">
        <f t="shared" si="11"/>
        <v>0.10531889983525268</v>
      </c>
      <c r="U123" s="475">
        <f t="shared" si="11"/>
        <v>0.10863152805480006</v>
      </c>
      <c r="V123" s="475">
        <f t="shared" si="11"/>
        <v>0.11204353512093387</v>
      </c>
      <c r="W123" s="475">
        <f t="shared" si="11"/>
        <v>0.11555790239905167</v>
      </c>
      <c r="X123" s="475">
        <f t="shared" si="11"/>
        <v>0.11917770069551305</v>
      </c>
      <c r="Y123" s="475">
        <f t="shared" si="11"/>
        <v>0.12290609294086823</v>
      </c>
      <c r="Z123" s="475">
        <f t="shared" si="11"/>
        <v>0.12674633695358403</v>
      </c>
      <c r="AA123" s="475">
        <f t="shared" si="11"/>
        <v>0.13070178828668139</v>
      </c>
      <c r="AB123" s="475">
        <f t="shared" si="11"/>
        <v>0.13477590315977162</v>
      </c>
      <c r="AC123" s="475">
        <f t="shared" si="11"/>
        <v>0.13897224147905457</v>
      </c>
      <c r="AD123" s="475">
        <f t="shared" si="11"/>
        <v>0.14329446994791598</v>
      </c>
      <c r="AE123" s="475">
        <f t="shared" si="11"/>
        <v>0.14774636527084328</v>
      </c>
      <c r="AF123" s="475">
        <f t="shared" si="11"/>
        <v>0.15233181745345836</v>
      </c>
      <c r="AG123" s="475">
        <f t="shared" si="11"/>
        <v>0.15705483320155195</v>
      </c>
      <c r="AH123" s="282">
        <f t="shared" si="11"/>
        <v>0.16191953942208828</v>
      </c>
    </row>
    <row r="124" spans="1:35" ht="16.5" thickBot="1" x14ac:dyDescent="0.3">
      <c r="A124" s="135" t="s">
        <v>451</v>
      </c>
      <c r="B124" s="136"/>
      <c r="C124" s="349" t="s">
        <v>19</v>
      </c>
      <c r="D124" s="350">
        <f>D5</f>
        <v>0.1</v>
      </c>
      <c r="E124" s="225">
        <f t="shared" ref="E124:AH124" si="12">IFERROR(E121/$E$102,0)</f>
        <v>7.6689730618220681E-2</v>
      </c>
      <c r="F124" s="225">
        <f t="shared" si="12"/>
        <v>8.7430581133684626E-2</v>
      </c>
      <c r="G124" s="225">
        <f t="shared" si="12"/>
        <v>9.8493657164612364E-2</v>
      </c>
      <c r="H124" s="225">
        <f t="shared" si="12"/>
        <v>0.10988862547646792</v>
      </c>
      <c r="I124" s="225">
        <f t="shared" si="12"/>
        <v>0.12162544283767934</v>
      </c>
      <c r="J124" s="225">
        <f t="shared" si="12"/>
        <v>0.13371436471972692</v>
      </c>
      <c r="K124" s="225">
        <f t="shared" si="12"/>
        <v>0.14616595425823628</v>
      </c>
      <c r="L124" s="225">
        <f t="shared" si="12"/>
        <v>0.15899109148290064</v>
      </c>
      <c r="M124" s="225">
        <f t="shared" si="12"/>
        <v>0.17220098282430502</v>
      </c>
      <c r="N124" s="225">
        <f t="shared" si="12"/>
        <v>0.18580717090595136</v>
      </c>
      <c r="O124" s="286">
        <f t="shared" si="12"/>
        <v>0.19982154463004734</v>
      </c>
      <c r="P124" s="225">
        <f t="shared" si="12"/>
        <v>0.21425634956586595</v>
      </c>
      <c r="Q124" s="225">
        <f t="shared" si="12"/>
        <v>0.22912419864975925</v>
      </c>
      <c r="R124" s="286">
        <f t="shared" si="12"/>
        <v>0.24443808320616939</v>
      </c>
      <c r="S124" s="225">
        <f t="shared" si="12"/>
        <v>0.26021138429927182</v>
      </c>
      <c r="T124" s="286">
        <f t="shared" si="12"/>
        <v>0.27645788442516722</v>
      </c>
      <c r="U124" s="225">
        <f t="shared" si="12"/>
        <v>0.29319177955483955</v>
      </c>
      <c r="V124" s="286">
        <f t="shared" si="12"/>
        <v>0.31042769153840211</v>
      </c>
      <c r="W124" s="225">
        <f t="shared" si="12"/>
        <v>0.3281806808814714</v>
      </c>
      <c r="X124" s="286">
        <f t="shared" si="12"/>
        <v>0.34646625990483293</v>
      </c>
      <c r="Y124" s="225">
        <f t="shared" si="12"/>
        <v>0.36530040629889521</v>
      </c>
      <c r="Z124" s="286">
        <f t="shared" si="12"/>
        <v>0.38469957708477925</v>
      </c>
      <c r="AA124" s="225">
        <f t="shared" si="12"/>
        <v>0.40468072299423996</v>
      </c>
      <c r="AB124" s="286">
        <f t="shared" si="12"/>
        <v>0.42526130328098449</v>
      </c>
      <c r="AC124" s="225">
        <f t="shared" si="12"/>
        <v>0.44645930097633141</v>
      </c>
      <c r="AD124" s="286">
        <f t="shared" si="12"/>
        <v>0.46829323860253852</v>
      </c>
      <c r="AE124" s="225">
        <f t="shared" si="12"/>
        <v>0.49078219435753212</v>
      </c>
      <c r="AF124" s="286">
        <f t="shared" si="12"/>
        <v>0.51394581878517531</v>
      </c>
      <c r="AG124" s="225">
        <f t="shared" si="12"/>
        <v>0.53780435194564813</v>
      </c>
      <c r="AH124" s="216">
        <f t="shared" si="12"/>
        <v>0.56237864110093472</v>
      </c>
    </row>
    <row r="125" spans="1:35" ht="16.5" thickBot="1" x14ac:dyDescent="0.3">
      <c r="A125" s="38"/>
      <c r="B125" s="38"/>
      <c r="C125" s="38"/>
      <c r="D125" s="38"/>
      <c r="E125" s="38"/>
      <c r="F125" s="38"/>
      <c r="G125" s="38"/>
      <c r="H125" s="38"/>
      <c r="I125" s="38"/>
      <c r="J125" s="38"/>
      <c r="K125" s="38"/>
      <c r="L125" s="38"/>
      <c r="M125" s="38"/>
      <c r="N125" s="38"/>
    </row>
    <row r="126" spans="1:35" ht="16.5" thickBot="1" x14ac:dyDescent="0.3">
      <c r="A126" s="79" t="s">
        <v>448</v>
      </c>
      <c r="B126" s="51"/>
      <c r="C126" s="51"/>
      <c r="D126" s="360" t="s">
        <v>104</v>
      </c>
      <c r="E126" s="360" t="s">
        <v>85</v>
      </c>
      <c r="F126" s="360" t="s">
        <v>86</v>
      </c>
      <c r="G126" s="360" t="s">
        <v>87</v>
      </c>
      <c r="H126" s="360" t="s">
        <v>88</v>
      </c>
      <c r="I126" s="360" t="s">
        <v>89</v>
      </c>
      <c r="J126" s="360" t="s">
        <v>90</v>
      </c>
      <c r="K126" s="360" t="s">
        <v>91</v>
      </c>
      <c r="L126" s="360" t="s">
        <v>92</v>
      </c>
      <c r="M126" s="360" t="s">
        <v>93</v>
      </c>
      <c r="N126" s="356" t="s">
        <v>94</v>
      </c>
      <c r="O126" s="357" t="s">
        <v>239</v>
      </c>
      <c r="P126" s="358" t="s">
        <v>240</v>
      </c>
      <c r="Q126" s="358" t="s">
        <v>241</v>
      </c>
      <c r="R126" s="340" t="s">
        <v>242</v>
      </c>
      <c r="S126" s="358" t="s">
        <v>243</v>
      </c>
      <c r="T126" s="340" t="s">
        <v>244</v>
      </c>
      <c r="U126" s="358" t="s">
        <v>245</v>
      </c>
      <c r="V126" s="340" t="s">
        <v>246</v>
      </c>
      <c r="W126" s="358" t="s">
        <v>247</v>
      </c>
      <c r="X126" s="340" t="s">
        <v>248</v>
      </c>
      <c r="Y126" s="358" t="s">
        <v>249</v>
      </c>
      <c r="Z126" s="340" t="s">
        <v>250</v>
      </c>
      <c r="AA126" s="358" t="s">
        <v>251</v>
      </c>
      <c r="AB126" s="340" t="s">
        <v>252</v>
      </c>
      <c r="AC126" s="358" t="s">
        <v>253</v>
      </c>
      <c r="AD126" s="340" t="s">
        <v>254</v>
      </c>
      <c r="AE126" s="358" t="s">
        <v>255</v>
      </c>
      <c r="AF126" s="340" t="s">
        <v>256</v>
      </c>
      <c r="AG126" s="358" t="s">
        <v>257</v>
      </c>
      <c r="AH126" s="359" t="s">
        <v>258</v>
      </c>
    </row>
    <row r="127" spans="1:35" x14ac:dyDescent="0.25">
      <c r="A127" s="17" t="s">
        <v>105</v>
      </c>
      <c r="B127" s="18"/>
      <c r="C127" s="24"/>
      <c r="D127" s="342">
        <f>D72</f>
        <v>0.06</v>
      </c>
      <c r="E127" s="336"/>
      <c r="F127" s="477"/>
      <c r="G127" s="143"/>
      <c r="H127" s="143"/>
      <c r="I127" s="142"/>
      <c r="J127" s="144"/>
      <c r="K127" s="144"/>
      <c r="L127" s="144"/>
      <c r="M127" s="144"/>
      <c r="N127" s="198">
        <f>IFERROR(IF($C$11=10,N118/$D$127,0),0)</f>
        <v>2854209.4471939919</v>
      </c>
      <c r="O127" s="160"/>
      <c r="P127" s="198"/>
      <c r="Q127" s="160"/>
      <c r="R127" s="198"/>
      <c r="S127" s="160">
        <f>IFERROR(IF($C$11=15,S118/$D$127,0),0)</f>
        <v>0</v>
      </c>
      <c r="T127" s="198"/>
      <c r="U127" s="159"/>
      <c r="V127" s="39"/>
      <c r="W127" s="159"/>
      <c r="X127" s="198">
        <f>IFERROR(IF($C$11=20,X118/$D$127,0),0)</f>
        <v>0</v>
      </c>
      <c r="Y127" s="159"/>
      <c r="Z127" s="39"/>
      <c r="AA127" s="159"/>
      <c r="AB127" s="39"/>
      <c r="AC127" s="160">
        <f>IFERROR(IF($C$11=25,AC118/$D$127,0),0)</f>
        <v>0</v>
      </c>
      <c r="AD127" s="39"/>
      <c r="AE127" s="159"/>
      <c r="AF127" s="39"/>
      <c r="AG127" s="159"/>
      <c r="AH127" s="217">
        <f>IFERROR(IF($C$11=30,AH118/$D$127,0),0)</f>
        <v>0</v>
      </c>
    </row>
    <row r="128" spans="1:35" ht="18" x14ac:dyDescent="0.4">
      <c r="A128" s="17" t="s">
        <v>106</v>
      </c>
      <c r="B128" s="18"/>
      <c r="C128" s="18"/>
      <c r="D128" s="343">
        <f>D73</f>
        <v>0.05</v>
      </c>
      <c r="E128" s="336"/>
      <c r="F128" s="211"/>
      <c r="G128" s="143"/>
      <c r="H128" s="143"/>
      <c r="I128" s="142"/>
      <c r="J128" s="145"/>
      <c r="K128" s="145"/>
      <c r="L128" s="145"/>
      <c r="M128" s="145"/>
      <c r="N128" s="288">
        <f>N127*(1-$D$128)</f>
        <v>2711498.9748342922</v>
      </c>
      <c r="O128" s="226"/>
      <c r="P128" s="288"/>
      <c r="Q128" s="226"/>
      <c r="R128" s="288"/>
      <c r="S128" s="226">
        <f>S127*(1-$D$128)</f>
        <v>0</v>
      </c>
      <c r="T128" s="39"/>
      <c r="U128" s="159"/>
      <c r="V128" s="39"/>
      <c r="W128" s="159"/>
      <c r="X128" s="288">
        <f>X127*(1-$D$128)</f>
        <v>0</v>
      </c>
      <c r="Y128" s="159"/>
      <c r="Z128" s="39"/>
      <c r="AA128" s="159"/>
      <c r="AB128" s="39"/>
      <c r="AC128" s="226">
        <f>AC127*(1-$D$128)</f>
        <v>0</v>
      </c>
      <c r="AD128" s="39"/>
      <c r="AE128" s="159"/>
      <c r="AF128" s="39"/>
      <c r="AG128" s="159"/>
      <c r="AH128" s="317">
        <f>AH127*(1-$D$128)</f>
        <v>0</v>
      </c>
    </row>
    <row r="129" spans="1:35" x14ac:dyDescent="0.25">
      <c r="A129" s="17" t="s">
        <v>107</v>
      </c>
      <c r="B129" s="24"/>
      <c r="C129" s="24"/>
      <c r="D129" s="142"/>
      <c r="E129" s="142"/>
      <c r="F129" s="142"/>
      <c r="G129" s="142"/>
      <c r="H129" s="142"/>
      <c r="I129" s="142"/>
      <c r="J129" s="142"/>
      <c r="K129" s="142"/>
      <c r="L129" s="142"/>
      <c r="M129" s="142"/>
      <c r="N129" s="181">
        <f>IF($C$11=10,-AA174,0)</f>
        <v>-1270866.8754906033</v>
      </c>
      <c r="O129" s="180"/>
      <c r="P129" s="39"/>
      <c r="Q129" s="159"/>
      <c r="R129" s="39"/>
      <c r="S129" s="180">
        <f>IF($C$11=15,-AA179,0)</f>
        <v>0</v>
      </c>
      <c r="T129" s="39"/>
      <c r="U129" s="159"/>
      <c r="V129" s="39"/>
      <c r="W129" s="159"/>
      <c r="X129" s="181">
        <f>IF($C$11=20,-AA184,0)</f>
        <v>0</v>
      </c>
      <c r="Y129" s="159"/>
      <c r="Z129" s="39"/>
      <c r="AA129" s="159"/>
      <c r="AB129" s="39"/>
      <c r="AC129" s="180">
        <f>IF($C$11=25,-AA189,0)</f>
        <v>0</v>
      </c>
      <c r="AD129" s="39"/>
      <c r="AE129" s="159"/>
      <c r="AF129" s="39"/>
      <c r="AG129" s="159"/>
      <c r="AH129" s="316">
        <f>V194</f>
        <v>2.3339907784247771E-10</v>
      </c>
    </row>
    <row r="130" spans="1:35" ht="16.5" thickBot="1" x14ac:dyDescent="0.3">
      <c r="A130" s="125" t="s">
        <v>108</v>
      </c>
      <c r="B130" s="83"/>
      <c r="C130" s="83"/>
      <c r="D130" s="146"/>
      <c r="E130" s="147"/>
      <c r="F130" s="147"/>
      <c r="G130" s="147"/>
      <c r="H130" s="147"/>
      <c r="I130" s="147"/>
      <c r="J130" s="147"/>
      <c r="K130" s="147"/>
      <c r="L130" s="147"/>
      <c r="M130" s="147"/>
      <c r="N130" s="289">
        <f>N128+N129</f>
        <v>1440632.0993436889</v>
      </c>
      <c r="O130" s="214"/>
      <c r="P130" s="215"/>
      <c r="Q130" s="214"/>
      <c r="R130" s="215"/>
      <c r="S130" s="227">
        <f>S128+S129</f>
        <v>0</v>
      </c>
      <c r="T130" s="215"/>
      <c r="U130" s="214"/>
      <c r="V130" s="215"/>
      <c r="W130" s="214"/>
      <c r="X130" s="289">
        <f>X128+X129</f>
        <v>0</v>
      </c>
      <c r="Y130" s="214"/>
      <c r="Z130" s="215"/>
      <c r="AA130" s="214"/>
      <c r="AB130" s="215"/>
      <c r="AC130" s="227">
        <f>AC128+AC129</f>
        <v>0</v>
      </c>
      <c r="AD130" s="215"/>
      <c r="AE130" s="214"/>
      <c r="AF130" s="215"/>
      <c r="AG130" s="214"/>
      <c r="AH130" s="245">
        <f>AH128+AH129</f>
        <v>2.3339907784247771E-10</v>
      </c>
    </row>
    <row r="131" spans="1:35" ht="16.5" thickBot="1" x14ac:dyDescent="0.3"/>
    <row r="132" spans="1:35" ht="16.5" thickBot="1" x14ac:dyDescent="0.3">
      <c r="A132" s="79" t="s">
        <v>433</v>
      </c>
      <c r="B132" s="44"/>
      <c r="C132" s="44"/>
      <c r="D132" s="360" t="s">
        <v>104</v>
      </c>
      <c r="E132" s="355" t="s">
        <v>85</v>
      </c>
      <c r="F132" s="355" t="s">
        <v>86</v>
      </c>
      <c r="G132" s="355" t="s">
        <v>87</v>
      </c>
      <c r="H132" s="355" t="s">
        <v>88</v>
      </c>
      <c r="I132" s="355" t="s">
        <v>89</v>
      </c>
      <c r="J132" s="355" t="s">
        <v>90</v>
      </c>
      <c r="K132" s="355" t="s">
        <v>91</v>
      </c>
      <c r="L132" s="355" t="s">
        <v>92</v>
      </c>
      <c r="M132" s="355" t="s">
        <v>93</v>
      </c>
      <c r="N132" s="356" t="s">
        <v>94</v>
      </c>
      <c r="O132" s="357" t="s">
        <v>239</v>
      </c>
      <c r="P132" s="358" t="s">
        <v>240</v>
      </c>
      <c r="Q132" s="358" t="s">
        <v>241</v>
      </c>
      <c r="R132" s="340" t="s">
        <v>242</v>
      </c>
      <c r="S132" s="358" t="s">
        <v>243</v>
      </c>
      <c r="T132" s="340" t="s">
        <v>244</v>
      </c>
      <c r="U132" s="358" t="s">
        <v>245</v>
      </c>
      <c r="V132" s="340" t="s">
        <v>246</v>
      </c>
      <c r="W132" s="358" t="s">
        <v>247</v>
      </c>
      <c r="X132" s="340" t="s">
        <v>248</v>
      </c>
      <c r="Y132" s="358" t="s">
        <v>249</v>
      </c>
      <c r="Z132" s="340" t="s">
        <v>250</v>
      </c>
      <c r="AA132" s="358" t="s">
        <v>251</v>
      </c>
      <c r="AB132" s="340" t="s">
        <v>252</v>
      </c>
      <c r="AC132" s="358" t="s">
        <v>253</v>
      </c>
      <c r="AD132" s="340" t="s">
        <v>254</v>
      </c>
      <c r="AE132" s="358" t="s">
        <v>255</v>
      </c>
      <c r="AF132" s="340" t="s">
        <v>256</v>
      </c>
      <c r="AG132" s="358" t="s">
        <v>257</v>
      </c>
      <c r="AH132" s="359" t="s">
        <v>258</v>
      </c>
    </row>
    <row r="133" spans="1:35" x14ac:dyDescent="0.25">
      <c r="A133" s="17" t="s">
        <v>449</v>
      </c>
      <c r="B133" s="24"/>
      <c r="C133" s="24"/>
      <c r="D133" s="161">
        <f>-E101</f>
        <v>-1960000</v>
      </c>
      <c r="E133" s="149"/>
      <c r="F133" s="149"/>
      <c r="G133" s="149"/>
      <c r="H133" s="149"/>
      <c r="I133" s="149"/>
      <c r="J133" s="149"/>
      <c r="K133" s="149"/>
      <c r="L133" s="149"/>
      <c r="M133" s="149"/>
      <c r="N133" s="200"/>
      <c r="O133" s="149"/>
      <c r="P133" s="200"/>
      <c r="Q133" s="149"/>
      <c r="R133" s="200"/>
      <c r="S133" s="149"/>
      <c r="T133" s="200"/>
      <c r="U133" s="149"/>
      <c r="V133" s="200"/>
      <c r="W133" s="149"/>
      <c r="X133" s="200"/>
      <c r="Y133" s="149"/>
      <c r="Z133" s="200"/>
      <c r="AA133" s="149"/>
      <c r="AB133" s="200"/>
      <c r="AC133" s="149"/>
      <c r="AD133" s="200"/>
      <c r="AE133" s="149"/>
      <c r="AF133" s="200"/>
      <c r="AG133" s="149"/>
      <c r="AH133" s="134"/>
    </row>
    <row r="134" spans="1:35" x14ac:dyDescent="0.25">
      <c r="A134" s="17" t="s">
        <v>110</v>
      </c>
      <c r="B134" s="24"/>
      <c r="C134" s="24"/>
      <c r="D134" s="161"/>
      <c r="E134" s="149">
        <f t="shared" ref="E134:AH134" si="13">E118</f>
        <v>128915</v>
      </c>
      <c r="F134" s="149">
        <f t="shared" si="13"/>
        <v>133082.45000000001</v>
      </c>
      <c r="G134" s="149">
        <f t="shared" si="13"/>
        <v>137374.92349999998</v>
      </c>
      <c r="H134" s="149">
        <f t="shared" si="13"/>
        <v>141796.17120499993</v>
      </c>
      <c r="I134" s="149">
        <f t="shared" si="13"/>
        <v>146350.05634114996</v>
      </c>
      <c r="J134" s="149">
        <f t="shared" si="13"/>
        <v>151040.55803138443</v>
      </c>
      <c r="K134" s="149">
        <f t="shared" si="13"/>
        <v>155871.77477232605</v>
      </c>
      <c r="L134" s="149">
        <f t="shared" si="13"/>
        <v>160847.92801549583</v>
      </c>
      <c r="M134" s="149">
        <f t="shared" si="13"/>
        <v>165973.36585596073</v>
      </c>
      <c r="N134" s="200">
        <f t="shared" si="13"/>
        <v>171252.5668316395</v>
      </c>
      <c r="O134" s="149">
        <f t="shared" si="13"/>
        <v>176690.14383658874</v>
      </c>
      <c r="P134" s="200">
        <f t="shared" si="13"/>
        <v>182290.84815168637</v>
      </c>
      <c r="Q134" s="149">
        <f t="shared" si="13"/>
        <v>188059.57359623697</v>
      </c>
      <c r="R134" s="200">
        <f t="shared" si="13"/>
        <v>194001.3608041241</v>
      </c>
      <c r="S134" s="149">
        <f t="shared" si="13"/>
        <v>200121.40162824784</v>
      </c>
      <c r="T134" s="200">
        <f t="shared" si="13"/>
        <v>206425.04367709527</v>
      </c>
      <c r="U134" s="149">
        <f t="shared" si="13"/>
        <v>212917.79498740812</v>
      </c>
      <c r="V134" s="200">
        <f t="shared" si="13"/>
        <v>219605.32883703039</v>
      </c>
      <c r="W134" s="149">
        <f t="shared" si="13"/>
        <v>226493.48870214127</v>
      </c>
      <c r="X134" s="200">
        <f t="shared" si="13"/>
        <v>233588.29336320556</v>
      </c>
      <c r="Y134" s="149">
        <f t="shared" si="13"/>
        <v>240895.94216410173</v>
      </c>
      <c r="Z134" s="200">
        <f t="shared" si="13"/>
        <v>248422.82042902472</v>
      </c>
      <c r="AA134" s="149">
        <f t="shared" si="13"/>
        <v>256175.50504189549</v>
      </c>
      <c r="AB134" s="200">
        <f t="shared" si="13"/>
        <v>264160.77019315236</v>
      </c>
      <c r="AC134" s="149">
        <f t="shared" si="13"/>
        <v>272385.59329894697</v>
      </c>
      <c r="AD134" s="200">
        <f t="shared" si="13"/>
        <v>280857.16109791532</v>
      </c>
      <c r="AE134" s="149">
        <f t="shared" si="13"/>
        <v>289582.87593085284</v>
      </c>
      <c r="AF134" s="200">
        <f t="shared" si="13"/>
        <v>298570.36220877839</v>
      </c>
      <c r="AG134" s="149">
        <f t="shared" si="13"/>
        <v>307827.47307504184</v>
      </c>
      <c r="AH134" s="134">
        <f t="shared" si="13"/>
        <v>317362.29726729303</v>
      </c>
    </row>
    <row r="135" spans="1:35" x14ac:dyDescent="0.25">
      <c r="A135" s="17" t="s">
        <v>111</v>
      </c>
      <c r="B135" s="24"/>
      <c r="C135" s="24"/>
      <c r="D135" s="161"/>
      <c r="E135" s="149"/>
      <c r="F135" s="149"/>
      <c r="G135" s="149"/>
      <c r="H135" s="149"/>
      <c r="I135" s="149"/>
      <c r="J135" s="149"/>
      <c r="K135" s="149"/>
      <c r="L135" s="149"/>
      <c r="M135" s="149"/>
      <c r="N135" s="200">
        <f>N128</f>
        <v>2711498.9748342922</v>
      </c>
      <c r="O135" s="149"/>
      <c r="P135" s="200"/>
      <c r="Q135" s="149"/>
      <c r="R135" s="200"/>
      <c r="S135" s="149">
        <f>S128</f>
        <v>0</v>
      </c>
      <c r="T135" s="200"/>
      <c r="U135" s="149"/>
      <c r="V135" s="200"/>
      <c r="W135" s="149"/>
      <c r="X135" s="200">
        <f>X128</f>
        <v>0</v>
      </c>
      <c r="Y135" s="149"/>
      <c r="Z135" s="200"/>
      <c r="AA135" s="149"/>
      <c r="AB135" s="200"/>
      <c r="AC135" s="149">
        <f>AC128</f>
        <v>0</v>
      </c>
      <c r="AD135" s="200"/>
      <c r="AE135" s="149"/>
      <c r="AF135" s="200"/>
      <c r="AG135" s="149"/>
      <c r="AH135" s="134">
        <f>AH128</f>
        <v>0</v>
      </c>
    </row>
    <row r="136" spans="1:35" ht="16.5" thickBot="1" x14ac:dyDescent="0.3">
      <c r="A136" s="125" t="s">
        <v>3</v>
      </c>
      <c r="B136" s="83"/>
      <c r="C136" s="83"/>
      <c r="D136" s="441">
        <f>SUM(D133:D135)</f>
        <v>-1960000</v>
      </c>
      <c r="E136" s="442">
        <f>SUM(E133:E135)</f>
        <v>128915</v>
      </c>
      <c r="F136" s="442">
        <f t="shared" ref="F136:AH136" si="14">SUM(F133:F135)</f>
        <v>133082.45000000001</v>
      </c>
      <c r="G136" s="442">
        <f t="shared" si="14"/>
        <v>137374.92349999998</v>
      </c>
      <c r="H136" s="442">
        <f t="shared" si="14"/>
        <v>141796.17120499993</v>
      </c>
      <c r="I136" s="442">
        <f t="shared" si="14"/>
        <v>146350.05634114996</v>
      </c>
      <c r="J136" s="442">
        <f t="shared" si="14"/>
        <v>151040.55803138443</v>
      </c>
      <c r="K136" s="442">
        <f t="shared" si="14"/>
        <v>155871.77477232605</v>
      </c>
      <c r="L136" s="442">
        <f t="shared" si="14"/>
        <v>160847.92801549583</v>
      </c>
      <c r="M136" s="442">
        <f t="shared" si="14"/>
        <v>165973.36585596073</v>
      </c>
      <c r="N136" s="443">
        <f t="shared" si="14"/>
        <v>2882751.5416659317</v>
      </c>
      <c r="O136" s="442">
        <f t="shared" si="14"/>
        <v>176690.14383658874</v>
      </c>
      <c r="P136" s="443">
        <f t="shared" si="14"/>
        <v>182290.84815168637</v>
      </c>
      <c r="Q136" s="442">
        <f t="shared" si="14"/>
        <v>188059.57359623697</v>
      </c>
      <c r="R136" s="443">
        <f t="shared" si="14"/>
        <v>194001.3608041241</v>
      </c>
      <c r="S136" s="442">
        <f t="shared" si="14"/>
        <v>200121.40162824784</v>
      </c>
      <c r="T136" s="443">
        <f t="shared" si="14"/>
        <v>206425.04367709527</v>
      </c>
      <c r="U136" s="442">
        <f t="shared" si="14"/>
        <v>212917.79498740812</v>
      </c>
      <c r="V136" s="443">
        <f t="shared" si="14"/>
        <v>219605.32883703039</v>
      </c>
      <c r="W136" s="442">
        <f t="shared" si="14"/>
        <v>226493.48870214127</v>
      </c>
      <c r="X136" s="443">
        <f t="shared" si="14"/>
        <v>233588.29336320556</v>
      </c>
      <c r="Y136" s="442">
        <f t="shared" si="14"/>
        <v>240895.94216410173</v>
      </c>
      <c r="Z136" s="443">
        <f t="shared" si="14"/>
        <v>248422.82042902472</v>
      </c>
      <c r="AA136" s="442">
        <f t="shared" si="14"/>
        <v>256175.50504189549</v>
      </c>
      <c r="AB136" s="443">
        <f t="shared" si="14"/>
        <v>264160.77019315236</v>
      </c>
      <c r="AC136" s="442">
        <f t="shared" si="14"/>
        <v>272385.59329894697</v>
      </c>
      <c r="AD136" s="443">
        <f t="shared" si="14"/>
        <v>280857.16109791532</v>
      </c>
      <c r="AE136" s="442">
        <f t="shared" si="14"/>
        <v>289582.87593085284</v>
      </c>
      <c r="AF136" s="443">
        <f t="shared" si="14"/>
        <v>298570.36220877839</v>
      </c>
      <c r="AG136" s="442">
        <f t="shared" si="14"/>
        <v>307827.47307504184</v>
      </c>
      <c r="AH136" s="444">
        <f t="shared" si="14"/>
        <v>317362.29726729303</v>
      </c>
    </row>
    <row r="137" spans="1:35" ht="16.5" thickBot="1" x14ac:dyDescent="0.3">
      <c r="A137" s="19" t="s">
        <v>112</v>
      </c>
      <c r="B137" s="71"/>
      <c r="C137" s="346" t="s">
        <v>19</v>
      </c>
      <c r="D137" s="347">
        <f>D6</f>
        <v>0.12</v>
      </c>
      <c r="E137" s="151"/>
      <c r="F137" s="151"/>
      <c r="G137" s="151"/>
      <c r="H137" s="151"/>
      <c r="I137" s="151"/>
      <c r="J137" s="151"/>
      <c r="K137" s="151"/>
      <c r="L137" s="151"/>
      <c r="M137" s="151"/>
      <c r="N137" s="294">
        <f>IFERROR(IF($C$11=10,IRR(D136:N136),0),0)</f>
        <v>9.8549368665077575E-2</v>
      </c>
      <c r="O137" s="295"/>
      <c r="P137" s="276"/>
      <c r="Q137" s="151"/>
      <c r="R137" s="276"/>
      <c r="S137" s="293">
        <f>IFERROR(IF($C$11=15,IRR(D136:S136),0),0)</f>
        <v>0</v>
      </c>
      <c r="T137" s="296"/>
      <c r="U137" s="151"/>
      <c r="V137" s="276"/>
      <c r="W137" s="151"/>
      <c r="X137" s="292">
        <f>IFERROR(IF($C$11=20,IRR(D136:X136),0),0)</f>
        <v>0</v>
      </c>
      <c r="Y137" s="295"/>
      <c r="Z137" s="276"/>
      <c r="AA137" s="151"/>
      <c r="AB137" s="276"/>
      <c r="AC137" s="293">
        <f>IFERROR(IF($C$11=25,IRR(D136:AC136),0),0)</f>
        <v>0</v>
      </c>
      <c r="AD137" s="296"/>
      <c r="AE137" s="151"/>
      <c r="AF137" s="276"/>
      <c r="AG137" s="151"/>
      <c r="AH137" s="152">
        <f>IFERROR(IF($C$11=30,IRR(D136:AH136),0),0)</f>
        <v>0</v>
      </c>
      <c r="AI137" s="262"/>
    </row>
    <row r="138" spans="1:35" ht="16.5" thickBot="1" x14ac:dyDescent="0.3">
      <c r="A138" s="19" t="s">
        <v>113</v>
      </c>
      <c r="B138" s="114"/>
      <c r="C138" s="346" t="s">
        <v>19</v>
      </c>
      <c r="D138" s="348">
        <f>D6</f>
        <v>0.12</v>
      </c>
      <c r="E138" s="153"/>
      <c r="F138" s="153"/>
      <c r="G138" s="153"/>
      <c r="H138" s="153"/>
      <c r="I138" s="153"/>
      <c r="J138" s="153"/>
      <c r="K138" s="153"/>
      <c r="L138" s="153"/>
      <c r="M138" s="153"/>
      <c r="N138" s="445">
        <f>IF($C$11=10,(NPV(D6,E136:N136))+D136,0)</f>
        <v>-267852.46101823682</v>
      </c>
      <c r="O138" s="446"/>
      <c r="P138" s="447"/>
      <c r="Q138" s="446"/>
      <c r="R138" s="447"/>
      <c r="S138" s="448">
        <f>IF($C$11=15,(NPV(D6,E136:S136))+D136,0)</f>
        <v>0</v>
      </c>
      <c r="T138" s="447"/>
      <c r="U138" s="446"/>
      <c r="V138" s="447"/>
      <c r="W138" s="446"/>
      <c r="X138" s="449">
        <f>IF($C$11=20,(NPV(D6,E136:X136))+D136,0)</f>
        <v>0</v>
      </c>
      <c r="Y138" s="446"/>
      <c r="Z138" s="447"/>
      <c r="AA138" s="446"/>
      <c r="AB138" s="447"/>
      <c r="AC138" s="448">
        <f>IF($C$11=25,(NPV(D6,E136:AC136))+D136,0)</f>
        <v>0</v>
      </c>
      <c r="AD138" s="447"/>
      <c r="AE138" s="446"/>
      <c r="AF138" s="447"/>
      <c r="AG138" s="446"/>
      <c r="AH138" s="450">
        <f>IF($C$11=30,(NPV(D6,E136:AH136))+D136,0)</f>
        <v>0</v>
      </c>
      <c r="AI138" s="157"/>
    </row>
    <row r="139" spans="1:35" ht="16.5" thickBot="1" x14ac:dyDescent="0.3">
      <c r="A139" s="154"/>
      <c r="B139" s="38"/>
      <c r="C139" s="38"/>
      <c r="D139" s="38"/>
      <c r="E139" s="38"/>
      <c r="F139" s="38"/>
      <c r="G139" s="38"/>
      <c r="H139" s="38"/>
      <c r="I139" s="38"/>
      <c r="J139" s="38"/>
      <c r="K139" s="38"/>
      <c r="L139" s="38"/>
      <c r="M139" s="38"/>
      <c r="N139" s="155"/>
    </row>
    <row r="140" spans="1:35" ht="16.5" thickBot="1" x14ac:dyDescent="0.3">
      <c r="A140" s="79" t="s">
        <v>434</v>
      </c>
      <c r="B140" s="51"/>
      <c r="C140" s="51"/>
      <c r="D140" s="360" t="s">
        <v>104</v>
      </c>
      <c r="E140" s="360" t="s">
        <v>85</v>
      </c>
      <c r="F140" s="360" t="s">
        <v>86</v>
      </c>
      <c r="G140" s="360" t="s">
        <v>87</v>
      </c>
      <c r="H140" s="360" t="s">
        <v>88</v>
      </c>
      <c r="I140" s="360" t="s">
        <v>89</v>
      </c>
      <c r="J140" s="360" t="s">
        <v>90</v>
      </c>
      <c r="K140" s="360" t="s">
        <v>91</v>
      </c>
      <c r="L140" s="360" t="s">
        <v>92</v>
      </c>
      <c r="M140" s="360" t="s">
        <v>93</v>
      </c>
      <c r="N140" s="356" t="s">
        <v>94</v>
      </c>
      <c r="O140" s="358" t="s">
        <v>239</v>
      </c>
      <c r="P140" s="340" t="s">
        <v>240</v>
      </c>
      <c r="Q140" s="358" t="s">
        <v>241</v>
      </c>
      <c r="R140" s="340" t="s">
        <v>242</v>
      </c>
      <c r="S140" s="358" t="s">
        <v>243</v>
      </c>
      <c r="T140" s="340" t="s">
        <v>244</v>
      </c>
      <c r="U140" s="358" t="s">
        <v>245</v>
      </c>
      <c r="V140" s="340" t="s">
        <v>246</v>
      </c>
      <c r="W140" s="358" t="s">
        <v>247</v>
      </c>
      <c r="X140" s="340" t="s">
        <v>248</v>
      </c>
      <c r="Y140" s="358" t="s">
        <v>249</v>
      </c>
      <c r="Z140" s="340" t="s">
        <v>250</v>
      </c>
      <c r="AA140" s="358" t="s">
        <v>251</v>
      </c>
      <c r="AB140" s="340" t="s">
        <v>252</v>
      </c>
      <c r="AC140" s="358" t="s">
        <v>253</v>
      </c>
      <c r="AD140" s="340" t="s">
        <v>254</v>
      </c>
      <c r="AE140" s="358" t="s">
        <v>255</v>
      </c>
      <c r="AF140" s="340" t="s">
        <v>256</v>
      </c>
      <c r="AG140" s="358" t="s">
        <v>257</v>
      </c>
      <c r="AH140" s="359" t="s">
        <v>258</v>
      </c>
    </row>
    <row r="141" spans="1:35" x14ac:dyDescent="0.25">
      <c r="A141" s="17" t="s">
        <v>450</v>
      </c>
      <c r="B141" s="18"/>
      <c r="C141" s="18"/>
      <c r="D141" s="158">
        <f>-E102</f>
        <v>-388000</v>
      </c>
      <c r="E141" s="161"/>
      <c r="F141" s="158"/>
      <c r="G141" s="158"/>
      <c r="H141" s="158"/>
      <c r="I141" s="158"/>
      <c r="J141" s="158"/>
      <c r="K141" s="158"/>
      <c r="L141" s="158"/>
      <c r="M141" s="158"/>
      <c r="N141" s="98"/>
      <c r="O141" s="149"/>
      <c r="P141" s="200"/>
      <c r="Q141" s="149"/>
      <c r="R141" s="200"/>
      <c r="S141" s="149"/>
      <c r="T141" s="200"/>
      <c r="U141" s="149"/>
      <c r="V141" s="200"/>
      <c r="W141" s="149"/>
      <c r="X141" s="200"/>
      <c r="Y141" s="149"/>
      <c r="Z141" s="200"/>
      <c r="AA141" s="149"/>
      <c r="AB141" s="200"/>
      <c r="AC141" s="149"/>
      <c r="AD141" s="200"/>
      <c r="AE141" s="149"/>
      <c r="AF141" s="200"/>
      <c r="AG141" s="149"/>
      <c r="AH141" s="134"/>
    </row>
    <row r="142" spans="1:35" x14ac:dyDescent="0.25">
      <c r="A142" s="17" t="s">
        <v>436</v>
      </c>
      <c r="B142" s="18"/>
      <c r="C142" s="18"/>
      <c r="D142" s="158"/>
      <c r="E142" s="158">
        <f t="shared" ref="E142:AH142" si="15">E121</f>
        <v>29755.615479869623</v>
      </c>
      <c r="F142" s="158">
        <f t="shared" si="15"/>
        <v>33923.065479869634</v>
      </c>
      <c r="G142" s="158">
        <f t="shared" si="15"/>
        <v>38215.538979869598</v>
      </c>
      <c r="H142" s="158">
        <f t="shared" si="15"/>
        <v>42636.786684869556</v>
      </c>
      <c r="I142" s="158">
        <f t="shared" si="15"/>
        <v>47190.671821019583</v>
      </c>
      <c r="J142" s="158">
        <f t="shared" si="15"/>
        <v>51881.173511254048</v>
      </c>
      <c r="K142" s="158">
        <f t="shared" si="15"/>
        <v>56712.390252195677</v>
      </c>
      <c r="L142" s="158">
        <f t="shared" si="15"/>
        <v>61688.543495365448</v>
      </c>
      <c r="M142" s="158">
        <f t="shared" si="15"/>
        <v>66813.981335830351</v>
      </c>
      <c r="N142" s="98">
        <f t="shared" si="15"/>
        <v>72093.182311509125</v>
      </c>
      <c r="O142" s="203">
        <f t="shared" si="15"/>
        <v>77530.759316458367</v>
      </c>
      <c r="P142" s="98">
        <f t="shared" si="15"/>
        <v>83131.463631555991</v>
      </c>
      <c r="Q142" s="203">
        <f t="shared" si="15"/>
        <v>88900.189076106588</v>
      </c>
      <c r="R142" s="98">
        <f t="shared" si="15"/>
        <v>94841.976283993718</v>
      </c>
      <c r="S142" s="203">
        <f t="shared" si="15"/>
        <v>100962.01710811746</v>
      </c>
      <c r="T142" s="98">
        <f t="shared" si="15"/>
        <v>107265.65915696489</v>
      </c>
      <c r="U142" s="203">
        <f t="shared" si="15"/>
        <v>113758.41046727775</v>
      </c>
      <c r="V142" s="98">
        <f t="shared" si="15"/>
        <v>120445.94431690002</v>
      </c>
      <c r="W142" s="203">
        <f t="shared" si="15"/>
        <v>127334.10418201089</v>
      </c>
      <c r="X142" s="98">
        <f t="shared" si="15"/>
        <v>134428.90884307519</v>
      </c>
      <c r="Y142" s="203">
        <f t="shared" si="15"/>
        <v>141736.55764397135</v>
      </c>
      <c r="Z142" s="98">
        <f t="shared" si="15"/>
        <v>149263.43590889435</v>
      </c>
      <c r="AA142" s="203">
        <f t="shared" si="15"/>
        <v>157016.12052176511</v>
      </c>
      <c r="AB142" s="98">
        <f t="shared" si="15"/>
        <v>165001.38567302198</v>
      </c>
      <c r="AC142" s="203">
        <f t="shared" si="15"/>
        <v>173226.2087788166</v>
      </c>
      <c r="AD142" s="98">
        <f t="shared" si="15"/>
        <v>181697.77657778494</v>
      </c>
      <c r="AE142" s="203">
        <f t="shared" si="15"/>
        <v>190423.49141072246</v>
      </c>
      <c r="AF142" s="98">
        <f t="shared" si="15"/>
        <v>199410.97768864801</v>
      </c>
      <c r="AG142" s="203">
        <f t="shared" si="15"/>
        <v>208668.08855491146</v>
      </c>
      <c r="AH142" s="217">
        <f t="shared" si="15"/>
        <v>218202.91274716266</v>
      </c>
    </row>
    <row r="143" spans="1:35" x14ac:dyDescent="0.25">
      <c r="A143" s="17" t="s">
        <v>108</v>
      </c>
      <c r="B143" s="18"/>
      <c r="C143" s="18"/>
      <c r="D143" s="158"/>
      <c r="E143" s="452"/>
      <c r="F143" s="452"/>
      <c r="G143" s="452"/>
      <c r="H143" s="452"/>
      <c r="I143" s="452"/>
      <c r="J143" s="452"/>
      <c r="K143" s="452"/>
      <c r="L143" s="452"/>
      <c r="M143" s="452"/>
      <c r="N143" s="453">
        <f>N130</f>
        <v>1440632.0993436889</v>
      </c>
      <c r="O143" s="149"/>
      <c r="P143" s="200"/>
      <c r="Q143" s="149"/>
      <c r="R143" s="200"/>
      <c r="S143" s="149">
        <f>S130</f>
        <v>0</v>
      </c>
      <c r="T143" s="200"/>
      <c r="U143" s="149"/>
      <c r="V143" s="200"/>
      <c r="W143" s="149"/>
      <c r="X143" s="200">
        <f>X130</f>
        <v>0</v>
      </c>
      <c r="Y143" s="149"/>
      <c r="Z143" s="200"/>
      <c r="AA143" s="149"/>
      <c r="AB143" s="200"/>
      <c r="AC143" s="149">
        <f>AC130</f>
        <v>0</v>
      </c>
      <c r="AD143" s="200"/>
      <c r="AE143" s="149"/>
      <c r="AF143" s="200"/>
      <c r="AG143" s="149"/>
      <c r="AH143" s="134">
        <f>AH130</f>
        <v>2.3339907784247771E-10</v>
      </c>
    </row>
    <row r="144" spans="1:35" ht="16.5" thickBot="1" x14ac:dyDescent="0.3">
      <c r="A144" s="125" t="s">
        <v>3</v>
      </c>
      <c r="B144" s="30"/>
      <c r="C144" s="30"/>
      <c r="D144" s="451">
        <f t="shared" ref="D144:AH144" si="16">SUM(D141:D143)</f>
        <v>-388000</v>
      </c>
      <c r="E144" s="451">
        <f t="shared" si="16"/>
        <v>29755.615479869623</v>
      </c>
      <c r="F144" s="451">
        <f t="shared" si="16"/>
        <v>33923.065479869634</v>
      </c>
      <c r="G144" s="451">
        <f t="shared" si="16"/>
        <v>38215.538979869598</v>
      </c>
      <c r="H144" s="451">
        <f t="shared" si="16"/>
        <v>42636.786684869556</v>
      </c>
      <c r="I144" s="451">
        <f t="shared" si="16"/>
        <v>47190.671821019583</v>
      </c>
      <c r="J144" s="451">
        <f t="shared" si="16"/>
        <v>51881.173511254048</v>
      </c>
      <c r="K144" s="451">
        <f t="shared" si="16"/>
        <v>56712.390252195677</v>
      </c>
      <c r="L144" s="451">
        <f t="shared" si="16"/>
        <v>61688.543495365448</v>
      </c>
      <c r="M144" s="451">
        <f t="shared" si="16"/>
        <v>66813.981335830351</v>
      </c>
      <c r="N144" s="454">
        <f t="shared" si="16"/>
        <v>1512725.281655198</v>
      </c>
      <c r="O144" s="162">
        <f t="shared" si="16"/>
        <v>77530.759316458367</v>
      </c>
      <c r="P144" s="454">
        <f t="shared" si="16"/>
        <v>83131.463631555991</v>
      </c>
      <c r="Q144" s="162">
        <f t="shared" si="16"/>
        <v>88900.189076106588</v>
      </c>
      <c r="R144" s="454">
        <f t="shared" si="16"/>
        <v>94841.976283993718</v>
      </c>
      <c r="S144" s="162">
        <f t="shared" si="16"/>
        <v>100962.01710811746</v>
      </c>
      <c r="T144" s="454">
        <f t="shared" si="16"/>
        <v>107265.65915696489</v>
      </c>
      <c r="U144" s="162">
        <f t="shared" si="16"/>
        <v>113758.41046727775</v>
      </c>
      <c r="V144" s="454">
        <f t="shared" si="16"/>
        <v>120445.94431690002</v>
      </c>
      <c r="W144" s="162">
        <f t="shared" si="16"/>
        <v>127334.10418201089</v>
      </c>
      <c r="X144" s="454">
        <f t="shared" si="16"/>
        <v>134428.90884307519</v>
      </c>
      <c r="Y144" s="162">
        <f t="shared" si="16"/>
        <v>141736.55764397135</v>
      </c>
      <c r="Z144" s="454">
        <f t="shared" si="16"/>
        <v>149263.43590889435</v>
      </c>
      <c r="AA144" s="162">
        <f t="shared" si="16"/>
        <v>157016.12052176511</v>
      </c>
      <c r="AB144" s="454">
        <f t="shared" si="16"/>
        <v>165001.38567302198</v>
      </c>
      <c r="AC144" s="162">
        <f t="shared" si="16"/>
        <v>173226.2087788166</v>
      </c>
      <c r="AD144" s="454">
        <f t="shared" si="16"/>
        <v>181697.77657778494</v>
      </c>
      <c r="AE144" s="162">
        <f t="shared" si="16"/>
        <v>190423.49141072246</v>
      </c>
      <c r="AF144" s="454">
        <f t="shared" si="16"/>
        <v>199410.97768864801</v>
      </c>
      <c r="AG144" s="162">
        <f t="shared" si="16"/>
        <v>208668.08855491146</v>
      </c>
      <c r="AH144" s="455">
        <f t="shared" si="16"/>
        <v>218202.91274716289</v>
      </c>
    </row>
    <row r="145" spans="1:35" ht="16.5" thickBot="1" x14ac:dyDescent="0.3">
      <c r="A145" s="49" t="s">
        <v>116</v>
      </c>
      <c r="B145" s="139"/>
      <c r="C145" s="346" t="s">
        <v>19</v>
      </c>
      <c r="D145" s="208">
        <f>D7</f>
        <v>0.25</v>
      </c>
      <c r="E145" s="156"/>
      <c r="F145" s="156"/>
      <c r="G145" s="156"/>
      <c r="H145" s="156"/>
      <c r="I145" s="156"/>
      <c r="J145" s="156"/>
      <c r="K145" s="156"/>
      <c r="L145" s="156"/>
      <c r="M145" s="156"/>
      <c r="N145" s="292">
        <f>IFERROR(IF($C$11=10,IRR(D144:N144),0),0)</f>
        <v>0.21048177513824351</v>
      </c>
      <c r="O145" s="299"/>
      <c r="P145" s="141"/>
      <c r="Q145" s="291"/>
      <c r="R145" s="141"/>
      <c r="S145" s="293">
        <f>IFERROR(IF($C$11=15,IRR(D144:S144),0),0)</f>
        <v>0</v>
      </c>
      <c r="T145" s="300"/>
      <c r="U145" s="291"/>
      <c r="V145" s="141"/>
      <c r="W145" s="291"/>
      <c r="X145" s="292">
        <f>IFERROR(IF($C$11=20,IRR(D144:X144),0),0)</f>
        <v>0</v>
      </c>
      <c r="Y145" s="299"/>
      <c r="Z145" s="141"/>
      <c r="AA145" s="291"/>
      <c r="AB145" s="141"/>
      <c r="AC145" s="293">
        <f>IFERROR(IF($C$11=25,IRR(D144:AC144),0),0)</f>
        <v>0</v>
      </c>
      <c r="AD145" s="300"/>
      <c r="AE145" s="291"/>
      <c r="AF145" s="141"/>
      <c r="AG145" s="291"/>
      <c r="AH145" s="152">
        <f>IFERROR(IF($C$11=30,IRR(D144:AH144),0),0)</f>
        <v>0</v>
      </c>
      <c r="AI145" s="262"/>
    </row>
    <row r="146" spans="1:35" ht="16.5" thickBot="1" x14ac:dyDescent="0.3">
      <c r="A146" s="19" t="s">
        <v>117</v>
      </c>
      <c r="B146" s="71"/>
      <c r="C146" s="346" t="s">
        <v>19</v>
      </c>
      <c r="D146" s="347">
        <f>D7</f>
        <v>0.25</v>
      </c>
      <c r="E146" s="150"/>
      <c r="F146" s="150"/>
      <c r="G146" s="150"/>
      <c r="H146" s="150"/>
      <c r="I146" s="150"/>
      <c r="J146" s="150"/>
      <c r="K146" s="150"/>
      <c r="L146" s="150"/>
      <c r="M146" s="150"/>
      <c r="N146" s="449">
        <f>IF($C$11=10,(NPV(D7,E144:N144))+D144,0)</f>
        <v>-82752.252693171264</v>
      </c>
      <c r="O146" s="195"/>
      <c r="P146" s="306"/>
      <c r="Q146" s="195"/>
      <c r="R146" s="306"/>
      <c r="S146" s="456">
        <f>IF($C$11=15,(NPV(D7,E144:S144))+D144,0)</f>
        <v>0</v>
      </c>
      <c r="T146" s="306"/>
      <c r="U146" s="195"/>
      <c r="V146" s="306"/>
      <c r="W146" s="195"/>
      <c r="X146" s="445">
        <f>IF($C$11=20,(NPV(D7,E144:X144))+D144,0)</f>
        <v>0</v>
      </c>
      <c r="Y146" s="195"/>
      <c r="Z146" s="306"/>
      <c r="AA146" s="195"/>
      <c r="AB146" s="306"/>
      <c r="AC146" s="456">
        <f>IF($C$11=25,(NPV(D7,E144:AC144))+D144,0)</f>
        <v>0</v>
      </c>
      <c r="AD146" s="306"/>
      <c r="AE146" s="195"/>
      <c r="AF146" s="306"/>
      <c r="AG146" s="195"/>
      <c r="AH146" s="457">
        <f>IF($C$11=30,(NPV(D7,E144:AH144))+D144,0)</f>
        <v>0</v>
      </c>
      <c r="AI146" s="157"/>
    </row>
    <row r="147" spans="1:35" ht="16.5" thickBot="1" x14ac:dyDescent="0.3">
      <c r="A147" s="154"/>
      <c r="N147" s="157"/>
    </row>
    <row r="148" spans="1:35" ht="16.5" thickBot="1" x14ac:dyDescent="0.3">
      <c r="A148" s="79" t="s">
        <v>435</v>
      </c>
      <c r="B148" s="51"/>
      <c r="C148" s="51"/>
      <c r="D148" s="360" t="s">
        <v>104</v>
      </c>
      <c r="E148" s="355" t="s">
        <v>85</v>
      </c>
      <c r="F148" s="355" t="s">
        <v>86</v>
      </c>
      <c r="G148" s="355" t="s">
        <v>87</v>
      </c>
      <c r="H148" s="355" t="s">
        <v>88</v>
      </c>
      <c r="I148" s="355" t="s">
        <v>89</v>
      </c>
      <c r="J148" s="355" t="s">
        <v>90</v>
      </c>
      <c r="K148" s="355" t="s">
        <v>91</v>
      </c>
      <c r="L148" s="355" t="s">
        <v>92</v>
      </c>
      <c r="M148" s="361" t="s">
        <v>93</v>
      </c>
      <c r="N148" s="356" t="s">
        <v>94</v>
      </c>
      <c r="O148" s="358" t="s">
        <v>239</v>
      </c>
      <c r="P148" s="340" t="s">
        <v>240</v>
      </c>
      <c r="Q148" s="358" t="s">
        <v>241</v>
      </c>
      <c r="R148" s="340" t="s">
        <v>242</v>
      </c>
      <c r="S148" s="358" t="s">
        <v>243</v>
      </c>
      <c r="T148" s="340" t="s">
        <v>244</v>
      </c>
      <c r="U148" s="358" t="s">
        <v>245</v>
      </c>
      <c r="V148" s="340" t="s">
        <v>246</v>
      </c>
      <c r="W148" s="358" t="s">
        <v>247</v>
      </c>
      <c r="X148" s="340" t="s">
        <v>248</v>
      </c>
      <c r="Y148" s="358" t="s">
        <v>249</v>
      </c>
      <c r="Z148" s="340" t="s">
        <v>250</v>
      </c>
      <c r="AA148" s="358" t="s">
        <v>251</v>
      </c>
      <c r="AB148" s="340" t="s">
        <v>252</v>
      </c>
      <c r="AC148" s="358" t="s">
        <v>253</v>
      </c>
      <c r="AD148" s="340" t="s">
        <v>254</v>
      </c>
      <c r="AE148" s="358" t="s">
        <v>255</v>
      </c>
      <c r="AF148" s="340" t="s">
        <v>256</v>
      </c>
      <c r="AG148" s="358" t="s">
        <v>257</v>
      </c>
      <c r="AH148" s="359" t="s">
        <v>258</v>
      </c>
    </row>
    <row r="149" spans="1:35" x14ac:dyDescent="0.25">
      <c r="A149" s="17" t="s">
        <v>452</v>
      </c>
      <c r="B149" s="18"/>
      <c r="C149" s="18"/>
      <c r="D149" s="158">
        <f>-E94</f>
        <v>-200000</v>
      </c>
      <c r="E149" s="100"/>
      <c r="F149" s="160"/>
      <c r="G149" s="160"/>
      <c r="H149" s="160"/>
      <c r="I149" s="160"/>
      <c r="J149" s="160"/>
      <c r="K149" s="160"/>
      <c r="L149" s="160"/>
      <c r="M149" s="160"/>
      <c r="N149" s="198"/>
      <c r="O149" s="159"/>
      <c r="P149" s="39"/>
      <c r="Q149" s="159"/>
      <c r="R149" s="39"/>
      <c r="S149" s="159"/>
      <c r="T149" s="39"/>
      <c r="U149" s="159"/>
      <c r="V149" s="39"/>
      <c r="W149" s="159"/>
      <c r="X149" s="39"/>
      <c r="Y149" s="159"/>
      <c r="Z149" s="39"/>
      <c r="AA149" s="159"/>
      <c r="AB149" s="39"/>
      <c r="AC149" s="159"/>
      <c r="AD149" s="39"/>
      <c r="AE149" s="159"/>
      <c r="AF149" s="39"/>
      <c r="AG149" s="159"/>
      <c r="AH149" s="26"/>
    </row>
    <row r="150" spans="1:35" x14ac:dyDescent="0.25">
      <c r="A150" s="72" t="s">
        <v>77</v>
      </c>
      <c r="B150" s="18"/>
      <c r="C150" s="18"/>
      <c r="D150" s="158">
        <f>-L94</f>
        <v>-100000</v>
      </c>
      <c r="E150" s="339"/>
      <c r="F150" s="160"/>
      <c r="G150" s="160"/>
      <c r="H150" s="160"/>
      <c r="I150" s="160"/>
      <c r="J150" s="160"/>
      <c r="K150" s="160"/>
      <c r="L150" s="160"/>
      <c r="M150" s="160"/>
      <c r="N150" s="198"/>
      <c r="O150" s="159"/>
      <c r="P150" s="39"/>
      <c r="Q150" s="159"/>
      <c r="R150" s="39"/>
      <c r="S150" s="159"/>
      <c r="T150" s="39"/>
      <c r="U150" s="159"/>
      <c r="V150" s="39"/>
      <c r="W150" s="159"/>
      <c r="X150" s="39"/>
      <c r="Y150" s="159"/>
      <c r="Z150" s="39"/>
      <c r="AA150" s="159"/>
      <c r="AB150" s="39"/>
      <c r="AC150" s="159"/>
      <c r="AD150" s="39"/>
      <c r="AE150" s="159"/>
      <c r="AF150" s="39"/>
      <c r="AG150" s="159"/>
      <c r="AH150" s="26"/>
    </row>
    <row r="151" spans="1:35" x14ac:dyDescent="0.25">
      <c r="A151" s="72" t="s">
        <v>453</v>
      </c>
      <c r="B151" s="18"/>
      <c r="C151" s="18"/>
      <c r="D151" s="158">
        <f>D149+D150</f>
        <v>-300000</v>
      </c>
      <c r="E151" s="339"/>
      <c r="F151" s="160"/>
      <c r="G151" s="160"/>
      <c r="H151" s="160"/>
      <c r="I151" s="160"/>
      <c r="J151" s="160"/>
      <c r="K151" s="160"/>
      <c r="L151" s="160"/>
      <c r="M151" s="160"/>
      <c r="N151" s="198"/>
      <c r="O151" s="159"/>
      <c r="P151" s="39"/>
      <c r="Q151" s="159"/>
      <c r="R151" s="39"/>
      <c r="S151" s="159"/>
      <c r="T151" s="39"/>
      <c r="U151" s="159"/>
      <c r="V151" s="39"/>
      <c r="W151" s="159"/>
      <c r="X151" s="39"/>
      <c r="Y151" s="159"/>
      <c r="Z151" s="39"/>
      <c r="AA151" s="159"/>
      <c r="AB151" s="39"/>
      <c r="AC151" s="159"/>
      <c r="AD151" s="39"/>
      <c r="AE151" s="159"/>
      <c r="AF151" s="39"/>
      <c r="AG151" s="159"/>
      <c r="AH151" s="26"/>
    </row>
    <row r="152" spans="1:35" x14ac:dyDescent="0.25">
      <c r="A152" s="17" t="s">
        <v>454</v>
      </c>
      <c r="B152" s="18"/>
      <c r="C152" s="18"/>
      <c r="D152" s="158"/>
      <c r="E152" s="203">
        <f t="shared" ref="E152:AH152" si="17">-$E$97</f>
        <v>10777.072507411787</v>
      </c>
      <c r="F152" s="203">
        <f t="shared" si="17"/>
        <v>10777.072507411787</v>
      </c>
      <c r="G152" s="203">
        <f t="shared" si="17"/>
        <v>10777.072507411787</v>
      </c>
      <c r="H152" s="203">
        <f t="shared" si="17"/>
        <v>10777.072507411787</v>
      </c>
      <c r="I152" s="203">
        <f t="shared" si="17"/>
        <v>10777.072507411787</v>
      </c>
      <c r="J152" s="203">
        <f t="shared" si="17"/>
        <v>10777.072507411787</v>
      </c>
      <c r="K152" s="203">
        <f t="shared" si="17"/>
        <v>10777.072507411787</v>
      </c>
      <c r="L152" s="203">
        <f t="shared" si="17"/>
        <v>10777.072507411787</v>
      </c>
      <c r="M152" s="203">
        <f t="shared" si="17"/>
        <v>10777.072507411787</v>
      </c>
      <c r="N152" s="98">
        <f t="shared" si="17"/>
        <v>10777.072507411787</v>
      </c>
      <c r="O152" s="203">
        <f t="shared" si="17"/>
        <v>10777.072507411787</v>
      </c>
      <c r="P152" s="98">
        <f t="shared" si="17"/>
        <v>10777.072507411787</v>
      </c>
      <c r="Q152" s="203">
        <f t="shared" si="17"/>
        <v>10777.072507411787</v>
      </c>
      <c r="R152" s="98">
        <f t="shared" si="17"/>
        <v>10777.072507411787</v>
      </c>
      <c r="S152" s="203">
        <f t="shared" si="17"/>
        <v>10777.072507411787</v>
      </c>
      <c r="T152" s="98">
        <f t="shared" si="17"/>
        <v>10777.072507411787</v>
      </c>
      <c r="U152" s="203">
        <f t="shared" si="17"/>
        <v>10777.072507411787</v>
      </c>
      <c r="V152" s="98">
        <f t="shared" si="17"/>
        <v>10777.072507411787</v>
      </c>
      <c r="W152" s="203">
        <f t="shared" si="17"/>
        <v>10777.072507411787</v>
      </c>
      <c r="X152" s="98">
        <f t="shared" si="17"/>
        <v>10777.072507411787</v>
      </c>
      <c r="Y152" s="203">
        <f t="shared" si="17"/>
        <v>10777.072507411787</v>
      </c>
      <c r="Z152" s="98">
        <f t="shared" si="17"/>
        <v>10777.072507411787</v>
      </c>
      <c r="AA152" s="203">
        <f t="shared" si="17"/>
        <v>10777.072507411787</v>
      </c>
      <c r="AB152" s="98">
        <f t="shared" si="17"/>
        <v>10777.072507411787</v>
      </c>
      <c r="AC152" s="203">
        <f t="shared" si="17"/>
        <v>10777.072507411787</v>
      </c>
      <c r="AD152" s="98">
        <f t="shared" si="17"/>
        <v>10777.072507411787</v>
      </c>
      <c r="AE152" s="203">
        <f t="shared" si="17"/>
        <v>10777.072507411787</v>
      </c>
      <c r="AF152" s="98">
        <f t="shared" si="17"/>
        <v>10777.072507411787</v>
      </c>
      <c r="AG152" s="203">
        <f t="shared" si="17"/>
        <v>10777.072507411787</v>
      </c>
      <c r="AH152" s="217">
        <f t="shared" si="17"/>
        <v>10777.072507411787</v>
      </c>
    </row>
    <row r="153" spans="1:35" x14ac:dyDescent="0.25">
      <c r="A153" s="17" t="s">
        <v>455</v>
      </c>
      <c r="B153" s="18"/>
      <c r="C153" s="18"/>
      <c r="D153" s="158"/>
      <c r="E153" s="352">
        <f t="shared" ref="E153:AH153" si="18">$L$95</f>
        <v>10000</v>
      </c>
      <c r="F153" s="352">
        <f t="shared" si="18"/>
        <v>10000</v>
      </c>
      <c r="G153" s="352">
        <f t="shared" si="18"/>
        <v>10000</v>
      </c>
      <c r="H153" s="352">
        <f t="shared" si="18"/>
        <v>10000</v>
      </c>
      <c r="I153" s="352">
        <f t="shared" si="18"/>
        <v>10000</v>
      </c>
      <c r="J153" s="352">
        <f t="shared" si="18"/>
        <v>10000</v>
      </c>
      <c r="K153" s="352">
        <f t="shared" si="18"/>
        <v>10000</v>
      </c>
      <c r="L153" s="352">
        <f t="shared" si="18"/>
        <v>10000</v>
      </c>
      <c r="M153" s="352">
        <f t="shared" si="18"/>
        <v>10000</v>
      </c>
      <c r="N153" s="352">
        <f t="shared" si="18"/>
        <v>10000</v>
      </c>
      <c r="O153" s="352">
        <f t="shared" si="18"/>
        <v>10000</v>
      </c>
      <c r="P153" s="352">
        <f t="shared" si="18"/>
        <v>10000</v>
      </c>
      <c r="Q153" s="352">
        <f t="shared" si="18"/>
        <v>10000</v>
      </c>
      <c r="R153" s="352">
        <f t="shared" si="18"/>
        <v>10000</v>
      </c>
      <c r="S153" s="352">
        <f t="shared" si="18"/>
        <v>10000</v>
      </c>
      <c r="T153" s="352">
        <f t="shared" si="18"/>
        <v>10000</v>
      </c>
      <c r="U153" s="352">
        <f t="shared" si="18"/>
        <v>10000</v>
      </c>
      <c r="V153" s="352">
        <f t="shared" si="18"/>
        <v>10000</v>
      </c>
      <c r="W153" s="352">
        <f t="shared" si="18"/>
        <v>10000</v>
      </c>
      <c r="X153" s="352">
        <f t="shared" si="18"/>
        <v>10000</v>
      </c>
      <c r="Y153" s="352">
        <f t="shared" si="18"/>
        <v>10000</v>
      </c>
      <c r="Z153" s="352">
        <f t="shared" si="18"/>
        <v>10000</v>
      </c>
      <c r="AA153" s="352">
        <f t="shared" si="18"/>
        <v>10000</v>
      </c>
      <c r="AB153" s="352">
        <f t="shared" si="18"/>
        <v>10000</v>
      </c>
      <c r="AC153" s="352">
        <f t="shared" si="18"/>
        <v>10000</v>
      </c>
      <c r="AD153" s="352">
        <f t="shared" si="18"/>
        <v>10000</v>
      </c>
      <c r="AE153" s="352">
        <f t="shared" si="18"/>
        <v>10000</v>
      </c>
      <c r="AF153" s="352">
        <f t="shared" si="18"/>
        <v>10000</v>
      </c>
      <c r="AG153" s="352">
        <f t="shared" si="18"/>
        <v>10000</v>
      </c>
      <c r="AH153" s="459">
        <f t="shared" si="18"/>
        <v>10000</v>
      </c>
    </row>
    <row r="154" spans="1:35" x14ac:dyDescent="0.25">
      <c r="A154" s="17" t="s">
        <v>456</v>
      </c>
      <c r="B154" s="18"/>
      <c r="C154" s="18"/>
      <c r="D154" s="158"/>
      <c r="E154" s="352">
        <f t="shared" ref="E154:AH154" si="19">$L$96</f>
        <v>0</v>
      </c>
      <c r="F154" s="352">
        <f t="shared" si="19"/>
        <v>0</v>
      </c>
      <c r="G154" s="352">
        <f t="shared" si="19"/>
        <v>0</v>
      </c>
      <c r="H154" s="352">
        <f t="shared" si="19"/>
        <v>0</v>
      </c>
      <c r="I154" s="352">
        <f t="shared" si="19"/>
        <v>0</v>
      </c>
      <c r="J154" s="352">
        <f t="shared" si="19"/>
        <v>0</v>
      </c>
      <c r="K154" s="352">
        <f t="shared" si="19"/>
        <v>0</v>
      </c>
      <c r="L154" s="352">
        <f t="shared" si="19"/>
        <v>0</v>
      </c>
      <c r="M154" s="352">
        <f t="shared" si="19"/>
        <v>0</v>
      </c>
      <c r="N154" s="352">
        <f t="shared" si="19"/>
        <v>0</v>
      </c>
      <c r="O154" s="352">
        <f t="shared" si="19"/>
        <v>0</v>
      </c>
      <c r="P154" s="352">
        <f t="shared" si="19"/>
        <v>0</v>
      </c>
      <c r="Q154" s="352">
        <f t="shared" si="19"/>
        <v>0</v>
      </c>
      <c r="R154" s="352">
        <f t="shared" si="19"/>
        <v>0</v>
      </c>
      <c r="S154" s="352">
        <f t="shared" si="19"/>
        <v>0</v>
      </c>
      <c r="T154" s="352">
        <f t="shared" si="19"/>
        <v>0</v>
      </c>
      <c r="U154" s="352">
        <f t="shared" si="19"/>
        <v>0</v>
      </c>
      <c r="V154" s="352">
        <f t="shared" si="19"/>
        <v>0</v>
      </c>
      <c r="W154" s="352">
        <f t="shared" si="19"/>
        <v>0</v>
      </c>
      <c r="X154" s="352">
        <f t="shared" si="19"/>
        <v>0</v>
      </c>
      <c r="Y154" s="352">
        <f t="shared" si="19"/>
        <v>0</v>
      </c>
      <c r="Z154" s="352">
        <f t="shared" si="19"/>
        <v>0</v>
      </c>
      <c r="AA154" s="352">
        <f t="shared" si="19"/>
        <v>0</v>
      </c>
      <c r="AB154" s="352">
        <f t="shared" si="19"/>
        <v>0</v>
      </c>
      <c r="AC154" s="352">
        <f t="shared" si="19"/>
        <v>0</v>
      </c>
      <c r="AD154" s="352">
        <f t="shared" si="19"/>
        <v>0</v>
      </c>
      <c r="AE154" s="352">
        <f t="shared" si="19"/>
        <v>0</v>
      </c>
      <c r="AF154" s="352">
        <f t="shared" si="19"/>
        <v>0</v>
      </c>
      <c r="AG154" s="352">
        <f t="shared" si="19"/>
        <v>0</v>
      </c>
      <c r="AH154" s="459">
        <f t="shared" si="19"/>
        <v>0</v>
      </c>
    </row>
    <row r="155" spans="1:35" x14ac:dyDescent="0.25">
      <c r="A155" s="17" t="s">
        <v>121</v>
      </c>
      <c r="B155" s="24"/>
      <c r="C155" s="24"/>
      <c r="D155" s="161"/>
      <c r="E155" s="149"/>
      <c r="F155" s="149"/>
      <c r="G155" s="149"/>
      <c r="H155" s="149"/>
      <c r="I155" s="149"/>
      <c r="J155" s="149"/>
      <c r="K155" s="149"/>
      <c r="L155" s="149"/>
      <c r="M155" s="149"/>
      <c r="N155" s="200">
        <f>N143*$L$97</f>
        <v>144063.2099343689</v>
      </c>
      <c r="O155" s="149"/>
      <c r="P155" s="200"/>
      <c r="Q155" s="149"/>
      <c r="R155" s="200"/>
      <c r="S155" s="200">
        <f>S143*$L$97</f>
        <v>0</v>
      </c>
      <c r="T155" s="200"/>
      <c r="U155" s="149"/>
      <c r="V155" s="200"/>
      <c r="W155" s="149"/>
      <c r="X155" s="200">
        <f>X143*$L$97</f>
        <v>0</v>
      </c>
      <c r="Y155" s="149"/>
      <c r="Z155" s="200"/>
      <c r="AA155" s="149"/>
      <c r="AB155" s="200"/>
      <c r="AC155" s="200">
        <f>AC143*$L$97</f>
        <v>0</v>
      </c>
      <c r="AD155" s="200"/>
      <c r="AE155" s="149"/>
      <c r="AF155" s="200"/>
      <c r="AG155" s="149"/>
      <c r="AH155" s="134">
        <f>AH143*$L$97</f>
        <v>2.3339907784247772E-11</v>
      </c>
    </row>
    <row r="156" spans="1:35" x14ac:dyDescent="0.25">
      <c r="A156" s="17" t="s">
        <v>122</v>
      </c>
      <c r="B156" s="24"/>
      <c r="C156" s="24"/>
      <c r="D156" s="161"/>
      <c r="E156" s="149"/>
      <c r="F156" s="149"/>
      <c r="G156" s="149"/>
      <c r="H156" s="149"/>
      <c r="I156" s="149"/>
      <c r="J156" s="149"/>
      <c r="K156" s="149"/>
      <c r="L156" s="149"/>
      <c r="M156" s="149"/>
      <c r="N156" s="200">
        <f>IF($C$11=10,V174,0)</f>
        <v>154853.750660633</v>
      </c>
      <c r="O156" s="149"/>
      <c r="P156" s="201"/>
      <c r="Q156" s="149"/>
      <c r="R156" s="200"/>
      <c r="S156" s="149">
        <f>IF($C$11=15,V179,0)</f>
        <v>0</v>
      </c>
      <c r="T156" s="200"/>
      <c r="U156" s="149"/>
      <c r="V156" s="200"/>
      <c r="W156" s="149"/>
      <c r="X156" s="200">
        <f>IF($C$11=20,V184,0)</f>
        <v>0</v>
      </c>
      <c r="Y156" s="149"/>
      <c r="Z156" s="200"/>
      <c r="AA156" s="149"/>
      <c r="AB156" s="200"/>
      <c r="AC156" s="149">
        <f>IF($C$11=25,V189,0)</f>
        <v>0</v>
      </c>
      <c r="AD156" s="200"/>
      <c r="AE156" s="149"/>
      <c r="AF156" s="200"/>
      <c r="AG156" s="149"/>
      <c r="AH156" s="134">
        <f>IF($C$11=30,V194,0)</f>
        <v>0</v>
      </c>
    </row>
    <row r="157" spans="1:35" ht="16.5" thickBot="1" x14ac:dyDescent="0.3">
      <c r="A157" s="125" t="s">
        <v>3</v>
      </c>
      <c r="B157" s="30"/>
      <c r="C157" s="30"/>
      <c r="D157" s="451">
        <f>D151</f>
        <v>-300000</v>
      </c>
      <c r="E157" s="162">
        <f>SUM(E152:E156)</f>
        <v>20777.072507411787</v>
      </c>
      <c r="F157" s="162">
        <f t="shared" ref="F157:AH157" si="20">SUM(F152:F156)</f>
        <v>20777.072507411787</v>
      </c>
      <c r="G157" s="162">
        <f t="shared" si="20"/>
        <v>20777.072507411787</v>
      </c>
      <c r="H157" s="162">
        <f t="shared" si="20"/>
        <v>20777.072507411787</v>
      </c>
      <c r="I157" s="162">
        <f t="shared" si="20"/>
        <v>20777.072507411787</v>
      </c>
      <c r="J157" s="162">
        <f t="shared" si="20"/>
        <v>20777.072507411787</v>
      </c>
      <c r="K157" s="162">
        <f t="shared" si="20"/>
        <v>20777.072507411787</v>
      </c>
      <c r="L157" s="162">
        <f t="shared" si="20"/>
        <v>20777.072507411787</v>
      </c>
      <c r="M157" s="162">
        <f t="shared" si="20"/>
        <v>20777.072507411787</v>
      </c>
      <c r="N157" s="162">
        <f t="shared" si="20"/>
        <v>319694.0331024137</v>
      </c>
      <c r="O157" s="162">
        <f t="shared" si="20"/>
        <v>20777.072507411787</v>
      </c>
      <c r="P157" s="162">
        <f t="shared" si="20"/>
        <v>20777.072507411787</v>
      </c>
      <c r="Q157" s="162">
        <f t="shared" si="20"/>
        <v>20777.072507411787</v>
      </c>
      <c r="R157" s="162">
        <f t="shared" si="20"/>
        <v>20777.072507411787</v>
      </c>
      <c r="S157" s="162">
        <f t="shared" si="20"/>
        <v>20777.072507411787</v>
      </c>
      <c r="T157" s="162">
        <f t="shared" si="20"/>
        <v>20777.072507411787</v>
      </c>
      <c r="U157" s="162">
        <f t="shared" si="20"/>
        <v>20777.072507411787</v>
      </c>
      <c r="V157" s="162">
        <f t="shared" si="20"/>
        <v>20777.072507411787</v>
      </c>
      <c r="W157" s="162">
        <f t="shared" si="20"/>
        <v>20777.072507411787</v>
      </c>
      <c r="X157" s="162">
        <f t="shared" si="20"/>
        <v>20777.072507411787</v>
      </c>
      <c r="Y157" s="162">
        <f t="shared" si="20"/>
        <v>20777.072507411787</v>
      </c>
      <c r="Z157" s="162">
        <f t="shared" si="20"/>
        <v>20777.072507411787</v>
      </c>
      <c r="AA157" s="162">
        <f t="shared" si="20"/>
        <v>20777.072507411787</v>
      </c>
      <c r="AB157" s="162">
        <f t="shared" si="20"/>
        <v>20777.072507411787</v>
      </c>
      <c r="AC157" s="162">
        <f t="shared" si="20"/>
        <v>20777.072507411787</v>
      </c>
      <c r="AD157" s="162">
        <f t="shared" si="20"/>
        <v>20777.072507411787</v>
      </c>
      <c r="AE157" s="162">
        <f t="shared" si="20"/>
        <v>20777.072507411787</v>
      </c>
      <c r="AF157" s="162">
        <f t="shared" si="20"/>
        <v>20777.072507411787</v>
      </c>
      <c r="AG157" s="162">
        <f t="shared" si="20"/>
        <v>20777.072507411787</v>
      </c>
      <c r="AH157" s="440">
        <f t="shared" si="20"/>
        <v>20777.072507411809</v>
      </c>
    </row>
    <row r="158" spans="1:35" ht="16.5" thickBot="1" x14ac:dyDescent="0.3">
      <c r="A158" s="19" t="s">
        <v>116</v>
      </c>
      <c r="B158" s="20"/>
      <c r="C158" s="346" t="s">
        <v>19</v>
      </c>
      <c r="D158" s="347">
        <f>D9</f>
        <v>0.05</v>
      </c>
      <c r="E158" s="163"/>
      <c r="F158" s="163"/>
      <c r="G158" s="163"/>
      <c r="H158" s="163"/>
      <c r="I158" s="163"/>
      <c r="J158" s="163"/>
      <c r="K158" s="163"/>
      <c r="L158" s="163"/>
      <c r="M158" s="163"/>
      <c r="N158" s="292">
        <f>IFERROR(IF($C$11=10,IRR(D157:N157),0),0)</f>
        <v>6.8994372356951272E-2</v>
      </c>
      <c r="O158" s="299"/>
      <c r="P158" s="141"/>
      <c r="Q158" s="291"/>
      <c r="R158" s="141"/>
      <c r="S158" s="293">
        <f>IFERROR(IF($C$11=15,IRR(D157:S157),0),0)</f>
        <v>0</v>
      </c>
      <c r="T158" s="300"/>
      <c r="U158" s="291"/>
      <c r="V158" s="141"/>
      <c r="W158" s="291"/>
      <c r="X158" s="292">
        <f>IFERROR(IF($C$11=20,IRR(D157:X157),0),0)</f>
        <v>0</v>
      </c>
      <c r="Y158" s="299"/>
      <c r="Z158" s="141"/>
      <c r="AA158" s="291"/>
      <c r="AB158" s="141"/>
      <c r="AC158" s="293">
        <f>IFERROR(IF($C$11=25,IRR(D157:AC157),0),0)</f>
        <v>0</v>
      </c>
      <c r="AD158" s="300"/>
      <c r="AE158" s="291"/>
      <c r="AF158" s="141"/>
      <c r="AG158" s="291"/>
      <c r="AH158" s="152">
        <f>IFERROR(IF($C$11=30,IRR(D157:AH157),0),0)</f>
        <v>0</v>
      </c>
      <c r="AI158" s="262"/>
    </row>
    <row r="159" spans="1:35" ht="16.5" thickBot="1" x14ac:dyDescent="0.3">
      <c r="A159" s="118" t="s">
        <v>117</v>
      </c>
      <c r="B159" s="31"/>
      <c r="C159" s="346" t="s">
        <v>19</v>
      </c>
      <c r="D159" s="351">
        <f>D9</f>
        <v>0.05</v>
      </c>
      <c r="E159" s="164"/>
      <c r="F159" s="164"/>
      <c r="G159" s="164"/>
      <c r="H159" s="164"/>
      <c r="I159" s="164"/>
      <c r="J159" s="164"/>
      <c r="K159" s="164"/>
      <c r="L159" s="164"/>
      <c r="M159" s="164"/>
      <c r="N159" s="445">
        <f>IF(C11=10,(NPV(L98,E157:N157))+D157,0)</f>
        <v>43944.130324079539</v>
      </c>
      <c r="O159" s="446"/>
      <c r="P159" s="447"/>
      <c r="Q159" s="446"/>
      <c r="R159" s="447"/>
      <c r="S159" s="448">
        <f>IF($C$11=15,(NPV(L98,E157:S157))+D157,0)</f>
        <v>0</v>
      </c>
      <c r="T159" s="447"/>
      <c r="U159" s="446"/>
      <c r="V159" s="447"/>
      <c r="W159" s="446"/>
      <c r="X159" s="449">
        <f>IF($C$11=20,(NPV(L98,E157:X157))+D157,0)</f>
        <v>0</v>
      </c>
      <c r="Y159" s="446"/>
      <c r="Z159" s="447"/>
      <c r="AA159" s="446"/>
      <c r="AB159" s="447"/>
      <c r="AC159" s="448">
        <f>IF($C$11=25,(NPV(L98,E157:AC157))+D157,0)</f>
        <v>0</v>
      </c>
      <c r="AD159" s="447"/>
      <c r="AE159" s="446"/>
      <c r="AF159" s="447"/>
      <c r="AG159" s="446"/>
      <c r="AH159" s="450">
        <f>IF($C$11=30,(NPV(L98,E157:AH157))+D157,0)</f>
        <v>0</v>
      </c>
      <c r="AI159" s="157"/>
    </row>
    <row r="160" spans="1:35" x14ac:dyDescent="0.25">
      <c r="D160" s="165"/>
    </row>
    <row r="161" spans="1:30" ht="16.5" thickBot="1" x14ac:dyDescent="0.3">
      <c r="A161" s="166" t="s">
        <v>123</v>
      </c>
      <c r="D161" s="165"/>
    </row>
    <row r="162" spans="1:30" ht="16.5" thickBot="1" x14ac:dyDescent="0.3">
      <c r="A162" s="50" t="s">
        <v>540</v>
      </c>
      <c r="B162" s="44"/>
      <c r="C162" s="44"/>
      <c r="D162" s="44"/>
      <c r="E162" s="45"/>
      <c r="F162" s="50" t="s">
        <v>541</v>
      </c>
      <c r="G162" s="44"/>
      <c r="H162" s="44"/>
      <c r="I162" s="44"/>
      <c r="J162" s="45"/>
      <c r="K162" s="50" t="s">
        <v>124</v>
      </c>
      <c r="L162" s="44"/>
      <c r="M162" s="44"/>
      <c r="N162" s="44"/>
      <c r="O162" s="45"/>
      <c r="P162" s="50" t="s">
        <v>235</v>
      </c>
      <c r="Q162" s="44"/>
      <c r="R162" s="44"/>
      <c r="S162" s="44"/>
      <c r="T162" s="45"/>
      <c r="U162" s="50" t="s">
        <v>236</v>
      </c>
      <c r="V162" s="44"/>
      <c r="W162" s="44"/>
      <c r="X162" s="44"/>
      <c r="Y162" s="45"/>
      <c r="Z162" s="50" t="s">
        <v>237</v>
      </c>
      <c r="AA162" s="44"/>
      <c r="AB162" s="44"/>
      <c r="AC162" s="44"/>
      <c r="AD162" s="45"/>
    </row>
    <row r="163" spans="1:30" x14ac:dyDescent="0.25">
      <c r="A163" s="167"/>
      <c r="B163" s="168"/>
      <c r="C163" s="168"/>
      <c r="D163" s="168"/>
      <c r="E163" s="169"/>
      <c r="F163" s="167"/>
      <c r="G163" s="168"/>
      <c r="H163" s="168"/>
      <c r="I163" s="168"/>
      <c r="J163" s="169"/>
      <c r="K163" s="167"/>
      <c r="L163" s="168"/>
      <c r="M163" s="168"/>
      <c r="N163" s="168"/>
      <c r="O163" s="170"/>
      <c r="P163" s="218"/>
      <c r="Q163" s="171"/>
      <c r="R163" s="171"/>
      <c r="S163" s="171"/>
      <c r="T163" s="172"/>
      <c r="U163" s="218"/>
      <c r="V163" s="171"/>
      <c r="W163" s="171"/>
      <c r="X163" s="171"/>
      <c r="Y163" s="172"/>
      <c r="Z163" s="218"/>
      <c r="AA163" s="171"/>
      <c r="AB163" s="171"/>
      <c r="AC163" s="171"/>
      <c r="AD163" s="172"/>
    </row>
    <row r="164" spans="1:30" ht="16.5" thickBot="1" x14ac:dyDescent="0.3">
      <c r="A164" s="173" t="s">
        <v>125</v>
      </c>
      <c r="B164" s="174" t="s">
        <v>126</v>
      </c>
      <c r="C164" s="175" t="s">
        <v>127</v>
      </c>
      <c r="D164" s="174" t="s">
        <v>128</v>
      </c>
      <c r="E164" s="176" t="s">
        <v>129</v>
      </c>
      <c r="F164" s="173" t="s">
        <v>125</v>
      </c>
      <c r="G164" s="174" t="s">
        <v>126</v>
      </c>
      <c r="H164" s="175" t="s">
        <v>127</v>
      </c>
      <c r="I164" s="174" t="s">
        <v>128</v>
      </c>
      <c r="J164" s="176" t="s">
        <v>129</v>
      </c>
      <c r="K164" s="173" t="s">
        <v>125</v>
      </c>
      <c r="L164" s="174" t="s">
        <v>126</v>
      </c>
      <c r="M164" s="175" t="s">
        <v>127</v>
      </c>
      <c r="N164" s="174" t="s">
        <v>128</v>
      </c>
      <c r="O164" s="176" t="s">
        <v>129</v>
      </c>
      <c r="P164" s="173" t="s">
        <v>130</v>
      </c>
      <c r="Q164" s="177" t="s">
        <v>126</v>
      </c>
      <c r="R164" s="178" t="s">
        <v>127</v>
      </c>
      <c r="S164" s="177" t="s">
        <v>128</v>
      </c>
      <c r="T164" s="179" t="s">
        <v>129</v>
      </c>
      <c r="U164" s="173" t="s">
        <v>130</v>
      </c>
      <c r="V164" s="177" t="s">
        <v>126</v>
      </c>
      <c r="W164" s="178" t="s">
        <v>127</v>
      </c>
      <c r="X164" s="177" t="s">
        <v>128</v>
      </c>
      <c r="Y164" s="179" t="s">
        <v>129</v>
      </c>
      <c r="Z164" s="173" t="s">
        <v>130</v>
      </c>
      <c r="AA164" s="177" t="s">
        <v>126</v>
      </c>
      <c r="AB164" s="178" t="s">
        <v>127</v>
      </c>
      <c r="AC164" s="177" t="s">
        <v>128</v>
      </c>
      <c r="AD164" s="179" t="s">
        <v>129</v>
      </c>
    </row>
    <row r="165" spans="1:30" x14ac:dyDescent="0.25">
      <c r="A165" s="72">
        <v>0</v>
      </c>
      <c r="B165" s="180">
        <f>E89</f>
        <v>1372000</v>
      </c>
      <c r="C165" s="39"/>
      <c r="D165" s="159"/>
      <c r="E165" s="26"/>
      <c r="F165" s="72">
        <v>0</v>
      </c>
      <c r="G165" s="180">
        <f>E94</f>
        <v>200000</v>
      </c>
      <c r="H165" s="39"/>
      <c r="I165" s="159"/>
      <c r="J165" s="26"/>
      <c r="K165" s="72">
        <v>0</v>
      </c>
      <c r="L165" s="180">
        <f>B165+G165</f>
        <v>1572000</v>
      </c>
      <c r="M165" s="39"/>
      <c r="N165" s="159"/>
      <c r="O165" s="26"/>
      <c r="P165" s="72">
        <v>1</v>
      </c>
      <c r="Q165" s="149">
        <f>B177</f>
        <v>1351757.9874588142</v>
      </c>
      <c r="R165" s="200">
        <f>SUM(C166:C177)</f>
        <v>88382.312012718568</v>
      </c>
      <c r="S165" s="259">
        <f>SUM(D166:D177)</f>
        <v>68140.299471532737</v>
      </c>
      <c r="T165" s="134">
        <f>SUM(E166:E177)</f>
        <v>20242.012541185839</v>
      </c>
      <c r="U165" s="72">
        <v>1</v>
      </c>
      <c r="V165" s="180">
        <f>G177</f>
        <v>196161.74399586758</v>
      </c>
      <c r="W165" s="181">
        <f>SUM(H166:H177)</f>
        <v>10777.072507411787</v>
      </c>
      <c r="X165" s="182">
        <f>SUM(I166:I177)</f>
        <v>6938.8165032793941</v>
      </c>
      <c r="Y165" s="132">
        <f>SUM(J166:J177)</f>
        <v>3838.2560041323927</v>
      </c>
      <c r="Z165" s="72">
        <v>1</v>
      </c>
      <c r="AA165" s="180">
        <f>Q165+V165</f>
        <v>1547919.7314546818</v>
      </c>
      <c r="AB165" s="180">
        <f t="shared" ref="AB165:AD180" si="21">R165+W165</f>
        <v>99159.384520130348</v>
      </c>
      <c r="AC165" s="180">
        <f t="shared" si="21"/>
        <v>75079.115974812128</v>
      </c>
      <c r="AD165" s="212">
        <f t="shared" si="21"/>
        <v>24080.268545318231</v>
      </c>
    </row>
    <row r="166" spans="1:30" x14ac:dyDescent="0.25">
      <c r="A166" s="72">
        <v>1</v>
      </c>
      <c r="B166" s="183">
        <f t="shared" ref="B166:B229" si="22">B165-E166</f>
        <v>1370351.4739989401</v>
      </c>
      <c r="C166" s="184">
        <f>-Office!$E$92/12</f>
        <v>7365.1926677265483</v>
      </c>
      <c r="D166" s="183">
        <f>Office!$E$90/12*B165</f>
        <v>5716.666666666667</v>
      </c>
      <c r="E166" s="185">
        <f t="shared" ref="E166:E229" si="23">C166-D166</f>
        <v>1648.5260010598813</v>
      </c>
      <c r="F166" s="72">
        <v>1</v>
      </c>
      <c r="G166" s="180">
        <f t="shared" ref="G166:G229" si="24">G165-J166</f>
        <v>199685.24395771569</v>
      </c>
      <c r="H166" s="186">
        <f>-Office!$E$97/12</f>
        <v>898.0893756176489</v>
      </c>
      <c r="I166" s="149">
        <f>Office!$E$95/12*G165</f>
        <v>583.33333333333337</v>
      </c>
      <c r="J166" s="187">
        <f t="shared" ref="J166:J229" si="25">H166-I166</f>
        <v>314.75604228431553</v>
      </c>
      <c r="K166" s="72">
        <v>1</v>
      </c>
      <c r="L166" s="180">
        <f t="shared" ref="L166:O229" si="26">G166+B166</f>
        <v>1570036.7179566557</v>
      </c>
      <c r="M166" s="181">
        <f t="shared" si="26"/>
        <v>8263.2820433441975</v>
      </c>
      <c r="N166" s="180">
        <f t="shared" si="26"/>
        <v>6300</v>
      </c>
      <c r="O166" s="132">
        <f t="shared" si="26"/>
        <v>1963.2820433441968</v>
      </c>
      <c r="P166" s="72">
        <v>2</v>
      </c>
      <c r="Q166" s="149">
        <f>B189</f>
        <v>1330480.3551390753</v>
      </c>
      <c r="R166" s="200">
        <f>SUM(C178:C189)</f>
        <v>88382.312012718568</v>
      </c>
      <c r="S166" s="149">
        <f>SUM(D178:D189)</f>
        <v>67104.679692979829</v>
      </c>
      <c r="T166" s="134">
        <f>SUM(E178:E189)</f>
        <v>21277.632319738746</v>
      </c>
      <c r="U166" s="72">
        <v>2</v>
      </c>
      <c r="V166" s="180">
        <f>G189</f>
        <v>192186.97292104166</v>
      </c>
      <c r="W166" s="181">
        <f>SUM(H178:H189)</f>
        <v>10777.072507411787</v>
      </c>
      <c r="X166" s="180">
        <f>SUM(I178:I189)</f>
        <v>6802.3014325858276</v>
      </c>
      <c r="Y166" s="132">
        <f>SUM(J178:J189)</f>
        <v>3974.7710748259587</v>
      </c>
      <c r="Z166" s="72">
        <v>2</v>
      </c>
      <c r="AA166" s="180">
        <f t="shared" ref="AA166:AD181" si="27">Q166+V166</f>
        <v>1522667.3280601171</v>
      </c>
      <c r="AB166" s="180">
        <f t="shared" si="21"/>
        <v>99159.384520130348</v>
      </c>
      <c r="AC166" s="180">
        <f t="shared" si="21"/>
        <v>73906.981125565653</v>
      </c>
      <c r="AD166" s="212">
        <f t="shared" si="21"/>
        <v>25252.403394564706</v>
      </c>
    </row>
    <row r="167" spans="1:30" x14ac:dyDescent="0.25">
      <c r="A167" s="72">
        <f t="shared" ref="A167:A230" si="28">A166+1</f>
        <v>2</v>
      </c>
      <c r="B167" s="183">
        <f t="shared" si="22"/>
        <v>1368696.0791395425</v>
      </c>
      <c r="C167" s="184">
        <f>-Office!$E$92/12</f>
        <v>7365.1926677265483</v>
      </c>
      <c r="D167" s="183">
        <f>Office!$E$90/12*B166</f>
        <v>5709.7978083289172</v>
      </c>
      <c r="E167" s="185">
        <f t="shared" si="23"/>
        <v>1655.3948593976311</v>
      </c>
      <c r="F167" s="72">
        <f t="shared" ref="F167:F230" si="29">F166+1</f>
        <v>2</v>
      </c>
      <c r="G167" s="180">
        <f t="shared" si="24"/>
        <v>199369.56987697471</v>
      </c>
      <c r="H167" s="186">
        <f>-Office!$E$97/12</f>
        <v>898.0893756176489</v>
      </c>
      <c r="I167" s="149">
        <f>Office!$E$95/12*G166</f>
        <v>582.41529487667083</v>
      </c>
      <c r="J167" s="187">
        <f t="shared" si="25"/>
        <v>315.67408074097807</v>
      </c>
      <c r="K167" s="72">
        <f t="shared" ref="K167:K230" si="30">K166+1</f>
        <v>2</v>
      </c>
      <c r="L167" s="180">
        <f t="shared" si="26"/>
        <v>1568065.6490165172</v>
      </c>
      <c r="M167" s="181">
        <f t="shared" si="26"/>
        <v>8263.2820433441975</v>
      </c>
      <c r="N167" s="180">
        <f t="shared" si="26"/>
        <v>6292.2131032055877</v>
      </c>
      <c r="O167" s="132">
        <f t="shared" si="26"/>
        <v>1971.0689401386092</v>
      </c>
      <c r="P167" s="72">
        <v>3</v>
      </c>
      <c r="Q167" s="149">
        <f>B201</f>
        <v>1308114.1187674291</v>
      </c>
      <c r="R167" s="200">
        <f>SUM(C190:C201)</f>
        <v>88382.312012718568</v>
      </c>
      <c r="S167" s="149">
        <f>SUM(D190:D201)</f>
        <v>66016.075641072297</v>
      </c>
      <c r="T167" s="134">
        <f>SUM(E190:E201)</f>
        <v>22366.236371646293</v>
      </c>
      <c r="U167" s="72">
        <v>3</v>
      </c>
      <c r="V167" s="180">
        <f>G201</f>
        <v>188070.83135042636</v>
      </c>
      <c r="W167" s="181">
        <f>SUM(H190:H201)</f>
        <v>10777.072507411787</v>
      </c>
      <c r="X167" s="180">
        <f>SUM(I190:I201)</f>
        <v>6660.9309367964906</v>
      </c>
      <c r="Y167" s="132">
        <f>SUM(J190:J201)</f>
        <v>4116.1415706152975</v>
      </c>
      <c r="Z167" s="72">
        <v>3</v>
      </c>
      <c r="AA167" s="180">
        <f t="shared" si="27"/>
        <v>1496184.9501178556</v>
      </c>
      <c r="AB167" s="180">
        <f t="shared" si="21"/>
        <v>99159.384520130348</v>
      </c>
      <c r="AC167" s="180">
        <f t="shared" si="21"/>
        <v>72677.006577868786</v>
      </c>
      <c r="AD167" s="212">
        <f t="shared" si="21"/>
        <v>26482.377942261592</v>
      </c>
    </row>
    <row r="168" spans="1:30" x14ac:dyDescent="0.25">
      <c r="A168" s="72">
        <f t="shared" si="28"/>
        <v>3</v>
      </c>
      <c r="B168" s="183">
        <f t="shared" si="22"/>
        <v>1367033.786801564</v>
      </c>
      <c r="C168" s="184">
        <f>-Office!$E$92/12</f>
        <v>7365.1926677265483</v>
      </c>
      <c r="D168" s="183">
        <f>Office!$E$90/12*B167</f>
        <v>5702.900329748094</v>
      </c>
      <c r="E168" s="185">
        <f t="shared" si="23"/>
        <v>1662.2923379784543</v>
      </c>
      <c r="F168" s="72">
        <f t="shared" si="29"/>
        <v>3</v>
      </c>
      <c r="G168" s="180">
        <f t="shared" si="24"/>
        <v>199052.97508016491</v>
      </c>
      <c r="H168" s="186">
        <f>-Office!$E$97/12</f>
        <v>898.0893756176489</v>
      </c>
      <c r="I168" s="149">
        <f>Office!$E$95/12*G167</f>
        <v>581.49457880784291</v>
      </c>
      <c r="J168" s="187">
        <f t="shared" si="25"/>
        <v>316.59479680980598</v>
      </c>
      <c r="K168" s="72">
        <f t="shared" si="30"/>
        <v>3</v>
      </c>
      <c r="L168" s="180">
        <f t="shared" si="26"/>
        <v>1566086.7618817289</v>
      </c>
      <c r="M168" s="181">
        <f t="shared" si="26"/>
        <v>8263.2820433441975</v>
      </c>
      <c r="N168" s="180">
        <f t="shared" si="26"/>
        <v>6284.394908555937</v>
      </c>
      <c r="O168" s="132">
        <f t="shared" si="26"/>
        <v>1978.8871347882603</v>
      </c>
      <c r="P168" s="72">
        <v>4</v>
      </c>
      <c r="Q168" s="149">
        <f>B213</f>
        <v>1284603.5832945381</v>
      </c>
      <c r="R168" s="200">
        <f>SUM(C202:C213)</f>
        <v>88382.312012718568</v>
      </c>
      <c r="S168" s="149">
        <f>SUM(D202:D213)</f>
        <v>64871.776539827428</v>
      </c>
      <c r="T168" s="134">
        <f>SUM(E202:E213)</f>
        <v>23510.535472891159</v>
      </c>
      <c r="U168" s="72">
        <v>4</v>
      </c>
      <c r="V168" s="180">
        <f>G213</f>
        <v>183808.29116625001</v>
      </c>
      <c r="W168" s="181">
        <f>SUM(H202:H213)</f>
        <v>10777.072507411787</v>
      </c>
      <c r="X168" s="180">
        <f>SUM(I202:I213)</f>
        <v>6514.5323232354604</v>
      </c>
      <c r="Y168" s="132">
        <f>SUM(J202:J213)</f>
        <v>4262.5401841763251</v>
      </c>
      <c r="Z168" s="72">
        <v>4</v>
      </c>
      <c r="AA168" s="180">
        <f t="shared" si="27"/>
        <v>1468411.874460788</v>
      </c>
      <c r="AB168" s="180">
        <f t="shared" si="21"/>
        <v>99159.384520130348</v>
      </c>
      <c r="AC168" s="180">
        <f t="shared" si="21"/>
        <v>71386.308863062892</v>
      </c>
      <c r="AD168" s="212">
        <f t="shared" si="21"/>
        <v>27773.075657067486</v>
      </c>
    </row>
    <row r="169" spans="1:30" x14ac:dyDescent="0.25">
      <c r="A169" s="72">
        <f t="shared" si="28"/>
        <v>4</v>
      </c>
      <c r="B169" s="183">
        <f t="shared" si="22"/>
        <v>1365364.5682455106</v>
      </c>
      <c r="C169" s="184">
        <f>-Office!$E$92/12</f>
        <v>7365.1926677265483</v>
      </c>
      <c r="D169" s="183">
        <f>Office!$E$90/12*B168</f>
        <v>5695.9741116731839</v>
      </c>
      <c r="E169" s="185">
        <f t="shared" si="23"/>
        <v>1669.2185560533644</v>
      </c>
      <c r="F169" s="72">
        <f t="shared" si="29"/>
        <v>4</v>
      </c>
      <c r="G169" s="180">
        <f t="shared" si="24"/>
        <v>198735.4568818644</v>
      </c>
      <c r="H169" s="186">
        <f>-Office!$E$97/12</f>
        <v>898.0893756176489</v>
      </c>
      <c r="I169" s="149">
        <f>Office!$E$95/12*G168</f>
        <v>580.57117731714766</v>
      </c>
      <c r="J169" s="187">
        <f t="shared" si="25"/>
        <v>317.51819830050124</v>
      </c>
      <c r="K169" s="72">
        <f t="shared" si="30"/>
        <v>4</v>
      </c>
      <c r="L169" s="180">
        <f t="shared" si="26"/>
        <v>1564100.025127375</v>
      </c>
      <c r="M169" s="181">
        <f t="shared" si="26"/>
        <v>8263.2820433441975</v>
      </c>
      <c r="N169" s="180">
        <f t="shared" si="26"/>
        <v>6276.5452889903318</v>
      </c>
      <c r="O169" s="132">
        <f t="shared" si="26"/>
        <v>1986.7367543538658</v>
      </c>
      <c r="P169" s="72">
        <v>5</v>
      </c>
      <c r="Q169" s="149">
        <f>B225</f>
        <v>1259890.2042066378</v>
      </c>
      <c r="R169" s="200">
        <f>SUM(C214:C225)</f>
        <v>88382.312012718568</v>
      </c>
      <c r="S169" s="149">
        <f>SUM(D214:D225)</f>
        <v>63668.932924818495</v>
      </c>
      <c r="T169" s="134">
        <f>SUM(E214:E225)</f>
        <v>24713.379087900081</v>
      </c>
      <c r="U169" s="72">
        <v>5</v>
      </c>
      <c r="V169" s="180">
        <f>G225</f>
        <v>179394.14541591279</v>
      </c>
      <c r="W169" s="181">
        <f>SUM(H214:H225)</f>
        <v>10777.072507411787</v>
      </c>
      <c r="X169" s="180">
        <f>SUM(I214:I225)</f>
        <v>6362.926757074556</v>
      </c>
      <c r="Y169" s="132">
        <f>SUM(J214:J225)</f>
        <v>4414.145750337233</v>
      </c>
      <c r="Z169" s="72">
        <v>5</v>
      </c>
      <c r="AA169" s="180">
        <f t="shared" si="27"/>
        <v>1439284.3496225507</v>
      </c>
      <c r="AB169" s="180">
        <f t="shared" si="21"/>
        <v>99159.384520130348</v>
      </c>
      <c r="AC169" s="180">
        <f t="shared" si="21"/>
        <v>70031.859681893053</v>
      </c>
      <c r="AD169" s="212">
        <f t="shared" si="21"/>
        <v>29127.524838237314</v>
      </c>
    </row>
    <row r="170" spans="1:30" x14ac:dyDescent="0.25">
      <c r="A170" s="72">
        <f t="shared" si="28"/>
        <v>5</v>
      </c>
      <c r="B170" s="183">
        <f t="shared" si="22"/>
        <v>1363688.3946121403</v>
      </c>
      <c r="C170" s="184">
        <f>-Office!$E$92/12</f>
        <v>7365.1926677265483</v>
      </c>
      <c r="D170" s="183">
        <f>Office!$E$90/12*B169</f>
        <v>5689.0190343562936</v>
      </c>
      <c r="E170" s="185">
        <f t="shared" si="23"/>
        <v>1676.1736333702547</v>
      </c>
      <c r="F170" s="72">
        <f t="shared" si="29"/>
        <v>5</v>
      </c>
      <c r="G170" s="180">
        <f t="shared" si="24"/>
        <v>198417.01258881885</v>
      </c>
      <c r="H170" s="186">
        <f>-Office!$E$97/12</f>
        <v>898.0893756176489</v>
      </c>
      <c r="I170" s="149">
        <f>Office!$E$95/12*G169</f>
        <v>579.64508257210457</v>
      </c>
      <c r="J170" s="187">
        <f t="shared" si="25"/>
        <v>318.44429304554433</v>
      </c>
      <c r="K170" s="72">
        <f t="shared" si="30"/>
        <v>5</v>
      </c>
      <c r="L170" s="180">
        <f t="shared" si="26"/>
        <v>1562105.407200959</v>
      </c>
      <c r="M170" s="181">
        <f t="shared" si="26"/>
        <v>8263.2820433441975</v>
      </c>
      <c r="N170" s="180">
        <f t="shared" si="26"/>
        <v>6268.6641169283985</v>
      </c>
      <c r="O170" s="132">
        <f t="shared" si="26"/>
        <v>1994.617926415799</v>
      </c>
      <c r="P170" s="72">
        <v>6</v>
      </c>
      <c r="Q170" s="149">
        <f>B237</f>
        <v>1233912.4417415301</v>
      </c>
      <c r="R170" s="200">
        <f>SUM(C226:C237)</f>
        <v>88382.312012718568</v>
      </c>
      <c r="S170" s="149">
        <f>SUM(D226:D237)</f>
        <v>62404.549547610775</v>
      </c>
      <c r="T170" s="134">
        <f>SUM(E226:E237)</f>
        <v>25977.7624651078</v>
      </c>
      <c r="U170" s="72">
        <v>6</v>
      </c>
      <c r="V170" s="180">
        <f>G237</f>
        <v>174823.00195137673</v>
      </c>
      <c r="W170" s="181">
        <f>SUM(H226:H237)</f>
        <v>10777.072507411787</v>
      </c>
      <c r="X170" s="180">
        <f>SUM(I226:I237)</f>
        <v>6205.9290428756558</v>
      </c>
      <c r="Y170" s="132">
        <f>SUM(J226:J237)</f>
        <v>4571.1434645361314</v>
      </c>
      <c r="Z170" s="72">
        <v>6</v>
      </c>
      <c r="AA170" s="180">
        <f t="shared" si="27"/>
        <v>1408735.4436929068</v>
      </c>
      <c r="AB170" s="180">
        <f t="shared" si="21"/>
        <v>99159.384520130348</v>
      </c>
      <c r="AC170" s="180">
        <f t="shared" si="21"/>
        <v>68610.478590486426</v>
      </c>
      <c r="AD170" s="212">
        <f t="shared" si="21"/>
        <v>30548.90592964393</v>
      </c>
    </row>
    <row r="171" spans="1:30" x14ac:dyDescent="0.25">
      <c r="A171" s="72">
        <f t="shared" si="28"/>
        <v>6</v>
      </c>
      <c r="B171" s="183">
        <f t="shared" si="22"/>
        <v>1362005.2369219642</v>
      </c>
      <c r="C171" s="184">
        <f>-Office!$E$92/12</f>
        <v>7365.1926677265483</v>
      </c>
      <c r="D171" s="183">
        <f>Office!$E$90/12*B170</f>
        <v>5682.0349775505847</v>
      </c>
      <c r="E171" s="185">
        <f t="shared" si="23"/>
        <v>1683.1576901759636</v>
      </c>
      <c r="F171" s="72">
        <f t="shared" si="29"/>
        <v>6</v>
      </c>
      <c r="G171" s="180">
        <f t="shared" si="24"/>
        <v>198097.63949991859</v>
      </c>
      <c r="H171" s="186">
        <f>-Office!$E$97/12</f>
        <v>898.0893756176489</v>
      </c>
      <c r="I171" s="149">
        <f>Office!$E$95/12*G170</f>
        <v>578.71628671738836</v>
      </c>
      <c r="J171" s="187">
        <f t="shared" si="25"/>
        <v>319.37308890026054</v>
      </c>
      <c r="K171" s="72">
        <f t="shared" si="30"/>
        <v>6</v>
      </c>
      <c r="L171" s="180">
        <f t="shared" si="26"/>
        <v>1560102.8764218828</v>
      </c>
      <c r="M171" s="181">
        <f t="shared" si="26"/>
        <v>8263.2820433441975</v>
      </c>
      <c r="N171" s="180">
        <f t="shared" si="26"/>
        <v>6260.7512642679731</v>
      </c>
      <c r="O171" s="132">
        <f t="shared" si="26"/>
        <v>2002.530779076224</v>
      </c>
      <c r="P171" s="72">
        <v>7</v>
      </c>
      <c r="Q171" s="149">
        <f>B249</f>
        <v>1206605.6076459861</v>
      </c>
      <c r="R171" s="200">
        <f>SUM(C238:C249)</f>
        <v>88382.312012718568</v>
      </c>
      <c r="S171" s="149">
        <f>SUM(D238:D249)</f>
        <v>61075.47791717502</v>
      </c>
      <c r="T171" s="134">
        <f>SUM(E238:E249)</f>
        <v>27306.834095543563</v>
      </c>
      <c r="U171" s="72">
        <v>7</v>
      </c>
      <c r="V171" s="180">
        <f>G249</f>
        <v>170089.27684232817</v>
      </c>
      <c r="W171" s="181">
        <f>SUM(H238:H249)</f>
        <v>10777.072507411787</v>
      </c>
      <c r="X171" s="180">
        <f>SUM(I238:I249)</f>
        <v>6043.3473983632202</v>
      </c>
      <c r="Y171" s="132">
        <f>SUM(J238:J249)</f>
        <v>4733.725109048567</v>
      </c>
      <c r="Z171" s="72">
        <v>7</v>
      </c>
      <c r="AA171" s="180">
        <f t="shared" si="27"/>
        <v>1376694.8844883144</v>
      </c>
      <c r="AB171" s="180">
        <f t="shared" si="21"/>
        <v>99159.384520130348</v>
      </c>
      <c r="AC171" s="180">
        <f t="shared" si="21"/>
        <v>67118.825315538241</v>
      </c>
      <c r="AD171" s="212">
        <f t="shared" si="21"/>
        <v>32040.559204592129</v>
      </c>
    </row>
    <row r="172" spans="1:30" x14ac:dyDescent="0.25">
      <c r="A172" s="72">
        <f t="shared" si="28"/>
        <v>7</v>
      </c>
      <c r="B172" s="183">
        <f t="shared" si="22"/>
        <v>1360315.066074746</v>
      </c>
      <c r="C172" s="184">
        <f>-Office!$E$92/12</f>
        <v>7365.1926677265483</v>
      </c>
      <c r="D172" s="183">
        <f>Office!$E$90/12*B171</f>
        <v>5675.0218205081837</v>
      </c>
      <c r="E172" s="185">
        <f t="shared" si="23"/>
        <v>1690.1708472183645</v>
      </c>
      <c r="F172" s="72">
        <f t="shared" si="29"/>
        <v>7</v>
      </c>
      <c r="G172" s="180">
        <f t="shared" si="24"/>
        <v>197777.3349061757</v>
      </c>
      <c r="H172" s="186">
        <f>-Office!$E$97/12</f>
        <v>898.0893756176489</v>
      </c>
      <c r="I172" s="149">
        <f>Office!$E$95/12*G171</f>
        <v>577.78478187476253</v>
      </c>
      <c r="J172" s="187">
        <f t="shared" si="25"/>
        <v>320.30459374288637</v>
      </c>
      <c r="K172" s="72">
        <f t="shared" si="30"/>
        <v>7</v>
      </c>
      <c r="L172" s="180">
        <f t="shared" si="26"/>
        <v>1558092.4009809217</v>
      </c>
      <c r="M172" s="181">
        <f t="shared" si="26"/>
        <v>8263.2820433441975</v>
      </c>
      <c r="N172" s="180">
        <f t="shared" si="26"/>
        <v>6252.806602382946</v>
      </c>
      <c r="O172" s="132">
        <f t="shared" si="26"/>
        <v>2010.475440961251</v>
      </c>
      <c r="P172" s="72">
        <v>8</v>
      </c>
      <c r="Q172" s="149">
        <f>B261</f>
        <v>1177901.7040929731</v>
      </c>
      <c r="R172" s="200">
        <f>SUM(C250:C261)</f>
        <v>88382.312012718568</v>
      </c>
      <c r="S172" s="149">
        <f>SUM(D250:D261)</f>
        <v>59678.408459705366</v>
      </c>
      <c r="T172" s="134">
        <f>SUM(E250:E261)</f>
        <v>28703.903553013202</v>
      </c>
      <c r="U172" s="72">
        <v>8</v>
      </c>
      <c r="V172" s="180">
        <f>G261</f>
        <v>165187.18755506692</v>
      </c>
      <c r="W172" s="181">
        <f>SUM(H250:H261)</f>
        <v>10777.072507411787</v>
      </c>
      <c r="X172" s="180">
        <f>SUM(I250:I261)</f>
        <v>5874.9832201505305</v>
      </c>
      <c r="Y172" s="132">
        <f>SUM(J250:J261)</f>
        <v>4902.0892872612567</v>
      </c>
      <c r="Z172" s="72">
        <v>8</v>
      </c>
      <c r="AA172" s="180">
        <f t="shared" si="27"/>
        <v>1343088.8916480402</v>
      </c>
      <c r="AB172" s="180">
        <f t="shared" si="21"/>
        <v>99159.384520130348</v>
      </c>
      <c r="AC172" s="180">
        <f t="shared" si="21"/>
        <v>65553.391679855893</v>
      </c>
      <c r="AD172" s="212">
        <f t="shared" si="21"/>
        <v>33605.992840274455</v>
      </c>
    </row>
    <row r="173" spans="1:30" x14ac:dyDescent="0.25">
      <c r="A173" s="72">
        <f t="shared" si="28"/>
        <v>8</v>
      </c>
      <c r="B173" s="183">
        <f t="shared" si="22"/>
        <v>1358617.8528489976</v>
      </c>
      <c r="C173" s="184">
        <f>-Office!$E$92/12</f>
        <v>7365.1926677265483</v>
      </c>
      <c r="D173" s="183">
        <f>Office!$E$90/12*B172</f>
        <v>5667.9794419781083</v>
      </c>
      <c r="E173" s="185">
        <f t="shared" si="23"/>
        <v>1697.21322574844</v>
      </c>
      <c r="F173" s="72">
        <f t="shared" si="29"/>
        <v>8</v>
      </c>
      <c r="G173" s="180">
        <f t="shared" si="24"/>
        <v>197456.09609070106</v>
      </c>
      <c r="H173" s="186">
        <f>-Office!$E$97/12</f>
        <v>898.0893756176489</v>
      </c>
      <c r="I173" s="149">
        <f>Office!$E$95/12*G172</f>
        <v>576.85056014301244</v>
      </c>
      <c r="J173" s="187">
        <f t="shared" si="25"/>
        <v>321.23881547463645</v>
      </c>
      <c r="K173" s="72">
        <f t="shared" si="30"/>
        <v>8</v>
      </c>
      <c r="L173" s="180">
        <f t="shared" si="26"/>
        <v>1556073.9489396987</v>
      </c>
      <c r="M173" s="181">
        <f t="shared" si="26"/>
        <v>8263.2820433441975</v>
      </c>
      <c r="N173" s="180">
        <f t="shared" si="26"/>
        <v>6244.8300021211207</v>
      </c>
      <c r="O173" s="132">
        <f t="shared" si="26"/>
        <v>2018.4520412230763</v>
      </c>
      <c r="P173" s="72">
        <v>9</v>
      </c>
      <c r="Q173" s="149">
        <f>B273</f>
        <v>1147729.254357574</v>
      </c>
      <c r="R173" s="200">
        <f>SUM(C262:C273)</f>
        <v>88382.312012718568</v>
      </c>
      <c r="S173" s="149">
        <f>SUM(D262:D273)</f>
        <v>58209.862277319022</v>
      </c>
      <c r="T173" s="134">
        <f>SUM(E262:E273)</f>
        <v>30172.449735399565</v>
      </c>
      <c r="U173" s="72">
        <v>9</v>
      </c>
      <c r="V173" s="180">
        <f>G273</f>
        <v>160110.74588878872</v>
      </c>
      <c r="W173" s="181">
        <f>SUM(H262:H273)</f>
        <v>10777.072507411787</v>
      </c>
      <c r="X173" s="180">
        <f>SUM(I262:I273)</f>
        <v>5700.630841133564</v>
      </c>
      <c r="Y173" s="132">
        <f>SUM(J262:J273)</f>
        <v>5076.4416662782214</v>
      </c>
      <c r="Z173" s="72">
        <v>9</v>
      </c>
      <c r="AA173" s="180">
        <f t="shared" si="27"/>
        <v>1307840.0002463628</v>
      </c>
      <c r="AB173" s="180">
        <f t="shared" si="21"/>
        <v>99159.384520130348</v>
      </c>
      <c r="AC173" s="180">
        <f t="shared" si="21"/>
        <v>63910.493118452585</v>
      </c>
      <c r="AD173" s="212">
        <f t="shared" si="21"/>
        <v>35248.891401677785</v>
      </c>
    </row>
    <row r="174" spans="1:30" x14ac:dyDescent="0.25">
      <c r="A174" s="72">
        <f t="shared" si="28"/>
        <v>9</v>
      </c>
      <c r="B174" s="183">
        <f t="shared" si="22"/>
        <v>1356913.5679014751</v>
      </c>
      <c r="C174" s="184">
        <f>-Office!$E$92/12</f>
        <v>7365.1926677265483</v>
      </c>
      <c r="D174" s="183">
        <f>Office!$E$90/12*B173</f>
        <v>5660.9077202041562</v>
      </c>
      <c r="E174" s="185">
        <f t="shared" si="23"/>
        <v>1704.284947522392</v>
      </c>
      <c r="F174" s="72">
        <f t="shared" si="29"/>
        <v>9</v>
      </c>
      <c r="G174" s="180">
        <f t="shared" si="24"/>
        <v>197133.9203286813</v>
      </c>
      <c r="H174" s="186">
        <f>-Office!$E$97/12</f>
        <v>898.0893756176489</v>
      </c>
      <c r="I174" s="149">
        <f>Office!$E$95/12*G173</f>
        <v>575.91361359787811</v>
      </c>
      <c r="J174" s="187">
        <f t="shared" si="25"/>
        <v>322.17576201977079</v>
      </c>
      <c r="K174" s="72">
        <f t="shared" si="30"/>
        <v>9</v>
      </c>
      <c r="L174" s="180">
        <f t="shared" si="26"/>
        <v>1554047.4882301565</v>
      </c>
      <c r="M174" s="181">
        <f t="shared" si="26"/>
        <v>8263.2820433441975</v>
      </c>
      <c r="N174" s="180">
        <f t="shared" si="26"/>
        <v>6236.8213338020341</v>
      </c>
      <c r="O174" s="132">
        <f t="shared" si="26"/>
        <v>2026.4607095421629</v>
      </c>
      <c r="P174" s="258">
        <v>10</v>
      </c>
      <c r="Q174" s="161">
        <f>B285</f>
        <v>1116013.1248299703</v>
      </c>
      <c r="R174" s="149">
        <f>SUM(C274:C285)</f>
        <v>88382.312012718568</v>
      </c>
      <c r="S174" s="161">
        <f>SUM(D274:D285)</f>
        <v>56666.182485114783</v>
      </c>
      <c r="T174" s="134">
        <f>SUM(E274:E285)</f>
        <v>31716.129527603793</v>
      </c>
      <c r="U174" s="72">
        <v>10</v>
      </c>
      <c r="V174" s="180">
        <f>G285</f>
        <v>154853.750660633</v>
      </c>
      <c r="W174" s="260">
        <f>SUM(H274:H285)</f>
        <v>10777.072507411787</v>
      </c>
      <c r="X174" s="180">
        <f>SUM(I274:I285)</f>
        <v>5520.077279256082</v>
      </c>
      <c r="Y174" s="132">
        <f>SUM(J274:J285)</f>
        <v>5256.9952281557044</v>
      </c>
      <c r="Z174" s="258">
        <v>10</v>
      </c>
      <c r="AA174" s="180">
        <f t="shared" si="27"/>
        <v>1270866.8754906033</v>
      </c>
      <c r="AB174" s="180">
        <f t="shared" si="21"/>
        <v>99159.384520130348</v>
      </c>
      <c r="AC174" s="180">
        <f t="shared" si="21"/>
        <v>62186.259764370865</v>
      </c>
      <c r="AD174" s="212">
        <f t="shared" si="21"/>
        <v>36973.124755759498</v>
      </c>
    </row>
    <row r="175" spans="1:30" x14ac:dyDescent="0.25">
      <c r="A175" s="72">
        <f t="shared" si="28"/>
        <v>10</v>
      </c>
      <c r="B175" s="183">
        <f t="shared" si="22"/>
        <v>1355202.1817666714</v>
      </c>
      <c r="C175" s="184">
        <f>-Office!$E$92/12</f>
        <v>7365.1926677265483</v>
      </c>
      <c r="D175" s="183">
        <f>Office!$E$90/12*B174</f>
        <v>5653.8065329228129</v>
      </c>
      <c r="E175" s="185">
        <f t="shared" si="23"/>
        <v>1711.3861348037353</v>
      </c>
      <c r="F175" s="72">
        <f t="shared" si="29"/>
        <v>10</v>
      </c>
      <c r="G175" s="180">
        <f t="shared" si="24"/>
        <v>196810.80488735563</v>
      </c>
      <c r="H175" s="186">
        <f>-Office!$E$97/12</f>
        <v>898.0893756176489</v>
      </c>
      <c r="I175" s="149">
        <f>Office!$E$95/12*G174</f>
        <v>574.97393429198712</v>
      </c>
      <c r="J175" s="187">
        <f t="shared" si="25"/>
        <v>323.11544132566178</v>
      </c>
      <c r="K175" s="72">
        <f t="shared" si="30"/>
        <v>10</v>
      </c>
      <c r="L175" s="180">
        <f t="shared" si="26"/>
        <v>1552012.9866540269</v>
      </c>
      <c r="M175" s="181">
        <f t="shared" si="26"/>
        <v>8263.2820433441975</v>
      </c>
      <c r="N175" s="180">
        <f t="shared" si="26"/>
        <v>6228.7804672148004</v>
      </c>
      <c r="O175" s="132">
        <f t="shared" si="26"/>
        <v>2034.5015761293971</v>
      </c>
      <c r="P175" s="258">
        <v>11</v>
      </c>
      <c r="Q175" s="149">
        <f>B297</f>
        <v>1082674.337922272</v>
      </c>
      <c r="R175" s="149">
        <f>SUM(C286:C297)</f>
        <v>88382.312012718568</v>
      </c>
      <c r="S175" s="161">
        <f>SUM(D286:D297)</f>
        <v>55043.525105019718</v>
      </c>
      <c r="T175" s="200">
        <f>SUM(E286:E297)</f>
        <v>33338.786907698857</v>
      </c>
      <c r="U175" s="258">
        <v>11</v>
      </c>
      <c r="V175" s="183">
        <f>G297</f>
        <v>149409.78013056028</v>
      </c>
      <c r="W175" s="184">
        <f>SUM(H286:H297)</f>
        <v>10777.072507411787</v>
      </c>
      <c r="X175" s="183">
        <f t="shared" ref="X175:Y175" si="31">SUM(I286:I297)</f>
        <v>5333.1019773390772</v>
      </c>
      <c r="Y175" s="184">
        <f t="shared" si="31"/>
        <v>5443.9705300727101</v>
      </c>
      <c r="Z175" s="72">
        <v>11</v>
      </c>
      <c r="AA175" s="180">
        <f t="shared" si="27"/>
        <v>1232084.1180528323</v>
      </c>
      <c r="AB175" s="180">
        <f t="shared" si="21"/>
        <v>99159.384520130348</v>
      </c>
      <c r="AC175" s="180">
        <f t="shared" si="21"/>
        <v>60376.627082358798</v>
      </c>
      <c r="AD175" s="212">
        <f t="shared" si="21"/>
        <v>38782.757437771565</v>
      </c>
    </row>
    <row r="176" spans="1:30" x14ac:dyDescent="0.25">
      <c r="A176" s="72">
        <f t="shared" si="28"/>
        <v>11</v>
      </c>
      <c r="B176" s="183">
        <f t="shared" si="22"/>
        <v>1353483.664856306</v>
      </c>
      <c r="C176" s="184">
        <f>-Office!$E$92/12</f>
        <v>7365.1926677265483</v>
      </c>
      <c r="D176" s="183">
        <f>Office!$E$90/12*B175</f>
        <v>5646.6757573611303</v>
      </c>
      <c r="E176" s="185">
        <f t="shared" si="23"/>
        <v>1718.516910365418</v>
      </c>
      <c r="F176" s="72">
        <f t="shared" si="29"/>
        <v>11</v>
      </c>
      <c r="G176" s="180">
        <f t="shared" si="24"/>
        <v>196486.74702599275</v>
      </c>
      <c r="H176" s="186">
        <f>-Office!$E$97/12</f>
        <v>898.0893756176489</v>
      </c>
      <c r="I176" s="149">
        <f>Office!$E$95/12*G175</f>
        <v>574.03151425478723</v>
      </c>
      <c r="J176" s="187">
        <f t="shared" si="25"/>
        <v>324.05786136286167</v>
      </c>
      <c r="K176" s="72">
        <f t="shared" si="30"/>
        <v>11</v>
      </c>
      <c r="L176" s="180">
        <f t="shared" si="26"/>
        <v>1549970.4118822988</v>
      </c>
      <c r="M176" s="181">
        <f t="shared" si="26"/>
        <v>8263.2820433441975</v>
      </c>
      <c r="N176" s="180">
        <f t="shared" si="26"/>
        <v>6220.7072716159173</v>
      </c>
      <c r="O176" s="132">
        <f t="shared" si="26"/>
        <v>2042.5747717282798</v>
      </c>
      <c r="P176" s="258">
        <v>12</v>
      </c>
      <c r="Q176" s="149">
        <f>B309</f>
        <v>1047629.8754033004</v>
      </c>
      <c r="R176" s="149">
        <f>SUM(C298:C309)</f>
        <v>88382.312012718568</v>
      </c>
      <c r="S176" s="161">
        <f t="shared" ref="S176:T176" si="32">SUM(D298:D309)</f>
        <v>53337.84949374717</v>
      </c>
      <c r="T176" s="200">
        <f t="shared" si="32"/>
        <v>35044.462518971399</v>
      </c>
      <c r="U176" s="258">
        <v>12</v>
      </c>
      <c r="V176" s="183">
        <f>G309</f>
        <v>143772.18415680519</v>
      </c>
      <c r="W176" s="184">
        <f>SUM(H298:H309)</f>
        <v>10777.072507411787</v>
      </c>
      <c r="X176" s="183">
        <f t="shared" ref="X176:Y176" si="33">SUM(I298:I309)</f>
        <v>5139.4765336567289</v>
      </c>
      <c r="Y176" s="184">
        <f t="shared" si="33"/>
        <v>5637.5959737550556</v>
      </c>
      <c r="Z176" s="72">
        <v>12</v>
      </c>
      <c r="AA176" s="180">
        <f t="shared" si="27"/>
        <v>1191402.0595601057</v>
      </c>
      <c r="AB176" s="180">
        <f t="shared" si="21"/>
        <v>99159.384520130348</v>
      </c>
      <c r="AC176" s="180">
        <f t="shared" si="21"/>
        <v>58477.326027403898</v>
      </c>
      <c r="AD176" s="212">
        <f t="shared" si="21"/>
        <v>40682.058492726457</v>
      </c>
    </row>
    <row r="177" spans="1:30" x14ac:dyDescent="0.25">
      <c r="A177" s="72">
        <f t="shared" si="28"/>
        <v>12</v>
      </c>
      <c r="B177" s="183">
        <f t="shared" si="22"/>
        <v>1351757.9874588142</v>
      </c>
      <c r="C177" s="184">
        <f>-Office!$E$92/12</f>
        <v>7365.1926677265483</v>
      </c>
      <c r="D177" s="183">
        <f>Office!$E$90/12*B176</f>
        <v>5639.5152702346086</v>
      </c>
      <c r="E177" s="185">
        <f t="shared" si="23"/>
        <v>1725.6773974919397</v>
      </c>
      <c r="F177" s="72">
        <f t="shared" si="29"/>
        <v>12</v>
      </c>
      <c r="G177" s="180">
        <f t="shared" si="24"/>
        <v>196161.74399586758</v>
      </c>
      <c r="H177" s="186">
        <f>-Office!$E$97/12</f>
        <v>898.0893756176489</v>
      </c>
      <c r="I177" s="149">
        <f>Office!$E$95/12*G176</f>
        <v>573.08634549247893</v>
      </c>
      <c r="J177" s="187">
        <f t="shared" si="25"/>
        <v>325.00303012516997</v>
      </c>
      <c r="K177" s="72">
        <f t="shared" si="30"/>
        <v>12</v>
      </c>
      <c r="L177" s="180">
        <f t="shared" si="26"/>
        <v>1547919.7314546818</v>
      </c>
      <c r="M177" s="181">
        <f t="shared" si="26"/>
        <v>8263.2820433441975</v>
      </c>
      <c r="N177" s="180">
        <f t="shared" si="26"/>
        <v>6212.6016157270878</v>
      </c>
      <c r="O177" s="132">
        <f t="shared" si="26"/>
        <v>2050.6804276171097</v>
      </c>
      <c r="P177" s="258">
        <v>13</v>
      </c>
      <c r="Q177" s="149">
        <f>B321</f>
        <v>1010792.471671613</v>
      </c>
      <c r="R177" s="149">
        <f>SUM(C310:C321)</f>
        <v>88382.312012718568</v>
      </c>
      <c r="S177" s="161">
        <f t="shared" ref="S177:T177" si="34">SUM(D310:D321)</f>
        <v>51544.908281031327</v>
      </c>
      <c r="T177" s="200">
        <f t="shared" si="34"/>
        <v>36837.403731687256</v>
      </c>
      <c r="U177" s="258">
        <v>13</v>
      </c>
      <c r="V177" s="183">
        <f>G321</f>
        <v>137934.07607232319</v>
      </c>
      <c r="W177" s="184">
        <f>SUM(H310:H321)</f>
        <v>10777.072507411787</v>
      </c>
      <c r="X177" s="183">
        <f t="shared" ref="X177:Y177" si="35">SUM(I310:I321)</f>
        <v>4938.9644229297919</v>
      </c>
      <c r="Y177" s="184">
        <f t="shared" si="35"/>
        <v>5838.1080844819962</v>
      </c>
      <c r="Z177" s="72">
        <v>13</v>
      </c>
      <c r="AA177" s="180">
        <f t="shared" si="27"/>
        <v>1148726.5477439363</v>
      </c>
      <c r="AB177" s="180">
        <f t="shared" si="21"/>
        <v>99159.384520130348</v>
      </c>
      <c r="AC177" s="180">
        <f t="shared" si="21"/>
        <v>56483.872703961119</v>
      </c>
      <c r="AD177" s="212">
        <f t="shared" si="21"/>
        <v>42675.511816169252</v>
      </c>
    </row>
    <row r="178" spans="1:30" x14ac:dyDescent="0.25">
      <c r="A178" s="72">
        <f t="shared" si="28"/>
        <v>13</v>
      </c>
      <c r="B178" s="183">
        <f t="shared" si="22"/>
        <v>1350025.1197388326</v>
      </c>
      <c r="C178" s="184">
        <f>-Office!$E$92/12</f>
        <v>7365.1926677265483</v>
      </c>
      <c r="D178" s="183">
        <f>Office!$E$90/12*B177</f>
        <v>5632.324947745059</v>
      </c>
      <c r="E178" s="185">
        <f t="shared" si="23"/>
        <v>1732.8677199814892</v>
      </c>
      <c r="F178" s="72">
        <f t="shared" si="29"/>
        <v>13</v>
      </c>
      <c r="G178" s="180">
        <f t="shared" si="24"/>
        <v>195835.79304023788</v>
      </c>
      <c r="H178" s="186">
        <f>-Office!$E$97/12</f>
        <v>898.0893756176489</v>
      </c>
      <c r="I178" s="149">
        <f>Office!$E$95/12*G177</f>
        <v>572.13841998794715</v>
      </c>
      <c r="J178" s="187">
        <f t="shared" si="25"/>
        <v>325.95095562970175</v>
      </c>
      <c r="K178" s="72">
        <f t="shared" si="30"/>
        <v>13</v>
      </c>
      <c r="L178" s="180">
        <f t="shared" si="26"/>
        <v>1545860.9127790704</v>
      </c>
      <c r="M178" s="181">
        <f t="shared" si="26"/>
        <v>8263.2820433441975</v>
      </c>
      <c r="N178" s="180">
        <f t="shared" si="26"/>
        <v>6204.4633677330057</v>
      </c>
      <c r="O178" s="132">
        <f t="shared" si="26"/>
        <v>2058.8186756111909</v>
      </c>
      <c r="P178" s="258">
        <v>14</v>
      </c>
      <c r="Q178" s="149">
        <f>B333</f>
        <v>972070.39645197697</v>
      </c>
      <c r="R178" s="149">
        <f>SUM(C322:C333)</f>
        <v>88382.312012718568</v>
      </c>
      <c r="S178" s="161">
        <f t="shared" ref="S178:T178" si="36">SUM(D322:D333)</f>
        <v>49660.236793082549</v>
      </c>
      <c r="T178" s="200">
        <f t="shared" si="36"/>
        <v>38722.075219636019</v>
      </c>
      <c r="U178" s="258">
        <v>14</v>
      </c>
      <c r="V178" s="183">
        <f>G333</f>
        <v>131888.32427230696</v>
      </c>
      <c r="W178" s="184">
        <f>SUM(H322:H333)</f>
        <v>10777.072507411787</v>
      </c>
      <c r="X178" s="183">
        <f t="shared" ref="X178:Y178" si="37">SUM(I322:I333)</f>
        <v>4731.3207073955291</v>
      </c>
      <c r="Y178" s="184">
        <f t="shared" si="37"/>
        <v>6045.7518000162563</v>
      </c>
      <c r="Z178" s="72">
        <v>14</v>
      </c>
      <c r="AA178" s="180">
        <f t="shared" si="27"/>
        <v>1103958.720724284</v>
      </c>
      <c r="AB178" s="180">
        <f t="shared" si="21"/>
        <v>99159.384520130348</v>
      </c>
      <c r="AC178" s="180">
        <f t="shared" si="21"/>
        <v>54391.557500478077</v>
      </c>
      <c r="AD178" s="212">
        <f t="shared" si="21"/>
        <v>44767.827019652279</v>
      </c>
    </row>
    <row r="179" spans="1:30" x14ac:dyDescent="0.25">
      <c r="A179" s="72">
        <f t="shared" si="28"/>
        <v>14</v>
      </c>
      <c r="B179" s="183">
        <f t="shared" si="22"/>
        <v>1348285.0317366845</v>
      </c>
      <c r="C179" s="184">
        <f>-Office!$E$92/12</f>
        <v>7365.1926677265483</v>
      </c>
      <c r="D179" s="183">
        <f>Office!$E$90/12*B178</f>
        <v>5625.1046655784694</v>
      </c>
      <c r="E179" s="185">
        <f t="shared" si="23"/>
        <v>1740.0880021480789</v>
      </c>
      <c r="F179" s="72">
        <f t="shared" si="29"/>
        <v>14</v>
      </c>
      <c r="G179" s="180">
        <f t="shared" si="24"/>
        <v>195508.89139432093</v>
      </c>
      <c r="H179" s="186">
        <f>-Office!$E$97/12</f>
        <v>898.0893756176489</v>
      </c>
      <c r="I179" s="149">
        <f>Office!$E$95/12*G178</f>
        <v>571.18772970069381</v>
      </c>
      <c r="J179" s="187">
        <f t="shared" si="25"/>
        <v>326.90164591695509</v>
      </c>
      <c r="K179" s="72">
        <f t="shared" si="30"/>
        <v>14</v>
      </c>
      <c r="L179" s="180">
        <f t="shared" si="26"/>
        <v>1543793.9231310054</v>
      </c>
      <c r="M179" s="181">
        <f t="shared" si="26"/>
        <v>8263.2820433441975</v>
      </c>
      <c r="N179" s="180">
        <f t="shared" si="26"/>
        <v>6196.2923952791634</v>
      </c>
      <c r="O179" s="132">
        <f t="shared" si="26"/>
        <v>2066.9896480650341</v>
      </c>
      <c r="P179" s="258">
        <v>15</v>
      </c>
      <c r="Q179" s="149">
        <f>B345</f>
        <v>931367.22637418506</v>
      </c>
      <c r="R179" s="149">
        <f>SUM(C334:C345)</f>
        <v>88382.312012718568</v>
      </c>
      <c r="S179" s="161">
        <f t="shared" ref="S179:T179" si="38">SUM(D334:D345)</f>
        <v>47679.141934926745</v>
      </c>
      <c r="T179" s="200">
        <f t="shared" si="38"/>
        <v>40703.17007779183</v>
      </c>
      <c r="U179" s="258">
        <v>15</v>
      </c>
      <c r="V179" s="183">
        <f>G345</f>
        <v>125627.54350249653</v>
      </c>
      <c r="W179" s="184">
        <f>SUM(H334:H345)</f>
        <v>10777.072507411787</v>
      </c>
      <c r="X179" s="183">
        <f t="shared" ref="X179:Y179" si="39">SUM(I334:I345)</f>
        <v>4516.2917376013356</v>
      </c>
      <c r="Y179" s="184">
        <f t="shared" si="39"/>
        <v>6260.7807698104498</v>
      </c>
      <c r="Z179" s="72">
        <v>15</v>
      </c>
      <c r="AA179" s="180">
        <f t="shared" si="27"/>
        <v>1056994.7698766815</v>
      </c>
      <c r="AB179" s="180">
        <f t="shared" si="21"/>
        <v>99159.384520130348</v>
      </c>
      <c r="AC179" s="180">
        <f t="shared" si="21"/>
        <v>52195.433672528081</v>
      </c>
      <c r="AD179" s="212">
        <f t="shared" si="21"/>
        <v>46963.950847602282</v>
      </c>
    </row>
    <row r="180" spans="1:30" x14ac:dyDescent="0.25">
      <c r="A180" s="72">
        <f t="shared" si="28"/>
        <v>15</v>
      </c>
      <c r="B180" s="183">
        <f t="shared" si="22"/>
        <v>1346537.6933678607</v>
      </c>
      <c r="C180" s="184">
        <f>-Office!$E$92/12</f>
        <v>7365.1926677265483</v>
      </c>
      <c r="D180" s="183">
        <f>Office!$E$90/12*B179</f>
        <v>5617.854298902852</v>
      </c>
      <c r="E180" s="185">
        <f t="shared" si="23"/>
        <v>1747.3383688236963</v>
      </c>
      <c r="F180" s="72">
        <f t="shared" si="29"/>
        <v>15</v>
      </c>
      <c r="G180" s="180">
        <f t="shared" si="24"/>
        <v>195181.03628527006</v>
      </c>
      <c r="H180" s="186">
        <f>-Office!$E$97/12</f>
        <v>898.0893756176489</v>
      </c>
      <c r="I180" s="149">
        <f>Office!$E$95/12*G179</f>
        <v>570.23426656676941</v>
      </c>
      <c r="J180" s="187">
        <f t="shared" si="25"/>
        <v>327.85510905087949</v>
      </c>
      <c r="K180" s="72">
        <f t="shared" si="30"/>
        <v>15</v>
      </c>
      <c r="L180" s="180">
        <f t="shared" si="26"/>
        <v>1541718.7296531308</v>
      </c>
      <c r="M180" s="181">
        <f t="shared" si="26"/>
        <v>8263.2820433441975</v>
      </c>
      <c r="N180" s="180">
        <f t="shared" si="26"/>
        <v>6188.0885654696212</v>
      </c>
      <c r="O180" s="132">
        <f t="shared" si="26"/>
        <v>2075.1934778745758</v>
      </c>
      <c r="P180" s="258">
        <v>16</v>
      </c>
      <c r="Q180" s="149">
        <f>B357</f>
        <v>888581.60486541037</v>
      </c>
      <c r="R180" s="149">
        <f>SUM(C346:C357)</f>
        <v>88382.312012718568</v>
      </c>
      <c r="S180" s="161">
        <f t="shared" ref="S180:T180" si="40">SUM(D346:D357)</f>
        <v>45596.690503943937</v>
      </c>
      <c r="T180" s="200">
        <f t="shared" si="40"/>
        <v>42785.621508774631</v>
      </c>
      <c r="U180" s="258">
        <v>16</v>
      </c>
      <c r="V180" s="183">
        <f>G357</f>
        <v>119144.08583764119</v>
      </c>
      <c r="W180" s="184">
        <f>SUM(H346:H357)</f>
        <v>10777.072507411787</v>
      </c>
      <c r="X180" s="183">
        <f t="shared" ref="X180:Y180" si="41">SUM(I346:I357)</f>
        <v>4293.6148425564515</v>
      </c>
      <c r="Y180" s="184">
        <f t="shared" si="41"/>
        <v>6483.4576648553348</v>
      </c>
      <c r="Z180" s="72">
        <v>16</v>
      </c>
      <c r="AA180" s="180">
        <f t="shared" si="27"/>
        <v>1007725.6907030515</v>
      </c>
      <c r="AB180" s="180">
        <f t="shared" si="21"/>
        <v>99159.384520130348</v>
      </c>
      <c r="AC180" s="180">
        <f t="shared" si="21"/>
        <v>49890.30534650039</v>
      </c>
      <c r="AD180" s="212">
        <f t="shared" si="21"/>
        <v>49269.079173629965</v>
      </c>
    </row>
    <row r="181" spans="1:30" x14ac:dyDescent="0.25">
      <c r="A181" s="72">
        <f t="shared" si="28"/>
        <v>16</v>
      </c>
      <c r="B181" s="183">
        <f t="shared" si="22"/>
        <v>1344783.0744225003</v>
      </c>
      <c r="C181" s="184">
        <f>-Office!$E$92/12</f>
        <v>7365.1926677265483</v>
      </c>
      <c r="D181" s="183">
        <f>Office!$E$90/12*B180</f>
        <v>5610.5737223660863</v>
      </c>
      <c r="E181" s="185">
        <f t="shared" si="23"/>
        <v>1754.618945360462</v>
      </c>
      <c r="F181" s="72">
        <f t="shared" si="29"/>
        <v>16</v>
      </c>
      <c r="G181" s="180">
        <f t="shared" si="24"/>
        <v>194852.22493215112</v>
      </c>
      <c r="H181" s="186">
        <f>-Office!$E$97/12</f>
        <v>898.0893756176489</v>
      </c>
      <c r="I181" s="149">
        <f>Office!$E$95/12*G180</f>
        <v>569.27802249870433</v>
      </c>
      <c r="J181" s="187">
        <f t="shared" si="25"/>
        <v>328.81135311894457</v>
      </c>
      <c r="K181" s="72">
        <f t="shared" si="30"/>
        <v>16</v>
      </c>
      <c r="L181" s="180">
        <f t="shared" si="26"/>
        <v>1539635.2993546515</v>
      </c>
      <c r="M181" s="181">
        <f t="shared" si="26"/>
        <v>8263.2820433441975</v>
      </c>
      <c r="N181" s="180">
        <f t="shared" si="26"/>
        <v>6179.8517448647908</v>
      </c>
      <c r="O181" s="132">
        <f t="shared" si="26"/>
        <v>2083.4302984794067</v>
      </c>
      <c r="P181" s="258">
        <v>17</v>
      </c>
      <c r="Q181" s="149">
        <f>B369</f>
        <v>843606.98975819745</v>
      </c>
      <c r="R181" s="149">
        <f>SUM(C358:C369)</f>
        <v>88382.312012718568</v>
      </c>
      <c r="S181" s="161">
        <f t="shared" ref="S181:T181" si="42">SUM(D358:D369)</f>
        <v>43407.696905505531</v>
      </c>
      <c r="T181" s="200">
        <f t="shared" si="42"/>
        <v>44974.615107213052</v>
      </c>
      <c r="U181" s="258">
        <v>17</v>
      </c>
      <c r="V181" s="183">
        <f>G369</f>
        <v>112430.03133909273</v>
      </c>
      <c r="W181" s="184">
        <f>SUM(H358:H369)</f>
        <v>10777.072507411787</v>
      </c>
      <c r="X181" s="183">
        <f t="shared" ref="X181:Y181" si="43">SUM(I358:I369)</f>
        <v>4063.0180088633497</v>
      </c>
      <c r="Y181" s="184">
        <f t="shared" si="43"/>
        <v>6714.0544985484385</v>
      </c>
      <c r="Z181" s="72">
        <v>17</v>
      </c>
      <c r="AA181" s="180">
        <f t="shared" si="27"/>
        <v>956037.02109729021</v>
      </c>
      <c r="AB181" s="180">
        <f t="shared" si="27"/>
        <v>99159.384520130348</v>
      </c>
      <c r="AC181" s="180">
        <f t="shared" si="27"/>
        <v>47470.71491436888</v>
      </c>
      <c r="AD181" s="212">
        <f t="shared" si="27"/>
        <v>51688.66960576149</v>
      </c>
    </row>
    <row r="182" spans="1:30" x14ac:dyDescent="0.25">
      <c r="A182" s="72">
        <f t="shared" si="28"/>
        <v>17</v>
      </c>
      <c r="B182" s="183">
        <f t="shared" si="22"/>
        <v>1343021.1445648675</v>
      </c>
      <c r="C182" s="184">
        <f>-Office!$E$92/12</f>
        <v>7365.1926677265483</v>
      </c>
      <c r="D182" s="183">
        <f>Office!$E$90/12*B181</f>
        <v>5603.2628100937509</v>
      </c>
      <c r="E182" s="185">
        <f t="shared" si="23"/>
        <v>1761.9298576327974</v>
      </c>
      <c r="F182" s="72">
        <f t="shared" si="29"/>
        <v>17</v>
      </c>
      <c r="G182" s="180">
        <f t="shared" si="24"/>
        <v>194522.45454591891</v>
      </c>
      <c r="H182" s="186">
        <f>-Office!$E$97/12</f>
        <v>898.0893756176489</v>
      </c>
      <c r="I182" s="149">
        <f>Office!$E$95/12*G181</f>
        <v>568.31898938544077</v>
      </c>
      <c r="J182" s="187">
        <f t="shared" si="25"/>
        <v>329.77038623220812</v>
      </c>
      <c r="K182" s="72">
        <f t="shared" si="30"/>
        <v>17</v>
      </c>
      <c r="L182" s="180">
        <f t="shared" si="26"/>
        <v>1537543.5991107863</v>
      </c>
      <c r="M182" s="181">
        <f t="shared" si="26"/>
        <v>8263.2820433441975</v>
      </c>
      <c r="N182" s="180">
        <f t="shared" si="26"/>
        <v>6171.5817994791914</v>
      </c>
      <c r="O182" s="132">
        <f t="shared" si="26"/>
        <v>2091.7002438650056</v>
      </c>
      <c r="P182" s="258">
        <v>18</v>
      </c>
      <c r="Q182" s="149">
        <f>B381</f>
        <v>796331.38798559911</v>
      </c>
      <c r="R182" s="149">
        <f>SUM(C370:C381)</f>
        <v>88382.312012718568</v>
      </c>
      <c r="S182" s="161">
        <f t="shared" ref="S182:T182" si="44">SUM(D370:D381)</f>
        <v>41106.710240120054</v>
      </c>
      <c r="T182" s="200">
        <f t="shared" si="44"/>
        <v>47275.601772598529</v>
      </c>
      <c r="U182" s="258">
        <v>18</v>
      </c>
      <c r="V182" s="183">
        <f>G381</f>
        <v>105477.17838011774</v>
      </c>
      <c r="W182" s="184">
        <f>SUM(H370:H381)</f>
        <v>10777.072507411787</v>
      </c>
      <c r="X182" s="183">
        <f t="shared" ref="X182:Y182" si="45">SUM(I370:I381)</f>
        <v>3824.2195484367962</v>
      </c>
      <c r="Y182" s="184">
        <f t="shared" si="45"/>
        <v>6952.8529589749905</v>
      </c>
      <c r="Z182" s="72">
        <v>18</v>
      </c>
      <c r="AA182" s="180">
        <f t="shared" ref="AA182:AD194" si="46">Q182+V182</f>
        <v>901808.56636571686</v>
      </c>
      <c r="AB182" s="180">
        <f t="shared" si="46"/>
        <v>99159.384520130348</v>
      </c>
      <c r="AC182" s="180">
        <f t="shared" si="46"/>
        <v>44930.929788556852</v>
      </c>
      <c r="AD182" s="212">
        <f t="shared" si="46"/>
        <v>54228.454731573518</v>
      </c>
    </row>
    <row r="183" spans="1:30" x14ac:dyDescent="0.25">
      <c r="A183" s="72">
        <f t="shared" si="28"/>
        <v>18</v>
      </c>
      <c r="B183" s="183">
        <f t="shared" si="22"/>
        <v>1341251.8733328278</v>
      </c>
      <c r="C183" s="184">
        <f>-Office!$E$92/12</f>
        <v>7365.1926677265483</v>
      </c>
      <c r="D183" s="183">
        <f>Office!$E$90/12*B182</f>
        <v>5595.9214356869479</v>
      </c>
      <c r="E183" s="185">
        <f t="shared" si="23"/>
        <v>1769.2712320396004</v>
      </c>
      <c r="F183" s="72">
        <f t="shared" si="29"/>
        <v>18</v>
      </c>
      <c r="G183" s="180">
        <f t="shared" si="24"/>
        <v>194191.72232939352</v>
      </c>
      <c r="H183" s="186">
        <f>-Office!$E$97/12</f>
        <v>898.0893756176489</v>
      </c>
      <c r="I183" s="149">
        <f>Office!$E$95/12*G182</f>
        <v>567.35715909226349</v>
      </c>
      <c r="J183" s="187">
        <f t="shared" si="25"/>
        <v>330.73221652538541</v>
      </c>
      <c r="K183" s="72">
        <f t="shared" si="30"/>
        <v>18</v>
      </c>
      <c r="L183" s="180">
        <f t="shared" si="26"/>
        <v>1535443.5956622213</v>
      </c>
      <c r="M183" s="181">
        <f t="shared" si="26"/>
        <v>8263.2820433441975</v>
      </c>
      <c r="N183" s="180">
        <f t="shared" si="26"/>
        <v>6163.2785947792117</v>
      </c>
      <c r="O183" s="132">
        <f t="shared" si="26"/>
        <v>2100.0034485649858</v>
      </c>
      <c r="P183" s="258">
        <v>19</v>
      </c>
      <c r="Q183" s="149">
        <f>B393</f>
        <v>746637.0767028135</v>
      </c>
      <c r="R183" s="149">
        <f>SUM(C382:C393)</f>
        <v>88382.312012718568</v>
      </c>
      <c r="S183" s="161">
        <f t="shared" ref="S183:T183" si="47">SUM(D382:D393)</f>
        <v>38688.000729932879</v>
      </c>
      <c r="T183" s="200">
        <f t="shared" si="47"/>
        <v>49694.311282785697</v>
      </c>
      <c r="U183" s="258">
        <v>19</v>
      </c>
      <c r="V183" s="183">
        <f>G393</f>
        <v>98277.033627110635</v>
      </c>
      <c r="W183" s="184">
        <f>SUM(H382:H393)</f>
        <v>10777.072507411787</v>
      </c>
      <c r="X183" s="183">
        <f t="shared" ref="X183:Y183" si="48">SUM(I382:I393)</f>
        <v>3576.9277544046809</v>
      </c>
      <c r="Y183" s="184">
        <f t="shared" si="48"/>
        <v>7200.1447530071055</v>
      </c>
      <c r="Z183" s="72">
        <v>19</v>
      </c>
      <c r="AA183" s="180">
        <f t="shared" si="46"/>
        <v>844914.11032992415</v>
      </c>
      <c r="AB183" s="180">
        <f t="shared" si="46"/>
        <v>99159.384520130348</v>
      </c>
      <c r="AC183" s="180">
        <f t="shared" si="46"/>
        <v>42264.928484337557</v>
      </c>
      <c r="AD183" s="212">
        <f t="shared" si="46"/>
        <v>56894.456035792799</v>
      </c>
    </row>
    <row r="184" spans="1:30" x14ac:dyDescent="0.25">
      <c r="A184" s="72">
        <f t="shared" si="28"/>
        <v>19</v>
      </c>
      <c r="B184" s="183">
        <f t="shared" si="22"/>
        <v>1339475.2301373214</v>
      </c>
      <c r="C184" s="184">
        <f>-Office!$E$92/12</f>
        <v>7365.1926677265483</v>
      </c>
      <c r="D184" s="183">
        <f>Office!$E$90/12*B183</f>
        <v>5588.5494722201156</v>
      </c>
      <c r="E184" s="185">
        <f t="shared" si="23"/>
        <v>1776.6431955064327</v>
      </c>
      <c r="F184" s="72">
        <f t="shared" si="29"/>
        <v>19</v>
      </c>
      <c r="G184" s="180">
        <f t="shared" si="24"/>
        <v>193860.0254772366</v>
      </c>
      <c r="H184" s="186">
        <f>-Office!$E$97/12</f>
        <v>898.0893756176489</v>
      </c>
      <c r="I184" s="149">
        <f>Office!$E$95/12*G183</f>
        <v>566.39252346073113</v>
      </c>
      <c r="J184" s="187">
        <f t="shared" si="25"/>
        <v>331.69685215691777</v>
      </c>
      <c r="K184" s="72">
        <f t="shared" si="30"/>
        <v>19</v>
      </c>
      <c r="L184" s="180">
        <f t="shared" si="26"/>
        <v>1533335.255614558</v>
      </c>
      <c r="M184" s="181">
        <f t="shared" si="26"/>
        <v>8263.2820433441975</v>
      </c>
      <c r="N184" s="180">
        <f t="shared" si="26"/>
        <v>6154.941995680847</v>
      </c>
      <c r="O184" s="132">
        <f t="shared" si="26"/>
        <v>2108.3400476633506</v>
      </c>
      <c r="P184" s="258">
        <v>20</v>
      </c>
      <c r="Q184" s="149">
        <f>B405</f>
        <v>694400.31014087482</v>
      </c>
      <c r="R184" s="149">
        <f>SUM(C394:C405)</f>
        <v>88382.312012718568</v>
      </c>
      <c r="S184" s="161">
        <f t="shared" ref="S184:T184" si="49">SUM(D394:D405)</f>
        <v>36145.545450779944</v>
      </c>
      <c r="T184" s="200">
        <f t="shared" si="49"/>
        <v>52236.766561938639</v>
      </c>
      <c r="U184" s="258">
        <v>20</v>
      </c>
      <c r="V184" s="183">
        <f>G405</f>
        <v>90820.801664469138</v>
      </c>
      <c r="W184" s="184">
        <f>SUM(H394:H405)</f>
        <v>10777.072507411787</v>
      </c>
      <c r="X184" s="183">
        <f t="shared" ref="X184:Y184" si="50">SUM(I394:I405)</f>
        <v>3320.8405447703008</v>
      </c>
      <c r="Y184" s="184">
        <f t="shared" si="50"/>
        <v>7456.2319626414865</v>
      </c>
      <c r="Z184" s="258">
        <v>20</v>
      </c>
      <c r="AA184" s="180">
        <f t="shared" si="46"/>
        <v>785221.111805344</v>
      </c>
      <c r="AB184" s="180">
        <f t="shared" si="46"/>
        <v>99159.384520130348</v>
      </c>
      <c r="AC184" s="180">
        <f t="shared" si="46"/>
        <v>39466.385995550241</v>
      </c>
      <c r="AD184" s="212">
        <f t="shared" si="46"/>
        <v>59692.998524580122</v>
      </c>
    </row>
    <row r="185" spans="1:30" x14ac:dyDescent="0.25">
      <c r="A185" s="72">
        <f t="shared" si="28"/>
        <v>20</v>
      </c>
      <c r="B185" s="183">
        <f t="shared" si="22"/>
        <v>1337691.1842618338</v>
      </c>
      <c r="C185" s="184">
        <f>-Office!$E$92/12</f>
        <v>7365.1926677265483</v>
      </c>
      <c r="D185" s="183">
        <f>Office!$E$90/12*B184</f>
        <v>5581.1467922388392</v>
      </c>
      <c r="E185" s="185">
        <f t="shared" si="23"/>
        <v>1784.0458754877091</v>
      </c>
      <c r="F185" s="72">
        <f t="shared" si="29"/>
        <v>20</v>
      </c>
      <c r="G185" s="180">
        <f t="shared" si="24"/>
        <v>193527.36117592757</v>
      </c>
      <c r="H185" s="186">
        <f>-Office!$E$97/12</f>
        <v>898.0893756176489</v>
      </c>
      <c r="I185" s="149">
        <f>Office!$E$95/12*G184</f>
        <v>565.42507430860678</v>
      </c>
      <c r="J185" s="187">
        <f t="shared" si="25"/>
        <v>332.66430130904212</v>
      </c>
      <c r="K185" s="72">
        <f t="shared" si="30"/>
        <v>20</v>
      </c>
      <c r="L185" s="180">
        <f t="shared" si="26"/>
        <v>1531218.5454377613</v>
      </c>
      <c r="M185" s="181">
        <f t="shared" si="26"/>
        <v>8263.2820433441975</v>
      </c>
      <c r="N185" s="180">
        <f t="shared" si="26"/>
        <v>6146.571866547446</v>
      </c>
      <c r="O185" s="132">
        <f t="shared" si="26"/>
        <v>2116.7101767967511</v>
      </c>
      <c r="P185" s="258">
        <v>21</v>
      </c>
      <c r="Q185" s="149">
        <f>B417</f>
        <v>639491.01146242232</v>
      </c>
      <c r="R185" s="149">
        <f>SUM(C406:C417)</f>
        <v>88382.312012718568</v>
      </c>
      <c r="S185" s="161">
        <f t="shared" ref="S185:T185" si="51">SUM(D406:D417)</f>
        <v>33473.013334266099</v>
      </c>
      <c r="T185" s="200">
        <f t="shared" si="51"/>
        <v>54909.298678452476</v>
      </c>
      <c r="U185" s="258">
        <v>21</v>
      </c>
      <c r="V185" s="183">
        <f>G417</f>
        <v>83099.374250458131</v>
      </c>
      <c r="W185" s="184">
        <f>SUM(H406:H417)</f>
        <v>10777.072507411787</v>
      </c>
      <c r="X185" s="183">
        <f t="shared" ref="X185:Y185" si="52">SUM(I406:I417)</f>
        <v>3055.6450934007898</v>
      </c>
      <c r="Y185" s="184">
        <f t="shared" si="52"/>
        <v>7721.4274140109992</v>
      </c>
      <c r="Z185" s="72">
        <v>21</v>
      </c>
      <c r="AA185" s="180">
        <f t="shared" si="46"/>
        <v>722590.38571288041</v>
      </c>
      <c r="AB185" s="180">
        <f t="shared" si="46"/>
        <v>99159.384520130348</v>
      </c>
      <c r="AC185" s="180">
        <f t="shared" si="46"/>
        <v>36528.658427666887</v>
      </c>
      <c r="AD185" s="212">
        <f t="shared" si="46"/>
        <v>62630.726092463476</v>
      </c>
    </row>
    <row r="186" spans="1:30" x14ac:dyDescent="0.25">
      <c r="A186" s="72">
        <f t="shared" si="28"/>
        <v>21</v>
      </c>
      <c r="B186" s="183">
        <f t="shared" si="22"/>
        <v>1335899.7048618649</v>
      </c>
      <c r="C186" s="184">
        <f>-Office!$E$92/12</f>
        <v>7365.1926677265483</v>
      </c>
      <c r="D186" s="183">
        <f>Office!$E$90/12*B185</f>
        <v>5573.713267757641</v>
      </c>
      <c r="E186" s="185">
        <f t="shared" si="23"/>
        <v>1791.4793999689073</v>
      </c>
      <c r="F186" s="72">
        <f t="shared" si="29"/>
        <v>21</v>
      </c>
      <c r="G186" s="180">
        <f t="shared" si="24"/>
        <v>193193.72660373972</v>
      </c>
      <c r="H186" s="186">
        <f>-Office!$E$97/12</f>
        <v>898.0893756176489</v>
      </c>
      <c r="I186" s="149">
        <f>Office!$E$95/12*G185</f>
        <v>564.45480342978874</v>
      </c>
      <c r="J186" s="187">
        <f t="shared" si="25"/>
        <v>333.63457218786016</v>
      </c>
      <c r="K186" s="72">
        <f t="shared" si="30"/>
        <v>21</v>
      </c>
      <c r="L186" s="180">
        <f t="shared" si="26"/>
        <v>1529093.4314656046</v>
      </c>
      <c r="M186" s="181">
        <f t="shared" si="26"/>
        <v>8263.2820433441975</v>
      </c>
      <c r="N186" s="180">
        <f t="shared" si="26"/>
        <v>6138.1680711874296</v>
      </c>
      <c r="O186" s="132">
        <f t="shared" si="26"/>
        <v>2125.1139721567674</v>
      </c>
      <c r="P186" s="258">
        <v>22</v>
      </c>
      <c r="Q186" s="149">
        <f>B429</f>
        <v>581772.44885222556</v>
      </c>
      <c r="R186" s="149">
        <f>SUM(C418:C429)</f>
        <v>88382.312012718568</v>
      </c>
      <c r="S186" s="161">
        <f t="shared" ref="S186:T186" si="53">SUM(D418:D429)</f>
        <v>30663.749402521531</v>
      </c>
      <c r="T186" s="200">
        <f t="shared" si="53"/>
        <v>57718.562610197041</v>
      </c>
      <c r="U186" s="258">
        <v>22</v>
      </c>
      <c r="V186" s="183">
        <f>G429</f>
        <v>75103.319190937298</v>
      </c>
      <c r="W186" s="184">
        <f>SUM(H418:H429)</f>
        <v>10777.072507411787</v>
      </c>
      <c r="X186" s="183">
        <f t="shared" ref="X186:Y186" si="54">SUM(I418:I429)</f>
        <v>2781.0174478909344</v>
      </c>
      <c r="Y186" s="184">
        <f t="shared" si="54"/>
        <v>7996.0550595208533</v>
      </c>
      <c r="Z186" s="72">
        <v>22</v>
      </c>
      <c r="AA186" s="180">
        <f t="shared" si="46"/>
        <v>656875.76804316288</v>
      </c>
      <c r="AB186" s="180">
        <f t="shared" si="46"/>
        <v>99159.384520130348</v>
      </c>
      <c r="AC186" s="180">
        <f t="shared" si="46"/>
        <v>33444.766850412467</v>
      </c>
      <c r="AD186" s="212">
        <f t="shared" si="46"/>
        <v>65714.617669717889</v>
      </c>
    </row>
    <row r="187" spans="1:30" x14ac:dyDescent="0.25">
      <c r="A187" s="72">
        <f t="shared" si="28"/>
        <v>22</v>
      </c>
      <c r="B187" s="183">
        <f t="shared" si="22"/>
        <v>1334100.7609643962</v>
      </c>
      <c r="C187" s="184">
        <f>-Office!$E$92/12</f>
        <v>7365.1926677265483</v>
      </c>
      <c r="D187" s="183">
        <f>Office!$E$90/12*B186</f>
        <v>5566.24877025777</v>
      </c>
      <c r="E187" s="185">
        <f t="shared" si="23"/>
        <v>1798.9438974687782</v>
      </c>
      <c r="F187" s="72">
        <f t="shared" si="29"/>
        <v>22</v>
      </c>
      <c r="G187" s="180">
        <f t="shared" si="24"/>
        <v>192859.1189307163</v>
      </c>
      <c r="H187" s="186">
        <f>-Office!$E$97/12</f>
        <v>898.0893756176489</v>
      </c>
      <c r="I187" s="149">
        <f>Office!$E$95/12*G186</f>
        <v>563.48170259424091</v>
      </c>
      <c r="J187" s="187">
        <f t="shared" si="25"/>
        <v>334.60767302340798</v>
      </c>
      <c r="K187" s="72">
        <f t="shared" si="30"/>
        <v>22</v>
      </c>
      <c r="L187" s="180">
        <f t="shared" si="26"/>
        <v>1526959.8798951125</v>
      </c>
      <c r="M187" s="181">
        <f t="shared" si="26"/>
        <v>8263.2820433441975</v>
      </c>
      <c r="N187" s="180">
        <f t="shared" si="26"/>
        <v>6129.7304728520112</v>
      </c>
      <c r="O187" s="132">
        <f t="shared" si="26"/>
        <v>2133.5515704921863</v>
      </c>
      <c r="P187" s="258">
        <v>23</v>
      </c>
      <c r="Q187" s="149">
        <f>B441</f>
        <v>521100.89503588522</v>
      </c>
      <c r="R187" s="149">
        <f>SUM(C430:C441)</f>
        <v>88382.312012718568</v>
      </c>
      <c r="S187" s="161">
        <f t="shared" ref="S187:T187" si="55">SUM(D430:D441)</f>
        <v>27710.758196378221</v>
      </c>
      <c r="T187" s="200">
        <f t="shared" si="55"/>
        <v>60671.553816340354</v>
      </c>
      <c r="U187" s="258">
        <v>23</v>
      </c>
      <c r="V187" s="183">
        <f>G441</f>
        <v>66822.868817361057</v>
      </c>
      <c r="W187" s="184">
        <f>SUM(H430:H441)</f>
        <v>10777.072507411787</v>
      </c>
      <c r="X187" s="183">
        <f t="shared" ref="X187:Y187" si="56">SUM(I430:I441)</f>
        <v>2496.6221338355667</v>
      </c>
      <c r="Y187" s="184">
        <f t="shared" si="56"/>
        <v>8280.4503735762191</v>
      </c>
      <c r="Z187" s="72">
        <v>23</v>
      </c>
      <c r="AA187" s="180">
        <f t="shared" si="46"/>
        <v>587923.76385324623</v>
      </c>
      <c r="AB187" s="180">
        <f t="shared" si="46"/>
        <v>99159.384520130348</v>
      </c>
      <c r="AC187" s="180">
        <f t="shared" si="46"/>
        <v>30207.380330213789</v>
      </c>
      <c r="AD187" s="212">
        <f t="shared" si="46"/>
        <v>68952.004189916566</v>
      </c>
    </row>
    <row r="188" spans="1:30" x14ac:dyDescent="0.25">
      <c r="A188" s="72">
        <f t="shared" si="28"/>
        <v>23</v>
      </c>
      <c r="B188" s="183">
        <f t="shared" si="22"/>
        <v>1332294.3214673547</v>
      </c>
      <c r="C188" s="184">
        <f>-Office!$E$92/12</f>
        <v>7365.1926677265483</v>
      </c>
      <c r="D188" s="183">
        <f>Office!$E$90/12*B187</f>
        <v>5558.7531706849841</v>
      </c>
      <c r="E188" s="185">
        <f t="shared" si="23"/>
        <v>1806.4394970415642</v>
      </c>
      <c r="F188" s="72">
        <f t="shared" si="29"/>
        <v>23</v>
      </c>
      <c r="G188" s="180">
        <f t="shared" si="24"/>
        <v>192523.53531864658</v>
      </c>
      <c r="H188" s="186">
        <f>-Office!$E$97/12</f>
        <v>898.0893756176489</v>
      </c>
      <c r="I188" s="149">
        <f>Office!$E$95/12*G187</f>
        <v>562.50576354792258</v>
      </c>
      <c r="J188" s="187">
        <f t="shared" si="25"/>
        <v>335.58361206972631</v>
      </c>
      <c r="K188" s="72">
        <f t="shared" si="30"/>
        <v>23</v>
      </c>
      <c r="L188" s="180">
        <f t="shared" si="26"/>
        <v>1524817.8567860012</v>
      </c>
      <c r="M188" s="181">
        <f t="shared" si="26"/>
        <v>8263.2820433441975</v>
      </c>
      <c r="N188" s="180">
        <f t="shared" si="26"/>
        <v>6121.2589342329065</v>
      </c>
      <c r="O188" s="132">
        <f t="shared" si="26"/>
        <v>2142.0231091112905</v>
      </c>
      <c r="P188" s="258">
        <v>24</v>
      </c>
      <c r="Q188" s="149">
        <f>B453</f>
        <v>457325.26937886712</v>
      </c>
      <c r="R188" s="149">
        <f>SUM(C442:C453)</f>
        <v>88382.312012718568</v>
      </c>
      <c r="S188" s="161">
        <f t="shared" ref="S188:T188" si="57">SUM(D442:D453)</f>
        <v>24606.686355700534</v>
      </c>
      <c r="T188" s="200">
        <f t="shared" si="57"/>
        <v>63775.625657018049</v>
      </c>
      <c r="U188" s="258">
        <v>24</v>
      </c>
      <c r="V188" s="183">
        <f>G453</f>
        <v>58247.908054976418</v>
      </c>
      <c r="W188" s="184">
        <f>SUM(H442:H453)</f>
        <v>10777.072507411787</v>
      </c>
      <c r="X188" s="183">
        <f t="shared" ref="X188:Y188" si="58">SUM(I442:I453)</f>
        <v>2202.1117450271377</v>
      </c>
      <c r="Y188" s="184">
        <f t="shared" si="58"/>
        <v>8574.9607623846496</v>
      </c>
      <c r="Z188" s="72">
        <v>24</v>
      </c>
      <c r="AA188" s="180">
        <f t="shared" si="46"/>
        <v>515573.17743384355</v>
      </c>
      <c r="AB188" s="180">
        <f t="shared" si="46"/>
        <v>99159.384520130348</v>
      </c>
      <c r="AC188" s="180">
        <f t="shared" si="46"/>
        <v>26808.798100727672</v>
      </c>
      <c r="AD188" s="212">
        <f t="shared" si="46"/>
        <v>72350.586419402694</v>
      </c>
    </row>
    <row r="189" spans="1:30" x14ac:dyDescent="0.25">
      <c r="A189" s="72">
        <f t="shared" si="28"/>
        <v>24</v>
      </c>
      <c r="B189" s="183">
        <f t="shared" si="22"/>
        <v>1330480.3551390753</v>
      </c>
      <c r="C189" s="184">
        <f>-Office!$E$92/12</f>
        <v>7365.1926677265483</v>
      </c>
      <c r="D189" s="183">
        <f>Office!$E$90/12*B188</f>
        <v>5551.2263394473111</v>
      </c>
      <c r="E189" s="185">
        <f t="shared" si="23"/>
        <v>1813.9663282792371</v>
      </c>
      <c r="F189" s="72">
        <f t="shared" si="29"/>
        <v>24</v>
      </c>
      <c r="G189" s="180">
        <f t="shared" si="24"/>
        <v>192186.97292104166</v>
      </c>
      <c r="H189" s="186">
        <f>-Office!$E$97/12</f>
        <v>898.0893756176489</v>
      </c>
      <c r="I189" s="149">
        <f>Office!$E$95/12*G188</f>
        <v>561.52697801271927</v>
      </c>
      <c r="J189" s="187">
        <f t="shared" si="25"/>
        <v>336.56239760492963</v>
      </c>
      <c r="K189" s="72">
        <f t="shared" si="30"/>
        <v>24</v>
      </c>
      <c r="L189" s="180">
        <f t="shared" si="26"/>
        <v>1522667.3280601171</v>
      </c>
      <c r="M189" s="181">
        <f t="shared" si="26"/>
        <v>8263.2820433441975</v>
      </c>
      <c r="N189" s="180">
        <f t="shared" si="26"/>
        <v>6112.7533174600303</v>
      </c>
      <c r="O189" s="132">
        <f t="shared" si="26"/>
        <v>2150.5287258841668</v>
      </c>
      <c r="P189" s="258">
        <v>25</v>
      </c>
      <c r="Q189" s="149">
        <f>B465</f>
        <v>390286.76167464111</v>
      </c>
      <c r="R189" s="149">
        <f>SUM(C454:C465)</f>
        <v>88382.312012718568</v>
      </c>
      <c r="S189" s="161">
        <f t="shared" ref="S189:T189" si="59">SUM(D454:D465)</f>
        <v>21343.80430849253</v>
      </c>
      <c r="T189" s="200">
        <f t="shared" si="59"/>
        <v>67038.507704226038</v>
      </c>
      <c r="U189" s="258">
        <v>25</v>
      </c>
      <c r="V189" s="183">
        <f>G465</f>
        <v>49367.962066642489</v>
      </c>
      <c r="W189" s="184">
        <f>SUM(H454:H465)</f>
        <v>10777.072507411787</v>
      </c>
      <c r="X189" s="183">
        <f t="shared" ref="X189:Y189" si="60">SUM(I454:I465)</f>
        <v>1897.1265190778595</v>
      </c>
      <c r="Y189" s="184">
        <f t="shared" si="60"/>
        <v>8879.9459883339277</v>
      </c>
      <c r="Z189" s="72">
        <v>25</v>
      </c>
      <c r="AA189" s="180">
        <f t="shared" si="46"/>
        <v>439654.72374128358</v>
      </c>
      <c r="AB189" s="180">
        <f t="shared" si="46"/>
        <v>99159.384520130348</v>
      </c>
      <c r="AC189" s="180">
        <f t="shared" si="46"/>
        <v>23240.930827570388</v>
      </c>
      <c r="AD189" s="212">
        <f t="shared" si="46"/>
        <v>75918.453692559968</v>
      </c>
    </row>
    <row r="190" spans="1:30" x14ac:dyDescent="0.25">
      <c r="A190" s="72">
        <f t="shared" si="28"/>
        <v>25</v>
      </c>
      <c r="B190" s="183">
        <f t="shared" si="22"/>
        <v>1328658.8306177615</v>
      </c>
      <c r="C190" s="184">
        <f>-Office!$E$92/12</f>
        <v>7365.1926677265483</v>
      </c>
      <c r="D190" s="183">
        <f>Office!$E$90/12*B189</f>
        <v>5543.6681464128142</v>
      </c>
      <c r="E190" s="185">
        <f t="shared" si="23"/>
        <v>1821.5245213137341</v>
      </c>
      <c r="F190" s="72">
        <f t="shared" si="29"/>
        <v>25</v>
      </c>
      <c r="G190" s="180">
        <f t="shared" si="24"/>
        <v>191849.42888311038</v>
      </c>
      <c r="H190" s="186">
        <f>-Office!$E$97/12</f>
        <v>898.0893756176489</v>
      </c>
      <c r="I190" s="149">
        <f>Office!$E$95/12*G189</f>
        <v>560.54533768637157</v>
      </c>
      <c r="J190" s="187">
        <f t="shared" si="25"/>
        <v>337.54403793127733</v>
      </c>
      <c r="K190" s="72">
        <f t="shared" si="30"/>
        <v>25</v>
      </c>
      <c r="L190" s="180">
        <f t="shared" si="26"/>
        <v>1520508.2595008719</v>
      </c>
      <c r="M190" s="181">
        <f t="shared" si="26"/>
        <v>8263.2820433441975</v>
      </c>
      <c r="N190" s="180">
        <f t="shared" si="26"/>
        <v>6104.2134840991857</v>
      </c>
      <c r="O190" s="132">
        <f t="shared" si="26"/>
        <v>2159.0685592450113</v>
      </c>
      <c r="P190" s="258">
        <v>26</v>
      </c>
      <c r="Q190" s="149">
        <f>B477</f>
        <v>319818.43668510771</v>
      </c>
      <c r="R190" s="149">
        <f>SUM(C466:C477)</f>
        <v>88382.312012718568</v>
      </c>
      <c r="S190" s="161">
        <f t="shared" ref="S190:T190" si="61">SUM(D466:D477)</f>
        <v>17913.987023185135</v>
      </c>
      <c r="T190" s="200">
        <f t="shared" si="61"/>
        <v>70468.32498953343</v>
      </c>
      <c r="U190" s="258">
        <v>26</v>
      </c>
      <c r="V190" s="183">
        <f>G477</f>
        <v>40172.183457178733</v>
      </c>
      <c r="W190" s="184">
        <f>SUM(H466:H477)</f>
        <v>10777.072507411787</v>
      </c>
      <c r="X190" s="183">
        <f t="shared" ref="X190:Y190" si="62">SUM(I466:I477)</f>
        <v>1581.2938979480273</v>
      </c>
      <c r="Y190" s="184">
        <f t="shared" si="62"/>
        <v>9195.7786094637595</v>
      </c>
      <c r="Z190" s="72">
        <v>26</v>
      </c>
      <c r="AA190" s="180">
        <f t="shared" si="46"/>
        <v>359990.62014228641</v>
      </c>
      <c r="AB190" s="180">
        <f t="shared" si="46"/>
        <v>99159.384520130348</v>
      </c>
      <c r="AC190" s="180">
        <f t="shared" si="46"/>
        <v>19495.280921133162</v>
      </c>
      <c r="AD190" s="212">
        <f t="shared" si="46"/>
        <v>79664.103598997186</v>
      </c>
    </row>
    <row r="191" spans="1:30" x14ac:dyDescent="0.25">
      <c r="A191" s="72">
        <f t="shared" si="28"/>
        <v>26</v>
      </c>
      <c r="B191" s="183">
        <f t="shared" si="22"/>
        <v>1326829.7164109424</v>
      </c>
      <c r="C191" s="184">
        <f>-Office!$E$92/12</f>
        <v>7365.1926677265483</v>
      </c>
      <c r="D191" s="183">
        <f>Office!$E$90/12*B190</f>
        <v>5536.0784609073398</v>
      </c>
      <c r="E191" s="185">
        <f t="shared" si="23"/>
        <v>1829.1142068192084</v>
      </c>
      <c r="F191" s="72">
        <f t="shared" si="29"/>
        <v>26</v>
      </c>
      <c r="G191" s="180">
        <f t="shared" si="24"/>
        <v>191510.90034173513</v>
      </c>
      <c r="H191" s="186">
        <f>-Office!$E$97/12</f>
        <v>898.0893756176489</v>
      </c>
      <c r="I191" s="149">
        <f>Office!$E$95/12*G190</f>
        <v>559.56083424240524</v>
      </c>
      <c r="J191" s="187">
        <f t="shared" si="25"/>
        <v>338.52854137524366</v>
      </c>
      <c r="K191" s="72">
        <f t="shared" si="30"/>
        <v>26</v>
      </c>
      <c r="L191" s="180">
        <f t="shared" si="26"/>
        <v>1518340.6167526776</v>
      </c>
      <c r="M191" s="181">
        <f t="shared" si="26"/>
        <v>8263.2820433441975</v>
      </c>
      <c r="N191" s="180">
        <f t="shared" si="26"/>
        <v>6095.6392951497455</v>
      </c>
      <c r="O191" s="132">
        <f t="shared" si="26"/>
        <v>2167.642748194452</v>
      </c>
      <c r="P191" s="258">
        <v>27</v>
      </c>
      <c r="Q191" s="149">
        <f>B489</f>
        <v>245744.81844856299</v>
      </c>
      <c r="R191" s="149">
        <f>SUM(C478:C489)</f>
        <v>88382.312012718568</v>
      </c>
      <c r="S191" s="161">
        <f t="shared" ref="S191:T191" si="63">SUM(D478:D489)</f>
        <v>14308.693776173841</v>
      </c>
      <c r="T191" s="200">
        <f t="shared" si="63"/>
        <v>74073.618236544746</v>
      </c>
      <c r="U191" s="258">
        <v>27</v>
      </c>
      <c r="V191" s="183">
        <f>G489</f>
        <v>30649.33902261062</v>
      </c>
      <c r="W191" s="184">
        <f>SUM(H478:H489)</f>
        <v>10777.072507411787</v>
      </c>
      <c r="X191" s="183">
        <f t="shared" ref="X191:Y191" si="64">SUM(I478:I489)</f>
        <v>1254.2280728436683</v>
      </c>
      <c r="Y191" s="184">
        <f t="shared" si="64"/>
        <v>9522.8444345681182</v>
      </c>
      <c r="Z191" s="72">
        <v>27</v>
      </c>
      <c r="AA191" s="180">
        <f t="shared" si="46"/>
        <v>276394.15747117362</v>
      </c>
      <c r="AB191" s="180">
        <f t="shared" si="46"/>
        <v>99159.384520130348</v>
      </c>
      <c r="AC191" s="180">
        <f t="shared" si="46"/>
        <v>15562.92184901751</v>
      </c>
      <c r="AD191" s="212">
        <f t="shared" si="46"/>
        <v>83596.462671112866</v>
      </c>
    </row>
    <row r="192" spans="1:30" x14ac:dyDescent="0.25">
      <c r="A192" s="72">
        <f t="shared" si="28"/>
        <v>27</v>
      </c>
      <c r="B192" s="183">
        <f t="shared" si="22"/>
        <v>1324992.9808949281</v>
      </c>
      <c r="C192" s="184">
        <f>-Office!$E$92/12</f>
        <v>7365.1926677265483</v>
      </c>
      <c r="D192" s="183">
        <f>Office!$E$90/12*B191</f>
        <v>5528.4571517122595</v>
      </c>
      <c r="E192" s="185">
        <f t="shared" si="23"/>
        <v>1836.7355160142888</v>
      </c>
      <c r="F192" s="72">
        <f t="shared" si="29"/>
        <v>27</v>
      </c>
      <c r="G192" s="180">
        <f t="shared" si="24"/>
        <v>191171.38442544756</v>
      </c>
      <c r="H192" s="186">
        <f>-Office!$E$97/12</f>
        <v>898.0893756176489</v>
      </c>
      <c r="I192" s="149">
        <f>Office!$E$95/12*G191</f>
        <v>558.57345933006081</v>
      </c>
      <c r="J192" s="187">
        <f t="shared" si="25"/>
        <v>339.51591628758808</v>
      </c>
      <c r="K192" s="72">
        <f t="shared" si="30"/>
        <v>27</v>
      </c>
      <c r="L192" s="180">
        <f t="shared" si="26"/>
        <v>1516164.3653203757</v>
      </c>
      <c r="M192" s="181">
        <f t="shared" si="26"/>
        <v>8263.2820433441975</v>
      </c>
      <c r="N192" s="180">
        <f t="shared" si="26"/>
        <v>6087.0306110423207</v>
      </c>
      <c r="O192" s="132">
        <f t="shared" si="26"/>
        <v>2176.2514323018768</v>
      </c>
      <c r="P192" s="258">
        <v>28</v>
      </c>
      <c r="Q192" s="149">
        <f>B501</f>
        <v>167881.45332006968</v>
      </c>
      <c r="R192" s="149">
        <f>SUM(C490:C501)</f>
        <v>88382.312012718568</v>
      </c>
      <c r="S192" s="161">
        <f t="shared" ref="S192:T192" si="65">SUM(D490:D501)</f>
        <v>10518.946884225252</v>
      </c>
      <c r="T192" s="200">
        <f t="shared" si="65"/>
        <v>77863.365128493344</v>
      </c>
      <c r="U192" s="258">
        <v>28</v>
      </c>
      <c r="V192" s="183">
        <f>G501</f>
        <v>20787.79602812642</v>
      </c>
      <c r="W192" s="184">
        <f>SUM(H490:H501)</f>
        <v>10777.072507411787</v>
      </c>
      <c r="X192" s="183">
        <f t="shared" ref="X192:Y192" si="66">SUM(I490:I501)</f>
        <v>915.52951292758712</v>
      </c>
      <c r="Y192" s="184">
        <f t="shared" si="66"/>
        <v>9861.5429944841999</v>
      </c>
      <c r="Z192" s="72">
        <v>28</v>
      </c>
      <c r="AA192" s="180">
        <f t="shared" si="46"/>
        <v>188669.24934819608</v>
      </c>
      <c r="AB192" s="180">
        <f t="shared" si="46"/>
        <v>99159.384520130348</v>
      </c>
      <c r="AC192" s="180">
        <f t="shared" si="46"/>
        <v>11434.476397152839</v>
      </c>
      <c r="AD192" s="212">
        <f t="shared" si="46"/>
        <v>87724.908122977547</v>
      </c>
    </row>
    <row r="193" spans="1:30" x14ac:dyDescent="0.25">
      <c r="A193" s="72">
        <f t="shared" si="28"/>
        <v>28</v>
      </c>
      <c r="B193" s="183">
        <f t="shared" si="22"/>
        <v>1323148.5923142638</v>
      </c>
      <c r="C193" s="184">
        <f>-Office!$E$92/12</f>
        <v>7365.1926677265483</v>
      </c>
      <c r="D193" s="183">
        <f>Office!$E$90/12*B192</f>
        <v>5520.8040870622008</v>
      </c>
      <c r="E193" s="185">
        <f t="shared" si="23"/>
        <v>1844.3885806643475</v>
      </c>
      <c r="F193" s="72">
        <f t="shared" si="29"/>
        <v>28</v>
      </c>
      <c r="G193" s="180">
        <f t="shared" si="24"/>
        <v>190830.87825440412</v>
      </c>
      <c r="H193" s="186">
        <f>-Office!$E$97/12</f>
        <v>898.0893756176489</v>
      </c>
      <c r="I193" s="149">
        <f>Office!$E$95/12*G192</f>
        <v>557.58320457422201</v>
      </c>
      <c r="J193" s="187">
        <f t="shared" si="25"/>
        <v>340.50617104342689</v>
      </c>
      <c r="K193" s="72">
        <f t="shared" si="30"/>
        <v>28</v>
      </c>
      <c r="L193" s="180">
        <f t="shared" si="26"/>
        <v>1513979.4705686679</v>
      </c>
      <c r="M193" s="181">
        <f t="shared" si="26"/>
        <v>8263.2820433441975</v>
      </c>
      <c r="N193" s="180">
        <f t="shared" si="26"/>
        <v>6078.3872916364226</v>
      </c>
      <c r="O193" s="132">
        <f t="shared" si="26"/>
        <v>2184.8947517077745</v>
      </c>
      <c r="P193" s="258">
        <v>29</v>
      </c>
      <c r="Q193" s="149">
        <f>B513</f>
        <v>86034.450656144312</v>
      </c>
      <c r="R193" s="149">
        <f>SUM(C502:C513)</f>
        <v>88382.312012718568</v>
      </c>
      <c r="S193" s="161">
        <f t="shared" ref="S193:T193" si="67">SUM(D502:D513)</f>
        <v>6535.3093487931719</v>
      </c>
      <c r="T193" s="200">
        <f t="shared" si="67"/>
        <v>81847.002663925407</v>
      </c>
      <c r="U193" s="258">
        <v>29</v>
      </c>
      <c r="V193" s="183">
        <f>G513</f>
        <v>10575.507997982737</v>
      </c>
      <c r="W193" s="184">
        <f>SUM(H502:H513)</f>
        <v>10777.072507411787</v>
      </c>
      <c r="X193" s="183">
        <f t="shared" ref="X193:Y193" si="68">SUM(I502:I513)</f>
        <v>564.78447726810271</v>
      </c>
      <c r="Y193" s="184">
        <f t="shared" si="68"/>
        <v>10212.288030143683</v>
      </c>
      <c r="Z193" s="72">
        <v>29</v>
      </c>
      <c r="AA193" s="180">
        <f t="shared" si="46"/>
        <v>96609.958654127055</v>
      </c>
      <c r="AB193" s="180">
        <f t="shared" si="46"/>
        <v>99159.384520130348</v>
      </c>
      <c r="AC193" s="180">
        <f t="shared" si="46"/>
        <v>7100.0938260612747</v>
      </c>
      <c r="AD193" s="212">
        <f t="shared" si="46"/>
        <v>92059.290694069088</v>
      </c>
    </row>
    <row r="194" spans="1:30" ht="16.5" thickBot="1" x14ac:dyDescent="0.3">
      <c r="A194" s="72">
        <f t="shared" si="28"/>
        <v>29</v>
      </c>
      <c r="B194" s="183">
        <f t="shared" si="22"/>
        <v>1321296.51878118</v>
      </c>
      <c r="C194" s="184">
        <f>-Office!$E$92/12</f>
        <v>7365.1926677265483</v>
      </c>
      <c r="D194" s="183">
        <f>Office!$E$90/12*B193</f>
        <v>5513.1191346427659</v>
      </c>
      <c r="E194" s="185">
        <f t="shared" si="23"/>
        <v>1852.0735330837824</v>
      </c>
      <c r="F194" s="72">
        <f t="shared" si="29"/>
        <v>29</v>
      </c>
      <c r="G194" s="180">
        <f t="shared" si="24"/>
        <v>190489.37894036181</v>
      </c>
      <c r="H194" s="186">
        <f>-Office!$E$97/12</f>
        <v>898.0893756176489</v>
      </c>
      <c r="I194" s="149">
        <f>Office!$E$95/12*G193</f>
        <v>556.59006157534532</v>
      </c>
      <c r="J194" s="187">
        <f t="shared" si="25"/>
        <v>341.49931404230358</v>
      </c>
      <c r="K194" s="72">
        <f t="shared" si="30"/>
        <v>29</v>
      </c>
      <c r="L194" s="180">
        <f t="shared" si="26"/>
        <v>1511785.8977215418</v>
      </c>
      <c r="M194" s="181">
        <f t="shared" si="26"/>
        <v>8263.2820433441975</v>
      </c>
      <c r="N194" s="180">
        <f t="shared" si="26"/>
        <v>6069.7091962181112</v>
      </c>
      <c r="O194" s="132">
        <f t="shared" si="26"/>
        <v>2193.5728471260859</v>
      </c>
      <c r="P194" s="307">
        <v>30</v>
      </c>
      <c r="Q194" s="195">
        <f>B525</f>
        <v>1.2196323950774968E-9</v>
      </c>
      <c r="R194" s="195">
        <f>SUM(C514:C525)</f>
        <v>88382.312012718568</v>
      </c>
      <c r="S194" s="308">
        <f t="shared" ref="S194:T194" si="69">SUM(D514:D525)</f>
        <v>2347.8613565754772</v>
      </c>
      <c r="T194" s="306">
        <f t="shared" si="69"/>
        <v>86034.45065614309</v>
      </c>
      <c r="U194" s="307">
        <v>30</v>
      </c>
      <c r="V194" s="191">
        <f>G525</f>
        <v>2.3339907784247771E-10</v>
      </c>
      <c r="W194" s="309">
        <f>SUM(H514:H525)</f>
        <v>10777.072507411787</v>
      </c>
      <c r="X194" s="191">
        <f t="shared" ref="X194:Y194" si="70">SUM(I514:I525)</f>
        <v>201.56450942928481</v>
      </c>
      <c r="Y194" s="192">
        <f t="shared" si="70"/>
        <v>10575.5079979825</v>
      </c>
      <c r="Z194" s="307">
        <v>30</v>
      </c>
      <c r="AA194" s="188">
        <f t="shared" si="46"/>
        <v>1.4530314729199745E-9</v>
      </c>
      <c r="AB194" s="188">
        <f t="shared" si="46"/>
        <v>99159.384520130348</v>
      </c>
      <c r="AC194" s="188">
        <f t="shared" si="46"/>
        <v>2549.4258660047622</v>
      </c>
      <c r="AD194" s="244">
        <f t="shared" si="46"/>
        <v>96609.958654125585</v>
      </c>
    </row>
    <row r="195" spans="1:30" x14ac:dyDescent="0.25">
      <c r="A195" s="72">
        <f t="shared" si="28"/>
        <v>30</v>
      </c>
      <c r="B195" s="183">
        <f t="shared" si="22"/>
        <v>1319436.7282750418</v>
      </c>
      <c r="C195" s="184">
        <f>-Office!$E$92/12</f>
        <v>7365.1926677265483</v>
      </c>
      <c r="D195" s="183">
        <f>Office!$E$90/12*B194</f>
        <v>5505.4021615882502</v>
      </c>
      <c r="E195" s="185">
        <f t="shared" si="23"/>
        <v>1859.790506138298</v>
      </c>
      <c r="F195" s="72">
        <f t="shared" si="29"/>
        <v>30</v>
      </c>
      <c r="G195" s="180">
        <f t="shared" si="24"/>
        <v>190146.88358665357</v>
      </c>
      <c r="H195" s="186">
        <f>-Office!$E$97/12</f>
        <v>898.0893756176489</v>
      </c>
      <c r="I195" s="149">
        <f>Office!$E$95/12*G194</f>
        <v>555.59402190938863</v>
      </c>
      <c r="J195" s="187">
        <f t="shared" si="25"/>
        <v>342.49535370826027</v>
      </c>
      <c r="K195" s="72">
        <f t="shared" si="30"/>
        <v>30</v>
      </c>
      <c r="L195" s="180">
        <f t="shared" si="26"/>
        <v>1509583.6118616953</v>
      </c>
      <c r="M195" s="181">
        <f t="shared" si="26"/>
        <v>8263.2820433441975</v>
      </c>
      <c r="N195" s="180">
        <f t="shared" si="26"/>
        <v>6060.9961834976384</v>
      </c>
      <c r="O195" s="132">
        <f t="shared" si="26"/>
        <v>2202.2858598465582</v>
      </c>
    </row>
    <row r="196" spans="1:30" x14ac:dyDescent="0.25">
      <c r="A196" s="72">
        <f t="shared" si="28"/>
        <v>31</v>
      </c>
      <c r="B196" s="183">
        <f t="shared" si="22"/>
        <v>1317569.1886417945</v>
      </c>
      <c r="C196" s="184">
        <f>-Office!$E$92/12</f>
        <v>7365.1926677265483</v>
      </c>
      <c r="D196" s="183">
        <f>Office!$E$90/12*B195</f>
        <v>5497.6530344793409</v>
      </c>
      <c r="E196" s="185">
        <f t="shared" si="23"/>
        <v>1867.5396332472073</v>
      </c>
      <c r="F196" s="72">
        <f t="shared" si="29"/>
        <v>31</v>
      </c>
      <c r="G196" s="180">
        <f t="shared" si="24"/>
        <v>189803.38928816366</v>
      </c>
      <c r="H196" s="186">
        <f>-Office!$E$97/12</f>
        <v>898.0893756176489</v>
      </c>
      <c r="I196" s="149">
        <f>Office!$E$95/12*G195</f>
        <v>554.59507712773961</v>
      </c>
      <c r="J196" s="187">
        <f t="shared" si="25"/>
        <v>343.49429848990928</v>
      </c>
      <c r="K196" s="72">
        <f t="shared" si="30"/>
        <v>31</v>
      </c>
      <c r="L196" s="180">
        <f t="shared" si="26"/>
        <v>1507372.5779299582</v>
      </c>
      <c r="M196" s="181">
        <f t="shared" si="26"/>
        <v>8263.2820433441975</v>
      </c>
      <c r="N196" s="180">
        <f t="shared" si="26"/>
        <v>6052.2481116070803</v>
      </c>
      <c r="O196" s="132">
        <f t="shared" si="26"/>
        <v>2211.0339317371167</v>
      </c>
    </row>
    <row r="197" spans="1:30" x14ac:dyDescent="0.25">
      <c r="A197" s="72">
        <f t="shared" si="28"/>
        <v>32</v>
      </c>
      <c r="B197" s="183">
        <f t="shared" si="22"/>
        <v>1315693.8675934088</v>
      </c>
      <c r="C197" s="184">
        <f>-Office!$E$92/12</f>
        <v>7365.1926677265483</v>
      </c>
      <c r="D197" s="183">
        <f>Office!$E$90/12*B196</f>
        <v>5489.87161934081</v>
      </c>
      <c r="E197" s="185">
        <f t="shared" si="23"/>
        <v>1875.3210483857383</v>
      </c>
      <c r="F197" s="72">
        <f t="shared" si="29"/>
        <v>32</v>
      </c>
      <c r="G197" s="180">
        <f t="shared" si="24"/>
        <v>189458.89313130316</v>
      </c>
      <c r="H197" s="186">
        <f>-Office!$E$97/12</f>
        <v>898.0893756176489</v>
      </c>
      <c r="I197" s="149">
        <f>Office!$E$95/12*G196</f>
        <v>553.59321875714397</v>
      </c>
      <c r="J197" s="187">
        <f t="shared" si="25"/>
        <v>344.49615686050493</v>
      </c>
      <c r="K197" s="72">
        <f t="shared" si="30"/>
        <v>32</v>
      </c>
      <c r="L197" s="180">
        <f t="shared" si="26"/>
        <v>1505152.7607247119</v>
      </c>
      <c r="M197" s="181">
        <f t="shared" si="26"/>
        <v>8263.2820433441975</v>
      </c>
      <c r="N197" s="180">
        <f t="shared" si="26"/>
        <v>6043.4648380979543</v>
      </c>
      <c r="O197" s="132">
        <f t="shared" si="26"/>
        <v>2219.8172052462432</v>
      </c>
    </row>
    <row r="198" spans="1:30" x14ac:dyDescent="0.25">
      <c r="A198" s="72">
        <f t="shared" si="28"/>
        <v>33</v>
      </c>
      <c r="B198" s="183">
        <f t="shared" si="22"/>
        <v>1313810.7327073214</v>
      </c>
      <c r="C198" s="184">
        <f>-Office!$E$92/12</f>
        <v>7365.1926677265483</v>
      </c>
      <c r="D198" s="183">
        <f>Office!$E$90/12*B197</f>
        <v>5482.0577816392033</v>
      </c>
      <c r="E198" s="185">
        <f t="shared" si="23"/>
        <v>1883.134886087345</v>
      </c>
      <c r="F198" s="72">
        <f t="shared" si="29"/>
        <v>33</v>
      </c>
      <c r="G198" s="180">
        <f t="shared" si="24"/>
        <v>189113.39219398514</v>
      </c>
      <c r="H198" s="186">
        <f>-Office!$E$97/12</f>
        <v>898.0893756176489</v>
      </c>
      <c r="I198" s="149">
        <f>Office!$E$95/12*G197</f>
        <v>552.58843829963428</v>
      </c>
      <c r="J198" s="187">
        <f t="shared" si="25"/>
        <v>345.50093731801462</v>
      </c>
      <c r="K198" s="72">
        <f t="shared" si="30"/>
        <v>33</v>
      </c>
      <c r="L198" s="180">
        <f t="shared" si="26"/>
        <v>1502924.1249013066</v>
      </c>
      <c r="M198" s="181">
        <f t="shared" si="26"/>
        <v>8263.2820433441975</v>
      </c>
      <c r="N198" s="180">
        <f t="shared" si="26"/>
        <v>6034.6462199388379</v>
      </c>
      <c r="O198" s="132">
        <f t="shared" si="26"/>
        <v>2228.6358234053596</v>
      </c>
    </row>
    <row r="199" spans="1:30" x14ac:dyDescent="0.25">
      <c r="A199" s="72">
        <f t="shared" si="28"/>
        <v>34</v>
      </c>
      <c r="B199" s="183">
        <f t="shared" si="22"/>
        <v>1311919.7514258754</v>
      </c>
      <c r="C199" s="184">
        <f>-Office!$E$92/12</f>
        <v>7365.1926677265483</v>
      </c>
      <c r="D199" s="183">
        <f>Office!$E$90/12*B198</f>
        <v>5474.2113862805054</v>
      </c>
      <c r="E199" s="185">
        <f t="shared" si="23"/>
        <v>1890.9812814460429</v>
      </c>
      <c r="F199" s="72">
        <f t="shared" si="29"/>
        <v>34</v>
      </c>
      <c r="G199" s="180">
        <f t="shared" si="24"/>
        <v>188766.88354559994</v>
      </c>
      <c r="H199" s="186">
        <f>-Office!$E$97/12</f>
        <v>898.0893756176489</v>
      </c>
      <c r="I199" s="149">
        <f>Office!$E$95/12*G198</f>
        <v>551.58072723245664</v>
      </c>
      <c r="J199" s="187">
        <f t="shared" si="25"/>
        <v>346.50864838519226</v>
      </c>
      <c r="K199" s="72">
        <f t="shared" si="30"/>
        <v>34</v>
      </c>
      <c r="L199" s="180">
        <f t="shared" si="26"/>
        <v>1500686.6349714752</v>
      </c>
      <c r="M199" s="181">
        <f t="shared" si="26"/>
        <v>8263.2820433441975</v>
      </c>
      <c r="N199" s="180">
        <f t="shared" si="26"/>
        <v>6025.7921135129618</v>
      </c>
      <c r="O199" s="132">
        <f t="shared" si="26"/>
        <v>2237.4899298312353</v>
      </c>
    </row>
    <row r="200" spans="1:30" x14ac:dyDescent="0.25">
      <c r="A200" s="72">
        <f t="shared" si="28"/>
        <v>35</v>
      </c>
      <c r="B200" s="183">
        <f t="shared" si="22"/>
        <v>1310020.8910557567</v>
      </c>
      <c r="C200" s="184">
        <f>-Office!$E$92/12</f>
        <v>7365.1926677265483</v>
      </c>
      <c r="D200" s="183">
        <f>Office!$E$90/12*B199</f>
        <v>5466.3322976078143</v>
      </c>
      <c r="E200" s="185">
        <f t="shared" si="23"/>
        <v>1898.860370118734</v>
      </c>
      <c r="F200" s="72">
        <f t="shared" si="29"/>
        <v>35</v>
      </c>
      <c r="G200" s="180">
        <f t="shared" si="24"/>
        <v>188419.3642469903</v>
      </c>
      <c r="H200" s="186">
        <f>-Office!$E$97/12</f>
        <v>898.0893756176489</v>
      </c>
      <c r="I200" s="149">
        <f>Office!$E$95/12*G199</f>
        <v>550.57007700799988</v>
      </c>
      <c r="J200" s="187">
        <f t="shared" si="25"/>
        <v>347.51929860964901</v>
      </c>
      <c r="K200" s="72">
        <f t="shared" si="30"/>
        <v>35</v>
      </c>
      <c r="L200" s="180">
        <f t="shared" si="26"/>
        <v>1498440.255302747</v>
      </c>
      <c r="M200" s="181">
        <f t="shared" si="26"/>
        <v>8263.2820433441975</v>
      </c>
      <c r="N200" s="180">
        <f t="shared" si="26"/>
        <v>6016.9023746158146</v>
      </c>
      <c r="O200" s="132">
        <f t="shared" si="26"/>
        <v>2246.379668728383</v>
      </c>
    </row>
    <row r="201" spans="1:30" x14ac:dyDescent="0.25">
      <c r="A201" s="72">
        <f t="shared" si="28"/>
        <v>36</v>
      </c>
      <c r="B201" s="183">
        <f t="shared" si="22"/>
        <v>1308114.1187674291</v>
      </c>
      <c r="C201" s="184">
        <f>-Office!$E$92/12</f>
        <v>7365.1926677265483</v>
      </c>
      <c r="D201" s="183">
        <f>Office!$E$90/12*B200</f>
        <v>5458.4203793989864</v>
      </c>
      <c r="E201" s="185">
        <f t="shared" si="23"/>
        <v>1906.7722883275619</v>
      </c>
      <c r="F201" s="72">
        <f t="shared" si="29"/>
        <v>36</v>
      </c>
      <c r="G201" s="180">
        <f t="shared" si="24"/>
        <v>188070.83135042636</v>
      </c>
      <c r="H201" s="186">
        <f>-Office!$E$97/12</f>
        <v>898.0893756176489</v>
      </c>
      <c r="I201" s="149">
        <f>Office!$E$95/12*G200</f>
        <v>549.55647905372177</v>
      </c>
      <c r="J201" s="187">
        <f t="shared" si="25"/>
        <v>348.53289656392712</v>
      </c>
      <c r="K201" s="72">
        <f t="shared" si="30"/>
        <v>36</v>
      </c>
      <c r="L201" s="180">
        <f t="shared" si="26"/>
        <v>1496184.9501178556</v>
      </c>
      <c r="M201" s="181">
        <f t="shared" si="26"/>
        <v>8263.2820433441975</v>
      </c>
      <c r="N201" s="180">
        <f t="shared" si="26"/>
        <v>6007.9768584527083</v>
      </c>
      <c r="O201" s="132">
        <f t="shared" si="26"/>
        <v>2255.3051848914893</v>
      </c>
    </row>
    <row r="202" spans="1:30" x14ac:dyDescent="0.25">
      <c r="A202" s="72">
        <f t="shared" si="28"/>
        <v>37</v>
      </c>
      <c r="B202" s="183">
        <f t="shared" si="22"/>
        <v>1306199.4015945669</v>
      </c>
      <c r="C202" s="184">
        <f>-Office!$E$92/12</f>
        <v>7365.1926677265483</v>
      </c>
      <c r="D202" s="183">
        <f>Office!$E$90/12*B201</f>
        <v>5450.4754948642876</v>
      </c>
      <c r="E202" s="185">
        <f t="shared" si="23"/>
        <v>1914.7171728622607</v>
      </c>
      <c r="F202" s="72">
        <f t="shared" si="29"/>
        <v>37</v>
      </c>
      <c r="G202" s="180">
        <f t="shared" si="24"/>
        <v>187721.28189958079</v>
      </c>
      <c r="H202" s="186">
        <f>-Office!$E$97/12</f>
        <v>898.0893756176489</v>
      </c>
      <c r="I202" s="149">
        <f>Office!$E$95/12*G201</f>
        <v>548.53992477207692</v>
      </c>
      <c r="J202" s="187">
        <f t="shared" si="25"/>
        <v>349.54945084557198</v>
      </c>
      <c r="K202" s="72">
        <f t="shared" si="30"/>
        <v>37</v>
      </c>
      <c r="L202" s="180">
        <f t="shared" si="26"/>
        <v>1493920.6834941476</v>
      </c>
      <c r="M202" s="181">
        <f t="shared" si="26"/>
        <v>8263.2820433441975</v>
      </c>
      <c r="N202" s="180">
        <f t="shared" si="26"/>
        <v>5999.0154196363646</v>
      </c>
      <c r="O202" s="132">
        <f t="shared" si="26"/>
        <v>2264.2666237078329</v>
      </c>
    </row>
    <row r="203" spans="1:30" x14ac:dyDescent="0.25">
      <c r="A203" s="72">
        <f t="shared" si="28"/>
        <v>38</v>
      </c>
      <c r="B203" s="183">
        <f t="shared" si="22"/>
        <v>1304276.7064334843</v>
      </c>
      <c r="C203" s="184">
        <f>-Office!$E$92/12</f>
        <v>7365.1926677265483</v>
      </c>
      <c r="D203" s="183">
        <f>Office!$E$90/12*B202</f>
        <v>5442.4975066440284</v>
      </c>
      <c r="E203" s="185">
        <f t="shared" si="23"/>
        <v>1922.6951610825199</v>
      </c>
      <c r="F203" s="72">
        <f t="shared" si="29"/>
        <v>38</v>
      </c>
      <c r="G203" s="180">
        <f t="shared" si="24"/>
        <v>187370.71292950358</v>
      </c>
      <c r="H203" s="186">
        <f>-Office!$E$97/12</f>
        <v>898.0893756176489</v>
      </c>
      <c r="I203" s="149">
        <f>Office!$E$95/12*G202</f>
        <v>547.52040554044402</v>
      </c>
      <c r="J203" s="187">
        <f t="shared" si="25"/>
        <v>350.56897007720488</v>
      </c>
      <c r="K203" s="72">
        <f t="shared" si="30"/>
        <v>38</v>
      </c>
      <c r="L203" s="180">
        <f t="shared" si="26"/>
        <v>1491647.4193629879</v>
      </c>
      <c r="M203" s="181">
        <f t="shared" si="26"/>
        <v>8263.2820433441975</v>
      </c>
      <c r="N203" s="180">
        <f t="shared" si="26"/>
        <v>5990.0179121844722</v>
      </c>
      <c r="O203" s="132">
        <f t="shared" si="26"/>
        <v>2273.2641311597249</v>
      </c>
    </row>
    <row r="204" spans="1:30" x14ac:dyDescent="0.25">
      <c r="A204" s="72">
        <f t="shared" si="28"/>
        <v>39</v>
      </c>
      <c r="B204" s="183">
        <f t="shared" si="22"/>
        <v>1302346.000042564</v>
      </c>
      <c r="C204" s="184">
        <f>-Office!$E$92/12</f>
        <v>7365.1926677265483</v>
      </c>
      <c r="D204" s="183">
        <f>Office!$E$90/12*B203</f>
        <v>5434.4862768061848</v>
      </c>
      <c r="E204" s="185">
        <f t="shared" si="23"/>
        <v>1930.7063909203634</v>
      </c>
      <c r="F204" s="72">
        <f t="shared" si="29"/>
        <v>39</v>
      </c>
      <c r="G204" s="180">
        <f t="shared" si="24"/>
        <v>187019.12146659699</v>
      </c>
      <c r="H204" s="186">
        <f>-Office!$E$97/12</f>
        <v>898.0893756176489</v>
      </c>
      <c r="I204" s="149">
        <f>Office!$E$95/12*G203</f>
        <v>546.49791271105209</v>
      </c>
      <c r="J204" s="187">
        <f t="shared" si="25"/>
        <v>351.5914629065968</v>
      </c>
      <c r="K204" s="72">
        <f t="shared" si="30"/>
        <v>39</v>
      </c>
      <c r="L204" s="180">
        <f t="shared" si="26"/>
        <v>1489365.1215091611</v>
      </c>
      <c r="M204" s="181">
        <f t="shared" si="26"/>
        <v>8263.2820433441975</v>
      </c>
      <c r="N204" s="180">
        <f t="shared" si="26"/>
        <v>5980.9841895172367</v>
      </c>
      <c r="O204" s="132">
        <f t="shared" si="26"/>
        <v>2282.2978538269604</v>
      </c>
    </row>
    <row r="205" spans="1:30" x14ac:dyDescent="0.25">
      <c r="A205" s="72">
        <f t="shared" si="28"/>
        <v>40</v>
      </c>
      <c r="B205" s="183">
        <f t="shared" si="22"/>
        <v>1300407.2490416814</v>
      </c>
      <c r="C205" s="184">
        <f>-Office!$E$92/12</f>
        <v>7365.1926677265483</v>
      </c>
      <c r="D205" s="183">
        <f>Office!$E$90/12*B204</f>
        <v>5426.4416668440163</v>
      </c>
      <c r="E205" s="185">
        <f t="shared" si="23"/>
        <v>1938.751000882532</v>
      </c>
      <c r="F205" s="72">
        <f t="shared" si="29"/>
        <v>40</v>
      </c>
      <c r="G205" s="180">
        <f t="shared" si="24"/>
        <v>186666.50452859025</v>
      </c>
      <c r="H205" s="186">
        <f>-Office!$E$97/12</f>
        <v>898.0893756176489</v>
      </c>
      <c r="I205" s="149">
        <f>Office!$E$95/12*G204</f>
        <v>545.47243761090795</v>
      </c>
      <c r="J205" s="187">
        <f t="shared" si="25"/>
        <v>352.61693800674095</v>
      </c>
      <c r="K205" s="72">
        <f t="shared" si="30"/>
        <v>40</v>
      </c>
      <c r="L205" s="180">
        <f t="shared" si="26"/>
        <v>1487073.7535702717</v>
      </c>
      <c r="M205" s="181">
        <f t="shared" si="26"/>
        <v>8263.2820433441975</v>
      </c>
      <c r="N205" s="180">
        <f t="shared" si="26"/>
        <v>5971.9141044549242</v>
      </c>
      <c r="O205" s="132">
        <f t="shared" si="26"/>
        <v>2291.3679388892729</v>
      </c>
    </row>
    <row r="206" spans="1:30" x14ac:dyDescent="0.25">
      <c r="A206" s="72">
        <f t="shared" si="28"/>
        <v>41</v>
      </c>
      <c r="B206" s="183">
        <f t="shared" si="22"/>
        <v>1298460.4199116286</v>
      </c>
      <c r="C206" s="184">
        <f>-Office!$E$92/12</f>
        <v>7365.1926677265483</v>
      </c>
      <c r="D206" s="183">
        <f>Office!$E$90/12*B205</f>
        <v>5418.3635376736729</v>
      </c>
      <c r="E206" s="185">
        <f t="shared" si="23"/>
        <v>1946.8291300528754</v>
      </c>
      <c r="F206" s="72">
        <f t="shared" si="29"/>
        <v>41</v>
      </c>
      <c r="G206" s="180">
        <f t="shared" si="24"/>
        <v>186312.8591245143</v>
      </c>
      <c r="H206" s="186">
        <f>-Office!$E$97/12</f>
        <v>898.0893756176489</v>
      </c>
      <c r="I206" s="149">
        <f>Office!$E$95/12*G205</f>
        <v>544.44397154172157</v>
      </c>
      <c r="J206" s="187">
        <f t="shared" si="25"/>
        <v>353.64540407592733</v>
      </c>
      <c r="K206" s="72">
        <f t="shared" si="30"/>
        <v>41</v>
      </c>
      <c r="L206" s="180">
        <f t="shared" si="26"/>
        <v>1484773.2790361429</v>
      </c>
      <c r="M206" s="181">
        <f t="shared" si="26"/>
        <v>8263.2820433441975</v>
      </c>
      <c r="N206" s="180">
        <f t="shared" si="26"/>
        <v>5962.807509215394</v>
      </c>
      <c r="O206" s="132">
        <f t="shared" si="26"/>
        <v>2300.4745341288026</v>
      </c>
    </row>
    <row r="207" spans="1:30" x14ac:dyDescent="0.25">
      <c r="A207" s="72">
        <f t="shared" si="28"/>
        <v>42</v>
      </c>
      <c r="B207" s="183">
        <f t="shared" si="22"/>
        <v>1296505.4789935339</v>
      </c>
      <c r="C207" s="184">
        <f>-Office!$E$92/12</f>
        <v>7365.1926677265483</v>
      </c>
      <c r="D207" s="183">
        <f>Office!$E$90/12*B206</f>
        <v>5410.251749631786</v>
      </c>
      <c r="E207" s="185">
        <f t="shared" si="23"/>
        <v>1954.9409180947623</v>
      </c>
      <c r="F207" s="72">
        <f t="shared" si="29"/>
        <v>42</v>
      </c>
      <c r="G207" s="180">
        <f t="shared" si="24"/>
        <v>185958.18225467647</v>
      </c>
      <c r="H207" s="186">
        <f>-Office!$E$97/12</f>
        <v>898.0893756176489</v>
      </c>
      <c r="I207" s="149">
        <f>Office!$E$95/12*G206</f>
        <v>543.4125057798334</v>
      </c>
      <c r="J207" s="187">
        <f t="shared" si="25"/>
        <v>354.6768698378155</v>
      </c>
      <c r="K207" s="72">
        <f t="shared" si="30"/>
        <v>42</v>
      </c>
      <c r="L207" s="180">
        <f t="shared" si="26"/>
        <v>1482463.6612482104</v>
      </c>
      <c r="M207" s="181">
        <f t="shared" si="26"/>
        <v>8263.2820433441975</v>
      </c>
      <c r="N207" s="180">
        <f t="shared" si="26"/>
        <v>5953.6642554116197</v>
      </c>
      <c r="O207" s="132">
        <f t="shared" si="26"/>
        <v>2309.6177879325778</v>
      </c>
    </row>
    <row r="208" spans="1:30" x14ac:dyDescent="0.25">
      <c r="A208" s="72">
        <f t="shared" si="28"/>
        <v>43</v>
      </c>
      <c r="B208" s="183">
        <f t="shared" si="22"/>
        <v>1294542.3924882803</v>
      </c>
      <c r="C208" s="184">
        <f>-Office!$E$92/12</f>
        <v>7365.1926677265483</v>
      </c>
      <c r="D208" s="183">
        <f>Office!$E$90/12*B207</f>
        <v>5402.1061624730573</v>
      </c>
      <c r="E208" s="185">
        <f t="shared" si="23"/>
        <v>1963.0865052534909</v>
      </c>
      <c r="F208" s="72">
        <f t="shared" si="29"/>
        <v>43</v>
      </c>
      <c r="G208" s="180">
        <f t="shared" si="24"/>
        <v>185602.47091063496</v>
      </c>
      <c r="H208" s="186">
        <f>-Office!$E$97/12</f>
        <v>898.0893756176489</v>
      </c>
      <c r="I208" s="149">
        <f>Office!$E$95/12*G207</f>
        <v>542.37803157613973</v>
      </c>
      <c r="J208" s="187">
        <f t="shared" si="25"/>
        <v>355.71134404150916</v>
      </c>
      <c r="K208" s="72">
        <f t="shared" si="30"/>
        <v>43</v>
      </c>
      <c r="L208" s="180">
        <f t="shared" si="26"/>
        <v>1480144.8633989152</v>
      </c>
      <c r="M208" s="181">
        <f t="shared" si="26"/>
        <v>8263.2820433441975</v>
      </c>
      <c r="N208" s="180">
        <f t="shared" si="26"/>
        <v>5944.484194049197</v>
      </c>
      <c r="O208" s="132">
        <f t="shared" si="26"/>
        <v>2318.7978492950001</v>
      </c>
    </row>
    <row r="209" spans="1:15" x14ac:dyDescent="0.25">
      <c r="A209" s="72">
        <f t="shared" si="28"/>
        <v>44</v>
      </c>
      <c r="B209" s="183">
        <f t="shared" si="22"/>
        <v>1292571.1264559217</v>
      </c>
      <c r="C209" s="184">
        <f>-Office!$E$92/12</f>
        <v>7365.1926677265483</v>
      </c>
      <c r="D209" s="183">
        <f>Office!$E$90/12*B208</f>
        <v>5393.9266353678349</v>
      </c>
      <c r="E209" s="185">
        <f t="shared" si="23"/>
        <v>1971.2660323587133</v>
      </c>
      <c r="F209" s="72">
        <f t="shared" si="29"/>
        <v>44</v>
      </c>
      <c r="G209" s="180">
        <f t="shared" si="24"/>
        <v>185245.72207517334</v>
      </c>
      <c r="H209" s="186">
        <f>-Office!$E$97/12</f>
        <v>898.0893756176489</v>
      </c>
      <c r="I209" s="149">
        <f>Office!$E$95/12*G208</f>
        <v>541.34054015601862</v>
      </c>
      <c r="J209" s="187">
        <f t="shared" si="25"/>
        <v>356.74883546163028</v>
      </c>
      <c r="K209" s="72">
        <f t="shared" si="30"/>
        <v>44</v>
      </c>
      <c r="L209" s="180">
        <f t="shared" si="26"/>
        <v>1477816.8485310951</v>
      </c>
      <c r="M209" s="181">
        <f t="shared" si="26"/>
        <v>8263.2820433441975</v>
      </c>
      <c r="N209" s="180">
        <f t="shared" si="26"/>
        <v>5935.2671755238534</v>
      </c>
      <c r="O209" s="132">
        <f t="shared" si="26"/>
        <v>2328.0148678203436</v>
      </c>
    </row>
    <row r="210" spans="1:15" x14ac:dyDescent="0.25">
      <c r="A210" s="72">
        <f t="shared" si="28"/>
        <v>45</v>
      </c>
      <c r="B210" s="183">
        <f t="shared" si="22"/>
        <v>1290591.6468150949</v>
      </c>
      <c r="C210" s="184">
        <f>-Office!$E$92/12</f>
        <v>7365.1926677265483</v>
      </c>
      <c r="D210" s="183">
        <f>Office!$E$90/12*B209</f>
        <v>5385.7130268996734</v>
      </c>
      <c r="E210" s="185">
        <f t="shared" si="23"/>
        <v>1979.4796408268749</v>
      </c>
      <c r="F210" s="72">
        <f t="shared" si="29"/>
        <v>45</v>
      </c>
      <c r="G210" s="180">
        <f t="shared" si="24"/>
        <v>184887.93272227494</v>
      </c>
      <c r="H210" s="186">
        <f>-Office!$E$97/12</f>
        <v>898.0893756176489</v>
      </c>
      <c r="I210" s="149">
        <f>Office!$E$95/12*G209</f>
        <v>540.30002271925559</v>
      </c>
      <c r="J210" s="187">
        <f t="shared" si="25"/>
        <v>357.7893528983933</v>
      </c>
      <c r="K210" s="72">
        <f t="shared" si="30"/>
        <v>45</v>
      </c>
      <c r="L210" s="180">
        <f t="shared" si="26"/>
        <v>1475479.5795373698</v>
      </c>
      <c r="M210" s="181">
        <f t="shared" si="26"/>
        <v>8263.2820433441975</v>
      </c>
      <c r="N210" s="180">
        <f t="shared" si="26"/>
        <v>5926.0130496189286</v>
      </c>
      <c r="O210" s="132">
        <f t="shared" si="26"/>
        <v>2337.268993725268</v>
      </c>
    </row>
    <row r="211" spans="1:15" x14ac:dyDescent="0.25">
      <c r="A211" s="72">
        <f t="shared" si="28"/>
        <v>46</v>
      </c>
      <c r="B211" s="183">
        <f t="shared" si="22"/>
        <v>1288603.9193424312</v>
      </c>
      <c r="C211" s="184">
        <f>-Office!$E$92/12</f>
        <v>7365.1926677265483</v>
      </c>
      <c r="D211" s="183">
        <f>Office!$E$90/12*B210</f>
        <v>5377.465195062895</v>
      </c>
      <c r="E211" s="185">
        <f t="shared" si="23"/>
        <v>1987.7274726636533</v>
      </c>
      <c r="F211" s="72">
        <f t="shared" si="29"/>
        <v>46</v>
      </c>
      <c r="G211" s="180">
        <f t="shared" si="24"/>
        <v>184529.09981709727</v>
      </c>
      <c r="H211" s="186">
        <f>-Office!$E$97/12</f>
        <v>898.0893756176489</v>
      </c>
      <c r="I211" s="149">
        <f>Office!$E$95/12*G210</f>
        <v>539.25647043996855</v>
      </c>
      <c r="J211" s="187">
        <f t="shared" si="25"/>
        <v>358.83290517768035</v>
      </c>
      <c r="K211" s="72">
        <f t="shared" si="30"/>
        <v>46</v>
      </c>
      <c r="L211" s="180">
        <f t="shared" si="26"/>
        <v>1473133.0191595284</v>
      </c>
      <c r="M211" s="181">
        <f t="shared" si="26"/>
        <v>8263.2820433441975</v>
      </c>
      <c r="N211" s="180">
        <f t="shared" si="26"/>
        <v>5916.7216655028633</v>
      </c>
      <c r="O211" s="132">
        <f t="shared" si="26"/>
        <v>2346.5603778413338</v>
      </c>
    </row>
    <row r="212" spans="1:15" x14ac:dyDescent="0.25">
      <c r="A212" s="72">
        <f t="shared" si="28"/>
        <v>47</v>
      </c>
      <c r="B212" s="183">
        <f t="shared" si="22"/>
        <v>1286607.9096719648</v>
      </c>
      <c r="C212" s="184">
        <f>-Office!$E$92/12</f>
        <v>7365.1926677265483</v>
      </c>
      <c r="D212" s="183">
        <f>Office!$E$90/12*B211</f>
        <v>5369.1829972601299</v>
      </c>
      <c r="E212" s="185">
        <f t="shared" si="23"/>
        <v>1996.0096704664184</v>
      </c>
      <c r="F212" s="72">
        <f t="shared" si="29"/>
        <v>47</v>
      </c>
      <c r="G212" s="180">
        <f t="shared" si="24"/>
        <v>184169.22031594615</v>
      </c>
      <c r="H212" s="186">
        <f>-Office!$E$97/12</f>
        <v>898.0893756176489</v>
      </c>
      <c r="I212" s="149">
        <f>Office!$E$95/12*G211</f>
        <v>538.20987446653373</v>
      </c>
      <c r="J212" s="187">
        <f t="shared" si="25"/>
        <v>359.87950115111516</v>
      </c>
      <c r="K212" s="72">
        <f t="shared" si="30"/>
        <v>47</v>
      </c>
      <c r="L212" s="180">
        <f t="shared" si="26"/>
        <v>1470777.1299879109</v>
      </c>
      <c r="M212" s="181">
        <f t="shared" si="26"/>
        <v>8263.2820433441975</v>
      </c>
      <c r="N212" s="180">
        <f t="shared" si="26"/>
        <v>5907.3928717266635</v>
      </c>
      <c r="O212" s="132">
        <f t="shared" si="26"/>
        <v>2355.8891716175335</v>
      </c>
    </row>
    <row r="213" spans="1:15" x14ac:dyDescent="0.25">
      <c r="A213" s="72">
        <f t="shared" si="28"/>
        <v>48</v>
      </c>
      <c r="B213" s="183">
        <f t="shared" si="22"/>
        <v>1284603.5832945381</v>
      </c>
      <c r="C213" s="184">
        <f>-Office!$E$92/12</f>
        <v>7365.1926677265483</v>
      </c>
      <c r="D213" s="183">
        <f>Office!$E$90/12*B212</f>
        <v>5360.8662902998531</v>
      </c>
      <c r="E213" s="185">
        <f t="shared" si="23"/>
        <v>2004.3263774266952</v>
      </c>
      <c r="F213" s="72">
        <f t="shared" si="29"/>
        <v>48</v>
      </c>
      <c r="G213" s="180">
        <f t="shared" si="24"/>
        <v>183808.29116625001</v>
      </c>
      <c r="H213" s="186">
        <f>-Office!$E$97/12</f>
        <v>898.0893756176489</v>
      </c>
      <c r="I213" s="149">
        <f>Office!$E$95/12*G212</f>
        <v>537.16022592150966</v>
      </c>
      <c r="J213" s="187">
        <f t="shared" si="25"/>
        <v>360.92914969613923</v>
      </c>
      <c r="K213" s="72">
        <f t="shared" si="30"/>
        <v>48</v>
      </c>
      <c r="L213" s="180">
        <f t="shared" si="26"/>
        <v>1468411.874460788</v>
      </c>
      <c r="M213" s="181">
        <f t="shared" si="26"/>
        <v>8263.2820433441975</v>
      </c>
      <c r="N213" s="180">
        <f t="shared" si="26"/>
        <v>5898.0265162213627</v>
      </c>
      <c r="O213" s="132">
        <f t="shared" si="26"/>
        <v>2365.2555271228343</v>
      </c>
    </row>
    <row r="214" spans="1:15" x14ac:dyDescent="0.25">
      <c r="A214" s="72">
        <f t="shared" si="28"/>
        <v>49</v>
      </c>
      <c r="B214" s="183">
        <f t="shared" si="22"/>
        <v>1282590.9055572054</v>
      </c>
      <c r="C214" s="184">
        <f>-Office!$E$92/12</f>
        <v>7365.1926677265483</v>
      </c>
      <c r="D214" s="183">
        <f>Office!$E$90/12*B213</f>
        <v>5352.5149303939088</v>
      </c>
      <c r="E214" s="185">
        <f t="shared" si="23"/>
        <v>2012.6777373326395</v>
      </c>
      <c r="F214" s="72">
        <f t="shared" si="29"/>
        <v>49</v>
      </c>
      <c r="G214" s="180">
        <f t="shared" si="24"/>
        <v>183446.30930653392</v>
      </c>
      <c r="H214" s="186">
        <f>-Office!$E$97/12</f>
        <v>898.0893756176489</v>
      </c>
      <c r="I214" s="149">
        <f>Office!$E$95/12*G213</f>
        <v>536.10751590156258</v>
      </c>
      <c r="J214" s="187">
        <f t="shared" si="25"/>
        <v>361.98185971608632</v>
      </c>
      <c r="K214" s="72">
        <f t="shared" si="30"/>
        <v>49</v>
      </c>
      <c r="L214" s="180">
        <f t="shared" si="26"/>
        <v>1466037.2148637394</v>
      </c>
      <c r="M214" s="181">
        <f t="shared" si="26"/>
        <v>8263.2820433441975</v>
      </c>
      <c r="N214" s="180">
        <f t="shared" si="26"/>
        <v>5888.6224462954715</v>
      </c>
      <c r="O214" s="132">
        <f t="shared" si="26"/>
        <v>2374.659597048726</v>
      </c>
    </row>
    <row r="215" spans="1:15" x14ac:dyDescent="0.25">
      <c r="A215" s="72">
        <f t="shared" si="28"/>
        <v>50</v>
      </c>
      <c r="B215" s="183">
        <f t="shared" si="22"/>
        <v>1280569.8416626339</v>
      </c>
      <c r="C215" s="184">
        <f>-Office!$E$92/12</f>
        <v>7365.1926677265483</v>
      </c>
      <c r="D215" s="183">
        <f>Office!$E$90/12*B214</f>
        <v>5344.1287731550228</v>
      </c>
      <c r="E215" s="185">
        <f t="shared" si="23"/>
        <v>2021.0638945715255</v>
      </c>
      <c r="F215" s="72">
        <f t="shared" si="29"/>
        <v>50</v>
      </c>
      <c r="G215" s="180">
        <f t="shared" si="24"/>
        <v>183083.27166639367</v>
      </c>
      <c r="H215" s="186">
        <f>-Office!$E$97/12</f>
        <v>898.0893756176489</v>
      </c>
      <c r="I215" s="149">
        <f>Office!$E$95/12*G214</f>
        <v>535.05173547739059</v>
      </c>
      <c r="J215" s="187">
        <f t="shared" si="25"/>
        <v>363.0376401402583</v>
      </c>
      <c r="K215" s="72">
        <f t="shared" si="30"/>
        <v>50</v>
      </c>
      <c r="L215" s="180">
        <f t="shared" si="26"/>
        <v>1463653.1133290275</v>
      </c>
      <c r="M215" s="181">
        <f t="shared" si="26"/>
        <v>8263.2820433441975</v>
      </c>
      <c r="N215" s="180">
        <f t="shared" si="26"/>
        <v>5879.180508632413</v>
      </c>
      <c r="O215" s="132">
        <f t="shared" si="26"/>
        <v>2384.1015347117836</v>
      </c>
    </row>
    <row r="216" spans="1:15" x14ac:dyDescent="0.25">
      <c r="A216" s="72">
        <f t="shared" si="28"/>
        <v>51</v>
      </c>
      <c r="B216" s="183">
        <f t="shared" si="22"/>
        <v>1278540.3566685016</v>
      </c>
      <c r="C216" s="184">
        <f>-Office!$E$92/12</f>
        <v>7365.1926677265483</v>
      </c>
      <c r="D216" s="183">
        <f>Office!$E$90/12*B215</f>
        <v>5335.7076735943083</v>
      </c>
      <c r="E216" s="185">
        <f t="shared" si="23"/>
        <v>2029.48499413224</v>
      </c>
      <c r="F216" s="72">
        <f t="shared" si="29"/>
        <v>51</v>
      </c>
      <c r="G216" s="180">
        <f t="shared" si="24"/>
        <v>182719.17516646968</v>
      </c>
      <c r="H216" s="186">
        <f>-Office!$E$97/12</f>
        <v>898.0893756176489</v>
      </c>
      <c r="I216" s="149">
        <f>Office!$E$95/12*G215</f>
        <v>533.99287569364822</v>
      </c>
      <c r="J216" s="187">
        <f t="shared" si="25"/>
        <v>364.09649992400068</v>
      </c>
      <c r="K216" s="72">
        <f t="shared" si="30"/>
        <v>51</v>
      </c>
      <c r="L216" s="180">
        <f t="shared" si="26"/>
        <v>1461259.5318349714</v>
      </c>
      <c r="M216" s="181">
        <f t="shared" si="26"/>
        <v>8263.2820433441975</v>
      </c>
      <c r="N216" s="180">
        <f t="shared" si="26"/>
        <v>5869.7005492879562</v>
      </c>
      <c r="O216" s="132">
        <f t="shared" si="26"/>
        <v>2393.5814940562404</v>
      </c>
    </row>
    <row r="217" spans="1:15" x14ac:dyDescent="0.25">
      <c r="A217" s="72">
        <f t="shared" si="28"/>
        <v>52</v>
      </c>
      <c r="B217" s="183">
        <f t="shared" si="22"/>
        <v>1276502.4154868938</v>
      </c>
      <c r="C217" s="184">
        <f>-Office!$E$92/12</f>
        <v>7365.1926677265483</v>
      </c>
      <c r="D217" s="183">
        <f>Office!$E$90/12*B216</f>
        <v>5327.2514861187565</v>
      </c>
      <c r="E217" s="185">
        <f t="shared" si="23"/>
        <v>2037.9411816077918</v>
      </c>
      <c r="F217" s="72">
        <f t="shared" si="29"/>
        <v>52</v>
      </c>
      <c r="G217" s="180">
        <f t="shared" si="24"/>
        <v>182354.0167184209</v>
      </c>
      <c r="H217" s="186">
        <f>-Office!$E$97/12</f>
        <v>898.0893756176489</v>
      </c>
      <c r="I217" s="149">
        <f>Office!$E$95/12*G216</f>
        <v>532.93092756886995</v>
      </c>
      <c r="J217" s="187">
        <f t="shared" si="25"/>
        <v>365.15844804877895</v>
      </c>
      <c r="K217" s="72">
        <f t="shared" si="30"/>
        <v>52</v>
      </c>
      <c r="L217" s="180">
        <f t="shared" si="26"/>
        <v>1458856.4322053147</v>
      </c>
      <c r="M217" s="181">
        <f t="shared" si="26"/>
        <v>8263.2820433441975</v>
      </c>
      <c r="N217" s="180">
        <f t="shared" si="26"/>
        <v>5860.1824136876266</v>
      </c>
      <c r="O217" s="132">
        <f t="shared" si="26"/>
        <v>2403.0996296565709</v>
      </c>
    </row>
    <row r="218" spans="1:15" x14ac:dyDescent="0.25">
      <c r="A218" s="72">
        <f t="shared" si="28"/>
        <v>53</v>
      </c>
      <c r="B218" s="183">
        <f t="shared" si="22"/>
        <v>1274455.982883696</v>
      </c>
      <c r="C218" s="184">
        <f>-Office!$E$92/12</f>
        <v>7365.1926677265483</v>
      </c>
      <c r="D218" s="183">
        <f>Office!$E$90/12*B217</f>
        <v>5318.7600645287239</v>
      </c>
      <c r="E218" s="185">
        <f t="shared" si="23"/>
        <v>2046.4326031978244</v>
      </c>
      <c r="F218" s="72">
        <f t="shared" si="29"/>
        <v>53</v>
      </c>
      <c r="G218" s="180">
        <f t="shared" si="24"/>
        <v>181987.79322489863</v>
      </c>
      <c r="H218" s="186">
        <f>-Office!$E$97/12</f>
        <v>898.0893756176489</v>
      </c>
      <c r="I218" s="149">
        <f>Office!$E$95/12*G217</f>
        <v>531.86588209539434</v>
      </c>
      <c r="J218" s="187">
        <f t="shared" si="25"/>
        <v>366.22349352225456</v>
      </c>
      <c r="K218" s="72">
        <f t="shared" si="30"/>
        <v>53</v>
      </c>
      <c r="L218" s="180">
        <f t="shared" si="26"/>
        <v>1456443.7761085946</v>
      </c>
      <c r="M218" s="181">
        <f t="shared" si="26"/>
        <v>8263.2820433441975</v>
      </c>
      <c r="N218" s="180">
        <f t="shared" si="26"/>
        <v>5850.6259466241181</v>
      </c>
      <c r="O218" s="132">
        <f t="shared" si="26"/>
        <v>2412.6560967200789</v>
      </c>
    </row>
    <row r="219" spans="1:15" x14ac:dyDescent="0.25">
      <c r="A219" s="72">
        <f t="shared" si="28"/>
        <v>54</v>
      </c>
      <c r="B219" s="183">
        <f t="shared" si="22"/>
        <v>1272401.0234779848</v>
      </c>
      <c r="C219" s="184">
        <f>-Office!$E$92/12</f>
        <v>7365.1926677265483</v>
      </c>
      <c r="D219" s="183">
        <f>Office!$E$90/12*B218</f>
        <v>5310.2332620154002</v>
      </c>
      <c r="E219" s="185">
        <f t="shared" si="23"/>
        <v>2054.9594057111481</v>
      </c>
      <c r="F219" s="72">
        <f t="shared" si="29"/>
        <v>54</v>
      </c>
      <c r="G219" s="180">
        <f t="shared" si="24"/>
        <v>181620.50157952026</v>
      </c>
      <c r="H219" s="186">
        <f>-Office!$E$97/12</f>
        <v>898.0893756176489</v>
      </c>
      <c r="I219" s="149">
        <f>Office!$E$95/12*G218</f>
        <v>530.79773023928772</v>
      </c>
      <c r="J219" s="187">
        <f t="shared" si="25"/>
        <v>367.29164537836118</v>
      </c>
      <c r="K219" s="72">
        <f t="shared" si="30"/>
        <v>54</v>
      </c>
      <c r="L219" s="180">
        <f t="shared" si="26"/>
        <v>1454021.5250575051</v>
      </c>
      <c r="M219" s="181">
        <f t="shared" si="26"/>
        <v>8263.2820433441975</v>
      </c>
      <c r="N219" s="180">
        <f t="shared" si="26"/>
        <v>5841.0309922546876</v>
      </c>
      <c r="O219" s="132">
        <f t="shared" si="26"/>
        <v>2422.251051089509</v>
      </c>
    </row>
    <row r="220" spans="1:15" x14ac:dyDescent="0.25">
      <c r="A220" s="72">
        <f t="shared" si="28"/>
        <v>55</v>
      </c>
      <c r="B220" s="183">
        <f t="shared" si="22"/>
        <v>1270337.5017414165</v>
      </c>
      <c r="C220" s="184">
        <f>-Office!$E$92/12</f>
        <v>7365.1926677265483</v>
      </c>
      <c r="D220" s="183">
        <f>Office!$E$90/12*B219</f>
        <v>5301.6709311582699</v>
      </c>
      <c r="E220" s="185">
        <f t="shared" si="23"/>
        <v>2063.5217365682784</v>
      </c>
      <c r="F220" s="72">
        <f t="shared" si="29"/>
        <v>55</v>
      </c>
      <c r="G220" s="180">
        <f t="shared" si="24"/>
        <v>181252.13866684289</v>
      </c>
      <c r="H220" s="186">
        <f>-Office!$E$97/12</f>
        <v>898.0893756176489</v>
      </c>
      <c r="I220" s="149">
        <f>Office!$E$95/12*G219</f>
        <v>529.72646294026742</v>
      </c>
      <c r="J220" s="187">
        <f t="shared" si="25"/>
        <v>368.36291267738147</v>
      </c>
      <c r="K220" s="72">
        <f t="shared" si="30"/>
        <v>55</v>
      </c>
      <c r="L220" s="180">
        <f t="shared" si="26"/>
        <v>1451589.6404082594</v>
      </c>
      <c r="M220" s="181">
        <f t="shared" si="26"/>
        <v>8263.2820433441975</v>
      </c>
      <c r="N220" s="180">
        <f t="shared" si="26"/>
        <v>5831.397394098537</v>
      </c>
      <c r="O220" s="132">
        <f t="shared" si="26"/>
        <v>2431.8846492456596</v>
      </c>
    </row>
    <row r="221" spans="1:15" x14ac:dyDescent="0.25">
      <c r="A221" s="72">
        <f t="shared" si="28"/>
        <v>56</v>
      </c>
      <c r="B221" s="183">
        <f t="shared" si="22"/>
        <v>1268265.3819976125</v>
      </c>
      <c r="C221" s="184">
        <f>-Office!$E$92/12</f>
        <v>7365.1926677265483</v>
      </c>
      <c r="D221" s="183">
        <f>Office!$E$90/12*B220</f>
        <v>5293.0729239225684</v>
      </c>
      <c r="E221" s="185">
        <f t="shared" si="23"/>
        <v>2072.1197438039799</v>
      </c>
      <c r="F221" s="72">
        <f t="shared" si="29"/>
        <v>56</v>
      </c>
      <c r="G221" s="180">
        <f t="shared" si="24"/>
        <v>180882.70136233687</v>
      </c>
      <c r="H221" s="186">
        <f>-Office!$E$97/12</f>
        <v>898.0893756176489</v>
      </c>
      <c r="I221" s="149">
        <f>Office!$E$95/12*G220</f>
        <v>528.65207111162511</v>
      </c>
      <c r="J221" s="187">
        <f t="shared" si="25"/>
        <v>369.43730450602379</v>
      </c>
      <c r="K221" s="72">
        <f t="shared" si="30"/>
        <v>56</v>
      </c>
      <c r="L221" s="180">
        <f t="shared" si="26"/>
        <v>1449148.0833599493</v>
      </c>
      <c r="M221" s="181">
        <f t="shared" si="26"/>
        <v>8263.2820433441975</v>
      </c>
      <c r="N221" s="180">
        <f t="shared" si="26"/>
        <v>5821.7249950341939</v>
      </c>
      <c r="O221" s="132">
        <f t="shared" si="26"/>
        <v>2441.5570483100037</v>
      </c>
    </row>
    <row r="222" spans="1:15" x14ac:dyDescent="0.25">
      <c r="A222" s="72">
        <f t="shared" si="28"/>
        <v>57</v>
      </c>
      <c r="B222" s="183">
        <f t="shared" si="22"/>
        <v>1266184.6284215427</v>
      </c>
      <c r="C222" s="184">
        <f>-Office!$E$92/12</f>
        <v>7365.1926677265483</v>
      </c>
      <c r="D222" s="183">
        <f>Office!$E$90/12*B221</f>
        <v>5284.439091656719</v>
      </c>
      <c r="E222" s="185">
        <f t="shared" si="23"/>
        <v>2080.7535760698293</v>
      </c>
      <c r="F222" s="72">
        <f t="shared" si="29"/>
        <v>57</v>
      </c>
      <c r="G222" s="180">
        <f t="shared" si="24"/>
        <v>180512.18653235937</v>
      </c>
      <c r="H222" s="186">
        <f>-Office!$E$97/12</f>
        <v>898.0893756176489</v>
      </c>
      <c r="I222" s="149">
        <f>Office!$E$95/12*G221</f>
        <v>527.57454564014927</v>
      </c>
      <c r="J222" s="187">
        <f t="shared" si="25"/>
        <v>370.51482997749963</v>
      </c>
      <c r="K222" s="72">
        <f t="shared" si="30"/>
        <v>57</v>
      </c>
      <c r="L222" s="180">
        <f t="shared" si="26"/>
        <v>1446696.814953902</v>
      </c>
      <c r="M222" s="181">
        <f t="shared" si="26"/>
        <v>8263.2820433441975</v>
      </c>
      <c r="N222" s="180">
        <f t="shared" si="26"/>
        <v>5812.0136372968682</v>
      </c>
      <c r="O222" s="132">
        <f t="shared" si="26"/>
        <v>2451.2684060473289</v>
      </c>
    </row>
    <row r="223" spans="1:15" x14ac:dyDescent="0.25">
      <c r="A223" s="72">
        <f t="shared" si="28"/>
        <v>58</v>
      </c>
      <c r="B223" s="183">
        <f t="shared" si="22"/>
        <v>1264095.2050389058</v>
      </c>
      <c r="C223" s="184">
        <f>-Office!$E$92/12</f>
        <v>7365.1926677265483</v>
      </c>
      <c r="D223" s="183">
        <f>Office!$E$90/12*B222</f>
        <v>5275.7692850897611</v>
      </c>
      <c r="E223" s="185">
        <f t="shared" si="23"/>
        <v>2089.4233826367872</v>
      </c>
      <c r="F223" s="72">
        <f t="shared" si="29"/>
        <v>58</v>
      </c>
      <c r="G223" s="180">
        <f t="shared" si="24"/>
        <v>180140.59103412778</v>
      </c>
      <c r="H223" s="186">
        <f>-Office!$E$97/12</f>
        <v>898.0893756176489</v>
      </c>
      <c r="I223" s="149">
        <f>Office!$E$95/12*G222</f>
        <v>526.49387738604821</v>
      </c>
      <c r="J223" s="187">
        <f t="shared" si="25"/>
        <v>371.59549823160069</v>
      </c>
      <c r="K223" s="72">
        <f t="shared" si="30"/>
        <v>58</v>
      </c>
      <c r="L223" s="180">
        <f t="shared" si="26"/>
        <v>1444235.7960730337</v>
      </c>
      <c r="M223" s="181">
        <f t="shared" si="26"/>
        <v>8263.2820433441975</v>
      </c>
      <c r="N223" s="180">
        <f t="shared" si="26"/>
        <v>5802.2631624758096</v>
      </c>
      <c r="O223" s="132">
        <f t="shared" si="26"/>
        <v>2461.0188808683879</v>
      </c>
    </row>
    <row r="224" spans="1:15" x14ac:dyDescent="0.25">
      <c r="A224" s="72">
        <f t="shared" si="28"/>
        <v>59</v>
      </c>
      <c r="B224" s="183">
        <f t="shared" si="22"/>
        <v>1261997.0757255082</v>
      </c>
      <c r="C224" s="184">
        <f>-Office!$E$92/12</f>
        <v>7365.1926677265483</v>
      </c>
      <c r="D224" s="183">
        <f>Office!$E$90/12*B223</f>
        <v>5267.063354328774</v>
      </c>
      <c r="E224" s="185">
        <f t="shared" si="23"/>
        <v>2098.1293133977742</v>
      </c>
      <c r="F224" s="72">
        <f t="shared" si="29"/>
        <v>59</v>
      </c>
      <c r="G224" s="180">
        <f t="shared" si="24"/>
        <v>179767.91171569302</v>
      </c>
      <c r="H224" s="186">
        <f>-Office!$E$97/12</f>
        <v>898.0893756176489</v>
      </c>
      <c r="I224" s="149">
        <f>Office!$E$95/12*G223</f>
        <v>525.41005718287272</v>
      </c>
      <c r="J224" s="187">
        <f t="shared" si="25"/>
        <v>372.67931843477618</v>
      </c>
      <c r="K224" s="72">
        <f t="shared" si="30"/>
        <v>59</v>
      </c>
      <c r="L224" s="180">
        <f t="shared" si="26"/>
        <v>1441764.9874412012</v>
      </c>
      <c r="M224" s="181">
        <f t="shared" si="26"/>
        <v>8263.2820433441975</v>
      </c>
      <c r="N224" s="180">
        <f t="shared" si="26"/>
        <v>5792.4734115116471</v>
      </c>
      <c r="O224" s="132">
        <f t="shared" si="26"/>
        <v>2470.8086318325504</v>
      </c>
    </row>
    <row r="225" spans="1:15" x14ac:dyDescent="0.25">
      <c r="A225" s="72">
        <f t="shared" si="28"/>
        <v>60</v>
      </c>
      <c r="B225" s="183">
        <f t="shared" si="22"/>
        <v>1259890.2042066378</v>
      </c>
      <c r="C225" s="184">
        <f>-Office!$E$92/12</f>
        <v>7365.1926677265483</v>
      </c>
      <c r="D225" s="183">
        <f>Office!$E$90/12*B224</f>
        <v>5258.3211488562838</v>
      </c>
      <c r="E225" s="185">
        <f t="shared" si="23"/>
        <v>2106.8715188702645</v>
      </c>
      <c r="F225" s="72">
        <f t="shared" si="29"/>
        <v>60</v>
      </c>
      <c r="G225" s="180">
        <f t="shared" si="24"/>
        <v>179394.14541591279</v>
      </c>
      <c r="H225" s="186">
        <f>-Office!$E$97/12</f>
        <v>898.0893756176489</v>
      </c>
      <c r="I225" s="149">
        <f>Office!$E$95/12*G224</f>
        <v>524.32307583743795</v>
      </c>
      <c r="J225" s="187">
        <f t="shared" si="25"/>
        <v>373.76629978021094</v>
      </c>
      <c r="K225" s="72">
        <f t="shared" si="30"/>
        <v>60</v>
      </c>
      <c r="L225" s="180">
        <f t="shared" si="26"/>
        <v>1439284.3496225507</v>
      </c>
      <c r="M225" s="181">
        <f t="shared" si="26"/>
        <v>8263.2820433441975</v>
      </c>
      <c r="N225" s="180">
        <f t="shared" si="26"/>
        <v>5782.6442246937222</v>
      </c>
      <c r="O225" s="132">
        <f t="shared" si="26"/>
        <v>2480.6378186504753</v>
      </c>
    </row>
    <row r="226" spans="1:15" x14ac:dyDescent="0.25">
      <c r="A226" s="72">
        <f t="shared" si="28"/>
        <v>61</v>
      </c>
      <c r="B226" s="183">
        <f t="shared" si="22"/>
        <v>1257774.5540564389</v>
      </c>
      <c r="C226" s="184">
        <f>-Office!$E$92/12</f>
        <v>7365.1926677265483</v>
      </c>
      <c r="D226" s="183">
        <f>Office!$E$90/12*B225</f>
        <v>5249.5425175276578</v>
      </c>
      <c r="E226" s="185">
        <f t="shared" si="23"/>
        <v>2115.6501501988905</v>
      </c>
      <c r="F226" s="72">
        <f t="shared" si="29"/>
        <v>61</v>
      </c>
      <c r="G226" s="180">
        <f t="shared" si="24"/>
        <v>179019.28896442489</v>
      </c>
      <c r="H226" s="186">
        <f>-Office!$E$97/12</f>
        <v>898.0893756176489</v>
      </c>
      <c r="I226" s="149">
        <f>Office!$E$95/12*G225</f>
        <v>523.2329241297457</v>
      </c>
      <c r="J226" s="187">
        <f t="shared" si="25"/>
        <v>374.8564514879032</v>
      </c>
      <c r="K226" s="72">
        <f t="shared" si="30"/>
        <v>61</v>
      </c>
      <c r="L226" s="180">
        <f t="shared" si="26"/>
        <v>1436793.8430208638</v>
      </c>
      <c r="M226" s="181">
        <f t="shared" si="26"/>
        <v>8263.2820433441975</v>
      </c>
      <c r="N226" s="180">
        <f t="shared" si="26"/>
        <v>5772.7754416574035</v>
      </c>
      <c r="O226" s="132">
        <f t="shared" si="26"/>
        <v>2490.5066016867936</v>
      </c>
    </row>
    <row r="227" spans="1:15" x14ac:dyDescent="0.25">
      <c r="A227" s="72">
        <f t="shared" si="28"/>
        <v>62</v>
      </c>
      <c r="B227" s="183">
        <f t="shared" si="22"/>
        <v>1255650.0886972807</v>
      </c>
      <c r="C227" s="184">
        <f>-Office!$E$92/12</f>
        <v>7365.1926677265483</v>
      </c>
      <c r="D227" s="183">
        <f>Office!$E$90/12*B226</f>
        <v>5240.7273085684956</v>
      </c>
      <c r="E227" s="185">
        <f t="shared" si="23"/>
        <v>2124.4653591580527</v>
      </c>
      <c r="F227" s="72">
        <f t="shared" si="29"/>
        <v>62</v>
      </c>
      <c r="G227" s="180">
        <f t="shared" si="24"/>
        <v>178643.33918162016</v>
      </c>
      <c r="H227" s="186">
        <f>-Office!$E$97/12</f>
        <v>898.0893756176489</v>
      </c>
      <c r="I227" s="149">
        <f>Office!$E$95/12*G226</f>
        <v>522.13959281290602</v>
      </c>
      <c r="J227" s="187">
        <f t="shared" si="25"/>
        <v>375.94978280474288</v>
      </c>
      <c r="K227" s="72">
        <f t="shared" si="30"/>
        <v>62</v>
      </c>
      <c r="L227" s="180">
        <f t="shared" si="26"/>
        <v>1434293.4278789009</v>
      </c>
      <c r="M227" s="181">
        <f t="shared" si="26"/>
        <v>8263.2820433441975</v>
      </c>
      <c r="N227" s="180">
        <f t="shared" si="26"/>
        <v>5762.8669013814015</v>
      </c>
      <c r="O227" s="132">
        <f t="shared" si="26"/>
        <v>2500.4151419627956</v>
      </c>
    </row>
    <row r="228" spans="1:15" x14ac:dyDescent="0.25">
      <c r="A228" s="72">
        <f t="shared" si="28"/>
        <v>63</v>
      </c>
      <c r="B228" s="183">
        <f t="shared" si="22"/>
        <v>1253516.7713991262</v>
      </c>
      <c r="C228" s="184">
        <f>-Office!$E$92/12</f>
        <v>7365.1926677265483</v>
      </c>
      <c r="D228" s="183">
        <f>Office!$E$90/12*B227</f>
        <v>5231.8753695720034</v>
      </c>
      <c r="E228" s="185">
        <f t="shared" si="23"/>
        <v>2133.3172981545449</v>
      </c>
      <c r="F228" s="72">
        <f t="shared" si="29"/>
        <v>63</v>
      </c>
      <c r="G228" s="180">
        <f t="shared" si="24"/>
        <v>178266.29287861558</v>
      </c>
      <c r="H228" s="186">
        <f>-Office!$E$97/12</f>
        <v>898.0893756176489</v>
      </c>
      <c r="I228" s="149">
        <f>Office!$E$95/12*G227</f>
        <v>521.04307261305883</v>
      </c>
      <c r="J228" s="187">
        <f t="shared" si="25"/>
        <v>377.04630300459007</v>
      </c>
      <c r="K228" s="72">
        <f t="shared" si="30"/>
        <v>63</v>
      </c>
      <c r="L228" s="180">
        <f t="shared" si="26"/>
        <v>1431783.0642777418</v>
      </c>
      <c r="M228" s="181">
        <f t="shared" si="26"/>
        <v>8263.2820433441975</v>
      </c>
      <c r="N228" s="180">
        <f t="shared" si="26"/>
        <v>5752.9184421850623</v>
      </c>
      <c r="O228" s="132">
        <f t="shared" si="26"/>
        <v>2510.3636011591352</v>
      </c>
    </row>
    <row r="229" spans="1:15" x14ac:dyDescent="0.25">
      <c r="A229" s="72">
        <f t="shared" si="28"/>
        <v>64</v>
      </c>
      <c r="B229" s="183">
        <f t="shared" si="22"/>
        <v>1251374.5652788959</v>
      </c>
      <c r="C229" s="184">
        <f>-Office!$E$92/12</f>
        <v>7365.1926677265483</v>
      </c>
      <c r="D229" s="183">
        <f>Office!$E$90/12*B228</f>
        <v>5222.986547496359</v>
      </c>
      <c r="E229" s="185">
        <f t="shared" si="23"/>
        <v>2142.2061202301893</v>
      </c>
      <c r="F229" s="72">
        <f t="shared" si="29"/>
        <v>64</v>
      </c>
      <c r="G229" s="180">
        <f t="shared" si="24"/>
        <v>177888.14685722723</v>
      </c>
      <c r="H229" s="186">
        <f>-Office!$E$97/12</f>
        <v>898.0893756176489</v>
      </c>
      <c r="I229" s="149">
        <f>Office!$E$95/12*G228</f>
        <v>519.94335422929544</v>
      </c>
      <c r="J229" s="187">
        <f t="shared" si="25"/>
        <v>378.14602138835346</v>
      </c>
      <c r="K229" s="72">
        <f t="shared" si="30"/>
        <v>64</v>
      </c>
      <c r="L229" s="180">
        <f t="shared" si="26"/>
        <v>1429262.7121361231</v>
      </c>
      <c r="M229" s="181">
        <f t="shared" si="26"/>
        <v>8263.2820433441975</v>
      </c>
      <c r="N229" s="180">
        <f t="shared" si="26"/>
        <v>5742.9299017256544</v>
      </c>
      <c r="O229" s="132">
        <f t="shared" ref="O229:O292" si="71">J229+E229</f>
        <v>2520.3521416185426</v>
      </c>
    </row>
    <row r="230" spans="1:15" x14ac:dyDescent="0.25">
      <c r="A230" s="72">
        <f t="shared" si="28"/>
        <v>65</v>
      </c>
      <c r="B230" s="183">
        <f t="shared" ref="B230:B293" si="72">B229-E230</f>
        <v>1249223.4332998313</v>
      </c>
      <c r="C230" s="184">
        <f>-Office!$E$92/12</f>
        <v>7365.1926677265483</v>
      </c>
      <c r="D230" s="183">
        <f>Office!$E$90/12*B229</f>
        <v>5214.0606886620662</v>
      </c>
      <c r="E230" s="185">
        <f t="shared" ref="E230:E293" si="73">C230-D230</f>
        <v>2151.131979064482</v>
      </c>
      <c r="F230" s="72">
        <f t="shared" si="29"/>
        <v>65</v>
      </c>
      <c r="G230" s="180">
        <f t="shared" ref="G230:G293" si="74">G229-J230</f>
        <v>177508.89790994316</v>
      </c>
      <c r="H230" s="186">
        <f>-Office!$E$97/12</f>
        <v>898.0893756176489</v>
      </c>
      <c r="I230" s="149">
        <f>Office!$E$95/12*G229</f>
        <v>518.84042833357944</v>
      </c>
      <c r="J230" s="187">
        <f t="shared" ref="J230:J293" si="75">H230-I230</f>
        <v>379.24894728406946</v>
      </c>
      <c r="K230" s="72">
        <f t="shared" si="30"/>
        <v>65</v>
      </c>
      <c r="L230" s="180">
        <f t="shared" ref="L230:O293" si="76">G230+B230</f>
        <v>1426732.3312097746</v>
      </c>
      <c r="M230" s="181">
        <f t="shared" si="76"/>
        <v>8263.2820433441975</v>
      </c>
      <c r="N230" s="180">
        <f t="shared" si="76"/>
        <v>5732.9011169956457</v>
      </c>
      <c r="O230" s="132">
        <f t="shared" si="71"/>
        <v>2530.3809263485514</v>
      </c>
    </row>
    <row r="231" spans="1:15" x14ac:dyDescent="0.25">
      <c r="A231" s="72">
        <f t="shared" ref="A231:A294" si="77">A230+1</f>
        <v>66</v>
      </c>
      <c r="B231" s="183">
        <f t="shared" si="72"/>
        <v>1247063.3382708542</v>
      </c>
      <c r="C231" s="184">
        <f>-Office!$E$92/12</f>
        <v>7365.1926677265483</v>
      </c>
      <c r="D231" s="183">
        <f>Office!$E$90/12*B230</f>
        <v>5205.0976387492974</v>
      </c>
      <c r="E231" s="185">
        <f t="shared" si="73"/>
        <v>2160.0950289772509</v>
      </c>
      <c r="F231" s="72">
        <f t="shared" ref="F231:F294" si="78">F230+1</f>
        <v>66</v>
      </c>
      <c r="G231" s="180">
        <f t="shared" si="74"/>
        <v>177128.54281989619</v>
      </c>
      <c r="H231" s="186">
        <f>-Office!$E$97/12</f>
        <v>898.0893756176489</v>
      </c>
      <c r="I231" s="149">
        <f>Office!$E$95/12*G230</f>
        <v>517.73428557066757</v>
      </c>
      <c r="J231" s="187">
        <f t="shared" si="75"/>
        <v>380.35509004698133</v>
      </c>
      <c r="K231" s="72">
        <f t="shared" ref="K231:K294" si="79">K230+1</f>
        <v>66</v>
      </c>
      <c r="L231" s="180">
        <f t="shared" si="76"/>
        <v>1424191.8810907505</v>
      </c>
      <c r="M231" s="181">
        <f t="shared" si="76"/>
        <v>8263.2820433441975</v>
      </c>
      <c r="N231" s="180">
        <f t="shared" si="76"/>
        <v>5722.8319243199649</v>
      </c>
      <c r="O231" s="132">
        <f t="shared" si="71"/>
        <v>2540.4501190242322</v>
      </c>
    </row>
    <row r="232" spans="1:15" x14ac:dyDescent="0.25">
      <c r="A232" s="72">
        <f t="shared" si="77"/>
        <v>67</v>
      </c>
      <c r="B232" s="183">
        <f t="shared" si="72"/>
        <v>1244894.2428459229</v>
      </c>
      <c r="C232" s="184">
        <f>-Office!$E$92/12</f>
        <v>7365.1926677265483</v>
      </c>
      <c r="D232" s="183">
        <f>Office!$E$90/12*B231</f>
        <v>5196.0972427952256</v>
      </c>
      <c r="E232" s="185">
        <f t="shared" si="73"/>
        <v>2169.0954249313227</v>
      </c>
      <c r="F232" s="72">
        <f t="shared" si="78"/>
        <v>67</v>
      </c>
      <c r="G232" s="180">
        <f t="shared" si="74"/>
        <v>176747.07836083657</v>
      </c>
      <c r="H232" s="186">
        <f>-Office!$E$97/12</f>
        <v>898.0893756176489</v>
      </c>
      <c r="I232" s="149">
        <f>Office!$E$95/12*G231</f>
        <v>516.62491655803058</v>
      </c>
      <c r="J232" s="187">
        <f t="shared" si="75"/>
        <v>381.46445905961832</v>
      </c>
      <c r="K232" s="72">
        <f t="shared" si="79"/>
        <v>67</v>
      </c>
      <c r="L232" s="180">
        <f t="shared" si="76"/>
        <v>1421641.3212067594</v>
      </c>
      <c r="M232" s="181">
        <f t="shared" si="76"/>
        <v>8263.2820433441975</v>
      </c>
      <c r="N232" s="180">
        <f t="shared" si="76"/>
        <v>5712.7221593532558</v>
      </c>
      <c r="O232" s="132">
        <f t="shared" si="71"/>
        <v>2550.5598839909408</v>
      </c>
    </row>
    <row r="233" spans="1:15" x14ac:dyDescent="0.25">
      <c r="A233" s="72">
        <f t="shared" si="77"/>
        <v>68</v>
      </c>
      <c r="B233" s="183">
        <f t="shared" si="72"/>
        <v>1242716.1095233876</v>
      </c>
      <c r="C233" s="184">
        <f>-Office!$E$92/12</f>
        <v>7365.1926677265483</v>
      </c>
      <c r="D233" s="183">
        <f>Office!$E$90/12*B232</f>
        <v>5187.0593451913455</v>
      </c>
      <c r="E233" s="185">
        <f t="shared" si="73"/>
        <v>2178.1333225352028</v>
      </c>
      <c r="F233" s="72">
        <f t="shared" si="78"/>
        <v>68</v>
      </c>
      <c r="G233" s="180">
        <f t="shared" si="74"/>
        <v>176364.5012971047</v>
      </c>
      <c r="H233" s="186">
        <f>-Office!$E$97/12</f>
        <v>898.0893756176489</v>
      </c>
      <c r="I233" s="149">
        <f>Office!$E$95/12*G232</f>
        <v>515.51231188577333</v>
      </c>
      <c r="J233" s="187">
        <f t="shared" si="75"/>
        <v>382.57706373187557</v>
      </c>
      <c r="K233" s="72">
        <f t="shared" si="79"/>
        <v>68</v>
      </c>
      <c r="L233" s="180">
        <f t="shared" si="76"/>
        <v>1419080.6108204923</v>
      </c>
      <c r="M233" s="181">
        <f t="shared" si="76"/>
        <v>8263.2820433441975</v>
      </c>
      <c r="N233" s="180">
        <f t="shared" si="76"/>
        <v>5702.5716570771192</v>
      </c>
      <c r="O233" s="132">
        <f t="shared" si="71"/>
        <v>2560.7103862670783</v>
      </c>
    </row>
    <row r="234" spans="1:15" x14ac:dyDescent="0.25">
      <c r="A234" s="72">
        <f t="shared" si="77"/>
        <v>69</v>
      </c>
      <c r="B234" s="183">
        <f t="shared" si="72"/>
        <v>1240528.900645342</v>
      </c>
      <c r="C234" s="184">
        <f>-Office!$E$92/12</f>
        <v>7365.1926677265483</v>
      </c>
      <c r="D234" s="183">
        <f>Office!$E$90/12*B233</f>
        <v>5177.9837896807821</v>
      </c>
      <c r="E234" s="185">
        <f t="shared" si="73"/>
        <v>2187.2088780457661</v>
      </c>
      <c r="F234" s="72">
        <f t="shared" si="78"/>
        <v>69</v>
      </c>
      <c r="G234" s="180">
        <f t="shared" si="74"/>
        <v>175980.80838360361</v>
      </c>
      <c r="H234" s="186">
        <f>-Office!$E$97/12</f>
        <v>898.0893756176489</v>
      </c>
      <c r="I234" s="149">
        <f>Office!$E$95/12*G233</f>
        <v>514.39646211655543</v>
      </c>
      <c r="J234" s="187">
        <f t="shared" si="75"/>
        <v>383.69291350109347</v>
      </c>
      <c r="K234" s="72">
        <f t="shared" si="79"/>
        <v>69</v>
      </c>
      <c r="L234" s="180">
        <f t="shared" si="76"/>
        <v>1416509.7090289455</v>
      </c>
      <c r="M234" s="181">
        <f t="shared" si="76"/>
        <v>8263.2820433441975</v>
      </c>
      <c r="N234" s="180">
        <f t="shared" si="76"/>
        <v>5692.3802517973372</v>
      </c>
      <c r="O234" s="132">
        <f t="shared" si="71"/>
        <v>2570.9017915468594</v>
      </c>
    </row>
    <row r="235" spans="1:15" x14ac:dyDescent="0.25">
      <c r="A235" s="72">
        <f t="shared" si="77"/>
        <v>70</v>
      </c>
      <c r="B235" s="183">
        <f t="shared" si="72"/>
        <v>1238332.5783969711</v>
      </c>
      <c r="C235" s="184">
        <f>-Office!$E$92/12</f>
        <v>7365.1926677265483</v>
      </c>
      <c r="D235" s="183">
        <f>Office!$E$90/12*B234</f>
        <v>5168.8704193555914</v>
      </c>
      <c r="E235" s="185">
        <f t="shared" si="73"/>
        <v>2196.3222483709569</v>
      </c>
      <c r="F235" s="72">
        <f t="shared" si="78"/>
        <v>70</v>
      </c>
      <c r="G235" s="180">
        <f t="shared" si="74"/>
        <v>175595.99636577148</v>
      </c>
      <c r="H235" s="186">
        <f>-Office!$E$97/12</f>
        <v>898.0893756176489</v>
      </c>
      <c r="I235" s="149">
        <f>Office!$E$95/12*G234</f>
        <v>513.2773577855105</v>
      </c>
      <c r="J235" s="187">
        <f t="shared" si="75"/>
        <v>384.81201783213839</v>
      </c>
      <c r="K235" s="72">
        <f t="shared" si="79"/>
        <v>70</v>
      </c>
      <c r="L235" s="180">
        <f t="shared" si="76"/>
        <v>1413928.5747627425</v>
      </c>
      <c r="M235" s="181">
        <f t="shared" si="76"/>
        <v>8263.2820433441975</v>
      </c>
      <c r="N235" s="180">
        <f t="shared" si="76"/>
        <v>5682.1477771411019</v>
      </c>
      <c r="O235" s="132">
        <f t="shared" si="71"/>
        <v>2581.1342662030952</v>
      </c>
    </row>
    <row r="236" spans="1:15" x14ac:dyDescent="0.25">
      <c r="A236" s="72">
        <f t="shared" si="77"/>
        <v>71</v>
      </c>
      <c r="B236" s="183">
        <f t="shared" si="72"/>
        <v>1236127.1048058986</v>
      </c>
      <c r="C236" s="184">
        <f>-Office!$E$92/12</f>
        <v>7365.1926677265483</v>
      </c>
      <c r="D236" s="183">
        <f>Office!$E$90/12*B235</f>
        <v>5159.7190766540461</v>
      </c>
      <c r="E236" s="185">
        <f t="shared" si="73"/>
        <v>2205.4735910725021</v>
      </c>
      <c r="F236" s="72">
        <f t="shared" si="78"/>
        <v>71</v>
      </c>
      <c r="G236" s="180">
        <f t="shared" si="74"/>
        <v>175210.06197955401</v>
      </c>
      <c r="H236" s="186">
        <f>-Office!$E$97/12</f>
        <v>898.0893756176489</v>
      </c>
      <c r="I236" s="149">
        <f>Office!$E$95/12*G235</f>
        <v>512.15498940016687</v>
      </c>
      <c r="J236" s="187">
        <f t="shared" si="75"/>
        <v>385.93438621748203</v>
      </c>
      <c r="K236" s="72">
        <f t="shared" si="79"/>
        <v>71</v>
      </c>
      <c r="L236" s="180">
        <f t="shared" si="76"/>
        <v>1411337.1667854525</v>
      </c>
      <c r="M236" s="181">
        <f t="shared" si="76"/>
        <v>8263.2820433441975</v>
      </c>
      <c r="N236" s="180">
        <f t="shared" si="76"/>
        <v>5671.8740660542135</v>
      </c>
      <c r="O236" s="132">
        <f t="shared" si="71"/>
        <v>2591.407977289984</v>
      </c>
    </row>
    <row r="237" spans="1:15" x14ac:dyDescent="0.25">
      <c r="A237" s="72">
        <f t="shared" si="77"/>
        <v>72</v>
      </c>
      <c r="B237" s="183">
        <f t="shared" si="72"/>
        <v>1233912.4417415301</v>
      </c>
      <c r="C237" s="184">
        <f>-Office!$E$92/12</f>
        <v>7365.1926677265483</v>
      </c>
      <c r="D237" s="183">
        <f>Office!$E$90/12*B236</f>
        <v>5150.5296033579107</v>
      </c>
      <c r="E237" s="185">
        <f t="shared" si="73"/>
        <v>2214.6630643686376</v>
      </c>
      <c r="F237" s="72">
        <f t="shared" si="78"/>
        <v>72</v>
      </c>
      <c r="G237" s="180">
        <f t="shared" si="74"/>
        <v>174823.00195137673</v>
      </c>
      <c r="H237" s="186">
        <f>-Office!$E$97/12</f>
        <v>898.0893756176489</v>
      </c>
      <c r="I237" s="149">
        <f>Office!$E$95/12*G236</f>
        <v>511.02934744036588</v>
      </c>
      <c r="J237" s="187">
        <f t="shared" si="75"/>
        <v>387.06002817728302</v>
      </c>
      <c r="K237" s="72">
        <f t="shared" si="79"/>
        <v>72</v>
      </c>
      <c r="L237" s="180">
        <f t="shared" si="76"/>
        <v>1408735.4436929068</v>
      </c>
      <c r="M237" s="181">
        <f t="shared" si="76"/>
        <v>8263.2820433441975</v>
      </c>
      <c r="N237" s="180">
        <f t="shared" si="76"/>
        <v>5661.5589507982768</v>
      </c>
      <c r="O237" s="132">
        <f t="shared" si="71"/>
        <v>2601.7230925459207</v>
      </c>
    </row>
    <row r="238" spans="1:15" x14ac:dyDescent="0.25">
      <c r="A238" s="72">
        <f t="shared" si="77"/>
        <v>73</v>
      </c>
      <c r="B238" s="183">
        <f t="shared" si="72"/>
        <v>1231688.5509143933</v>
      </c>
      <c r="C238" s="184">
        <f>-Office!$E$92/12</f>
        <v>7365.1926677265483</v>
      </c>
      <c r="D238" s="183">
        <f>Office!$E$90/12*B237</f>
        <v>5141.3018405897083</v>
      </c>
      <c r="E238" s="185">
        <f t="shared" si="73"/>
        <v>2223.89082713684</v>
      </c>
      <c r="F238" s="72">
        <f t="shared" si="78"/>
        <v>73</v>
      </c>
      <c r="G238" s="180">
        <f t="shared" si="74"/>
        <v>174434.81299811727</v>
      </c>
      <c r="H238" s="186">
        <f>-Office!$E$97/12</f>
        <v>898.0893756176489</v>
      </c>
      <c r="I238" s="149">
        <f>Office!$E$95/12*G237</f>
        <v>509.90042235818214</v>
      </c>
      <c r="J238" s="187">
        <f t="shared" si="75"/>
        <v>388.18895325946676</v>
      </c>
      <c r="K238" s="72">
        <f t="shared" si="79"/>
        <v>73</v>
      </c>
      <c r="L238" s="180">
        <f t="shared" si="76"/>
        <v>1406123.3639125105</v>
      </c>
      <c r="M238" s="181">
        <f t="shared" si="76"/>
        <v>8263.2820433441975</v>
      </c>
      <c r="N238" s="180">
        <f t="shared" si="76"/>
        <v>5651.2022629478906</v>
      </c>
      <c r="O238" s="132">
        <f t="shared" si="71"/>
        <v>2612.0797803963069</v>
      </c>
    </row>
    <row r="239" spans="1:15" x14ac:dyDescent="0.25">
      <c r="A239" s="72">
        <f t="shared" si="77"/>
        <v>74</v>
      </c>
      <c r="B239" s="183">
        <f t="shared" si="72"/>
        <v>1229455.3938754767</v>
      </c>
      <c r="C239" s="184">
        <f>-Office!$E$92/12</f>
        <v>7365.1926677265483</v>
      </c>
      <c r="D239" s="183">
        <f>Office!$E$90/12*B238</f>
        <v>5132.035628809972</v>
      </c>
      <c r="E239" s="185">
        <f t="shared" si="73"/>
        <v>2233.1570389165763</v>
      </c>
      <c r="F239" s="72">
        <f t="shared" si="78"/>
        <v>74</v>
      </c>
      <c r="G239" s="180">
        <f t="shared" si="74"/>
        <v>174045.49182707747</v>
      </c>
      <c r="H239" s="186">
        <f>-Office!$E$97/12</f>
        <v>898.0893756176489</v>
      </c>
      <c r="I239" s="149">
        <f>Office!$E$95/12*G238</f>
        <v>508.76820457784203</v>
      </c>
      <c r="J239" s="187">
        <f t="shared" si="75"/>
        <v>389.32117103980687</v>
      </c>
      <c r="K239" s="72">
        <f t="shared" si="79"/>
        <v>74</v>
      </c>
      <c r="L239" s="180">
        <f t="shared" si="76"/>
        <v>1403500.8857025541</v>
      </c>
      <c r="M239" s="181">
        <f t="shared" si="76"/>
        <v>8263.2820433441975</v>
      </c>
      <c r="N239" s="180">
        <f t="shared" si="76"/>
        <v>5640.8038333878139</v>
      </c>
      <c r="O239" s="132">
        <f t="shared" si="71"/>
        <v>2622.4782099563831</v>
      </c>
    </row>
    <row r="240" spans="1:15" x14ac:dyDescent="0.25">
      <c r="A240" s="72">
        <f t="shared" si="77"/>
        <v>75</v>
      </c>
      <c r="B240" s="183">
        <f t="shared" si="72"/>
        <v>1227212.9320155645</v>
      </c>
      <c r="C240" s="184">
        <f>-Office!$E$92/12</f>
        <v>7365.1926677265483</v>
      </c>
      <c r="D240" s="183">
        <f>Office!$E$90/12*B239</f>
        <v>5122.7308078144861</v>
      </c>
      <c r="E240" s="185">
        <f t="shared" si="73"/>
        <v>2242.4618599120622</v>
      </c>
      <c r="F240" s="72">
        <f t="shared" si="78"/>
        <v>75</v>
      </c>
      <c r="G240" s="180">
        <f t="shared" si="74"/>
        <v>173655.03513595546</v>
      </c>
      <c r="H240" s="186">
        <f>-Office!$E$97/12</f>
        <v>898.0893756176489</v>
      </c>
      <c r="I240" s="149">
        <f>Office!$E$95/12*G239</f>
        <v>507.63268449564265</v>
      </c>
      <c r="J240" s="187">
        <f t="shared" si="75"/>
        <v>390.45669112200625</v>
      </c>
      <c r="K240" s="72">
        <f t="shared" si="79"/>
        <v>75</v>
      </c>
      <c r="L240" s="180">
        <f t="shared" si="76"/>
        <v>1400867.9671515201</v>
      </c>
      <c r="M240" s="181">
        <f t="shared" si="76"/>
        <v>8263.2820433441975</v>
      </c>
      <c r="N240" s="180">
        <f t="shared" si="76"/>
        <v>5630.363492310129</v>
      </c>
      <c r="O240" s="132">
        <f t="shared" si="71"/>
        <v>2632.9185510340685</v>
      </c>
    </row>
    <row r="241" spans="1:15" x14ac:dyDescent="0.25">
      <c r="A241" s="72">
        <f t="shared" si="77"/>
        <v>76</v>
      </c>
      <c r="B241" s="183">
        <f t="shared" si="72"/>
        <v>1224961.1265645695</v>
      </c>
      <c r="C241" s="184">
        <f>-Office!$E$92/12</f>
        <v>7365.1926677265483</v>
      </c>
      <c r="D241" s="183">
        <f>Office!$E$90/12*B240</f>
        <v>5113.3872167315185</v>
      </c>
      <c r="E241" s="185">
        <f t="shared" si="73"/>
        <v>2251.8054509950298</v>
      </c>
      <c r="F241" s="72">
        <f t="shared" si="78"/>
        <v>76</v>
      </c>
      <c r="G241" s="180">
        <f t="shared" si="74"/>
        <v>173263.43961281769</v>
      </c>
      <c r="H241" s="186">
        <f>-Office!$E$97/12</f>
        <v>898.0893756176489</v>
      </c>
      <c r="I241" s="149">
        <f>Office!$E$95/12*G240</f>
        <v>506.4938524798701</v>
      </c>
      <c r="J241" s="187">
        <f t="shared" si="75"/>
        <v>391.5955231377788</v>
      </c>
      <c r="K241" s="72">
        <f t="shared" si="79"/>
        <v>76</v>
      </c>
      <c r="L241" s="180">
        <f t="shared" si="76"/>
        <v>1398224.5661773873</v>
      </c>
      <c r="M241" s="181">
        <f t="shared" si="76"/>
        <v>8263.2820433441975</v>
      </c>
      <c r="N241" s="180">
        <f t="shared" si="76"/>
        <v>5619.8810692113884</v>
      </c>
      <c r="O241" s="132">
        <f t="shared" si="71"/>
        <v>2643.4009741328086</v>
      </c>
    </row>
    <row r="242" spans="1:15" x14ac:dyDescent="0.25">
      <c r="A242" s="72">
        <f t="shared" si="77"/>
        <v>77</v>
      </c>
      <c r="B242" s="183">
        <f t="shared" si="72"/>
        <v>1222699.9385908621</v>
      </c>
      <c r="C242" s="184">
        <f>-Office!$E$92/12</f>
        <v>7365.1926677265483</v>
      </c>
      <c r="D242" s="183">
        <f>Office!$E$90/12*B241</f>
        <v>5104.0046940190396</v>
      </c>
      <c r="E242" s="185">
        <f t="shared" si="73"/>
        <v>2261.1879737075087</v>
      </c>
      <c r="F242" s="72">
        <f t="shared" si="78"/>
        <v>77</v>
      </c>
      <c r="G242" s="180">
        <f t="shared" si="74"/>
        <v>172870.70193607075</v>
      </c>
      <c r="H242" s="186">
        <f>-Office!$E$97/12</f>
        <v>898.0893756176489</v>
      </c>
      <c r="I242" s="149">
        <f>Office!$E$95/12*G241</f>
        <v>505.35169887071828</v>
      </c>
      <c r="J242" s="187">
        <f t="shared" si="75"/>
        <v>392.73767674693062</v>
      </c>
      <c r="K242" s="72">
        <f t="shared" si="79"/>
        <v>77</v>
      </c>
      <c r="L242" s="180">
        <f t="shared" si="76"/>
        <v>1395570.6405269329</v>
      </c>
      <c r="M242" s="181">
        <f t="shared" si="76"/>
        <v>8263.2820433441975</v>
      </c>
      <c r="N242" s="180">
        <f t="shared" si="76"/>
        <v>5609.3563928897574</v>
      </c>
      <c r="O242" s="132">
        <f t="shared" si="71"/>
        <v>2653.9256504544392</v>
      </c>
    </row>
    <row r="243" spans="1:15" x14ac:dyDescent="0.25">
      <c r="A243" s="72">
        <f t="shared" si="77"/>
        <v>78</v>
      </c>
      <c r="B243" s="183">
        <f t="shared" si="72"/>
        <v>1220429.3290005974</v>
      </c>
      <c r="C243" s="184">
        <f>-Office!$E$92/12</f>
        <v>7365.1926677265483</v>
      </c>
      <c r="D243" s="183">
        <f>Office!$E$90/12*B242</f>
        <v>5094.5830774619253</v>
      </c>
      <c r="E243" s="185">
        <f t="shared" si="73"/>
        <v>2270.609590264623</v>
      </c>
      <c r="F243" s="72">
        <f t="shared" si="78"/>
        <v>78</v>
      </c>
      <c r="G243" s="180">
        <f t="shared" si="74"/>
        <v>172476.81877443331</v>
      </c>
      <c r="H243" s="186">
        <f>-Office!$E$97/12</f>
        <v>898.0893756176489</v>
      </c>
      <c r="I243" s="149">
        <f>Office!$E$95/12*G242</f>
        <v>504.20621398020637</v>
      </c>
      <c r="J243" s="187">
        <f t="shared" si="75"/>
        <v>393.88316163744253</v>
      </c>
      <c r="K243" s="72">
        <f t="shared" si="79"/>
        <v>78</v>
      </c>
      <c r="L243" s="180">
        <f t="shared" si="76"/>
        <v>1392906.1477750307</v>
      </c>
      <c r="M243" s="181">
        <f t="shared" si="76"/>
        <v>8263.2820433441975</v>
      </c>
      <c r="N243" s="180">
        <f t="shared" si="76"/>
        <v>5598.7892914421318</v>
      </c>
      <c r="O243" s="132">
        <f t="shared" si="71"/>
        <v>2664.4927519020657</v>
      </c>
    </row>
    <row r="244" spans="1:15" x14ac:dyDescent="0.25">
      <c r="A244" s="72">
        <f t="shared" si="77"/>
        <v>79</v>
      </c>
      <c r="B244" s="183">
        <f t="shared" si="72"/>
        <v>1218149.2585370399</v>
      </c>
      <c r="C244" s="184">
        <f>-Office!$E$92/12</f>
        <v>7365.1926677265483</v>
      </c>
      <c r="D244" s="183">
        <f>Office!$E$90/12*B243</f>
        <v>5085.1222041691553</v>
      </c>
      <c r="E244" s="185">
        <f t="shared" si="73"/>
        <v>2280.0704635573929</v>
      </c>
      <c r="F244" s="72">
        <f t="shared" si="78"/>
        <v>79</v>
      </c>
      <c r="G244" s="180">
        <f t="shared" si="74"/>
        <v>172081.78678690776</v>
      </c>
      <c r="H244" s="186">
        <f>-Office!$E$97/12</f>
        <v>898.0893756176489</v>
      </c>
      <c r="I244" s="149">
        <f>Office!$E$95/12*G243</f>
        <v>503.0573880920972</v>
      </c>
      <c r="J244" s="187">
        <f t="shared" si="75"/>
        <v>395.0319875255517</v>
      </c>
      <c r="K244" s="72">
        <f t="shared" si="79"/>
        <v>79</v>
      </c>
      <c r="L244" s="180">
        <f t="shared" si="76"/>
        <v>1390231.0453239477</v>
      </c>
      <c r="M244" s="181">
        <f t="shared" si="76"/>
        <v>8263.2820433441975</v>
      </c>
      <c r="N244" s="180">
        <f t="shared" si="76"/>
        <v>5588.1795922612528</v>
      </c>
      <c r="O244" s="132">
        <f t="shared" si="71"/>
        <v>2675.1024510829448</v>
      </c>
    </row>
    <row r="245" spans="1:15" x14ac:dyDescent="0.25">
      <c r="A245" s="72">
        <f t="shared" si="77"/>
        <v>80</v>
      </c>
      <c r="B245" s="183">
        <f t="shared" si="72"/>
        <v>1215859.6877798843</v>
      </c>
      <c r="C245" s="184">
        <f>-Office!$E$92/12</f>
        <v>7365.1926677265483</v>
      </c>
      <c r="D245" s="183">
        <f>Office!$E$90/12*B244</f>
        <v>5075.6219105709997</v>
      </c>
      <c r="E245" s="185">
        <f t="shared" si="73"/>
        <v>2289.5707571555486</v>
      </c>
      <c r="F245" s="72">
        <f t="shared" si="78"/>
        <v>80</v>
      </c>
      <c r="G245" s="180">
        <f t="shared" si="74"/>
        <v>171685.60262275193</v>
      </c>
      <c r="H245" s="186">
        <f>-Office!$E$97/12</f>
        <v>898.0893756176489</v>
      </c>
      <c r="I245" s="149">
        <f>Office!$E$95/12*G244</f>
        <v>501.9052114618143</v>
      </c>
      <c r="J245" s="187">
        <f t="shared" si="75"/>
        <v>396.18416415583459</v>
      </c>
      <c r="K245" s="72">
        <f t="shared" si="79"/>
        <v>80</v>
      </c>
      <c r="L245" s="180">
        <f t="shared" si="76"/>
        <v>1387545.2904026362</v>
      </c>
      <c r="M245" s="181">
        <f t="shared" si="76"/>
        <v>8263.2820433441975</v>
      </c>
      <c r="N245" s="180">
        <f t="shared" si="76"/>
        <v>5577.5271220328141</v>
      </c>
      <c r="O245" s="132">
        <f t="shared" si="71"/>
        <v>2685.754921311383</v>
      </c>
    </row>
    <row r="246" spans="1:15" x14ac:dyDescent="0.25">
      <c r="A246" s="72">
        <f t="shared" si="77"/>
        <v>81</v>
      </c>
      <c r="B246" s="183">
        <f t="shared" si="72"/>
        <v>1213560.5771445739</v>
      </c>
      <c r="C246" s="184">
        <f>-Office!$E$92/12</f>
        <v>7365.1926677265483</v>
      </c>
      <c r="D246" s="183">
        <f>Office!$E$90/12*B245</f>
        <v>5066.082032416185</v>
      </c>
      <c r="E246" s="185">
        <f t="shared" si="73"/>
        <v>2299.1106353103633</v>
      </c>
      <c r="F246" s="72">
        <f t="shared" si="78"/>
        <v>81</v>
      </c>
      <c r="G246" s="180">
        <f t="shared" si="74"/>
        <v>171288.26292145063</v>
      </c>
      <c r="H246" s="186">
        <f>-Office!$E$97/12</f>
        <v>898.0893756176489</v>
      </c>
      <c r="I246" s="149">
        <f>Office!$E$95/12*G245</f>
        <v>500.7496743163598</v>
      </c>
      <c r="J246" s="187">
        <f t="shared" si="75"/>
        <v>397.3397013012891</v>
      </c>
      <c r="K246" s="72">
        <f t="shared" si="79"/>
        <v>81</v>
      </c>
      <c r="L246" s="180">
        <f t="shared" si="76"/>
        <v>1384848.8400660246</v>
      </c>
      <c r="M246" s="181">
        <f t="shared" si="76"/>
        <v>8263.2820433441975</v>
      </c>
      <c r="N246" s="180">
        <f t="shared" si="76"/>
        <v>5566.8317067325452</v>
      </c>
      <c r="O246" s="132">
        <f t="shared" si="71"/>
        <v>2696.4503366116523</v>
      </c>
    </row>
    <row r="247" spans="1:15" x14ac:dyDescent="0.25">
      <c r="A247" s="72">
        <f t="shared" si="77"/>
        <v>82</v>
      </c>
      <c r="B247" s="183">
        <f t="shared" si="72"/>
        <v>1211251.8868816164</v>
      </c>
      <c r="C247" s="184">
        <f>-Office!$E$92/12</f>
        <v>7365.1926677265483</v>
      </c>
      <c r="D247" s="183">
        <f>Office!$E$90/12*B246</f>
        <v>5056.5024047690576</v>
      </c>
      <c r="E247" s="185">
        <f t="shared" si="73"/>
        <v>2308.6902629574906</v>
      </c>
      <c r="F247" s="72">
        <f t="shared" si="78"/>
        <v>82</v>
      </c>
      <c r="G247" s="180">
        <f t="shared" si="74"/>
        <v>170889.76431268721</v>
      </c>
      <c r="H247" s="186">
        <f>-Office!$E$97/12</f>
        <v>898.0893756176489</v>
      </c>
      <c r="I247" s="149">
        <f>Office!$E$95/12*G246</f>
        <v>499.59076685423105</v>
      </c>
      <c r="J247" s="187">
        <f t="shared" si="75"/>
        <v>398.49860876341785</v>
      </c>
      <c r="K247" s="72">
        <f t="shared" si="79"/>
        <v>82</v>
      </c>
      <c r="L247" s="180">
        <f t="shared" si="76"/>
        <v>1382141.6511943038</v>
      </c>
      <c r="M247" s="181">
        <f t="shared" si="76"/>
        <v>8263.2820433441975</v>
      </c>
      <c r="N247" s="180">
        <f t="shared" si="76"/>
        <v>5556.093171623289</v>
      </c>
      <c r="O247" s="132">
        <f t="shared" si="71"/>
        <v>2707.1888717209085</v>
      </c>
    </row>
    <row r="248" spans="1:15" x14ac:dyDescent="0.25">
      <c r="A248" s="72">
        <f t="shared" si="77"/>
        <v>83</v>
      </c>
      <c r="B248" s="183">
        <f t="shared" si="72"/>
        <v>1208933.5770758966</v>
      </c>
      <c r="C248" s="184">
        <f>-Office!$E$92/12</f>
        <v>7365.1926677265483</v>
      </c>
      <c r="D248" s="183">
        <f>Office!$E$90/12*B247</f>
        <v>5046.8828620067352</v>
      </c>
      <c r="E248" s="185">
        <f t="shared" si="73"/>
        <v>2318.3098057198131</v>
      </c>
      <c r="F248" s="72">
        <f t="shared" si="78"/>
        <v>83</v>
      </c>
      <c r="G248" s="180">
        <f t="shared" si="74"/>
        <v>170490.1034163149</v>
      </c>
      <c r="H248" s="186">
        <f>-Office!$E$97/12</f>
        <v>898.0893756176489</v>
      </c>
      <c r="I248" s="149">
        <f>Office!$E$95/12*G247</f>
        <v>498.42847924533771</v>
      </c>
      <c r="J248" s="187">
        <f t="shared" si="75"/>
        <v>399.66089637231119</v>
      </c>
      <c r="K248" s="72">
        <f t="shared" si="79"/>
        <v>83</v>
      </c>
      <c r="L248" s="180">
        <f t="shared" si="76"/>
        <v>1379423.6804922114</v>
      </c>
      <c r="M248" s="181">
        <f t="shared" si="76"/>
        <v>8263.2820433441975</v>
      </c>
      <c r="N248" s="180">
        <f t="shared" si="76"/>
        <v>5545.3113412520725</v>
      </c>
      <c r="O248" s="132">
        <f t="shared" si="71"/>
        <v>2717.9707020921242</v>
      </c>
    </row>
    <row r="249" spans="1:15" x14ac:dyDescent="0.25">
      <c r="A249" s="72">
        <f t="shared" si="77"/>
        <v>84</v>
      </c>
      <c r="B249" s="183">
        <f t="shared" si="72"/>
        <v>1206605.6076459861</v>
      </c>
      <c r="C249" s="184">
        <f>-Office!$E$92/12</f>
        <v>7365.1926677265483</v>
      </c>
      <c r="D249" s="183">
        <f>Office!$E$90/12*B248</f>
        <v>5037.2232378162353</v>
      </c>
      <c r="E249" s="185">
        <f t="shared" si="73"/>
        <v>2327.969429910313</v>
      </c>
      <c r="F249" s="72">
        <f t="shared" si="78"/>
        <v>84</v>
      </c>
      <c r="G249" s="180">
        <f t="shared" si="74"/>
        <v>170089.27684232817</v>
      </c>
      <c r="H249" s="186">
        <f>-Office!$E$97/12</f>
        <v>898.0893756176489</v>
      </c>
      <c r="I249" s="149">
        <f>Office!$E$95/12*G248</f>
        <v>497.26280163091849</v>
      </c>
      <c r="J249" s="187">
        <f t="shared" si="75"/>
        <v>400.82657398673041</v>
      </c>
      <c r="K249" s="72">
        <f t="shared" si="79"/>
        <v>84</v>
      </c>
      <c r="L249" s="180">
        <f t="shared" si="76"/>
        <v>1376694.8844883144</v>
      </c>
      <c r="M249" s="181">
        <f t="shared" si="76"/>
        <v>8263.2820433441975</v>
      </c>
      <c r="N249" s="180">
        <f t="shared" si="76"/>
        <v>5534.4860394471534</v>
      </c>
      <c r="O249" s="132">
        <f t="shared" si="71"/>
        <v>2728.7960038970432</v>
      </c>
    </row>
    <row r="250" spans="1:15" x14ac:dyDescent="0.25">
      <c r="A250" s="72">
        <f t="shared" si="77"/>
        <v>85</v>
      </c>
      <c r="B250" s="183">
        <f t="shared" si="72"/>
        <v>1204267.9383434511</v>
      </c>
      <c r="C250" s="184">
        <f>-Office!$E$92/12</f>
        <v>7365.1926677265483</v>
      </c>
      <c r="D250" s="183">
        <f>Office!$E$90/12*B249</f>
        <v>5027.5233651916087</v>
      </c>
      <c r="E250" s="185">
        <f t="shared" si="73"/>
        <v>2337.6693025349396</v>
      </c>
      <c r="F250" s="72">
        <f t="shared" si="78"/>
        <v>85</v>
      </c>
      <c r="G250" s="180">
        <f t="shared" si="74"/>
        <v>169687.28119083398</v>
      </c>
      <c r="H250" s="186">
        <f>-Office!$E$97/12</f>
        <v>898.0893756176489</v>
      </c>
      <c r="I250" s="149">
        <f>Office!$E$95/12*G249</f>
        <v>496.09372412345715</v>
      </c>
      <c r="J250" s="187">
        <f t="shared" si="75"/>
        <v>401.99565149419175</v>
      </c>
      <c r="K250" s="72">
        <f t="shared" si="79"/>
        <v>85</v>
      </c>
      <c r="L250" s="180">
        <f t="shared" si="76"/>
        <v>1373955.2195342851</v>
      </c>
      <c r="M250" s="181">
        <f t="shared" si="76"/>
        <v>8263.2820433441975</v>
      </c>
      <c r="N250" s="180">
        <f t="shared" si="76"/>
        <v>5523.6170893150656</v>
      </c>
      <c r="O250" s="132">
        <f t="shared" si="71"/>
        <v>2739.6649540291314</v>
      </c>
    </row>
    <row r="251" spans="1:15" x14ac:dyDescent="0.25">
      <c r="A251" s="72">
        <f t="shared" si="77"/>
        <v>86</v>
      </c>
      <c r="B251" s="183">
        <f t="shared" si="72"/>
        <v>1201920.5287521556</v>
      </c>
      <c r="C251" s="184">
        <f>-Office!$E$92/12</f>
        <v>7365.1926677265483</v>
      </c>
      <c r="D251" s="183">
        <f>Office!$E$90/12*B250</f>
        <v>5017.7830764310465</v>
      </c>
      <c r="E251" s="185">
        <f t="shared" si="73"/>
        <v>2347.4095912955017</v>
      </c>
      <c r="F251" s="72">
        <f t="shared" si="78"/>
        <v>86</v>
      </c>
      <c r="G251" s="180">
        <f t="shared" si="74"/>
        <v>169284.11305202293</v>
      </c>
      <c r="H251" s="186">
        <f>-Office!$E$97/12</f>
        <v>898.0893756176489</v>
      </c>
      <c r="I251" s="149">
        <f>Office!$E$95/12*G250</f>
        <v>494.92123680659915</v>
      </c>
      <c r="J251" s="187">
        <f t="shared" si="75"/>
        <v>403.16813881104974</v>
      </c>
      <c r="K251" s="72">
        <f t="shared" si="79"/>
        <v>86</v>
      </c>
      <c r="L251" s="180">
        <f t="shared" si="76"/>
        <v>1371204.6418041785</v>
      </c>
      <c r="M251" s="181">
        <f t="shared" si="76"/>
        <v>8263.2820433441975</v>
      </c>
      <c r="N251" s="180">
        <f t="shared" si="76"/>
        <v>5512.7043132376457</v>
      </c>
      <c r="O251" s="132">
        <f t="shared" si="71"/>
        <v>2750.5777301065514</v>
      </c>
    </row>
    <row r="252" spans="1:15" x14ac:dyDescent="0.25">
      <c r="A252" s="72">
        <f t="shared" si="77"/>
        <v>87</v>
      </c>
      <c r="B252" s="183">
        <f t="shared" si="72"/>
        <v>1199563.3382875631</v>
      </c>
      <c r="C252" s="184">
        <f>-Office!$E$92/12</f>
        <v>7365.1926677265483</v>
      </c>
      <c r="D252" s="183">
        <f>Office!$E$90/12*B251</f>
        <v>5008.0022031339813</v>
      </c>
      <c r="E252" s="185">
        <f t="shared" si="73"/>
        <v>2357.190464592567</v>
      </c>
      <c r="F252" s="72">
        <f t="shared" si="78"/>
        <v>87</v>
      </c>
      <c r="G252" s="180">
        <f t="shared" si="74"/>
        <v>168879.76900614036</v>
      </c>
      <c r="H252" s="186">
        <f>-Office!$E$97/12</f>
        <v>898.0893756176489</v>
      </c>
      <c r="I252" s="149">
        <f>Office!$E$95/12*G251</f>
        <v>493.74532973506689</v>
      </c>
      <c r="J252" s="187">
        <f t="shared" si="75"/>
        <v>404.34404588258201</v>
      </c>
      <c r="K252" s="72">
        <f t="shared" si="79"/>
        <v>87</v>
      </c>
      <c r="L252" s="180">
        <f t="shared" si="76"/>
        <v>1368443.1072937034</v>
      </c>
      <c r="M252" s="181">
        <f t="shared" si="76"/>
        <v>8263.2820433441975</v>
      </c>
      <c r="N252" s="180">
        <f t="shared" si="76"/>
        <v>5501.747532869048</v>
      </c>
      <c r="O252" s="132">
        <f t="shared" si="71"/>
        <v>2761.5345104751491</v>
      </c>
    </row>
    <row r="253" spans="1:15" x14ac:dyDescent="0.25">
      <c r="A253" s="72">
        <f t="shared" si="77"/>
        <v>88</v>
      </c>
      <c r="B253" s="183">
        <f t="shared" si="72"/>
        <v>1197196.3261960347</v>
      </c>
      <c r="C253" s="184">
        <f>-Office!$E$92/12</f>
        <v>7365.1926677265483</v>
      </c>
      <c r="D253" s="183">
        <f>Office!$E$90/12*B252</f>
        <v>4998.1805761981796</v>
      </c>
      <c r="E253" s="185">
        <f t="shared" si="73"/>
        <v>2367.0120915283687</v>
      </c>
      <c r="F253" s="72">
        <f t="shared" si="78"/>
        <v>88</v>
      </c>
      <c r="G253" s="180">
        <f t="shared" si="74"/>
        <v>168474.24562345727</v>
      </c>
      <c r="H253" s="186">
        <f>-Office!$E$97/12</f>
        <v>898.0893756176489</v>
      </c>
      <c r="I253" s="149">
        <f>Office!$E$95/12*G252</f>
        <v>492.56599293457606</v>
      </c>
      <c r="J253" s="187">
        <f t="shared" si="75"/>
        <v>405.52338268307284</v>
      </c>
      <c r="K253" s="72">
        <f t="shared" si="79"/>
        <v>88</v>
      </c>
      <c r="L253" s="180">
        <f t="shared" si="76"/>
        <v>1365670.5718194919</v>
      </c>
      <c r="M253" s="181">
        <f t="shared" si="76"/>
        <v>8263.2820433441975</v>
      </c>
      <c r="N253" s="180">
        <f t="shared" si="76"/>
        <v>5490.7465691327552</v>
      </c>
      <c r="O253" s="132">
        <f t="shared" si="71"/>
        <v>2772.5354742114414</v>
      </c>
    </row>
    <row r="254" spans="1:15" x14ac:dyDescent="0.25">
      <c r="A254" s="72">
        <f t="shared" si="77"/>
        <v>89</v>
      </c>
      <c r="B254" s="183">
        <f t="shared" si="72"/>
        <v>1194819.4515541249</v>
      </c>
      <c r="C254" s="184">
        <f>-Office!$E$92/12</f>
        <v>7365.1926677265483</v>
      </c>
      <c r="D254" s="183">
        <f>Office!$E$90/12*B253</f>
        <v>4988.3180258168113</v>
      </c>
      <c r="E254" s="185">
        <f t="shared" si="73"/>
        <v>2376.874641909737</v>
      </c>
      <c r="F254" s="72">
        <f t="shared" si="78"/>
        <v>89</v>
      </c>
      <c r="G254" s="180">
        <f t="shared" si="74"/>
        <v>168067.53946424139</v>
      </c>
      <c r="H254" s="186">
        <f>-Office!$E$97/12</f>
        <v>898.0893756176489</v>
      </c>
      <c r="I254" s="149">
        <f>Office!$E$95/12*G253</f>
        <v>491.38321640175042</v>
      </c>
      <c r="J254" s="187">
        <f t="shared" si="75"/>
        <v>406.70615921589848</v>
      </c>
      <c r="K254" s="72">
        <f t="shared" si="79"/>
        <v>89</v>
      </c>
      <c r="L254" s="180">
        <f t="shared" si="76"/>
        <v>1362886.9910183663</v>
      </c>
      <c r="M254" s="181">
        <f t="shared" si="76"/>
        <v>8263.2820433441975</v>
      </c>
      <c r="N254" s="180">
        <f t="shared" si="76"/>
        <v>5479.7012422185617</v>
      </c>
      <c r="O254" s="132">
        <f t="shared" si="71"/>
        <v>2783.5808011256354</v>
      </c>
    </row>
    <row r="255" spans="1:15" x14ac:dyDescent="0.25">
      <c r="A255" s="72">
        <f t="shared" si="77"/>
        <v>90</v>
      </c>
      <c r="B255" s="183">
        <f t="shared" si="72"/>
        <v>1192432.6732678739</v>
      </c>
      <c r="C255" s="184">
        <f>-Office!$E$92/12</f>
        <v>7365.1926677265483</v>
      </c>
      <c r="D255" s="183">
        <f>Office!$E$90/12*B254</f>
        <v>4978.4143814755207</v>
      </c>
      <c r="E255" s="185">
        <f t="shared" si="73"/>
        <v>2386.7782862510276</v>
      </c>
      <c r="F255" s="72">
        <f t="shared" si="78"/>
        <v>90</v>
      </c>
      <c r="G255" s="180">
        <f t="shared" si="74"/>
        <v>167659.64707872778</v>
      </c>
      <c r="H255" s="186">
        <f>-Office!$E$97/12</f>
        <v>898.0893756176489</v>
      </c>
      <c r="I255" s="149">
        <f>Office!$E$95/12*G254</f>
        <v>490.19699010403741</v>
      </c>
      <c r="J255" s="187">
        <f t="shared" si="75"/>
        <v>407.89238551361149</v>
      </c>
      <c r="K255" s="72">
        <f t="shared" si="79"/>
        <v>90</v>
      </c>
      <c r="L255" s="180">
        <f t="shared" si="76"/>
        <v>1360092.3203466018</v>
      </c>
      <c r="M255" s="181">
        <f t="shared" si="76"/>
        <v>8263.2820433441975</v>
      </c>
      <c r="N255" s="180">
        <f t="shared" si="76"/>
        <v>5468.6113715795582</v>
      </c>
      <c r="O255" s="132">
        <f t="shared" si="71"/>
        <v>2794.6706717646389</v>
      </c>
    </row>
    <row r="256" spans="1:15" x14ac:dyDescent="0.25">
      <c r="A256" s="72">
        <f t="shared" si="77"/>
        <v>91</v>
      </c>
      <c r="B256" s="183">
        <f t="shared" si="72"/>
        <v>1190035.9500720969</v>
      </c>
      <c r="C256" s="184">
        <f>-Office!$E$92/12</f>
        <v>7365.1926677265483</v>
      </c>
      <c r="D256" s="183">
        <f>Office!$E$90/12*B255</f>
        <v>4968.4694719494746</v>
      </c>
      <c r="E256" s="185">
        <f t="shared" si="73"/>
        <v>2396.7231957770737</v>
      </c>
      <c r="F256" s="72">
        <f t="shared" si="78"/>
        <v>91</v>
      </c>
      <c r="G256" s="180">
        <f t="shared" si="74"/>
        <v>167250.56500708975</v>
      </c>
      <c r="H256" s="186">
        <f>-Office!$E$97/12</f>
        <v>898.0893756176489</v>
      </c>
      <c r="I256" s="149">
        <f>Office!$E$95/12*G255</f>
        <v>489.00730397962269</v>
      </c>
      <c r="J256" s="187">
        <f t="shared" si="75"/>
        <v>409.08207163802621</v>
      </c>
      <c r="K256" s="72">
        <f t="shared" si="79"/>
        <v>91</v>
      </c>
      <c r="L256" s="180">
        <f t="shared" si="76"/>
        <v>1357286.5150791868</v>
      </c>
      <c r="M256" s="181">
        <f t="shared" si="76"/>
        <v>8263.2820433441975</v>
      </c>
      <c r="N256" s="180">
        <f t="shared" si="76"/>
        <v>5457.4767759290971</v>
      </c>
      <c r="O256" s="132">
        <f t="shared" si="71"/>
        <v>2805.8052674150999</v>
      </c>
    </row>
    <row r="257" spans="1:15" x14ac:dyDescent="0.25">
      <c r="A257" s="72">
        <f t="shared" si="77"/>
        <v>92</v>
      </c>
      <c r="B257" s="183">
        <f t="shared" si="72"/>
        <v>1187629.2405296708</v>
      </c>
      <c r="C257" s="184">
        <f>-Office!$E$92/12</f>
        <v>7365.1926677265483</v>
      </c>
      <c r="D257" s="183">
        <f>Office!$E$90/12*B256</f>
        <v>4958.483125300404</v>
      </c>
      <c r="E257" s="185">
        <f t="shared" si="73"/>
        <v>2406.7095424261443</v>
      </c>
      <c r="F257" s="72">
        <f t="shared" si="78"/>
        <v>92</v>
      </c>
      <c r="G257" s="180">
        <f t="shared" si="74"/>
        <v>166840.28977940945</v>
      </c>
      <c r="H257" s="186">
        <f>-Office!$E$97/12</f>
        <v>898.0893756176489</v>
      </c>
      <c r="I257" s="149">
        <f>Office!$E$95/12*G256</f>
        <v>487.81414793734513</v>
      </c>
      <c r="J257" s="187">
        <f t="shared" si="75"/>
        <v>410.27522768030377</v>
      </c>
      <c r="K257" s="72">
        <f t="shared" si="79"/>
        <v>92</v>
      </c>
      <c r="L257" s="180">
        <f t="shared" si="76"/>
        <v>1354469.5303090804</v>
      </c>
      <c r="M257" s="181">
        <f t="shared" si="76"/>
        <v>8263.2820433441975</v>
      </c>
      <c r="N257" s="180">
        <f t="shared" si="76"/>
        <v>5446.2972732377493</v>
      </c>
      <c r="O257" s="132">
        <f t="shared" si="71"/>
        <v>2816.9847701064482</v>
      </c>
    </row>
    <row r="258" spans="1:15" x14ac:dyDescent="0.25">
      <c r="A258" s="72">
        <f t="shared" si="77"/>
        <v>93</v>
      </c>
      <c r="B258" s="183">
        <f t="shared" si="72"/>
        <v>1185212.503030818</v>
      </c>
      <c r="C258" s="184">
        <f>-Office!$E$92/12</f>
        <v>7365.1926677265483</v>
      </c>
      <c r="D258" s="183">
        <f>Office!$E$90/12*B257</f>
        <v>4948.4551688736283</v>
      </c>
      <c r="E258" s="185">
        <f t="shared" si="73"/>
        <v>2416.73749885292</v>
      </c>
      <c r="F258" s="72">
        <f t="shared" si="78"/>
        <v>93</v>
      </c>
      <c r="G258" s="180">
        <f t="shared" si="74"/>
        <v>166428.8179156484</v>
      </c>
      <c r="H258" s="186">
        <f>-Office!$E$97/12</f>
        <v>898.0893756176489</v>
      </c>
      <c r="I258" s="149">
        <f>Office!$E$95/12*G257</f>
        <v>486.61751185661092</v>
      </c>
      <c r="J258" s="187">
        <f t="shared" si="75"/>
        <v>411.47186376103798</v>
      </c>
      <c r="K258" s="72">
        <f t="shared" si="79"/>
        <v>93</v>
      </c>
      <c r="L258" s="180">
        <f t="shared" si="76"/>
        <v>1351641.3209464664</v>
      </c>
      <c r="M258" s="181">
        <f t="shared" si="76"/>
        <v>8263.2820433441975</v>
      </c>
      <c r="N258" s="180">
        <f t="shared" si="76"/>
        <v>5435.072680730239</v>
      </c>
      <c r="O258" s="132">
        <f t="shared" si="71"/>
        <v>2828.2093626139581</v>
      </c>
    </row>
    <row r="259" spans="1:15" x14ac:dyDescent="0.25">
      <c r="A259" s="72">
        <f t="shared" si="77"/>
        <v>94</v>
      </c>
      <c r="B259" s="183">
        <f t="shared" si="72"/>
        <v>1182785.6957923865</v>
      </c>
      <c r="C259" s="184">
        <f>-Office!$E$92/12</f>
        <v>7365.1926677265483</v>
      </c>
      <c r="D259" s="183">
        <f>Office!$E$90/12*B258</f>
        <v>4938.3854292950746</v>
      </c>
      <c r="E259" s="185">
        <f t="shared" si="73"/>
        <v>2426.8072384314737</v>
      </c>
      <c r="F259" s="72">
        <f t="shared" si="78"/>
        <v>94</v>
      </c>
      <c r="G259" s="180">
        <f t="shared" si="74"/>
        <v>166016.14592561807</v>
      </c>
      <c r="H259" s="186">
        <f>-Office!$E$97/12</f>
        <v>898.0893756176489</v>
      </c>
      <c r="I259" s="149">
        <f>Office!$E$95/12*G258</f>
        <v>485.41738558730782</v>
      </c>
      <c r="J259" s="187">
        <f t="shared" si="75"/>
        <v>412.67199003034108</v>
      </c>
      <c r="K259" s="72">
        <f t="shared" si="79"/>
        <v>94</v>
      </c>
      <c r="L259" s="180">
        <f t="shared" si="76"/>
        <v>1348801.8417180046</v>
      </c>
      <c r="M259" s="181">
        <f t="shared" si="76"/>
        <v>8263.2820433441975</v>
      </c>
      <c r="N259" s="180">
        <f t="shared" si="76"/>
        <v>5423.8028148823823</v>
      </c>
      <c r="O259" s="132">
        <f t="shared" si="71"/>
        <v>2839.4792284618147</v>
      </c>
    </row>
    <row r="260" spans="1:15" x14ac:dyDescent="0.25">
      <c r="A260" s="72">
        <f t="shared" si="77"/>
        <v>95</v>
      </c>
      <c r="B260" s="183">
        <f t="shared" si="72"/>
        <v>1180348.7768571284</v>
      </c>
      <c r="C260" s="184">
        <f>-Office!$E$92/12</f>
        <v>7365.1926677265483</v>
      </c>
      <c r="D260" s="183">
        <f>Office!$E$90/12*B259</f>
        <v>4928.2737324682776</v>
      </c>
      <c r="E260" s="185">
        <f t="shared" si="73"/>
        <v>2436.9189352582707</v>
      </c>
      <c r="F260" s="72">
        <f t="shared" si="78"/>
        <v>95</v>
      </c>
      <c r="G260" s="180">
        <f t="shared" si="74"/>
        <v>165602.27030895013</v>
      </c>
      <c r="H260" s="186">
        <f>-Office!$E$97/12</f>
        <v>898.0893756176489</v>
      </c>
      <c r="I260" s="149">
        <f>Office!$E$95/12*G259</f>
        <v>484.21375894971936</v>
      </c>
      <c r="J260" s="187">
        <f t="shared" si="75"/>
        <v>413.87561666792953</v>
      </c>
      <c r="K260" s="72">
        <f t="shared" si="79"/>
        <v>95</v>
      </c>
      <c r="L260" s="180">
        <f t="shared" si="76"/>
        <v>1345951.0471660786</v>
      </c>
      <c r="M260" s="181">
        <f t="shared" si="76"/>
        <v>8263.2820433441975</v>
      </c>
      <c r="N260" s="180">
        <f t="shared" si="76"/>
        <v>5412.4874914179973</v>
      </c>
      <c r="O260" s="132">
        <f t="shared" si="71"/>
        <v>2850.7945519262003</v>
      </c>
    </row>
    <row r="261" spans="1:15" x14ac:dyDescent="0.25">
      <c r="A261" s="72">
        <f t="shared" si="77"/>
        <v>96</v>
      </c>
      <c r="B261" s="183">
        <f t="shared" si="72"/>
        <v>1177901.7040929731</v>
      </c>
      <c r="C261" s="184">
        <f>-Office!$E$92/12</f>
        <v>7365.1926677265483</v>
      </c>
      <c r="D261" s="183">
        <f>Office!$E$90/12*B260</f>
        <v>4918.119903571368</v>
      </c>
      <c r="E261" s="185">
        <f t="shared" si="73"/>
        <v>2447.0727641551803</v>
      </c>
      <c r="F261" s="72">
        <f t="shared" si="78"/>
        <v>96</v>
      </c>
      <c r="G261" s="180">
        <f t="shared" si="74"/>
        <v>165187.18755506692</v>
      </c>
      <c r="H261" s="186">
        <f>-Office!$E$97/12</f>
        <v>898.0893756176489</v>
      </c>
      <c r="I261" s="149">
        <f>Office!$E$95/12*G260</f>
        <v>483.00662173443789</v>
      </c>
      <c r="J261" s="187">
        <f t="shared" si="75"/>
        <v>415.08275388321101</v>
      </c>
      <c r="K261" s="72">
        <f t="shared" si="79"/>
        <v>96</v>
      </c>
      <c r="L261" s="180">
        <f t="shared" si="76"/>
        <v>1343088.8916480402</v>
      </c>
      <c r="M261" s="181">
        <f t="shared" si="76"/>
        <v>8263.2820433441975</v>
      </c>
      <c r="N261" s="180">
        <f t="shared" si="76"/>
        <v>5401.1265253058064</v>
      </c>
      <c r="O261" s="132">
        <f t="shared" si="71"/>
        <v>2862.1555180383912</v>
      </c>
    </row>
    <row r="262" spans="1:15" x14ac:dyDescent="0.25">
      <c r="A262" s="72">
        <f t="shared" si="77"/>
        <v>97</v>
      </c>
      <c r="B262" s="183">
        <f t="shared" si="72"/>
        <v>1175444.4351923007</v>
      </c>
      <c r="C262" s="184">
        <f>-Office!$E$92/12</f>
        <v>7365.1926677265483</v>
      </c>
      <c r="D262" s="183">
        <f>Office!$E$90/12*B261</f>
        <v>4907.9237670540551</v>
      </c>
      <c r="E262" s="185">
        <f t="shared" si="73"/>
        <v>2457.2689006724931</v>
      </c>
      <c r="F262" s="72">
        <f t="shared" si="78"/>
        <v>97</v>
      </c>
      <c r="G262" s="180">
        <f t="shared" si="74"/>
        <v>164770.89414315156</v>
      </c>
      <c r="H262" s="186">
        <f>-Office!$E$97/12</f>
        <v>898.0893756176489</v>
      </c>
      <c r="I262" s="149">
        <f>Office!$E$95/12*G261</f>
        <v>481.79596370227853</v>
      </c>
      <c r="J262" s="187">
        <f t="shared" si="75"/>
        <v>416.29341191537037</v>
      </c>
      <c r="K262" s="72">
        <f t="shared" si="79"/>
        <v>97</v>
      </c>
      <c r="L262" s="180">
        <f t="shared" si="76"/>
        <v>1340215.3293354523</v>
      </c>
      <c r="M262" s="181">
        <f t="shared" si="76"/>
        <v>8263.2820433441975</v>
      </c>
      <c r="N262" s="180">
        <f t="shared" si="76"/>
        <v>5389.7197307563338</v>
      </c>
      <c r="O262" s="132">
        <f t="shared" si="71"/>
        <v>2873.5623125878637</v>
      </c>
    </row>
    <row r="263" spans="1:15" x14ac:dyDescent="0.25">
      <c r="A263" s="72">
        <f t="shared" si="77"/>
        <v>98</v>
      </c>
      <c r="B263" s="183">
        <f t="shared" si="72"/>
        <v>1172976.9276712087</v>
      </c>
      <c r="C263" s="184">
        <f>-Office!$E$92/12</f>
        <v>7365.1926677265483</v>
      </c>
      <c r="D263" s="183">
        <f>Office!$E$90/12*B262</f>
        <v>4897.6851466345861</v>
      </c>
      <c r="E263" s="185">
        <f t="shared" si="73"/>
        <v>2467.5075210919622</v>
      </c>
      <c r="F263" s="72">
        <f t="shared" si="78"/>
        <v>98</v>
      </c>
      <c r="G263" s="180">
        <f t="shared" si="74"/>
        <v>164353.3865421181</v>
      </c>
      <c r="H263" s="186">
        <f>-Office!$E$97/12</f>
        <v>898.0893756176489</v>
      </c>
      <c r="I263" s="149">
        <f>Office!$E$95/12*G262</f>
        <v>480.58177458419203</v>
      </c>
      <c r="J263" s="187">
        <f t="shared" si="75"/>
        <v>417.50760103345687</v>
      </c>
      <c r="K263" s="72">
        <f t="shared" si="79"/>
        <v>98</v>
      </c>
      <c r="L263" s="180">
        <f t="shared" si="76"/>
        <v>1337330.3142133269</v>
      </c>
      <c r="M263" s="181">
        <f t="shared" si="76"/>
        <v>8263.2820433441975</v>
      </c>
      <c r="N263" s="180">
        <f t="shared" si="76"/>
        <v>5378.2669212187784</v>
      </c>
      <c r="O263" s="132">
        <f t="shared" si="71"/>
        <v>2885.0151221254191</v>
      </c>
    </row>
    <row r="264" spans="1:15" x14ac:dyDescent="0.25">
      <c r="A264" s="72">
        <f t="shared" si="77"/>
        <v>99</v>
      </c>
      <c r="B264" s="183">
        <f t="shared" si="72"/>
        <v>1170499.1388687789</v>
      </c>
      <c r="C264" s="184">
        <f>-Office!$E$92/12</f>
        <v>7365.1926677265483</v>
      </c>
      <c r="D264" s="183">
        <f>Office!$E$90/12*B263</f>
        <v>4887.4038652967029</v>
      </c>
      <c r="E264" s="185">
        <f t="shared" si="73"/>
        <v>2477.7888024298454</v>
      </c>
      <c r="F264" s="72">
        <f t="shared" si="78"/>
        <v>99</v>
      </c>
      <c r="G264" s="180">
        <f t="shared" si="74"/>
        <v>163934.66121058163</v>
      </c>
      <c r="H264" s="186">
        <f>-Office!$E$97/12</f>
        <v>898.0893756176489</v>
      </c>
      <c r="I264" s="149">
        <f>Office!$E$95/12*G263</f>
        <v>479.36404408117778</v>
      </c>
      <c r="J264" s="187">
        <f t="shared" si="75"/>
        <v>418.72533153647112</v>
      </c>
      <c r="K264" s="72">
        <f t="shared" si="79"/>
        <v>99</v>
      </c>
      <c r="L264" s="180">
        <f t="shared" si="76"/>
        <v>1334433.8000793606</v>
      </c>
      <c r="M264" s="181">
        <f t="shared" si="76"/>
        <v>8263.2820433441975</v>
      </c>
      <c r="N264" s="180">
        <f t="shared" si="76"/>
        <v>5366.7679093778806</v>
      </c>
      <c r="O264" s="132">
        <f t="shared" si="71"/>
        <v>2896.5141339663164</v>
      </c>
    </row>
    <row r="265" spans="1:15" x14ac:dyDescent="0.25">
      <c r="A265" s="72">
        <f t="shared" si="77"/>
        <v>100</v>
      </c>
      <c r="B265" s="183">
        <f t="shared" si="72"/>
        <v>1168011.0259463389</v>
      </c>
      <c r="C265" s="184">
        <f>-Office!$E$92/12</f>
        <v>7365.1926677265483</v>
      </c>
      <c r="D265" s="183">
        <f>Office!$E$90/12*B264</f>
        <v>4877.0797452865791</v>
      </c>
      <c r="E265" s="185">
        <f t="shared" si="73"/>
        <v>2488.1129224399692</v>
      </c>
      <c r="F265" s="72">
        <f t="shared" si="78"/>
        <v>100</v>
      </c>
      <c r="G265" s="180">
        <f t="shared" si="74"/>
        <v>163514.71459682818</v>
      </c>
      <c r="H265" s="186">
        <f>-Office!$E$97/12</f>
        <v>898.0893756176489</v>
      </c>
      <c r="I265" s="149">
        <f>Office!$E$95/12*G264</f>
        <v>478.14276186419647</v>
      </c>
      <c r="J265" s="187">
        <f t="shared" si="75"/>
        <v>419.94661375345243</v>
      </c>
      <c r="K265" s="72">
        <f t="shared" si="79"/>
        <v>100</v>
      </c>
      <c r="L265" s="180">
        <f t="shared" si="76"/>
        <v>1331525.7405431671</v>
      </c>
      <c r="M265" s="181">
        <f t="shared" si="76"/>
        <v>8263.2820433441975</v>
      </c>
      <c r="N265" s="180">
        <f t="shared" si="76"/>
        <v>5355.2225071507755</v>
      </c>
      <c r="O265" s="132">
        <f t="shared" si="71"/>
        <v>2908.0595361934215</v>
      </c>
    </row>
    <row r="266" spans="1:15" x14ac:dyDescent="0.25">
      <c r="A266" s="72">
        <f t="shared" si="77"/>
        <v>101</v>
      </c>
      <c r="B266" s="183">
        <f t="shared" si="72"/>
        <v>1165512.5458867222</v>
      </c>
      <c r="C266" s="184">
        <f>-Office!$E$92/12</f>
        <v>7365.1926677265483</v>
      </c>
      <c r="D266" s="183">
        <f>Office!$E$90/12*B265</f>
        <v>4866.7126081097449</v>
      </c>
      <c r="E266" s="185">
        <f t="shared" si="73"/>
        <v>2498.4800596168034</v>
      </c>
      <c r="F266" s="72">
        <f t="shared" si="78"/>
        <v>101</v>
      </c>
      <c r="G266" s="180">
        <f t="shared" si="74"/>
        <v>163093.54313878462</v>
      </c>
      <c r="H266" s="186">
        <f>-Office!$E$97/12</f>
        <v>898.0893756176489</v>
      </c>
      <c r="I266" s="149">
        <f>Office!$E$95/12*G265</f>
        <v>476.91791757408225</v>
      </c>
      <c r="J266" s="187">
        <f t="shared" si="75"/>
        <v>421.17145804356664</v>
      </c>
      <c r="K266" s="72">
        <f t="shared" si="79"/>
        <v>101</v>
      </c>
      <c r="L266" s="180">
        <f t="shared" si="76"/>
        <v>1328606.0890255067</v>
      </c>
      <c r="M266" s="181">
        <f t="shared" si="76"/>
        <v>8263.2820433441975</v>
      </c>
      <c r="N266" s="180">
        <f t="shared" si="76"/>
        <v>5343.6305256838268</v>
      </c>
      <c r="O266" s="132">
        <f t="shared" si="71"/>
        <v>2919.6515176603698</v>
      </c>
    </row>
    <row r="267" spans="1:15" x14ac:dyDescent="0.25">
      <c r="A267" s="72">
        <f t="shared" si="77"/>
        <v>102</v>
      </c>
      <c r="B267" s="183">
        <f t="shared" si="72"/>
        <v>1163003.6554935237</v>
      </c>
      <c r="C267" s="184">
        <f>-Office!$E$92/12</f>
        <v>7365.1926677265483</v>
      </c>
      <c r="D267" s="183">
        <f>Office!$E$90/12*B266</f>
        <v>4856.3022745280086</v>
      </c>
      <c r="E267" s="185">
        <f t="shared" si="73"/>
        <v>2508.8903931985396</v>
      </c>
      <c r="F267" s="72">
        <f t="shared" si="78"/>
        <v>102</v>
      </c>
      <c r="G267" s="180">
        <f t="shared" si="74"/>
        <v>162671.14326398843</v>
      </c>
      <c r="H267" s="186">
        <f>-Office!$E$97/12</f>
        <v>898.0893756176489</v>
      </c>
      <c r="I267" s="149">
        <f>Office!$E$95/12*G266</f>
        <v>475.68950082145517</v>
      </c>
      <c r="J267" s="187">
        <f t="shared" si="75"/>
        <v>422.39987479619373</v>
      </c>
      <c r="K267" s="72">
        <f t="shared" si="79"/>
        <v>102</v>
      </c>
      <c r="L267" s="180">
        <f t="shared" si="76"/>
        <v>1325674.7987575121</v>
      </c>
      <c r="M267" s="181">
        <f t="shared" si="76"/>
        <v>8263.2820433441975</v>
      </c>
      <c r="N267" s="180">
        <f t="shared" si="76"/>
        <v>5331.9917753494638</v>
      </c>
      <c r="O267" s="132">
        <f t="shared" si="71"/>
        <v>2931.2902679947333</v>
      </c>
    </row>
    <row r="268" spans="1:15" x14ac:dyDescent="0.25">
      <c r="A268" s="72">
        <f t="shared" si="77"/>
        <v>103</v>
      </c>
      <c r="B268" s="183">
        <f t="shared" si="72"/>
        <v>1160484.3113903536</v>
      </c>
      <c r="C268" s="184">
        <f>-Office!$E$92/12</f>
        <v>7365.1926677265483</v>
      </c>
      <c r="D268" s="183">
        <f>Office!$E$90/12*B267</f>
        <v>4845.8485645563487</v>
      </c>
      <c r="E268" s="185">
        <f t="shared" si="73"/>
        <v>2519.3441031701996</v>
      </c>
      <c r="F268" s="72">
        <f t="shared" si="78"/>
        <v>103</v>
      </c>
      <c r="G268" s="180">
        <f t="shared" si="74"/>
        <v>162247.51138955742</v>
      </c>
      <c r="H268" s="186">
        <f>-Office!$E$97/12</f>
        <v>898.0893756176489</v>
      </c>
      <c r="I268" s="149">
        <f>Office!$E$95/12*G267</f>
        <v>474.45750118663295</v>
      </c>
      <c r="J268" s="187">
        <f t="shared" si="75"/>
        <v>423.63187443101594</v>
      </c>
      <c r="K268" s="72">
        <f t="shared" si="79"/>
        <v>103</v>
      </c>
      <c r="L268" s="180">
        <f t="shared" si="76"/>
        <v>1322731.8227799111</v>
      </c>
      <c r="M268" s="181">
        <f t="shared" si="76"/>
        <v>8263.2820433441975</v>
      </c>
      <c r="N268" s="180">
        <f t="shared" si="76"/>
        <v>5320.3060657429814</v>
      </c>
      <c r="O268" s="132">
        <f t="shared" si="71"/>
        <v>2942.9759776012156</v>
      </c>
    </row>
    <row r="269" spans="1:15" x14ac:dyDescent="0.25">
      <c r="A269" s="72">
        <f t="shared" si="77"/>
        <v>104</v>
      </c>
      <c r="B269" s="183">
        <f t="shared" si="72"/>
        <v>1157954.470020087</v>
      </c>
      <c r="C269" s="184">
        <f>-Office!$E$92/12</f>
        <v>7365.1926677265483</v>
      </c>
      <c r="D269" s="183">
        <f>Office!$E$90/12*B268</f>
        <v>4835.351297459807</v>
      </c>
      <c r="E269" s="185">
        <f t="shared" si="73"/>
        <v>2529.8413702667413</v>
      </c>
      <c r="F269" s="72">
        <f t="shared" si="78"/>
        <v>104</v>
      </c>
      <c r="G269" s="180">
        <f t="shared" si="74"/>
        <v>161822.6439221593</v>
      </c>
      <c r="H269" s="186">
        <f>-Office!$E$97/12</f>
        <v>898.0893756176489</v>
      </c>
      <c r="I269" s="149">
        <f>Office!$E$95/12*G268</f>
        <v>473.22190821954251</v>
      </c>
      <c r="J269" s="187">
        <f t="shared" si="75"/>
        <v>424.86746739810638</v>
      </c>
      <c r="K269" s="72">
        <f t="shared" si="79"/>
        <v>104</v>
      </c>
      <c r="L269" s="180">
        <f t="shared" si="76"/>
        <v>1319777.1139422462</v>
      </c>
      <c r="M269" s="181">
        <f t="shared" si="76"/>
        <v>8263.2820433441975</v>
      </c>
      <c r="N269" s="180">
        <f t="shared" si="76"/>
        <v>5308.5732056793495</v>
      </c>
      <c r="O269" s="132">
        <f t="shared" si="71"/>
        <v>2954.7088376648476</v>
      </c>
    </row>
    <row r="270" spans="1:15" x14ac:dyDescent="0.25">
      <c r="A270" s="72">
        <f t="shared" si="77"/>
        <v>105</v>
      </c>
      <c r="B270" s="183">
        <f t="shared" si="72"/>
        <v>1155414.0876441109</v>
      </c>
      <c r="C270" s="184">
        <f>-Office!$E$92/12</f>
        <v>7365.1926677265483</v>
      </c>
      <c r="D270" s="183">
        <f>Office!$E$90/12*B269</f>
        <v>4824.810291750362</v>
      </c>
      <c r="E270" s="185">
        <f t="shared" si="73"/>
        <v>2540.3823759761863</v>
      </c>
      <c r="F270" s="72">
        <f t="shared" si="78"/>
        <v>105</v>
      </c>
      <c r="G270" s="180">
        <f t="shared" si="74"/>
        <v>161396.53725798128</v>
      </c>
      <c r="H270" s="186">
        <f>-Office!$E$97/12</f>
        <v>898.0893756176489</v>
      </c>
      <c r="I270" s="149">
        <f>Office!$E$95/12*G269</f>
        <v>471.98271143963132</v>
      </c>
      <c r="J270" s="187">
        <f t="shared" si="75"/>
        <v>426.10666417801758</v>
      </c>
      <c r="K270" s="72">
        <f t="shared" si="79"/>
        <v>105</v>
      </c>
      <c r="L270" s="180">
        <f t="shared" si="76"/>
        <v>1316810.6249020922</v>
      </c>
      <c r="M270" s="181">
        <f t="shared" si="76"/>
        <v>8263.2820433441975</v>
      </c>
      <c r="N270" s="180">
        <f t="shared" si="76"/>
        <v>5296.7930031899932</v>
      </c>
      <c r="O270" s="132">
        <f t="shared" si="71"/>
        <v>2966.4890401542038</v>
      </c>
    </row>
    <row r="271" spans="1:15" x14ac:dyDescent="0.25">
      <c r="A271" s="72">
        <f t="shared" si="77"/>
        <v>106</v>
      </c>
      <c r="B271" s="183">
        <f t="shared" si="72"/>
        <v>1152863.1203415683</v>
      </c>
      <c r="C271" s="184">
        <f>-Office!$E$92/12</f>
        <v>7365.1926677265483</v>
      </c>
      <c r="D271" s="183">
        <f>Office!$E$90/12*B270</f>
        <v>4814.2253651837955</v>
      </c>
      <c r="E271" s="185">
        <f t="shared" si="73"/>
        <v>2550.9673025427528</v>
      </c>
      <c r="F271" s="72">
        <f t="shared" si="78"/>
        <v>106</v>
      </c>
      <c r="G271" s="180">
        <f t="shared" si="74"/>
        <v>160969.18778269942</v>
      </c>
      <c r="H271" s="186">
        <f>-Office!$E$97/12</f>
        <v>898.0893756176489</v>
      </c>
      <c r="I271" s="149">
        <f>Office!$E$95/12*G270</f>
        <v>470.73990033577877</v>
      </c>
      <c r="J271" s="187">
        <f t="shared" si="75"/>
        <v>427.34947528187013</v>
      </c>
      <c r="K271" s="72">
        <f t="shared" si="79"/>
        <v>106</v>
      </c>
      <c r="L271" s="180">
        <f t="shared" si="76"/>
        <v>1313832.3081242677</v>
      </c>
      <c r="M271" s="181">
        <f t="shared" si="76"/>
        <v>8263.2820433441975</v>
      </c>
      <c r="N271" s="180">
        <f t="shared" si="76"/>
        <v>5284.9652655195741</v>
      </c>
      <c r="O271" s="132">
        <f t="shared" si="71"/>
        <v>2978.3167778246229</v>
      </c>
    </row>
    <row r="272" spans="1:15" x14ac:dyDescent="0.25">
      <c r="A272" s="72">
        <f t="shared" si="77"/>
        <v>107</v>
      </c>
      <c r="B272" s="183">
        <f t="shared" si="72"/>
        <v>1150301.5240085982</v>
      </c>
      <c r="C272" s="184">
        <f>-Office!$E$92/12</f>
        <v>7365.1926677265483</v>
      </c>
      <c r="D272" s="183">
        <f>Office!$E$90/12*B271</f>
        <v>4803.5963347565339</v>
      </c>
      <c r="E272" s="185">
        <f t="shared" si="73"/>
        <v>2561.5963329700144</v>
      </c>
      <c r="F272" s="72">
        <f t="shared" si="78"/>
        <v>107</v>
      </c>
      <c r="G272" s="180">
        <f t="shared" si="74"/>
        <v>160540.59187144798</v>
      </c>
      <c r="H272" s="186">
        <f>-Office!$E$97/12</f>
        <v>898.0893756176489</v>
      </c>
      <c r="I272" s="149">
        <f>Office!$E$95/12*G271</f>
        <v>469.49346436620664</v>
      </c>
      <c r="J272" s="187">
        <f t="shared" si="75"/>
        <v>428.59591125144226</v>
      </c>
      <c r="K272" s="72">
        <f t="shared" si="79"/>
        <v>107</v>
      </c>
      <c r="L272" s="180">
        <f t="shared" si="76"/>
        <v>1310842.115880046</v>
      </c>
      <c r="M272" s="181">
        <f t="shared" si="76"/>
        <v>8263.2820433441975</v>
      </c>
      <c r="N272" s="180">
        <f t="shared" si="76"/>
        <v>5273.0897991227403</v>
      </c>
      <c r="O272" s="132">
        <f t="shared" si="71"/>
        <v>2990.1922442214568</v>
      </c>
    </row>
    <row r="273" spans="1:15" x14ac:dyDescent="0.25">
      <c r="A273" s="72">
        <f t="shared" si="77"/>
        <v>108</v>
      </c>
      <c r="B273" s="183">
        <f t="shared" si="72"/>
        <v>1147729.254357574</v>
      </c>
      <c r="C273" s="184">
        <f>-Office!$E$92/12</f>
        <v>7365.1926677265483</v>
      </c>
      <c r="D273" s="183">
        <f>Office!$E$90/12*B272</f>
        <v>4792.9230167024925</v>
      </c>
      <c r="E273" s="185">
        <f t="shared" si="73"/>
        <v>2572.2696510240557</v>
      </c>
      <c r="F273" s="72">
        <f t="shared" si="78"/>
        <v>108</v>
      </c>
      <c r="G273" s="180">
        <f t="shared" si="74"/>
        <v>160110.74588878872</v>
      </c>
      <c r="H273" s="186">
        <f>-Office!$E$97/12</f>
        <v>898.0893756176489</v>
      </c>
      <c r="I273" s="149">
        <f>Office!$E$95/12*G272</f>
        <v>468.24339295838996</v>
      </c>
      <c r="J273" s="187">
        <f t="shared" si="75"/>
        <v>429.84598265925894</v>
      </c>
      <c r="K273" s="72">
        <f t="shared" si="79"/>
        <v>108</v>
      </c>
      <c r="L273" s="180">
        <f t="shared" si="76"/>
        <v>1307840.0002463628</v>
      </c>
      <c r="M273" s="181">
        <f t="shared" si="76"/>
        <v>8263.2820433441975</v>
      </c>
      <c r="N273" s="180">
        <f t="shared" si="76"/>
        <v>5261.1664096608829</v>
      </c>
      <c r="O273" s="132">
        <f t="shared" si="71"/>
        <v>3002.1156336833146</v>
      </c>
    </row>
    <row r="274" spans="1:15" x14ac:dyDescent="0.25">
      <c r="A274" s="72">
        <f t="shared" si="77"/>
        <v>109</v>
      </c>
      <c r="B274" s="183">
        <f t="shared" si="72"/>
        <v>1145146.2669163374</v>
      </c>
      <c r="C274" s="184">
        <f>-Office!$E$92/12</f>
        <v>7365.1926677265483</v>
      </c>
      <c r="D274" s="183">
        <f>Office!$E$90/12*B273</f>
        <v>4782.2052264898921</v>
      </c>
      <c r="E274" s="185">
        <f t="shared" si="73"/>
        <v>2582.9874412366562</v>
      </c>
      <c r="F274" s="72">
        <f t="shared" si="78"/>
        <v>109</v>
      </c>
      <c r="G274" s="180">
        <f t="shared" si="74"/>
        <v>159679.64618868002</v>
      </c>
      <c r="H274" s="186">
        <f>-Office!$E$97/12</f>
        <v>898.0893756176489</v>
      </c>
      <c r="I274" s="149">
        <f>Office!$E$95/12*G273</f>
        <v>466.98967550896714</v>
      </c>
      <c r="J274" s="187">
        <f t="shared" si="75"/>
        <v>431.09970010868176</v>
      </c>
      <c r="K274" s="72">
        <f t="shared" si="79"/>
        <v>109</v>
      </c>
      <c r="L274" s="180">
        <f t="shared" si="76"/>
        <v>1304825.9131050175</v>
      </c>
      <c r="M274" s="181">
        <f t="shared" si="76"/>
        <v>8263.2820433441975</v>
      </c>
      <c r="N274" s="180">
        <f t="shared" si="76"/>
        <v>5249.1949019988588</v>
      </c>
      <c r="O274" s="132">
        <f t="shared" si="71"/>
        <v>3014.0871413453378</v>
      </c>
    </row>
    <row r="275" spans="1:15" x14ac:dyDescent="0.25">
      <c r="A275" s="72">
        <f t="shared" si="77"/>
        <v>110</v>
      </c>
      <c r="B275" s="183">
        <f t="shared" si="72"/>
        <v>1142552.5170274288</v>
      </c>
      <c r="C275" s="184">
        <f>-Office!$E$92/12</f>
        <v>7365.1926677265483</v>
      </c>
      <c r="D275" s="183">
        <f>Office!$E$90/12*B274</f>
        <v>4771.4427788180728</v>
      </c>
      <c r="E275" s="185">
        <f t="shared" si="73"/>
        <v>2593.7498889084754</v>
      </c>
      <c r="F275" s="72">
        <f t="shared" si="78"/>
        <v>110</v>
      </c>
      <c r="G275" s="180">
        <f t="shared" si="74"/>
        <v>159247.28911444603</v>
      </c>
      <c r="H275" s="186">
        <f>-Office!$E$97/12</f>
        <v>898.0893756176489</v>
      </c>
      <c r="I275" s="149">
        <f>Office!$E$95/12*G274</f>
        <v>465.73230138365011</v>
      </c>
      <c r="J275" s="187">
        <f t="shared" si="75"/>
        <v>432.35707423399879</v>
      </c>
      <c r="K275" s="72">
        <f t="shared" si="79"/>
        <v>110</v>
      </c>
      <c r="L275" s="180">
        <f t="shared" si="76"/>
        <v>1301799.8061418748</v>
      </c>
      <c r="M275" s="181">
        <f t="shared" si="76"/>
        <v>8263.2820433441975</v>
      </c>
      <c r="N275" s="180">
        <f t="shared" si="76"/>
        <v>5237.1750802017232</v>
      </c>
      <c r="O275" s="132">
        <f t="shared" si="71"/>
        <v>3026.1069631424743</v>
      </c>
    </row>
    <row r="276" spans="1:15" x14ac:dyDescent="0.25">
      <c r="A276" s="72">
        <f t="shared" si="77"/>
        <v>111</v>
      </c>
      <c r="B276" s="183">
        <f t="shared" si="72"/>
        <v>1139947.9598473166</v>
      </c>
      <c r="C276" s="184">
        <f>-Office!$E$92/12</f>
        <v>7365.1926677265483</v>
      </c>
      <c r="D276" s="183">
        <f>Office!$E$90/12*B275</f>
        <v>4760.6354876142868</v>
      </c>
      <c r="E276" s="185">
        <f t="shared" si="73"/>
        <v>2604.5571801122614</v>
      </c>
      <c r="F276" s="72">
        <f t="shared" si="78"/>
        <v>111</v>
      </c>
      <c r="G276" s="180">
        <f t="shared" si="74"/>
        <v>158813.67099874551</v>
      </c>
      <c r="H276" s="186">
        <f>-Office!$E$97/12</f>
        <v>898.0893756176489</v>
      </c>
      <c r="I276" s="149">
        <f>Office!$E$95/12*G275</f>
        <v>464.47125991713426</v>
      </c>
      <c r="J276" s="187">
        <f t="shared" si="75"/>
        <v>433.61811570051464</v>
      </c>
      <c r="K276" s="72">
        <f t="shared" si="79"/>
        <v>111</v>
      </c>
      <c r="L276" s="180">
        <f t="shared" si="76"/>
        <v>1298761.6308460622</v>
      </c>
      <c r="M276" s="181">
        <f t="shared" si="76"/>
        <v>8263.2820433441975</v>
      </c>
      <c r="N276" s="180">
        <f t="shared" si="76"/>
        <v>5225.1067475314212</v>
      </c>
      <c r="O276" s="132">
        <f t="shared" si="71"/>
        <v>3038.1752958127763</v>
      </c>
    </row>
    <row r="277" spans="1:15" x14ac:dyDescent="0.25">
      <c r="A277" s="72">
        <f t="shared" si="77"/>
        <v>112</v>
      </c>
      <c r="B277" s="183">
        <f t="shared" si="72"/>
        <v>1137332.5503456206</v>
      </c>
      <c r="C277" s="184">
        <f>-Office!$E$92/12</f>
        <v>7365.1926677265483</v>
      </c>
      <c r="D277" s="183">
        <f>Office!$E$90/12*B276</f>
        <v>4749.7831660304855</v>
      </c>
      <c r="E277" s="185">
        <f t="shared" si="73"/>
        <v>2615.4095016960628</v>
      </c>
      <c r="F277" s="72">
        <f t="shared" si="78"/>
        <v>112</v>
      </c>
      <c r="G277" s="180">
        <f t="shared" si="74"/>
        <v>158378.78816354086</v>
      </c>
      <c r="H277" s="186">
        <f>-Office!$E$97/12</f>
        <v>898.0893756176489</v>
      </c>
      <c r="I277" s="149">
        <f>Office!$E$95/12*G276</f>
        <v>463.20654041300776</v>
      </c>
      <c r="J277" s="187">
        <f t="shared" si="75"/>
        <v>434.88283520464114</v>
      </c>
      <c r="K277" s="72">
        <f t="shared" si="79"/>
        <v>112</v>
      </c>
      <c r="L277" s="180">
        <f t="shared" si="76"/>
        <v>1295711.3385091615</v>
      </c>
      <c r="M277" s="181">
        <f t="shared" si="76"/>
        <v>8263.2820433441975</v>
      </c>
      <c r="N277" s="180">
        <f t="shared" si="76"/>
        <v>5212.9897064434936</v>
      </c>
      <c r="O277" s="132">
        <f t="shared" si="71"/>
        <v>3050.292336900704</v>
      </c>
    </row>
    <row r="278" spans="1:15" x14ac:dyDescent="0.25">
      <c r="A278" s="72">
        <f t="shared" si="77"/>
        <v>113</v>
      </c>
      <c r="B278" s="183">
        <f t="shared" si="72"/>
        <v>1134706.2433043341</v>
      </c>
      <c r="C278" s="184">
        <f>-Office!$E$92/12</f>
        <v>7365.1926677265483</v>
      </c>
      <c r="D278" s="183">
        <f>Office!$E$90/12*B277</f>
        <v>4738.8856264400856</v>
      </c>
      <c r="E278" s="185">
        <f t="shared" si="73"/>
        <v>2626.3070412864627</v>
      </c>
      <c r="F278" s="72">
        <f t="shared" si="78"/>
        <v>113</v>
      </c>
      <c r="G278" s="180">
        <f t="shared" si="74"/>
        <v>157942.63692006687</v>
      </c>
      <c r="H278" s="186">
        <f>-Office!$E$97/12</f>
        <v>898.0893756176489</v>
      </c>
      <c r="I278" s="149">
        <f>Office!$E$95/12*G277</f>
        <v>461.93813214366082</v>
      </c>
      <c r="J278" s="187">
        <f t="shared" si="75"/>
        <v>436.15124347398807</v>
      </c>
      <c r="K278" s="72">
        <f t="shared" si="79"/>
        <v>113</v>
      </c>
      <c r="L278" s="180">
        <f t="shared" si="76"/>
        <v>1292648.8802244009</v>
      </c>
      <c r="M278" s="181">
        <f t="shared" si="76"/>
        <v>8263.2820433441975</v>
      </c>
      <c r="N278" s="180">
        <f t="shared" si="76"/>
        <v>5200.8237585837469</v>
      </c>
      <c r="O278" s="132">
        <f t="shared" si="71"/>
        <v>3062.4582847604506</v>
      </c>
    </row>
    <row r="279" spans="1:15" x14ac:dyDescent="0.25">
      <c r="A279" s="72">
        <f t="shared" si="77"/>
        <v>114</v>
      </c>
      <c r="B279" s="183">
        <f t="shared" si="72"/>
        <v>1132068.9933170422</v>
      </c>
      <c r="C279" s="184">
        <f>-Office!$E$92/12</f>
        <v>7365.1926677265483</v>
      </c>
      <c r="D279" s="183">
        <f>Office!$E$90/12*B278</f>
        <v>4727.9426804347258</v>
      </c>
      <c r="E279" s="185">
        <f t="shared" si="73"/>
        <v>2637.2499872918224</v>
      </c>
      <c r="F279" s="72">
        <f t="shared" si="78"/>
        <v>114</v>
      </c>
      <c r="G279" s="180">
        <f t="shared" si="74"/>
        <v>157505.21356879943</v>
      </c>
      <c r="H279" s="186">
        <f>-Office!$E$97/12</f>
        <v>898.0893756176489</v>
      </c>
      <c r="I279" s="149">
        <f>Office!$E$95/12*G278</f>
        <v>460.66602435019507</v>
      </c>
      <c r="J279" s="187">
        <f t="shared" si="75"/>
        <v>437.42335126745382</v>
      </c>
      <c r="K279" s="72">
        <f t="shared" si="79"/>
        <v>114</v>
      </c>
      <c r="L279" s="180">
        <f t="shared" si="76"/>
        <v>1289574.2068858417</v>
      </c>
      <c r="M279" s="181">
        <f t="shared" si="76"/>
        <v>8263.2820433441975</v>
      </c>
      <c r="N279" s="180">
        <f t="shared" si="76"/>
        <v>5188.6087047849205</v>
      </c>
      <c r="O279" s="132">
        <f t="shared" si="71"/>
        <v>3074.6733385592761</v>
      </c>
    </row>
    <row r="280" spans="1:15" x14ac:dyDescent="0.25">
      <c r="A280" s="72">
        <f t="shared" si="77"/>
        <v>115</v>
      </c>
      <c r="B280" s="183">
        <f t="shared" si="72"/>
        <v>1129420.7547881368</v>
      </c>
      <c r="C280" s="184">
        <f>-Office!$E$92/12</f>
        <v>7365.1926677265483</v>
      </c>
      <c r="D280" s="183">
        <f>Office!$E$90/12*B279</f>
        <v>4716.9541388210091</v>
      </c>
      <c r="E280" s="185">
        <f t="shared" si="73"/>
        <v>2648.2385289055392</v>
      </c>
      <c r="F280" s="72">
        <f t="shared" si="78"/>
        <v>115</v>
      </c>
      <c r="G280" s="180">
        <f t="shared" si="74"/>
        <v>157066.51439942411</v>
      </c>
      <c r="H280" s="186">
        <f>-Office!$E$97/12</f>
        <v>898.0893756176489</v>
      </c>
      <c r="I280" s="149">
        <f>Office!$E$95/12*G279</f>
        <v>459.39020624233171</v>
      </c>
      <c r="J280" s="187">
        <f t="shared" si="75"/>
        <v>438.69916937531718</v>
      </c>
      <c r="K280" s="72">
        <f t="shared" si="79"/>
        <v>115</v>
      </c>
      <c r="L280" s="180">
        <f t="shared" si="76"/>
        <v>1286487.269187561</v>
      </c>
      <c r="M280" s="181">
        <f t="shared" si="76"/>
        <v>8263.2820433441975</v>
      </c>
      <c r="N280" s="180">
        <f t="shared" si="76"/>
        <v>5176.3443450633404</v>
      </c>
      <c r="O280" s="132">
        <f t="shared" si="71"/>
        <v>3086.9376982808562</v>
      </c>
    </row>
    <row r="281" spans="1:15" x14ac:dyDescent="0.25">
      <c r="A281" s="72">
        <f t="shared" si="77"/>
        <v>116</v>
      </c>
      <c r="B281" s="183">
        <f t="shared" si="72"/>
        <v>1126761.4819320275</v>
      </c>
      <c r="C281" s="184">
        <f>-Office!$E$92/12</f>
        <v>7365.1926677265483</v>
      </c>
      <c r="D281" s="183">
        <f>Office!$E$90/12*B280</f>
        <v>4705.9198116172365</v>
      </c>
      <c r="E281" s="185">
        <f t="shared" si="73"/>
        <v>2659.2728561093118</v>
      </c>
      <c r="F281" s="72">
        <f t="shared" si="78"/>
        <v>116</v>
      </c>
      <c r="G281" s="180">
        <f t="shared" si="74"/>
        <v>156626.53569080477</v>
      </c>
      <c r="H281" s="186">
        <f>-Office!$E$97/12</f>
        <v>898.0893756176489</v>
      </c>
      <c r="I281" s="149">
        <f>Office!$E$95/12*G280</f>
        <v>458.11066699832031</v>
      </c>
      <c r="J281" s="187">
        <f t="shared" si="75"/>
        <v>439.97870861932859</v>
      </c>
      <c r="K281" s="72">
        <f t="shared" si="79"/>
        <v>116</v>
      </c>
      <c r="L281" s="180">
        <f t="shared" si="76"/>
        <v>1283388.0176228322</v>
      </c>
      <c r="M281" s="181">
        <f t="shared" si="76"/>
        <v>8263.2820433441975</v>
      </c>
      <c r="N281" s="180">
        <f t="shared" si="76"/>
        <v>5164.0304786155566</v>
      </c>
      <c r="O281" s="132">
        <f t="shared" si="71"/>
        <v>3099.2515647286405</v>
      </c>
    </row>
    <row r="282" spans="1:15" x14ac:dyDescent="0.25">
      <c r="A282" s="72">
        <f t="shared" si="77"/>
        <v>117</v>
      </c>
      <c r="B282" s="183">
        <f t="shared" si="72"/>
        <v>1124091.128772351</v>
      </c>
      <c r="C282" s="184">
        <f>-Office!$E$92/12</f>
        <v>7365.1926677265483</v>
      </c>
      <c r="D282" s="183">
        <f>Office!$E$90/12*B281</f>
        <v>4694.8395080501141</v>
      </c>
      <c r="E282" s="185">
        <f t="shared" si="73"/>
        <v>2670.3531596764342</v>
      </c>
      <c r="F282" s="72">
        <f t="shared" si="78"/>
        <v>117</v>
      </c>
      <c r="G282" s="180">
        <f t="shared" si="74"/>
        <v>156185.27371095197</v>
      </c>
      <c r="H282" s="186">
        <f>-Office!$E$97/12</f>
        <v>898.0893756176489</v>
      </c>
      <c r="I282" s="149">
        <f>Office!$E$95/12*G281</f>
        <v>456.82739576484727</v>
      </c>
      <c r="J282" s="187">
        <f t="shared" si="75"/>
        <v>441.26197985280163</v>
      </c>
      <c r="K282" s="72">
        <f t="shared" si="79"/>
        <v>117</v>
      </c>
      <c r="L282" s="180">
        <f t="shared" si="76"/>
        <v>1280276.4024833029</v>
      </c>
      <c r="M282" s="181">
        <f t="shared" si="76"/>
        <v>8263.2820433441975</v>
      </c>
      <c r="N282" s="180">
        <f t="shared" si="76"/>
        <v>5151.6669038149612</v>
      </c>
      <c r="O282" s="132">
        <f t="shared" si="71"/>
        <v>3111.6151395292359</v>
      </c>
    </row>
    <row r="283" spans="1:15" x14ac:dyDescent="0.25">
      <c r="A283" s="72">
        <f t="shared" si="77"/>
        <v>118</v>
      </c>
      <c r="B283" s="183">
        <f t="shared" si="72"/>
        <v>1121409.6491411759</v>
      </c>
      <c r="C283" s="184">
        <f>-Office!$E$92/12</f>
        <v>7365.1926677265483</v>
      </c>
      <c r="D283" s="183">
        <f>Office!$E$90/12*B282</f>
        <v>4683.7130365514622</v>
      </c>
      <c r="E283" s="185">
        <f t="shared" si="73"/>
        <v>2681.4796311750861</v>
      </c>
      <c r="F283" s="72">
        <f t="shared" si="78"/>
        <v>118</v>
      </c>
      <c r="G283" s="180">
        <f t="shared" si="74"/>
        <v>155742.72471699127</v>
      </c>
      <c r="H283" s="186">
        <f>-Office!$E$97/12</f>
        <v>898.0893756176489</v>
      </c>
      <c r="I283" s="149">
        <f>Office!$E$95/12*G282</f>
        <v>455.54038165694328</v>
      </c>
      <c r="J283" s="187">
        <f t="shared" si="75"/>
        <v>442.54899396070562</v>
      </c>
      <c r="K283" s="72">
        <f t="shared" si="79"/>
        <v>118</v>
      </c>
      <c r="L283" s="180">
        <f t="shared" si="76"/>
        <v>1277152.3738581671</v>
      </c>
      <c r="M283" s="181">
        <f t="shared" si="76"/>
        <v>8263.2820433441975</v>
      </c>
      <c r="N283" s="180">
        <f t="shared" si="76"/>
        <v>5139.2534182084055</v>
      </c>
      <c r="O283" s="132">
        <f t="shared" si="71"/>
        <v>3124.0286251357916</v>
      </c>
    </row>
    <row r="284" spans="1:15" x14ac:dyDescent="0.25">
      <c r="A284" s="72">
        <f t="shared" si="77"/>
        <v>119</v>
      </c>
      <c r="B284" s="183">
        <f t="shared" si="72"/>
        <v>1118716.9966782043</v>
      </c>
      <c r="C284" s="184">
        <f>-Office!$E$92/12</f>
        <v>7365.1926677265483</v>
      </c>
      <c r="D284" s="183">
        <f>Office!$E$90/12*B283</f>
        <v>4672.5402047548996</v>
      </c>
      <c r="E284" s="185">
        <f t="shared" si="73"/>
        <v>2692.6524629716487</v>
      </c>
      <c r="F284" s="72">
        <f t="shared" si="78"/>
        <v>119</v>
      </c>
      <c r="G284" s="180">
        <f t="shared" si="74"/>
        <v>155298.88495513151</v>
      </c>
      <c r="H284" s="186">
        <f>-Office!$E$97/12</f>
        <v>898.0893756176489</v>
      </c>
      <c r="I284" s="149">
        <f>Office!$E$95/12*G283</f>
        <v>454.24961375789121</v>
      </c>
      <c r="J284" s="187">
        <f t="shared" si="75"/>
        <v>443.83976185975769</v>
      </c>
      <c r="K284" s="72">
        <f t="shared" si="79"/>
        <v>119</v>
      </c>
      <c r="L284" s="180">
        <f t="shared" si="76"/>
        <v>1274015.8816333357</v>
      </c>
      <c r="M284" s="181">
        <f t="shared" si="76"/>
        <v>8263.2820433441975</v>
      </c>
      <c r="N284" s="180">
        <f t="shared" si="76"/>
        <v>5126.7898185127906</v>
      </c>
      <c r="O284" s="132">
        <f t="shared" si="71"/>
        <v>3136.4922248314065</v>
      </c>
    </row>
    <row r="285" spans="1:15" x14ac:dyDescent="0.25">
      <c r="A285" s="72">
        <f t="shared" si="77"/>
        <v>120</v>
      </c>
      <c r="B285" s="183">
        <f t="shared" si="72"/>
        <v>1116013.1248299703</v>
      </c>
      <c r="C285" s="184">
        <f>-Office!$E$92/12</f>
        <v>7365.1926677265483</v>
      </c>
      <c r="D285" s="183">
        <f>Office!$E$90/12*B284</f>
        <v>4661.3208194925173</v>
      </c>
      <c r="E285" s="185">
        <f t="shared" si="73"/>
        <v>2703.8718482340309</v>
      </c>
      <c r="F285" s="72">
        <f t="shared" si="78"/>
        <v>120</v>
      </c>
      <c r="G285" s="180">
        <f t="shared" si="74"/>
        <v>154853.750660633</v>
      </c>
      <c r="H285" s="186">
        <f>-Office!$E$97/12</f>
        <v>898.0893756176489</v>
      </c>
      <c r="I285" s="149">
        <f>Office!$E$95/12*G284</f>
        <v>452.95508111913358</v>
      </c>
      <c r="J285" s="187">
        <f t="shared" si="75"/>
        <v>445.13429449851532</v>
      </c>
      <c r="K285" s="72">
        <f t="shared" si="79"/>
        <v>120</v>
      </c>
      <c r="L285" s="180">
        <f t="shared" si="76"/>
        <v>1270866.8754906033</v>
      </c>
      <c r="M285" s="181">
        <f t="shared" si="76"/>
        <v>8263.2820433441975</v>
      </c>
      <c r="N285" s="180">
        <f t="shared" si="76"/>
        <v>5114.2759006116512</v>
      </c>
      <c r="O285" s="132">
        <f t="shared" si="71"/>
        <v>3149.0061427325463</v>
      </c>
    </row>
    <row r="286" spans="1:15" x14ac:dyDescent="0.25">
      <c r="A286" s="72">
        <f t="shared" si="77"/>
        <v>121</v>
      </c>
      <c r="B286" s="183">
        <f t="shared" si="72"/>
        <v>1113297.9868490354</v>
      </c>
      <c r="C286" s="184">
        <f>-Office!$E$92/12</f>
        <v>7365.1926677265483</v>
      </c>
      <c r="D286" s="183">
        <f>Office!$E$90/12*B285</f>
        <v>4650.0546867915427</v>
      </c>
      <c r="E286" s="185">
        <f t="shared" si="73"/>
        <v>2715.1379809350055</v>
      </c>
      <c r="F286" s="72">
        <f t="shared" si="78"/>
        <v>121</v>
      </c>
      <c r="G286" s="180">
        <f t="shared" si="74"/>
        <v>154407.31805777553</v>
      </c>
      <c r="H286" s="186">
        <f>-Office!$E$97/12</f>
        <v>898.0893756176489</v>
      </c>
      <c r="I286" s="149">
        <f>Office!$E$95/12*G285</f>
        <v>451.65677276017959</v>
      </c>
      <c r="J286" s="187">
        <f t="shared" si="75"/>
        <v>446.43260285746931</v>
      </c>
      <c r="K286" s="72">
        <f t="shared" si="79"/>
        <v>121</v>
      </c>
      <c r="L286" s="180">
        <f t="shared" si="76"/>
        <v>1267705.3049068109</v>
      </c>
      <c r="M286" s="181">
        <f t="shared" si="76"/>
        <v>8263.2820433441975</v>
      </c>
      <c r="N286" s="180">
        <f t="shared" si="76"/>
        <v>5101.7114595517223</v>
      </c>
      <c r="O286" s="132">
        <f t="shared" si="71"/>
        <v>3161.5705837924747</v>
      </c>
    </row>
    <row r="287" spans="1:15" x14ac:dyDescent="0.25">
      <c r="A287" s="72">
        <f t="shared" si="77"/>
        <v>122</v>
      </c>
      <c r="B287" s="183">
        <f t="shared" si="72"/>
        <v>1110571.5357931799</v>
      </c>
      <c r="C287" s="184">
        <f>-Office!$E$92/12</f>
        <v>7365.1926677265483</v>
      </c>
      <c r="D287" s="183">
        <f>Office!$E$90/12*B286</f>
        <v>4638.7416118709807</v>
      </c>
      <c r="E287" s="185">
        <f t="shared" si="73"/>
        <v>2726.4510558555676</v>
      </c>
      <c r="F287" s="72">
        <f t="shared" si="78"/>
        <v>122</v>
      </c>
      <c r="G287" s="180">
        <f t="shared" si="74"/>
        <v>153959.58335982639</v>
      </c>
      <c r="H287" s="186">
        <f>-Office!$E$97/12</f>
        <v>898.0893756176489</v>
      </c>
      <c r="I287" s="149">
        <f>Office!$E$95/12*G286</f>
        <v>450.35467766851195</v>
      </c>
      <c r="J287" s="187">
        <f t="shared" si="75"/>
        <v>447.73469794913694</v>
      </c>
      <c r="K287" s="72">
        <f t="shared" si="79"/>
        <v>122</v>
      </c>
      <c r="L287" s="180">
        <f t="shared" si="76"/>
        <v>1264531.1191530062</v>
      </c>
      <c r="M287" s="181">
        <f t="shared" si="76"/>
        <v>8263.2820433441975</v>
      </c>
      <c r="N287" s="180">
        <f t="shared" si="76"/>
        <v>5089.0962895394923</v>
      </c>
      <c r="O287" s="132">
        <f t="shared" si="71"/>
        <v>3174.1857538047043</v>
      </c>
    </row>
    <row r="288" spans="1:15" x14ac:dyDescent="0.25">
      <c r="A288" s="72">
        <f t="shared" si="77"/>
        <v>123</v>
      </c>
      <c r="B288" s="183">
        <f t="shared" si="72"/>
        <v>1107833.7245245916</v>
      </c>
      <c r="C288" s="184">
        <f>-Office!$E$92/12</f>
        <v>7365.1926677265483</v>
      </c>
      <c r="D288" s="183">
        <f>Office!$E$90/12*B287</f>
        <v>4627.3813991382494</v>
      </c>
      <c r="E288" s="185">
        <f t="shared" si="73"/>
        <v>2737.8112685882988</v>
      </c>
      <c r="F288" s="72">
        <f t="shared" si="78"/>
        <v>123</v>
      </c>
      <c r="G288" s="180">
        <f t="shared" si="74"/>
        <v>153510.54276900823</v>
      </c>
      <c r="H288" s="186">
        <f>-Office!$E$97/12</f>
        <v>898.0893756176489</v>
      </c>
      <c r="I288" s="149">
        <f>Office!$E$95/12*G287</f>
        <v>449.04878479949366</v>
      </c>
      <c r="J288" s="187">
        <f t="shared" si="75"/>
        <v>449.04059081815524</v>
      </c>
      <c r="K288" s="72">
        <f t="shared" si="79"/>
        <v>123</v>
      </c>
      <c r="L288" s="180">
        <f t="shared" si="76"/>
        <v>1261344.2672935999</v>
      </c>
      <c r="M288" s="181">
        <f t="shared" si="76"/>
        <v>8263.2820433441975</v>
      </c>
      <c r="N288" s="180">
        <f t="shared" si="76"/>
        <v>5076.4301839377431</v>
      </c>
      <c r="O288" s="132">
        <f t="shared" si="71"/>
        <v>3186.851859406454</v>
      </c>
    </row>
    <row r="289" spans="1:15" x14ac:dyDescent="0.25">
      <c r="A289" s="72">
        <f t="shared" si="77"/>
        <v>124</v>
      </c>
      <c r="B289" s="183">
        <f t="shared" si="72"/>
        <v>1105084.5057090509</v>
      </c>
      <c r="C289" s="184">
        <f>-Office!$E$92/12</f>
        <v>7365.1926677265483</v>
      </c>
      <c r="D289" s="183">
        <f>Office!$E$90/12*B288</f>
        <v>4615.973852185798</v>
      </c>
      <c r="E289" s="185">
        <f t="shared" si="73"/>
        <v>2749.2188155407503</v>
      </c>
      <c r="F289" s="72">
        <f t="shared" si="78"/>
        <v>124</v>
      </c>
      <c r="G289" s="180">
        <f t="shared" si="74"/>
        <v>153060.19247646685</v>
      </c>
      <c r="H289" s="186">
        <f>-Office!$E$97/12</f>
        <v>898.0893756176489</v>
      </c>
      <c r="I289" s="149">
        <f>Office!$E$95/12*G288</f>
        <v>447.73908307627403</v>
      </c>
      <c r="J289" s="187">
        <f t="shared" si="75"/>
        <v>450.35029254137487</v>
      </c>
      <c r="K289" s="72">
        <f t="shared" si="79"/>
        <v>124</v>
      </c>
      <c r="L289" s="180">
        <f t="shared" si="76"/>
        <v>1258144.6981855177</v>
      </c>
      <c r="M289" s="181">
        <f t="shared" si="76"/>
        <v>8263.2820433441975</v>
      </c>
      <c r="N289" s="180">
        <f t="shared" si="76"/>
        <v>5063.7129352620723</v>
      </c>
      <c r="O289" s="132">
        <f t="shared" si="71"/>
        <v>3199.5691080821252</v>
      </c>
    </row>
    <row r="290" spans="1:15" x14ac:dyDescent="0.25">
      <c r="A290" s="72">
        <f t="shared" si="77"/>
        <v>125</v>
      </c>
      <c r="B290" s="183">
        <f t="shared" si="72"/>
        <v>1102323.8318151121</v>
      </c>
      <c r="C290" s="184">
        <f>-Office!$E$92/12</f>
        <v>7365.1926677265483</v>
      </c>
      <c r="D290" s="183">
        <f>Office!$E$90/12*B289</f>
        <v>4604.5187737877122</v>
      </c>
      <c r="E290" s="185">
        <f t="shared" si="73"/>
        <v>2760.673893938836</v>
      </c>
      <c r="F290" s="72">
        <f t="shared" si="78"/>
        <v>125</v>
      </c>
      <c r="G290" s="180">
        <f t="shared" si="74"/>
        <v>152608.52866223891</v>
      </c>
      <c r="H290" s="186">
        <f>-Office!$E$97/12</f>
        <v>898.0893756176489</v>
      </c>
      <c r="I290" s="149">
        <f>Office!$E$95/12*G289</f>
        <v>446.42556138969502</v>
      </c>
      <c r="J290" s="187">
        <f t="shared" si="75"/>
        <v>451.66381422795388</v>
      </c>
      <c r="K290" s="72">
        <f t="shared" si="79"/>
        <v>125</v>
      </c>
      <c r="L290" s="180">
        <f t="shared" si="76"/>
        <v>1254932.3604773511</v>
      </c>
      <c r="M290" s="181">
        <f t="shared" si="76"/>
        <v>8263.2820433441975</v>
      </c>
      <c r="N290" s="180">
        <f t="shared" si="76"/>
        <v>5050.9443351774071</v>
      </c>
      <c r="O290" s="132">
        <f t="shared" si="71"/>
        <v>3212.33770816679</v>
      </c>
    </row>
    <row r="291" spans="1:15" x14ac:dyDescent="0.25">
      <c r="A291" s="72">
        <f t="shared" si="77"/>
        <v>126</v>
      </c>
      <c r="B291" s="183">
        <f t="shared" si="72"/>
        <v>1099551.6551132819</v>
      </c>
      <c r="C291" s="184">
        <f>-Office!$E$92/12</f>
        <v>7365.1926677265483</v>
      </c>
      <c r="D291" s="183">
        <f>Office!$E$90/12*B290</f>
        <v>4593.0159658963003</v>
      </c>
      <c r="E291" s="185">
        <f t="shared" si="73"/>
        <v>2772.176701830248</v>
      </c>
      <c r="F291" s="72">
        <f t="shared" si="78"/>
        <v>126</v>
      </c>
      <c r="G291" s="180">
        <f t="shared" si="74"/>
        <v>152155.54749521945</v>
      </c>
      <c r="H291" s="186">
        <f>-Office!$E$97/12</f>
        <v>898.0893756176489</v>
      </c>
      <c r="I291" s="149">
        <f>Office!$E$95/12*G290</f>
        <v>445.10820859819682</v>
      </c>
      <c r="J291" s="187">
        <f t="shared" si="75"/>
        <v>452.98116701945207</v>
      </c>
      <c r="K291" s="72">
        <f t="shared" si="79"/>
        <v>126</v>
      </c>
      <c r="L291" s="180">
        <f t="shared" si="76"/>
        <v>1251707.2026085013</v>
      </c>
      <c r="M291" s="181">
        <f t="shared" si="76"/>
        <v>8263.2820433441975</v>
      </c>
      <c r="N291" s="180">
        <f t="shared" si="76"/>
        <v>5038.1241744944973</v>
      </c>
      <c r="O291" s="132">
        <f t="shared" si="71"/>
        <v>3225.1578688497002</v>
      </c>
    </row>
    <row r="292" spans="1:15" x14ac:dyDescent="0.25">
      <c r="A292" s="72">
        <f t="shared" si="77"/>
        <v>127</v>
      </c>
      <c r="B292" s="183">
        <f t="shared" si="72"/>
        <v>1096767.9276751941</v>
      </c>
      <c r="C292" s="184">
        <f>-Office!$E$92/12</f>
        <v>7365.1926677265483</v>
      </c>
      <c r="D292" s="183">
        <f>Office!$E$90/12*B291</f>
        <v>4581.4652296386748</v>
      </c>
      <c r="E292" s="185">
        <f t="shared" si="73"/>
        <v>2783.7274380878735</v>
      </c>
      <c r="F292" s="72">
        <f t="shared" si="78"/>
        <v>127</v>
      </c>
      <c r="G292" s="180">
        <f t="shared" si="74"/>
        <v>151701.24513312953</v>
      </c>
      <c r="H292" s="186">
        <f>-Office!$E$97/12</f>
        <v>898.0893756176489</v>
      </c>
      <c r="I292" s="149">
        <f>Office!$E$95/12*G291</f>
        <v>443.78701352772339</v>
      </c>
      <c r="J292" s="187">
        <f t="shared" si="75"/>
        <v>454.30236208992551</v>
      </c>
      <c r="K292" s="72">
        <f t="shared" si="79"/>
        <v>127</v>
      </c>
      <c r="L292" s="180">
        <f t="shared" si="76"/>
        <v>1248469.1728083235</v>
      </c>
      <c r="M292" s="181">
        <f t="shared" si="76"/>
        <v>8263.2820433441975</v>
      </c>
      <c r="N292" s="180">
        <f t="shared" si="76"/>
        <v>5025.2522431663983</v>
      </c>
      <c r="O292" s="132">
        <f t="shared" si="71"/>
        <v>3238.0298001777992</v>
      </c>
    </row>
    <row r="293" spans="1:15" x14ac:dyDescent="0.25">
      <c r="A293" s="72">
        <f t="shared" si="77"/>
        <v>128</v>
      </c>
      <c r="B293" s="183">
        <f t="shared" si="72"/>
        <v>1093972.601372781</v>
      </c>
      <c r="C293" s="184">
        <f>-Office!$E$92/12</f>
        <v>7365.1926677265483</v>
      </c>
      <c r="D293" s="183">
        <f>Office!$E$90/12*B292</f>
        <v>4569.866365313309</v>
      </c>
      <c r="E293" s="185">
        <f t="shared" si="73"/>
        <v>2795.3263024132393</v>
      </c>
      <c r="F293" s="72">
        <f t="shared" si="78"/>
        <v>128</v>
      </c>
      <c r="G293" s="180">
        <f t="shared" si="74"/>
        <v>151245.6177224835</v>
      </c>
      <c r="H293" s="186">
        <f>-Office!$E$97/12</f>
        <v>898.0893756176489</v>
      </c>
      <c r="I293" s="149">
        <f>Office!$E$95/12*G292</f>
        <v>442.46196497162782</v>
      </c>
      <c r="J293" s="187">
        <f t="shared" si="75"/>
        <v>455.62741064602108</v>
      </c>
      <c r="K293" s="72">
        <f t="shared" si="79"/>
        <v>128</v>
      </c>
      <c r="L293" s="180">
        <f t="shared" si="76"/>
        <v>1245218.2190952646</v>
      </c>
      <c r="M293" s="181">
        <f t="shared" si="76"/>
        <v>8263.2820433441975</v>
      </c>
      <c r="N293" s="180">
        <f t="shared" si="76"/>
        <v>5012.3283302849368</v>
      </c>
      <c r="O293" s="132">
        <f t="shared" si="76"/>
        <v>3250.9537130592603</v>
      </c>
    </row>
    <row r="294" spans="1:15" x14ac:dyDescent="0.25">
      <c r="A294" s="72">
        <f t="shared" si="77"/>
        <v>129</v>
      </c>
      <c r="B294" s="183">
        <f t="shared" ref="B294:B357" si="80">B293-E294</f>
        <v>1091165.627877441</v>
      </c>
      <c r="C294" s="184">
        <f>-Office!$E$92/12</f>
        <v>7365.1926677265483</v>
      </c>
      <c r="D294" s="183">
        <f>Office!$E$90/12*B293</f>
        <v>4558.2191723865872</v>
      </c>
      <c r="E294" s="185">
        <f t="shared" ref="E294:E357" si="81">C294-D294</f>
        <v>2806.9734953399611</v>
      </c>
      <c r="F294" s="72">
        <f t="shared" si="78"/>
        <v>129</v>
      </c>
      <c r="G294" s="180">
        <f t="shared" ref="G294:G357" si="82">G293-J294</f>
        <v>150788.66139855643</v>
      </c>
      <c r="H294" s="186">
        <f>-Office!$E$97/12</f>
        <v>898.0893756176489</v>
      </c>
      <c r="I294" s="149">
        <f>Office!$E$95/12*G293</f>
        <v>441.13305169057691</v>
      </c>
      <c r="J294" s="187">
        <f t="shared" ref="J294:J357" si="83">H294-I294</f>
        <v>456.95632392707199</v>
      </c>
      <c r="K294" s="72">
        <f t="shared" si="79"/>
        <v>129</v>
      </c>
      <c r="L294" s="180">
        <f t="shared" ref="L294:O357" si="84">G294+B294</f>
        <v>1241954.2892759973</v>
      </c>
      <c r="M294" s="181">
        <f t="shared" si="84"/>
        <v>8263.2820433441975</v>
      </c>
      <c r="N294" s="180">
        <f t="shared" si="84"/>
        <v>4999.3522240771645</v>
      </c>
      <c r="O294" s="132">
        <f t="shared" si="84"/>
        <v>3263.9298192670331</v>
      </c>
    </row>
    <row r="295" spans="1:15" x14ac:dyDescent="0.25">
      <c r="A295" s="72">
        <f t="shared" ref="A295:A358" si="85">A294+1</f>
        <v>130</v>
      </c>
      <c r="B295" s="183">
        <f t="shared" si="80"/>
        <v>1088346.9586592037</v>
      </c>
      <c r="C295" s="184">
        <f>-Office!$E$92/12</f>
        <v>7365.1926677265483</v>
      </c>
      <c r="D295" s="183">
        <f>Office!$E$90/12*B294</f>
        <v>4546.5234494893375</v>
      </c>
      <c r="E295" s="185">
        <f t="shared" si="81"/>
        <v>2818.6692182372108</v>
      </c>
      <c r="F295" s="72">
        <f t="shared" ref="F295:F358" si="86">F294+1</f>
        <v>130</v>
      </c>
      <c r="G295" s="180">
        <f t="shared" si="82"/>
        <v>150330.37228535124</v>
      </c>
      <c r="H295" s="186">
        <f>-Office!$E$97/12</f>
        <v>898.0893756176489</v>
      </c>
      <c r="I295" s="149">
        <f>Office!$E$95/12*G294</f>
        <v>439.80026241245628</v>
      </c>
      <c r="J295" s="187">
        <f t="shared" si="83"/>
        <v>458.28911320519262</v>
      </c>
      <c r="K295" s="72">
        <f t="shared" ref="K295:K358" si="87">K294+1</f>
        <v>130</v>
      </c>
      <c r="L295" s="180">
        <f t="shared" si="84"/>
        <v>1238677.3309445549</v>
      </c>
      <c r="M295" s="181">
        <f t="shared" si="84"/>
        <v>8263.2820433441975</v>
      </c>
      <c r="N295" s="180">
        <f t="shared" si="84"/>
        <v>4986.323711901794</v>
      </c>
      <c r="O295" s="132">
        <f t="shared" si="84"/>
        <v>3276.9583314424035</v>
      </c>
    </row>
    <row r="296" spans="1:15" x14ac:dyDescent="0.25">
      <c r="A296" s="72">
        <f t="shared" si="85"/>
        <v>131</v>
      </c>
      <c r="B296" s="183">
        <f t="shared" si="80"/>
        <v>1085516.5449858906</v>
      </c>
      <c r="C296" s="184">
        <f>-Office!$E$92/12</f>
        <v>7365.1926677265483</v>
      </c>
      <c r="D296" s="183">
        <f>Office!$E$90/12*B295</f>
        <v>4534.7789944133492</v>
      </c>
      <c r="E296" s="185">
        <f t="shared" si="81"/>
        <v>2830.4136733131991</v>
      </c>
      <c r="F296" s="72">
        <f t="shared" si="86"/>
        <v>131</v>
      </c>
      <c r="G296" s="180">
        <f t="shared" si="82"/>
        <v>149870.74649556587</v>
      </c>
      <c r="H296" s="186">
        <f>-Office!$E$97/12</f>
        <v>898.0893756176489</v>
      </c>
      <c r="I296" s="149">
        <f>Office!$E$95/12*G295</f>
        <v>438.46358583227448</v>
      </c>
      <c r="J296" s="187">
        <f t="shared" si="83"/>
        <v>459.62578978537442</v>
      </c>
      <c r="K296" s="72">
        <f t="shared" si="87"/>
        <v>131</v>
      </c>
      <c r="L296" s="180">
        <f t="shared" si="84"/>
        <v>1235387.2914814565</v>
      </c>
      <c r="M296" s="181">
        <f t="shared" si="84"/>
        <v>8263.2820433441975</v>
      </c>
      <c r="N296" s="180">
        <f t="shared" si="84"/>
        <v>4973.2425802456237</v>
      </c>
      <c r="O296" s="132">
        <f t="shared" si="84"/>
        <v>3290.0394630985734</v>
      </c>
    </row>
    <row r="297" spans="1:15" x14ac:dyDescent="0.25">
      <c r="A297" s="72">
        <f t="shared" si="85"/>
        <v>132</v>
      </c>
      <c r="B297" s="183">
        <f t="shared" si="80"/>
        <v>1082674.337922272</v>
      </c>
      <c r="C297" s="184">
        <f>-Office!$E$92/12</f>
        <v>7365.1926677265483</v>
      </c>
      <c r="D297" s="183">
        <f>Office!$E$90/12*B296</f>
        <v>4522.9856041078774</v>
      </c>
      <c r="E297" s="185">
        <f t="shared" si="81"/>
        <v>2842.2070636186709</v>
      </c>
      <c r="F297" s="72">
        <f t="shared" si="86"/>
        <v>132</v>
      </c>
      <c r="G297" s="180">
        <f t="shared" si="82"/>
        <v>149409.78013056028</v>
      </c>
      <c r="H297" s="186">
        <f>-Office!$E$97/12</f>
        <v>898.0893756176489</v>
      </c>
      <c r="I297" s="149">
        <f>Office!$E$95/12*G296</f>
        <v>437.12301061206711</v>
      </c>
      <c r="J297" s="187">
        <f t="shared" si="83"/>
        <v>460.96636500558179</v>
      </c>
      <c r="K297" s="72">
        <f t="shared" si="87"/>
        <v>132</v>
      </c>
      <c r="L297" s="180">
        <f t="shared" si="84"/>
        <v>1232084.1180528323</v>
      </c>
      <c r="M297" s="181">
        <f t="shared" si="84"/>
        <v>8263.2820433441975</v>
      </c>
      <c r="N297" s="180">
        <f t="shared" si="84"/>
        <v>4960.1086147199449</v>
      </c>
      <c r="O297" s="132">
        <f t="shared" si="84"/>
        <v>3303.1734286242527</v>
      </c>
    </row>
    <row r="298" spans="1:15" x14ac:dyDescent="0.25">
      <c r="A298" s="72">
        <f t="shared" si="85"/>
        <v>133</v>
      </c>
      <c r="B298" s="183">
        <f t="shared" si="80"/>
        <v>1079820.2883292215</v>
      </c>
      <c r="C298" s="184">
        <f>-Office!$E$92/12</f>
        <v>7365.1926677265483</v>
      </c>
      <c r="D298" s="183">
        <f>Office!$E$90/12*B297</f>
        <v>4511.1430746761334</v>
      </c>
      <c r="E298" s="185">
        <f t="shared" si="81"/>
        <v>2854.0495930504148</v>
      </c>
      <c r="F298" s="72">
        <f t="shared" si="86"/>
        <v>133</v>
      </c>
      <c r="G298" s="180">
        <f t="shared" si="82"/>
        <v>148947.46928032342</v>
      </c>
      <c r="H298" s="186">
        <f>-Office!$E$97/12</f>
        <v>898.0893756176489</v>
      </c>
      <c r="I298" s="149">
        <f>Office!$E$95/12*G297</f>
        <v>435.77852538080083</v>
      </c>
      <c r="J298" s="187">
        <f t="shared" si="83"/>
        <v>462.31085023684807</v>
      </c>
      <c r="K298" s="72">
        <f t="shared" si="87"/>
        <v>133</v>
      </c>
      <c r="L298" s="180">
        <f t="shared" si="84"/>
        <v>1228767.757609545</v>
      </c>
      <c r="M298" s="181">
        <f t="shared" si="84"/>
        <v>8263.2820433441975</v>
      </c>
      <c r="N298" s="180">
        <f t="shared" si="84"/>
        <v>4946.921600056934</v>
      </c>
      <c r="O298" s="132">
        <f t="shared" si="84"/>
        <v>3316.360443287263</v>
      </c>
    </row>
    <row r="299" spans="1:15" x14ac:dyDescent="0.25">
      <c r="A299" s="72">
        <f t="shared" si="85"/>
        <v>134</v>
      </c>
      <c r="B299" s="183">
        <f t="shared" si="80"/>
        <v>1076954.3468628668</v>
      </c>
      <c r="C299" s="184">
        <f>-Office!$E$92/12</f>
        <v>7365.1926677265483</v>
      </c>
      <c r="D299" s="183">
        <f>Office!$E$90/12*B298</f>
        <v>4499.251201371756</v>
      </c>
      <c r="E299" s="185">
        <f t="shared" si="81"/>
        <v>2865.9414663547923</v>
      </c>
      <c r="F299" s="72">
        <f t="shared" si="86"/>
        <v>134</v>
      </c>
      <c r="G299" s="180">
        <f t="shared" si="82"/>
        <v>148483.81002344005</v>
      </c>
      <c r="H299" s="186">
        <f>-Office!$E$97/12</f>
        <v>898.0893756176489</v>
      </c>
      <c r="I299" s="149">
        <f>Office!$E$95/12*G298</f>
        <v>434.43011873427668</v>
      </c>
      <c r="J299" s="187">
        <f t="shared" si="83"/>
        <v>463.65925688337222</v>
      </c>
      <c r="K299" s="72">
        <f t="shared" si="87"/>
        <v>134</v>
      </c>
      <c r="L299" s="180">
        <f t="shared" si="84"/>
        <v>1225438.1568863068</v>
      </c>
      <c r="M299" s="181">
        <f t="shared" si="84"/>
        <v>8263.2820433441975</v>
      </c>
      <c r="N299" s="180">
        <f t="shared" si="84"/>
        <v>4933.6813201060322</v>
      </c>
      <c r="O299" s="132">
        <f t="shared" si="84"/>
        <v>3329.6007232381644</v>
      </c>
    </row>
    <row r="300" spans="1:15" x14ac:dyDescent="0.25">
      <c r="A300" s="72">
        <f t="shared" si="85"/>
        <v>135</v>
      </c>
      <c r="B300" s="183">
        <f t="shared" si="80"/>
        <v>1074076.4639737355</v>
      </c>
      <c r="C300" s="184">
        <f>-Office!$E$92/12</f>
        <v>7365.1926677265483</v>
      </c>
      <c r="D300" s="183">
        <f>Office!$E$90/12*B299</f>
        <v>4487.3097785952777</v>
      </c>
      <c r="E300" s="185">
        <f t="shared" si="81"/>
        <v>2877.8828891312705</v>
      </c>
      <c r="F300" s="72">
        <f t="shared" si="86"/>
        <v>135</v>
      </c>
      <c r="G300" s="180">
        <f t="shared" si="82"/>
        <v>148018.79842705742</v>
      </c>
      <c r="H300" s="186">
        <f>-Office!$E$97/12</f>
        <v>898.0893756176489</v>
      </c>
      <c r="I300" s="149">
        <f>Office!$E$95/12*G299</f>
        <v>433.07777923503352</v>
      </c>
      <c r="J300" s="187">
        <f t="shared" si="83"/>
        <v>465.01159638261538</v>
      </c>
      <c r="K300" s="72">
        <f t="shared" si="87"/>
        <v>135</v>
      </c>
      <c r="L300" s="180">
        <f t="shared" si="84"/>
        <v>1222095.2624007929</v>
      </c>
      <c r="M300" s="181">
        <f t="shared" si="84"/>
        <v>8263.2820433441975</v>
      </c>
      <c r="N300" s="180">
        <f t="shared" si="84"/>
        <v>4920.3875578303114</v>
      </c>
      <c r="O300" s="132">
        <f t="shared" si="84"/>
        <v>3342.8944855138861</v>
      </c>
    </row>
    <row r="301" spans="1:15" x14ac:dyDescent="0.25">
      <c r="A301" s="72">
        <f t="shared" si="85"/>
        <v>136</v>
      </c>
      <c r="B301" s="183">
        <f t="shared" si="80"/>
        <v>1071186.5899058995</v>
      </c>
      <c r="C301" s="184">
        <f>-Office!$E$92/12</f>
        <v>7365.1926677265483</v>
      </c>
      <c r="D301" s="183">
        <f>Office!$E$90/12*B300</f>
        <v>4475.3185998905647</v>
      </c>
      <c r="E301" s="185">
        <f t="shared" si="81"/>
        <v>2889.8740678359836</v>
      </c>
      <c r="F301" s="72">
        <f t="shared" si="86"/>
        <v>136</v>
      </c>
      <c r="G301" s="180">
        <f t="shared" si="82"/>
        <v>147552.43054685203</v>
      </c>
      <c r="H301" s="186">
        <f>-Office!$E$97/12</f>
        <v>898.0893756176489</v>
      </c>
      <c r="I301" s="149">
        <f>Office!$E$95/12*G300</f>
        <v>431.72149541225082</v>
      </c>
      <c r="J301" s="187">
        <f t="shared" si="83"/>
        <v>466.36788020539808</v>
      </c>
      <c r="K301" s="72">
        <f t="shared" si="87"/>
        <v>136</v>
      </c>
      <c r="L301" s="180">
        <f t="shared" si="84"/>
        <v>1218739.0204527515</v>
      </c>
      <c r="M301" s="181">
        <f t="shared" si="84"/>
        <v>8263.2820433441975</v>
      </c>
      <c r="N301" s="180">
        <f t="shared" si="84"/>
        <v>4907.0400953028156</v>
      </c>
      <c r="O301" s="132">
        <f t="shared" si="84"/>
        <v>3356.2419480413819</v>
      </c>
    </row>
    <row r="302" spans="1:15" x14ac:dyDescent="0.25">
      <c r="A302" s="72">
        <f t="shared" si="85"/>
        <v>137</v>
      </c>
      <c r="B302" s="183">
        <f t="shared" si="80"/>
        <v>1068284.6746961141</v>
      </c>
      <c r="C302" s="184">
        <f>-Office!$E$92/12</f>
        <v>7365.1926677265483</v>
      </c>
      <c r="D302" s="183">
        <f>Office!$E$90/12*B301</f>
        <v>4463.277457941248</v>
      </c>
      <c r="E302" s="185">
        <f t="shared" si="81"/>
        <v>2901.9152097853002</v>
      </c>
      <c r="F302" s="72">
        <f t="shared" si="86"/>
        <v>137</v>
      </c>
      <c r="G302" s="180">
        <f t="shared" si="82"/>
        <v>147084.70242699602</v>
      </c>
      <c r="H302" s="186">
        <f>-Office!$E$97/12</f>
        <v>898.0893756176489</v>
      </c>
      <c r="I302" s="149">
        <f>Office!$E$95/12*G301</f>
        <v>430.36125576165176</v>
      </c>
      <c r="J302" s="187">
        <f t="shared" si="83"/>
        <v>467.72811985599714</v>
      </c>
      <c r="K302" s="72">
        <f t="shared" si="87"/>
        <v>137</v>
      </c>
      <c r="L302" s="180">
        <f t="shared" si="84"/>
        <v>1215369.3771231102</v>
      </c>
      <c r="M302" s="181">
        <f t="shared" si="84"/>
        <v>8263.2820433441975</v>
      </c>
      <c r="N302" s="180">
        <f t="shared" si="84"/>
        <v>4893.6387137028996</v>
      </c>
      <c r="O302" s="132">
        <f t="shared" si="84"/>
        <v>3369.6433296412974</v>
      </c>
    </row>
    <row r="303" spans="1:15" x14ac:dyDescent="0.25">
      <c r="A303" s="72">
        <f t="shared" si="85"/>
        <v>138</v>
      </c>
      <c r="B303" s="183">
        <f t="shared" si="80"/>
        <v>1065370.6681729548</v>
      </c>
      <c r="C303" s="184">
        <f>-Office!$E$92/12</f>
        <v>7365.1926677265483</v>
      </c>
      <c r="D303" s="183">
        <f>Office!$E$90/12*B302</f>
        <v>4451.186144567142</v>
      </c>
      <c r="E303" s="185">
        <f t="shared" si="81"/>
        <v>2914.0065231594062</v>
      </c>
      <c r="F303" s="72">
        <f t="shared" si="86"/>
        <v>138</v>
      </c>
      <c r="G303" s="180">
        <f t="shared" si="82"/>
        <v>146615.61010012377</v>
      </c>
      <c r="H303" s="186">
        <f>-Office!$E$97/12</f>
        <v>898.0893756176489</v>
      </c>
      <c r="I303" s="149">
        <f>Office!$E$95/12*G302</f>
        <v>428.9970487454051</v>
      </c>
      <c r="J303" s="187">
        <f t="shared" si="83"/>
        <v>469.0923268722438</v>
      </c>
      <c r="K303" s="72">
        <f t="shared" si="87"/>
        <v>138</v>
      </c>
      <c r="L303" s="180">
        <f t="shared" si="84"/>
        <v>1211986.2782730786</v>
      </c>
      <c r="M303" s="181">
        <f t="shared" si="84"/>
        <v>8263.2820433441975</v>
      </c>
      <c r="N303" s="180">
        <f t="shared" si="84"/>
        <v>4880.1831933125468</v>
      </c>
      <c r="O303" s="132">
        <f t="shared" si="84"/>
        <v>3383.0988500316498</v>
      </c>
    </row>
    <row r="304" spans="1:15" x14ac:dyDescent="0.25">
      <c r="A304" s="72">
        <f t="shared" si="85"/>
        <v>139</v>
      </c>
      <c r="B304" s="183">
        <f t="shared" si="80"/>
        <v>1062444.5199559489</v>
      </c>
      <c r="C304" s="184">
        <f>-Office!$E$92/12</f>
        <v>7365.1926677265483</v>
      </c>
      <c r="D304" s="183">
        <f>Office!$E$90/12*B303</f>
        <v>4439.0444507206448</v>
      </c>
      <c r="E304" s="185">
        <f t="shared" si="81"/>
        <v>2926.1482170059035</v>
      </c>
      <c r="F304" s="72">
        <f t="shared" si="86"/>
        <v>139</v>
      </c>
      <c r="G304" s="180">
        <f t="shared" si="82"/>
        <v>146145.14958729816</v>
      </c>
      <c r="H304" s="186">
        <f>-Office!$E$97/12</f>
        <v>898.0893756176489</v>
      </c>
      <c r="I304" s="149">
        <f>Office!$E$95/12*G303</f>
        <v>427.62886279202769</v>
      </c>
      <c r="J304" s="187">
        <f t="shared" si="83"/>
        <v>470.46051282562121</v>
      </c>
      <c r="K304" s="72">
        <f t="shared" si="87"/>
        <v>139</v>
      </c>
      <c r="L304" s="180">
        <f t="shared" si="84"/>
        <v>1208589.6695432472</v>
      </c>
      <c r="M304" s="181">
        <f t="shared" si="84"/>
        <v>8263.2820433441975</v>
      </c>
      <c r="N304" s="180">
        <f t="shared" si="84"/>
        <v>4866.6733135126724</v>
      </c>
      <c r="O304" s="132">
        <f t="shared" si="84"/>
        <v>3396.6087298315247</v>
      </c>
    </row>
    <row r="305" spans="1:15" x14ac:dyDescent="0.25">
      <c r="A305" s="72">
        <f t="shared" si="85"/>
        <v>140</v>
      </c>
      <c r="B305" s="183">
        <f t="shared" si="80"/>
        <v>1059506.1794547054</v>
      </c>
      <c r="C305" s="184">
        <f>-Office!$E$92/12</f>
        <v>7365.1926677265483</v>
      </c>
      <c r="D305" s="183">
        <f>Office!$E$90/12*B304</f>
        <v>4426.8521664831205</v>
      </c>
      <c r="E305" s="185">
        <f t="shared" si="81"/>
        <v>2938.3405012434278</v>
      </c>
      <c r="F305" s="72">
        <f t="shared" si="86"/>
        <v>140</v>
      </c>
      <c r="G305" s="180">
        <f t="shared" si="82"/>
        <v>145673.31689797679</v>
      </c>
      <c r="H305" s="186">
        <f>-Office!$E$97/12</f>
        <v>898.0893756176489</v>
      </c>
      <c r="I305" s="149">
        <f>Office!$E$95/12*G304</f>
        <v>426.25668629628632</v>
      </c>
      <c r="J305" s="187">
        <f t="shared" si="83"/>
        <v>471.83268932136258</v>
      </c>
      <c r="K305" s="72">
        <f t="shared" si="87"/>
        <v>140</v>
      </c>
      <c r="L305" s="180">
        <f t="shared" si="84"/>
        <v>1205179.4963526824</v>
      </c>
      <c r="M305" s="181">
        <f t="shared" si="84"/>
        <v>8263.2820433441975</v>
      </c>
      <c r="N305" s="180">
        <f t="shared" si="84"/>
        <v>4853.1088527794072</v>
      </c>
      <c r="O305" s="132">
        <f t="shared" si="84"/>
        <v>3410.1731905647903</v>
      </c>
    </row>
    <row r="306" spans="1:15" x14ac:dyDescent="0.25">
      <c r="A306" s="72">
        <f t="shared" si="85"/>
        <v>141</v>
      </c>
      <c r="B306" s="183">
        <f t="shared" si="80"/>
        <v>1056555.5958680401</v>
      </c>
      <c r="C306" s="184">
        <f>-Office!$E$92/12</f>
        <v>7365.1926677265483</v>
      </c>
      <c r="D306" s="183">
        <f>Office!$E$90/12*B305</f>
        <v>4414.6090810612723</v>
      </c>
      <c r="E306" s="185">
        <f t="shared" si="81"/>
        <v>2950.583586665276</v>
      </c>
      <c r="F306" s="72">
        <f t="shared" si="86"/>
        <v>141</v>
      </c>
      <c r="G306" s="180">
        <f t="shared" si="82"/>
        <v>145200.10802997823</v>
      </c>
      <c r="H306" s="186">
        <f>-Office!$E$97/12</f>
        <v>898.0893756176489</v>
      </c>
      <c r="I306" s="149">
        <f>Office!$E$95/12*G305</f>
        <v>424.88050761909898</v>
      </c>
      <c r="J306" s="187">
        <f t="shared" si="83"/>
        <v>473.20886799854992</v>
      </c>
      <c r="K306" s="72">
        <f t="shared" si="87"/>
        <v>141</v>
      </c>
      <c r="L306" s="180">
        <f t="shared" si="84"/>
        <v>1201755.7038980182</v>
      </c>
      <c r="M306" s="181">
        <f t="shared" si="84"/>
        <v>8263.2820433441975</v>
      </c>
      <c r="N306" s="180">
        <f t="shared" si="84"/>
        <v>4839.4895886803715</v>
      </c>
      <c r="O306" s="132">
        <f t="shared" si="84"/>
        <v>3423.792454663826</v>
      </c>
    </row>
    <row r="307" spans="1:15" x14ac:dyDescent="0.25">
      <c r="A307" s="72">
        <f t="shared" si="85"/>
        <v>142</v>
      </c>
      <c r="B307" s="183">
        <f t="shared" si="80"/>
        <v>1053592.718183097</v>
      </c>
      <c r="C307" s="184">
        <f>-Office!$E$92/12</f>
        <v>7365.1926677265483</v>
      </c>
      <c r="D307" s="183">
        <f>Office!$E$90/12*B306</f>
        <v>4402.3149827835005</v>
      </c>
      <c r="E307" s="185">
        <f t="shared" si="81"/>
        <v>2962.8776849430478</v>
      </c>
      <c r="F307" s="72">
        <f t="shared" si="86"/>
        <v>142</v>
      </c>
      <c r="G307" s="180">
        <f t="shared" si="82"/>
        <v>144725.51896944802</v>
      </c>
      <c r="H307" s="186">
        <f>-Office!$E$97/12</f>
        <v>898.0893756176489</v>
      </c>
      <c r="I307" s="149">
        <f>Office!$E$95/12*G306</f>
        <v>423.50031508743655</v>
      </c>
      <c r="J307" s="187">
        <f t="shared" si="83"/>
        <v>474.58906053021235</v>
      </c>
      <c r="K307" s="72">
        <f t="shared" si="87"/>
        <v>142</v>
      </c>
      <c r="L307" s="180">
        <f t="shared" si="84"/>
        <v>1198318.237152545</v>
      </c>
      <c r="M307" s="181">
        <f t="shared" si="84"/>
        <v>8263.2820433441975</v>
      </c>
      <c r="N307" s="180">
        <f t="shared" si="84"/>
        <v>4825.8152978709368</v>
      </c>
      <c r="O307" s="132">
        <f t="shared" si="84"/>
        <v>3437.4667454732603</v>
      </c>
    </row>
    <row r="308" spans="1:15" x14ac:dyDescent="0.25">
      <c r="A308" s="72">
        <f t="shared" si="85"/>
        <v>143</v>
      </c>
      <c r="B308" s="183">
        <f t="shared" si="80"/>
        <v>1050617.4951744666</v>
      </c>
      <c r="C308" s="184">
        <f>-Office!$E$92/12</f>
        <v>7365.1926677265483</v>
      </c>
      <c r="D308" s="183">
        <f>Office!$E$90/12*B307</f>
        <v>4389.9696590962376</v>
      </c>
      <c r="E308" s="185">
        <f t="shared" si="81"/>
        <v>2975.2230086303107</v>
      </c>
      <c r="F308" s="72">
        <f t="shared" si="86"/>
        <v>143</v>
      </c>
      <c r="G308" s="180">
        <f t="shared" si="82"/>
        <v>144249.5456908246</v>
      </c>
      <c r="H308" s="186">
        <f>-Office!$E$97/12</f>
        <v>898.0893756176489</v>
      </c>
      <c r="I308" s="149">
        <f>Office!$E$95/12*G307</f>
        <v>422.11609699422343</v>
      </c>
      <c r="J308" s="187">
        <f t="shared" si="83"/>
        <v>475.97327862342547</v>
      </c>
      <c r="K308" s="72">
        <f t="shared" si="87"/>
        <v>143</v>
      </c>
      <c r="L308" s="180">
        <f t="shared" si="84"/>
        <v>1194867.0408652911</v>
      </c>
      <c r="M308" s="181">
        <f t="shared" si="84"/>
        <v>8263.2820433441975</v>
      </c>
      <c r="N308" s="180">
        <f t="shared" si="84"/>
        <v>4812.0857560904606</v>
      </c>
      <c r="O308" s="132">
        <f t="shared" si="84"/>
        <v>3451.196287253736</v>
      </c>
    </row>
    <row r="309" spans="1:15" x14ac:dyDescent="0.25">
      <c r="A309" s="72">
        <f t="shared" si="85"/>
        <v>144</v>
      </c>
      <c r="B309" s="183">
        <f t="shared" si="80"/>
        <v>1047629.8754033004</v>
      </c>
      <c r="C309" s="184">
        <f>-Office!$E$92/12</f>
        <v>7365.1926677265483</v>
      </c>
      <c r="D309" s="183">
        <f>Office!$E$90/12*B308</f>
        <v>4377.5728965602775</v>
      </c>
      <c r="E309" s="185">
        <f t="shared" si="81"/>
        <v>2987.6197711662708</v>
      </c>
      <c r="F309" s="72">
        <f t="shared" si="86"/>
        <v>144</v>
      </c>
      <c r="G309" s="180">
        <f t="shared" si="82"/>
        <v>143772.18415680519</v>
      </c>
      <c r="H309" s="186">
        <f>-Office!$E$97/12</f>
        <v>898.0893756176489</v>
      </c>
      <c r="I309" s="149">
        <f>Office!$E$95/12*G308</f>
        <v>420.72784159823846</v>
      </c>
      <c r="J309" s="187">
        <f t="shared" si="83"/>
        <v>477.36153401941044</v>
      </c>
      <c r="K309" s="72">
        <f t="shared" si="87"/>
        <v>144</v>
      </c>
      <c r="L309" s="180">
        <f t="shared" si="84"/>
        <v>1191402.0595601057</v>
      </c>
      <c r="M309" s="181">
        <f t="shared" si="84"/>
        <v>8263.2820433441975</v>
      </c>
      <c r="N309" s="180">
        <f t="shared" si="84"/>
        <v>4798.3007381585157</v>
      </c>
      <c r="O309" s="132">
        <f t="shared" si="84"/>
        <v>3464.9813051856813</v>
      </c>
    </row>
    <row r="310" spans="1:15" x14ac:dyDescent="0.25">
      <c r="A310" s="72">
        <f t="shared" si="85"/>
        <v>145</v>
      </c>
      <c r="B310" s="183">
        <f t="shared" si="80"/>
        <v>1044629.8072164209</v>
      </c>
      <c r="C310" s="184">
        <f>-Office!$E$92/12</f>
        <v>7365.1926677265483</v>
      </c>
      <c r="D310" s="183">
        <f>Office!$E$90/12*B309</f>
        <v>4365.1244808470847</v>
      </c>
      <c r="E310" s="185">
        <f t="shared" si="81"/>
        <v>3000.0681868794636</v>
      </c>
      <c r="F310" s="72">
        <f t="shared" si="86"/>
        <v>145</v>
      </c>
      <c r="G310" s="180">
        <f t="shared" si="82"/>
        <v>143293.43031831156</v>
      </c>
      <c r="H310" s="186">
        <f>-Office!$E$97/12</f>
        <v>898.0893756176489</v>
      </c>
      <c r="I310" s="149">
        <f>Office!$E$95/12*G309</f>
        <v>419.33553712401516</v>
      </c>
      <c r="J310" s="187">
        <f t="shared" si="83"/>
        <v>478.75383849363374</v>
      </c>
      <c r="K310" s="72">
        <f t="shared" si="87"/>
        <v>145</v>
      </c>
      <c r="L310" s="180">
        <f t="shared" si="84"/>
        <v>1187923.2375347326</v>
      </c>
      <c r="M310" s="181">
        <f t="shared" si="84"/>
        <v>8263.2820433441975</v>
      </c>
      <c r="N310" s="180">
        <f t="shared" si="84"/>
        <v>4784.4600179710997</v>
      </c>
      <c r="O310" s="132">
        <f t="shared" si="84"/>
        <v>3478.8220253730974</v>
      </c>
    </row>
    <row r="311" spans="1:15" x14ac:dyDescent="0.25">
      <c r="A311" s="72">
        <f t="shared" si="85"/>
        <v>146</v>
      </c>
      <c r="B311" s="183">
        <f t="shared" si="80"/>
        <v>1041617.2387454294</v>
      </c>
      <c r="C311" s="184">
        <f>-Office!$E$92/12</f>
        <v>7365.1926677265483</v>
      </c>
      <c r="D311" s="183">
        <f>Office!$E$90/12*B310</f>
        <v>4352.624196735087</v>
      </c>
      <c r="E311" s="185">
        <f t="shared" si="81"/>
        <v>3012.5684709914613</v>
      </c>
      <c r="F311" s="72">
        <f t="shared" si="86"/>
        <v>146</v>
      </c>
      <c r="G311" s="180">
        <f t="shared" si="82"/>
        <v>142813.28011445564</v>
      </c>
      <c r="H311" s="186">
        <f>-Office!$E$97/12</f>
        <v>898.0893756176489</v>
      </c>
      <c r="I311" s="149">
        <f>Office!$E$95/12*G310</f>
        <v>417.93917176174205</v>
      </c>
      <c r="J311" s="187">
        <f t="shared" si="83"/>
        <v>480.15020385590685</v>
      </c>
      <c r="K311" s="72">
        <f t="shared" si="87"/>
        <v>146</v>
      </c>
      <c r="L311" s="180">
        <f t="shared" si="84"/>
        <v>1184430.5188598852</v>
      </c>
      <c r="M311" s="181">
        <f t="shared" si="84"/>
        <v>8263.2820433441975</v>
      </c>
      <c r="N311" s="180">
        <f t="shared" si="84"/>
        <v>4770.5633684968288</v>
      </c>
      <c r="O311" s="132">
        <f t="shared" si="84"/>
        <v>3492.7186748473682</v>
      </c>
    </row>
    <row r="312" spans="1:15" x14ac:dyDescent="0.25">
      <c r="A312" s="72">
        <f t="shared" si="85"/>
        <v>147</v>
      </c>
      <c r="B312" s="183">
        <f t="shared" si="80"/>
        <v>1038592.1179058088</v>
      </c>
      <c r="C312" s="184">
        <f>-Office!$E$92/12</f>
        <v>7365.1926677265483</v>
      </c>
      <c r="D312" s="183">
        <f>Office!$E$90/12*B311</f>
        <v>4340.0718281059562</v>
      </c>
      <c r="E312" s="185">
        <f t="shared" si="81"/>
        <v>3025.1208396205921</v>
      </c>
      <c r="F312" s="72">
        <f t="shared" si="86"/>
        <v>147</v>
      </c>
      <c r="G312" s="180">
        <f t="shared" si="82"/>
        <v>142331.72947250516</v>
      </c>
      <c r="H312" s="186">
        <f>-Office!$E$97/12</f>
        <v>898.0893756176489</v>
      </c>
      <c r="I312" s="149">
        <f>Office!$E$95/12*G311</f>
        <v>416.53873366716232</v>
      </c>
      <c r="J312" s="187">
        <f t="shared" si="83"/>
        <v>481.55064195048658</v>
      </c>
      <c r="K312" s="72">
        <f t="shared" si="87"/>
        <v>147</v>
      </c>
      <c r="L312" s="180">
        <f t="shared" si="84"/>
        <v>1180923.847378314</v>
      </c>
      <c r="M312" s="181">
        <f t="shared" si="84"/>
        <v>8263.2820433441975</v>
      </c>
      <c r="N312" s="180">
        <f t="shared" si="84"/>
        <v>4756.6105617731182</v>
      </c>
      <c r="O312" s="132">
        <f t="shared" si="84"/>
        <v>3506.6714815710784</v>
      </c>
    </row>
    <row r="313" spans="1:15" x14ac:dyDescent="0.25">
      <c r="A313" s="72">
        <f t="shared" si="85"/>
        <v>148</v>
      </c>
      <c r="B313" s="183">
        <f t="shared" si="80"/>
        <v>1035554.3923960231</v>
      </c>
      <c r="C313" s="184">
        <f>-Office!$E$92/12</f>
        <v>7365.1926677265483</v>
      </c>
      <c r="D313" s="183">
        <f>Office!$E$90/12*B312</f>
        <v>4327.4671579408705</v>
      </c>
      <c r="E313" s="185">
        <f t="shared" si="81"/>
        <v>3037.7255097856778</v>
      </c>
      <c r="F313" s="72">
        <f t="shared" si="86"/>
        <v>148</v>
      </c>
      <c r="G313" s="180">
        <f t="shared" si="82"/>
        <v>141848.77430784897</v>
      </c>
      <c r="H313" s="186">
        <f>-Office!$E$97/12</f>
        <v>898.0893756176489</v>
      </c>
      <c r="I313" s="149">
        <f>Office!$E$95/12*G312</f>
        <v>415.1342109614734</v>
      </c>
      <c r="J313" s="187">
        <f t="shared" si="83"/>
        <v>482.9551646561755</v>
      </c>
      <c r="K313" s="72">
        <f t="shared" si="87"/>
        <v>148</v>
      </c>
      <c r="L313" s="180">
        <f t="shared" si="84"/>
        <v>1177403.1667038721</v>
      </c>
      <c r="M313" s="181">
        <f t="shared" si="84"/>
        <v>8263.2820433441975</v>
      </c>
      <c r="N313" s="180">
        <f t="shared" si="84"/>
        <v>4742.6013689023439</v>
      </c>
      <c r="O313" s="132">
        <f t="shared" si="84"/>
        <v>3520.6806744418532</v>
      </c>
    </row>
    <row r="314" spans="1:15" x14ac:dyDescent="0.25">
      <c r="A314" s="72">
        <f t="shared" si="85"/>
        <v>149</v>
      </c>
      <c r="B314" s="183">
        <f t="shared" si="80"/>
        <v>1032504.0096966134</v>
      </c>
      <c r="C314" s="184">
        <f>-Office!$E$92/12</f>
        <v>7365.1926677265483</v>
      </c>
      <c r="D314" s="183">
        <f>Office!$E$90/12*B313</f>
        <v>4314.8099683167629</v>
      </c>
      <c r="E314" s="185">
        <f t="shared" si="81"/>
        <v>3050.3826994097853</v>
      </c>
      <c r="F314" s="72">
        <f t="shared" si="86"/>
        <v>149</v>
      </c>
      <c r="G314" s="180">
        <f t="shared" si="82"/>
        <v>141364.41052396255</v>
      </c>
      <c r="H314" s="186">
        <f>-Office!$E$97/12</f>
        <v>898.0893756176489</v>
      </c>
      <c r="I314" s="149">
        <f>Office!$E$95/12*G313</f>
        <v>413.72559173122619</v>
      </c>
      <c r="J314" s="187">
        <f t="shared" si="83"/>
        <v>484.36378388642271</v>
      </c>
      <c r="K314" s="72">
        <f t="shared" si="87"/>
        <v>149</v>
      </c>
      <c r="L314" s="180">
        <f t="shared" si="84"/>
        <v>1173868.420220576</v>
      </c>
      <c r="M314" s="181">
        <f t="shared" si="84"/>
        <v>8263.2820433441975</v>
      </c>
      <c r="N314" s="180">
        <f t="shared" si="84"/>
        <v>4728.5355600479888</v>
      </c>
      <c r="O314" s="132">
        <f t="shared" si="84"/>
        <v>3534.7464832962082</v>
      </c>
    </row>
    <row r="315" spans="1:15" x14ac:dyDescent="0.25">
      <c r="A315" s="72">
        <f t="shared" si="85"/>
        <v>150</v>
      </c>
      <c r="B315" s="183">
        <f t="shared" si="80"/>
        <v>1029440.9170692894</v>
      </c>
      <c r="C315" s="184">
        <f>-Office!$E$92/12</f>
        <v>7365.1926677265483</v>
      </c>
      <c r="D315" s="183">
        <f>Office!$E$90/12*B314</f>
        <v>4302.1000404025563</v>
      </c>
      <c r="E315" s="185">
        <f t="shared" si="81"/>
        <v>3063.092627323992</v>
      </c>
      <c r="F315" s="72">
        <f t="shared" si="86"/>
        <v>150</v>
      </c>
      <c r="G315" s="180">
        <f t="shared" si="82"/>
        <v>140878.63401237314</v>
      </c>
      <c r="H315" s="186">
        <f>-Office!$E$97/12</f>
        <v>898.0893756176489</v>
      </c>
      <c r="I315" s="149">
        <f>Office!$E$95/12*G314</f>
        <v>412.31286402822411</v>
      </c>
      <c r="J315" s="187">
        <f t="shared" si="83"/>
        <v>485.77651158942479</v>
      </c>
      <c r="K315" s="72">
        <f t="shared" si="87"/>
        <v>150</v>
      </c>
      <c r="L315" s="180">
        <f t="shared" si="84"/>
        <v>1170319.5510816625</v>
      </c>
      <c r="M315" s="181">
        <f t="shared" si="84"/>
        <v>8263.2820433441975</v>
      </c>
      <c r="N315" s="180">
        <f t="shared" si="84"/>
        <v>4714.4129044307801</v>
      </c>
      <c r="O315" s="132">
        <f t="shared" si="84"/>
        <v>3548.8691389134169</v>
      </c>
    </row>
    <row r="316" spans="1:15" x14ac:dyDescent="0.25">
      <c r="A316" s="72">
        <f t="shared" si="85"/>
        <v>151</v>
      </c>
      <c r="B316" s="183">
        <f t="shared" si="80"/>
        <v>1026365.0615560182</v>
      </c>
      <c r="C316" s="184">
        <f>-Office!$E$92/12</f>
        <v>7365.1926677265483</v>
      </c>
      <c r="D316" s="183">
        <f>Office!$E$90/12*B315</f>
        <v>4289.337154455372</v>
      </c>
      <c r="E316" s="185">
        <f t="shared" si="81"/>
        <v>3075.8555132711763</v>
      </c>
      <c r="F316" s="72">
        <f t="shared" si="86"/>
        <v>151</v>
      </c>
      <c r="G316" s="180">
        <f t="shared" si="82"/>
        <v>140391.44065262491</v>
      </c>
      <c r="H316" s="186">
        <f>-Office!$E$97/12</f>
        <v>898.0893756176489</v>
      </c>
      <c r="I316" s="149">
        <f>Office!$E$95/12*G315</f>
        <v>410.89601586942166</v>
      </c>
      <c r="J316" s="187">
        <f t="shared" si="83"/>
        <v>487.19335974822724</v>
      </c>
      <c r="K316" s="72">
        <f t="shared" si="87"/>
        <v>151</v>
      </c>
      <c r="L316" s="180">
        <f t="shared" si="84"/>
        <v>1166756.5022086431</v>
      </c>
      <c r="M316" s="181">
        <f t="shared" si="84"/>
        <v>8263.2820433441975</v>
      </c>
      <c r="N316" s="180">
        <f t="shared" si="84"/>
        <v>4700.2331703247937</v>
      </c>
      <c r="O316" s="132">
        <f t="shared" si="84"/>
        <v>3563.0488730194033</v>
      </c>
    </row>
    <row r="317" spans="1:15" x14ac:dyDescent="0.25">
      <c r="A317" s="72">
        <f t="shared" si="85"/>
        <v>152</v>
      </c>
      <c r="B317" s="183">
        <f t="shared" si="80"/>
        <v>1023276.3899781083</v>
      </c>
      <c r="C317" s="184">
        <f>-Office!$E$92/12</f>
        <v>7365.1926677265483</v>
      </c>
      <c r="D317" s="183">
        <f>Office!$E$90/12*B316</f>
        <v>4276.5210898167425</v>
      </c>
      <c r="E317" s="185">
        <f t="shared" si="81"/>
        <v>3088.6715779098058</v>
      </c>
      <c r="F317" s="72">
        <f t="shared" si="86"/>
        <v>152</v>
      </c>
      <c r="G317" s="180">
        <f t="shared" si="82"/>
        <v>139902.82631224408</v>
      </c>
      <c r="H317" s="186">
        <f>-Office!$E$97/12</f>
        <v>898.0893756176489</v>
      </c>
      <c r="I317" s="149">
        <f>Office!$E$95/12*G316</f>
        <v>409.47503523682269</v>
      </c>
      <c r="J317" s="187">
        <f t="shared" si="83"/>
        <v>488.61434038082621</v>
      </c>
      <c r="K317" s="72">
        <f t="shared" si="87"/>
        <v>152</v>
      </c>
      <c r="L317" s="180">
        <f t="shared" si="84"/>
        <v>1163179.2162903524</v>
      </c>
      <c r="M317" s="181">
        <f t="shared" si="84"/>
        <v>8263.2820433441975</v>
      </c>
      <c r="N317" s="180">
        <f t="shared" si="84"/>
        <v>4685.9961250535653</v>
      </c>
      <c r="O317" s="132">
        <f t="shared" si="84"/>
        <v>3577.2859182906323</v>
      </c>
    </row>
    <row r="318" spans="1:15" x14ac:dyDescent="0.25">
      <c r="A318" s="72">
        <f t="shared" si="85"/>
        <v>153</v>
      </c>
      <c r="B318" s="183">
        <f t="shared" si="80"/>
        <v>1020174.8489352906</v>
      </c>
      <c r="C318" s="184">
        <f>-Office!$E$92/12</f>
        <v>7365.1926677265483</v>
      </c>
      <c r="D318" s="183">
        <f>Office!$E$90/12*B317</f>
        <v>4263.6516249087845</v>
      </c>
      <c r="E318" s="185">
        <f t="shared" si="81"/>
        <v>3101.5410428177638</v>
      </c>
      <c r="F318" s="72">
        <f t="shared" si="86"/>
        <v>153</v>
      </c>
      <c r="G318" s="180">
        <f t="shared" si="82"/>
        <v>139412.78684670382</v>
      </c>
      <c r="H318" s="186">
        <f>-Office!$E$97/12</f>
        <v>898.0893756176489</v>
      </c>
      <c r="I318" s="149">
        <f>Office!$E$95/12*G317</f>
        <v>408.04991007737857</v>
      </c>
      <c r="J318" s="187">
        <f t="shared" si="83"/>
        <v>490.03946554027033</v>
      </c>
      <c r="K318" s="72">
        <f t="shared" si="87"/>
        <v>153</v>
      </c>
      <c r="L318" s="180">
        <f t="shared" si="84"/>
        <v>1159587.6357819943</v>
      </c>
      <c r="M318" s="181">
        <f t="shared" si="84"/>
        <v>8263.2820433441975</v>
      </c>
      <c r="N318" s="180">
        <f t="shared" si="84"/>
        <v>4671.7015349861631</v>
      </c>
      <c r="O318" s="132">
        <f t="shared" si="84"/>
        <v>3591.580508358034</v>
      </c>
    </row>
    <row r="319" spans="1:15" x14ac:dyDescent="0.25">
      <c r="A319" s="72">
        <f t="shared" si="85"/>
        <v>154</v>
      </c>
      <c r="B319" s="183">
        <f t="shared" si="80"/>
        <v>1017060.3848047944</v>
      </c>
      <c r="C319" s="184">
        <f>-Office!$E$92/12</f>
        <v>7365.1926677265483</v>
      </c>
      <c r="D319" s="183">
        <f>Office!$E$90/12*B318</f>
        <v>4250.7285372303777</v>
      </c>
      <c r="E319" s="185">
        <f t="shared" si="81"/>
        <v>3114.4641304961706</v>
      </c>
      <c r="F319" s="72">
        <f t="shared" si="86"/>
        <v>154</v>
      </c>
      <c r="G319" s="180">
        <f t="shared" si="82"/>
        <v>138921.31809938906</v>
      </c>
      <c r="H319" s="186">
        <f>-Office!$E$97/12</f>
        <v>898.0893756176489</v>
      </c>
      <c r="I319" s="149">
        <f>Office!$E$95/12*G318</f>
        <v>406.62062830288619</v>
      </c>
      <c r="J319" s="187">
        <f t="shared" si="83"/>
        <v>491.46874731476271</v>
      </c>
      <c r="K319" s="72">
        <f t="shared" si="87"/>
        <v>154</v>
      </c>
      <c r="L319" s="180">
        <f t="shared" si="84"/>
        <v>1155981.7029041834</v>
      </c>
      <c r="M319" s="181">
        <f t="shared" si="84"/>
        <v>8263.2820433441975</v>
      </c>
      <c r="N319" s="180">
        <f t="shared" si="84"/>
        <v>4657.3491655332637</v>
      </c>
      <c r="O319" s="132">
        <f t="shared" si="84"/>
        <v>3605.9328778109334</v>
      </c>
    </row>
    <row r="320" spans="1:15" x14ac:dyDescent="0.25">
      <c r="A320" s="72">
        <f t="shared" si="85"/>
        <v>155</v>
      </c>
      <c r="B320" s="183">
        <f t="shared" si="80"/>
        <v>1013932.9437404212</v>
      </c>
      <c r="C320" s="184">
        <f>-Office!$E$92/12</f>
        <v>7365.1926677265483</v>
      </c>
      <c r="D320" s="183">
        <f>Office!$E$90/12*B319</f>
        <v>4237.7516033533102</v>
      </c>
      <c r="E320" s="185">
        <f t="shared" si="81"/>
        <v>3127.4410643732381</v>
      </c>
      <c r="F320" s="72">
        <f t="shared" si="86"/>
        <v>155</v>
      </c>
      <c r="G320" s="180">
        <f t="shared" si="82"/>
        <v>138428.4159015613</v>
      </c>
      <c r="H320" s="186">
        <f>-Office!$E$97/12</f>
        <v>898.0893756176489</v>
      </c>
      <c r="I320" s="149">
        <f>Office!$E$95/12*G319</f>
        <v>405.18717778988474</v>
      </c>
      <c r="J320" s="187">
        <f t="shared" si="83"/>
        <v>492.90219782776416</v>
      </c>
      <c r="K320" s="72">
        <f t="shared" si="87"/>
        <v>155</v>
      </c>
      <c r="L320" s="180">
        <f t="shared" si="84"/>
        <v>1152361.3596419825</v>
      </c>
      <c r="M320" s="181">
        <f t="shared" si="84"/>
        <v>8263.2820433441975</v>
      </c>
      <c r="N320" s="180">
        <f t="shared" si="84"/>
        <v>4642.9387811431952</v>
      </c>
      <c r="O320" s="132">
        <f t="shared" si="84"/>
        <v>3620.3432622010023</v>
      </c>
    </row>
    <row r="321" spans="1:15" x14ac:dyDescent="0.25">
      <c r="A321" s="72">
        <f t="shared" si="85"/>
        <v>156</v>
      </c>
      <c r="B321" s="183">
        <f t="shared" si="80"/>
        <v>1010792.471671613</v>
      </c>
      <c r="C321" s="184">
        <f>-Office!$E$92/12</f>
        <v>7365.1926677265483</v>
      </c>
      <c r="D321" s="183">
        <f>Office!$E$90/12*B320</f>
        <v>4224.7205989184213</v>
      </c>
      <c r="E321" s="185">
        <f t="shared" si="81"/>
        <v>3140.472068808127</v>
      </c>
      <c r="F321" s="72">
        <f t="shared" si="86"/>
        <v>156</v>
      </c>
      <c r="G321" s="180">
        <f t="shared" si="82"/>
        <v>137934.07607232319</v>
      </c>
      <c r="H321" s="186">
        <f>-Office!$E$97/12</f>
        <v>898.0893756176489</v>
      </c>
      <c r="I321" s="149">
        <f>Office!$E$95/12*G320</f>
        <v>403.74954637955381</v>
      </c>
      <c r="J321" s="187">
        <f t="shared" si="83"/>
        <v>494.33982923809509</v>
      </c>
      <c r="K321" s="72">
        <f t="shared" si="87"/>
        <v>156</v>
      </c>
      <c r="L321" s="180">
        <f t="shared" si="84"/>
        <v>1148726.5477439363</v>
      </c>
      <c r="M321" s="181">
        <f t="shared" si="84"/>
        <v>8263.2820433441975</v>
      </c>
      <c r="N321" s="180">
        <f t="shared" si="84"/>
        <v>4628.4701452979753</v>
      </c>
      <c r="O321" s="132">
        <f t="shared" si="84"/>
        <v>3634.8118980462223</v>
      </c>
    </row>
    <row r="322" spans="1:15" x14ac:dyDescent="0.25">
      <c r="A322" s="72">
        <f t="shared" si="85"/>
        <v>157</v>
      </c>
      <c r="B322" s="183">
        <f t="shared" si="80"/>
        <v>1007638.9143025182</v>
      </c>
      <c r="C322" s="184">
        <f>-Office!$E$92/12</f>
        <v>7365.1926677265483</v>
      </c>
      <c r="D322" s="183">
        <f>Office!$E$90/12*B321</f>
        <v>4211.6352986317206</v>
      </c>
      <c r="E322" s="185">
        <f t="shared" si="81"/>
        <v>3153.5573690948277</v>
      </c>
      <c r="F322" s="72">
        <f t="shared" si="86"/>
        <v>157</v>
      </c>
      <c r="G322" s="180">
        <f t="shared" si="82"/>
        <v>137438.29441858316</v>
      </c>
      <c r="H322" s="186">
        <f>-Office!$E$97/12</f>
        <v>898.0893756176489</v>
      </c>
      <c r="I322" s="149">
        <f>Office!$E$95/12*G321</f>
        <v>402.30772187760931</v>
      </c>
      <c r="J322" s="187">
        <f t="shared" si="83"/>
        <v>495.78165374003959</v>
      </c>
      <c r="K322" s="72">
        <f t="shared" si="87"/>
        <v>157</v>
      </c>
      <c r="L322" s="180">
        <f t="shared" si="84"/>
        <v>1145077.2087211013</v>
      </c>
      <c r="M322" s="181">
        <f t="shared" si="84"/>
        <v>8263.2820433441975</v>
      </c>
      <c r="N322" s="180">
        <f t="shared" si="84"/>
        <v>4613.9430205093304</v>
      </c>
      <c r="O322" s="132">
        <f t="shared" si="84"/>
        <v>3649.3390228348671</v>
      </c>
    </row>
    <row r="323" spans="1:15" x14ac:dyDescent="0.25">
      <c r="A323" s="72">
        <f t="shared" si="85"/>
        <v>158</v>
      </c>
      <c r="B323" s="183">
        <f t="shared" si="80"/>
        <v>1004472.2171110521</v>
      </c>
      <c r="C323" s="184">
        <f>-Office!$E$92/12</f>
        <v>7365.1926677265483</v>
      </c>
      <c r="D323" s="183">
        <f>Office!$E$90/12*B322</f>
        <v>4198.495476260493</v>
      </c>
      <c r="E323" s="185">
        <f t="shared" si="81"/>
        <v>3166.6971914660553</v>
      </c>
      <c r="F323" s="72">
        <f t="shared" si="86"/>
        <v>158</v>
      </c>
      <c r="G323" s="180">
        <f t="shared" si="82"/>
        <v>136941.0667350197</v>
      </c>
      <c r="H323" s="186">
        <f>-Office!$E$97/12</f>
        <v>898.0893756176489</v>
      </c>
      <c r="I323" s="149">
        <f>Office!$E$95/12*G322</f>
        <v>400.86169205420089</v>
      </c>
      <c r="J323" s="187">
        <f t="shared" si="83"/>
        <v>497.22768356344801</v>
      </c>
      <c r="K323" s="72">
        <f t="shared" si="87"/>
        <v>158</v>
      </c>
      <c r="L323" s="180">
        <f t="shared" si="84"/>
        <v>1141413.2838460719</v>
      </c>
      <c r="M323" s="181">
        <f t="shared" si="84"/>
        <v>8263.2820433441975</v>
      </c>
      <c r="N323" s="180">
        <f t="shared" si="84"/>
        <v>4599.3571683146938</v>
      </c>
      <c r="O323" s="132">
        <f t="shared" si="84"/>
        <v>3663.9248750295033</v>
      </c>
    </row>
    <row r="324" spans="1:15" x14ac:dyDescent="0.25">
      <c r="A324" s="72">
        <f t="shared" si="85"/>
        <v>159</v>
      </c>
      <c r="B324" s="183">
        <f t="shared" si="80"/>
        <v>1001292.325347955</v>
      </c>
      <c r="C324" s="184">
        <f>-Office!$E$92/12</f>
        <v>7365.1926677265483</v>
      </c>
      <c r="D324" s="183">
        <f>Office!$E$90/12*B323</f>
        <v>4185.3009046293837</v>
      </c>
      <c r="E324" s="185">
        <f t="shared" si="81"/>
        <v>3179.8917630971646</v>
      </c>
      <c r="F324" s="72">
        <f t="shared" si="86"/>
        <v>159</v>
      </c>
      <c r="G324" s="180">
        <f t="shared" si="82"/>
        <v>136442.38880404586</v>
      </c>
      <c r="H324" s="186">
        <f>-Office!$E$97/12</f>
        <v>898.0893756176489</v>
      </c>
      <c r="I324" s="149">
        <f>Office!$E$95/12*G323</f>
        <v>399.4114446438075</v>
      </c>
      <c r="J324" s="187">
        <f t="shared" si="83"/>
        <v>498.6779309738414</v>
      </c>
      <c r="K324" s="72">
        <f t="shared" si="87"/>
        <v>159</v>
      </c>
      <c r="L324" s="180">
        <f t="shared" si="84"/>
        <v>1137734.7141520008</v>
      </c>
      <c r="M324" s="181">
        <f t="shared" si="84"/>
        <v>8263.2820433441975</v>
      </c>
      <c r="N324" s="180">
        <f t="shared" si="84"/>
        <v>4584.7123492731916</v>
      </c>
      <c r="O324" s="132">
        <f t="shared" si="84"/>
        <v>3678.5696940710059</v>
      </c>
    </row>
    <row r="325" spans="1:15" x14ac:dyDescent="0.25">
      <c r="A325" s="72">
        <f t="shared" si="85"/>
        <v>160</v>
      </c>
      <c r="B325" s="183">
        <f t="shared" si="80"/>
        <v>998099.18403584487</v>
      </c>
      <c r="C325" s="184">
        <f>-Office!$E$92/12</f>
        <v>7365.1926677265483</v>
      </c>
      <c r="D325" s="183">
        <f>Office!$E$90/12*B324</f>
        <v>4172.0513556164788</v>
      </c>
      <c r="E325" s="185">
        <f t="shared" si="81"/>
        <v>3193.1413121100695</v>
      </c>
      <c r="F325" s="72">
        <f t="shared" si="86"/>
        <v>160</v>
      </c>
      <c r="G325" s="180">
        <f t="shared" si="82"/>
        <v>135942.25639577335</v>
      </c>
      <c r="H325" s="186">
        <f>-Office!$E$97/12</f>
        <v>898.0893756176489</v>
      </c>
      <c r="I325" s="149">
        <f>Office!$E$95/12*G324</f>
        <v>397.95696734513376</v>
      </c>
      <c r="J325" s="187">
        <f t="shared" si="83"/>
        <v>500.13240827251514</v>
      </c>
      <c r="K325" s="72">
        <f t="shared" si="87"/>
        <v>160</v>
      </c>
      <c r="L325" s="180">
        <f t="shared" si="84"/>
        <v>1134041.4404316181</v>
      </c>
      <c r="M325" s="181">
        <f t="shared" si="84"/>
        <v>8263.2820433441975</v>
      </c>
      <c r="N325" s="180">
        <f t="shared" si="84"/>
        <v>4570.0083229616121</v>
      </c>
      <c r="O325" s="132">
        <f t="shared" si="84"/>
        <v>3693.2737203825845</v>
      </c>
    </row>
    <row r="326" spans="1:15" x14ac:dyDescent="0.25">
      <c r="A326" s="72">
        <f t="shared" si="85"/>
        <v>161</v>
      </c>
      <c r="B326" s="183">
        <f t="shared" si="80"/>
        <v>994892.73796826764</v>
      </c>
      <c r="C326" s="184">
        <f>-Office!$E$92/12</f>
        <v>7365.1926677265483</v>
      </c>
      <c r="D326" s="183">
        <f>Office!$E$90/12*B325</f>
        <v>4158.746600149354</v>
      </c>
      <c r="E326" s="185">
        <f t="shared" si="81"/>
        <v>3206.4460675771943</v>
      </c>
      <c r="F326" s="72">
        <f t="shared" si="86"/>
        <v>161</v>
      </c>
      <c r="G326" s="180">
        <f t="shared" si="82"/>
        <v>135440.6652679767</v>
      </c>
      <c r="H326" s="186">
        <f>-Office!$E$97/12</f>
        <v>898.0893756176489</v>
      </c>
      <c r="I326" s="149">
        <f>Office!$E$95/12*G325</f>
        <v>396.49824782100563</v>
      </c>
      <c r="J326" s="187">
        <f t="shared" si="83"/>
        <v>501.59112779664326</v>
      </c>
      <c r="K326" s="72">
        <f t="shared" si="87"/>
        <v>161</v>
      </c>
      <c r="L326" s="180">
        <f t="shared" si="84"/>
        <v>1130333.4032362443</v>
      </c>
      <c r="M326" s="181">
        <f t="shared" si="84"/>
        <v>8263.2820433441975</v>
      </c>
      <c r="N326" s="180">
        <f t="shared" si="84"/>
        <v>4555.2448479703598</v>
      </c>
      <c r="O326" s="132">
        <f t="shared" si="84"/>
        <v>3708.0371953738377</v>
      </c>
    </row>
    <row r="327" spans="1:15" x14ac:dyDescent="0.25">
      <c r="A327" s="72">
        <f t="shared" si="85"/>
        <v>162</v>
      </c>
      <c r="B327" s="183">
        <f t="shared" si="80"/>
        <v>991672.93170874217</v>
      </c>
      <c r="C327" s="184">
        <f>-Office!$E$92/12</f>
        <v>7365.1926677265483</v>
      </c>
      <c r="D327" s="183">
        <f>Office!$E$90/12*B326</f>
        <v>4145.386408201115</v>
      </c>
      <c r="E327" s="185">
        <f t="shared" si="81"/>
        <v>3219.8062595254332</v>
      </c>
      <c r="F327" s="72">
        <f t="shared" si="86"/>
        <v>162</v>
      </c>
      <c r="G327" s="180">
        <f t="shared" si="82"/>
        <v>134937.61116605732</v>
      </c>
      <c r="H327" s="186">
        <f>-Office!$E$97/12</f>
        <v>898.0893756176489</v>
      </c>
      <c r="I327" s="149">
        <f>Office!$E$95/12*G326</f>
        <v>395.03527369826537</v>
      </c>
      <c r="J327" s="187">
        <f t="shared" si="83"/>
        <v>503.05410191938353</v>
      </c>
      <c r="K327" s="72">
        <f t="shared" si="87"/>
        <v>162</v>
      </c>
      <c r="L327" s="180">
        <f t="shared" si="84"/>
        <v>1126610.5428747996</v>
      </c>
      <c r="M327" s="181">
        <f t="shared" si="84"/>
        <v>8263.2820433441975</v>
      </c>
      <c r="N327" s="180">
        <f t="shared" si="84"/>
        <v>4540.42168189938</v>
      </c>
      <c r="O327" s="132">
        <f t="shared" si="84"/>
        <v>3722.8603614448166</v>
      </c>
    </row>
    <row r="328" spans="1:15" x14ac:dyDescent="0.25">
      <c r="A328" s="72">
        <f t="shared" si="85"/>
        <v>163</v>
      </c>
      <c r="B328" s="183">
        <f t="shared" si="80"/>
        <v>988439.70958980208</v>
      </c>
      <c r="C328" s="184">
        <f>-Office!$E$92/12</f>
        <v>7365.1926677265483</v>
      </c>
      <c r="D328" s="183">
        <f>Office!$E$90/12*B327</f>
        <v>4131.9705487864258</v>
      </c>
      <c r="E328" s="185">
        <f t="shared" si="81"/>
        <v>3233.2221189401225</v>
      </c>
      <c r="F328" s="72">
        <f t="shared" si="86"/>
        <v>163</v>
      </c>
      <c r="G328" s="180">
        <f t="shared" si="82"/>
        <v>134433.08982300735</v>
      </c>
      <c r="H328" s="186">
        <f>-Office!$E$97/12</f>
        <v>898.0893756176489</v>
      </c>
      <c r="I328" s="149">
        <f>Office!$E$95/12*G327</f>
        <v>393.56803256766722</v>
      </c>
      <c r="J328" s="187">
        <f t="shared" si="83"/>
        <v>504.52134304998168</v>
      </c>
      <c r="K328" s="72">
        <f t="shared" si="87"/>
        <v>163</v>
      </c>
      <c r="L328" s="180">
        <f t="shared" si="84"/>
        <v>1122872.7994128093</v>
      </c>
      <c r="M328" s="181">
        <f t="shared" si="84"/>
        <v>8263.2820433441975</v>
      </c>
      <c r="N328" s="180">
        <f t="shared" si="84"/>
        <v>4525.5385813540934</v>
      </c>
      <c r="O328" s="132">
        <f t="shared" si="84"/>
        <v>3737.7434619901042</v>
      </c>
    </row>
    <row r="329" spans="1:15" x14ac:dyDescent="0.25">
      <c r="A329" s="72">
        <f t="shared" si="85"/>
        <v>164</v>
      </c>
      <c r="B329" s="183">
        <f t="shared" si="80"/>
        <v>985193.01571203303</v>
      </c>
      <c r="C329" s="184">
        <f>-Office!$E$92/12</f>
        <v>7365.1926677265483</v>
      </c>
      <c r="D329" s="183">
        <f>Office!$E$90/12*B328</f>
        <v>4118.498789957509</v>
      </c>
      <c r="E329" s="185">
        <f t="shared" si="81"/>
        <v>3246.6938777690393</v>
      </c>
      <c r="F329" s="72">
        <f t="shared" si="86"/>
        <v>164</v>
      </c>
      <c r="G329" s="180">
        <f t="shared" si="82"/>
        <v>133927.09695937348</v>
      </c>
      <c r="H329" s="186">
        <f>-Office!$E$97/12</f>
        <v>898.0893756176489</v>
      </c>
      <c r="I329" s="149">
        <f>Office!$E$95/12*G328</f>
        <v>392.09651198377145</v>
      </c>
      <c r="J329" s="187">
        <f t="shared" si="83"/>
        <v>505.99286363387745</v>
      </c>
      <c r="K329" s="72">
        <f t="shared" si="87"/>
        <v>164</v>
      </c>
      <c r="L329" s="180">
        <f t="shared" si="84"/>
        <v>1119120.1126714065</v>
      </c>
      <c r="M329" s="181">
        <f t="shared" si="84"/>
        <v>8263.2820433441975</v>
      </c>
      <c r="N329" s="180">
        <f t="shared" si="84"/>
        <v>4510.59530194128</v>
      </c>
      <c r="O329" s="132">
        <f t="shared" si="84"/>
        <v>3752.6867414029166</v>
      </c>
    </row>
    <row r="330" spans="1:15" x14ac:dyDescent="0.25">
      <c r="A330" s="72">
        <f t="shared" si="85"/>
        <v>165</v>
      </c>
      <c r="B330" s="183">
        <f t="shared" si="80"/>
        <v>981932.79394310666</v>
      </c>
      <c r="C330" s="184">
        <f>-Office!$E$92/12</f>
        <v>7365.1926677265483</v>
      </c>
      <c r="D330" s="183">
        <f>Office!$E$90/12*B329</f>
        <v>4104.9708988001375</v>
      </c>
      <c r="E330" s="185">
        <f t="shared" si="81"/>
        <v>3260.2217689264107</v>
      </c>
      <c r="F330" s="72">
        <f t="shared" si="86"/>
        <v>165</v>
      </c>
      <c r="G330" s="180">
        <f t="shared" si="82"/>
        <v>133419.62828322066</v>
      </c>
      <c r="H330" s="186">
        <f>-Office!$E$97/12</f>
        <v>898.0893756176489</v>
      </c>
      <c r="I330" s="149">
        <f>Office!$E$95/12*G329</f>
        <v>390.62069946483933</v>
      </c>
      <c r="J330" s="187">
        <f t="shared" si="83"/>
        <v>507.46867615280956</v>
      </c>
      <c r="K330" s="72">
        <f t="shared" si="87"/>
        <v>165</v>
      </c>
      <c r="L330" s="180">
        <f t="shared" si="84"/>
        <v>1115352.4222263272</v>
      </c>
      <c r="M330" s="181">
        <f t="shared" si="84"/>
        <v>8263.2820433441975</v>
      </c>
      <c r="N330" s="180">
        <f t="shared" si="84"/>
        <v>4495.5915982649767</v>
      </c>
      <c r="O330" s="132">
        <f t="shared" si="84"/>
        <v>3767.6904450792204</v>
      </c>
    </row>
    <row r="331" spans="1:15" x14ac:dyDescent="0.25">
      <c r="A331" s="72">
        <f t="shared" si="85"/>
        <v>166</v>
      </c>
      <c r="B331" s="183">
        <f t="shared" si="80"/>
        <v>978658.98791680974</v>
      </c>
      <c r="C331" s="184">
        <f>-Office!$E$92/12</f>
        <v>7365.1926677265483</v>
      </c>
      <c r="D331" s="183">
        <f>Office!$E$90/12*B330</f>
        <v>4091.3866414296112</v>
      </c>
      <c r="E331" s="185">
        <f t="shared" si="81"/>
        <v>3273.806026296937</v>
      </c>
      <c r="F331" s="72">
        <f t="shared" si="86"/>
        <v>166</v>
      </c>
      <c r="G331" s="180">
        <f t="shared" si="82"/>
        <v>132910.67949009573</v>
      </c>
      <c r="H331" s="186">
        <f>-Office!$E$97/12</f>
        <v>898.0893756176489</v>
      </c>
      <c r="I331" s="149">
        <f>Office!$E$95/12*G330</f>
        <v>389.14058249272694</v>
      </c>
      <c r="J331" s="187">
        <f t="shared" si="83"/>
        <v>508.94879312492196</v>
      </c>
      <c r="K331" s="72">
        <f t="shared" si="87"/>
        <v>166</v>
      </c>
      <c r="L331" s="180">
        <f t="shared" si="84"/>
        <v>1111569.6674069054</v>
      </c>
      <c r="M331" s="181">
        <f t="shared" si="84"/>
        <v>8263.2820433441975</v>
      </c>
      <c r="N331" s="180">
        <f t="shared" si="84"/>
        <v>4480.5272239223377</v>
      </c>
      <c r="O331" s="132">
        <f t="shared" si="84"/>
        <v>3782.7548194218589</v>
      </c>
    </row>
    <row r="332" spans="1:15" x14ac:dyDescent="0.25">
      <c r="A332" s="72">
        <f t="shared" si="85"/>
        <v>167</v>
      </c>
      <c r="B332" s="183">
        <f t="shared" si="80"/>
        <v>975371.54103206994</v>
      </c>
      <c r="C332" s="184">
        <f>-Office!$E$92/12</f>
        <v>7365.1926677265483</v>
      </c>
      <c r="D332" s="183">
        <f>Office!$E$90/12*B331</f>
        <v>4077.7457829867071</v>
      </c>
      <c r="E332" s="185">
        <f t="shared" si="81"/>
        <v>3287.4468847398412</v>
      </c>
      <c r="F332" s="72">
        <f t="shared" si="86"/>
        <v>167</v>
      </c>
      <c r="G332" s="180">
        <f t="shared" si="82"/>
        <v>132400.24626299087</v>
      </c>
      <c r="H332" s="186">
        <f>-Office!$E$97/12</f>
        <v>898.0893756176489</v>
      </c>
      <c r="I332" s="149">
        <f>Office!$E$95/12*G331</f>
        <v>387.65614851277923</v>
      </c>
      <c r="J332" s="187">
        <f t="shared" si="83"/>
        <v>510.43322710486967</v>
      </c>
      <c r="K332" s="72">
        <f t="shared" si="87"/>
        <v>167</v>
      </c>
      <c r="L332" s="180">
        <f t="shared" si="84"/>
        <v>1107771.7872950607</v>
      </c>
      <c r="M332" s="181">
        <f t="shared" si="84"/>
        <v>8263.2820433441975</v>
      </c>
      <c r="N332" s="180">
        <f t="shared" si="84"/>
        <v>4465.4019314994866</v>
      </c>
      <c r="O332" s="132">
        <f t="shared" si="84"/>
        <v>3797.8801118447109</v>
      </c>
    </row>
    <row r="333" spans="1:15" x14ac:dyDescent="0.25">
      <c r="A333" s="72">
        <f t="shared" si="85"/>
        <v>168</v>
      </c>
      <c r="B333" s="183">
        <f t="shared" si="80"/>
        <v>972070.39645197697</v>
      </c>
      <c r="C333" s="184">
        <f>-Office!$E$92/12</f>
        <v>7365.1926677265483</v>
      </c>
      <c r="D333" s="183">
        <f>Office!$E$90/12*B332</f>
        <v>4064.0480876336246</v>
      </c>
      <c r="E333" s="185">
        <f t="shared" si="81"/>
        <v>3301.1445800929237</v>
      </c>
      <c r="F333" s="72">
        <f t="shared" si="86"/>
        <v>168</v>
      </c>
      <c r="G333" s="180">
        <f t="shared" si="82"/>
        <v>131888.32427230696</v>
      </c>
      <c r="H333" s="186">
        <f>-Office!$E$97/12</f>
        <v>898.0893756176489</v>
      </c>
      <c r="I333" s="149">
        <f>Office!$E$95/12*G332</f>
        <v>386.16738493372338</v>
      </c>
      <c r="J333" s="187">
        <f t="shared" si="83"/>
        <v>511.92199068392551</v>
      </c>
      <c r="K333" s="72">
        <f t="shared" si="87"/>
        <v>168</v>
      </c>
      <c r="L333" s="180">
        <f t="shared" si="84"/>
        <v>1103958.720724284</v>
      </c>
      <c r="M333" s="181">
        <f t="shared" si="84"/>
        <v>8263.2820433441975</v>
      </c>
      <c r="N333" s="180">
        <f t="shared" si="84"/>
        <v>4450.2154725673481</v>
      </c>
      <c r="O333" s="132">
        <f t="shared" si="84"/>
        <v>3813.0665707768494</v>
      </c>
    </row>
    <row r="334" spans="1:15" x14ac:dyDescent="0.25">
      <c r="A334" s="72">
        <f t="shared" si="85"/>
        <v>169</v>
      </c>
      <c r="B334" s="183">
        <f t="shared" si="80"/>
        <v>968755.49710280029</v>
      </c>
      <c r="C334" s="184">
        <f>-Office!$E$92/12</f>
        <v>7365.1926677265483</v>
      </c>
      <c r="D334" s="183">
        <f>Office!$E$90/12*B333</f>
        <v>4050.2933185499041</v>
      </c>
      <c r="E334" s="185">
        <f t="shared" si="81"/>
        <v>3314.8993491766441</v>
      </c>
      <c r="F334" s="72">
        <f t="shared" si="86"/>
        <v>169</v>
      </c>
      <c r="G334" s="180">
        <f t="shared" si="82"/>
        <v>131374.90917581687</v>
      </c>
      <c r="H334" s="186">
        <f>-Office!$E$97/12</f>
        <v>898.0893756176489</v>
      </c>
      <c r="I334" s="149">
        <f>Office!$E$95/12*G333</f>
        <v>384.67427912756199</v>
      </c>
      <c r="J334" s="187">
        <f t="shared" si="83"/>
        <v>513.41509649008685</v>
      </c>
      <c r="K334" s="72">
        <f t="shared" si="87"/>
        <v>169</v>
      </c>
      <c r="L334" s="180">
        <f t="shared" si="84"/>
        <v>1100130.4062786172</v>
      </c>
      <c r="M334" s="181">
        <f t="shared" si="84"/>
        <v>8263.2820433441975</v>
      </c>
      <c r="N334" s="180">
        <f t="shared" si="84"/>
        <v>4434.9675976774661</v>
      </c>
      <c r="O334" s="132">
        <f t="shared" si="84"/>
        <v>3828.314445666731</v>
      </c>
    </row>
    <row r="335" spans="1:15" x14ac:dyDescent="0.25">
      <c r="A335" s="72">
        <f t="shared" si="85"/>
        <v>170</v>
      </c>
      <c r="B335" s="183">
        <f t="shared" si="80"/>
        <v>965426.78567300213</v>
      </c>
      <c r="C335" s="184">
        <f>-Office!$E$92/12</f>
        <v>7365.1926677265483</v>
      </c>
      <c r="D335" s="183">
        <f>Office!$E$90/12*B334</f>
        <v>4036.4812379283344</v>
      </c>
      <c r="E335" s="185">
        <f t="shared" si="81"/>
        <v>3328.7114297982139</v>
      </c>
      <c r="F335" s="72">
        <f t="shared" si="86"/>
        <v>170</v>
      </c>
      <c r="G335" s="180">
        <f t="shared" si="82"/>
        <v>130859.99661862868</v>
      </c>
      <c r="H335" s="186">
        <f>-Office!$E$97/12</f>
        <v>898.0893756176489</v>
      </c>
      <c r="I335" s="149">
        <f>Office!$E$95/12*G334</f>
        <v>383.17681842946587</v>
      </c>
      <c r="J335" s="187">
        <f t="shared" si="83"/>
        <v>514.91255718818297</v>
      </c>
      <c r="K335" s="72">
        <f t="shared" si="87"/>
        <v>170</v>
      </c>
      <c r="L335" s="180">
        <f t="shared" si="84"/>
        <v>1096286.7822916307</v>
      </c>
      <c r="M335" s="181">
        <f t="shared" si="84"/>
        <v>8263.2820433441975</v>
      </c>
      <c r="N335" s="180">
        <f t="shared" si="84"/>
        <v>4419.6580563578</v>
      </c>
      <c r="O335" s="132">
        <f t="shared" si="84"/>
        <v>3843.6239869863966</v>
      </c>
    </row>
    <row r="336" spans="1:15" x14ac:dyDescent="0.25">
      <c r="A336" s="72">
        <f t="shared" si="85"/>
        <v>171</v>
      </c>
      <c r="B336" s="183">
        <f t="shared" si="80"/>
        <v>962084.20461224648</v>
      </c>
      <c r="C336" s="184">
        <f>-Office!$E$92/12</f>
        <v>7365.1926677265483</v>
      </c>
      <c r="D336" s="183">
        <f>Office!$E$90/12*B335</f>
        <v>4022.6116069708423</v>
      </c>
      <c r="E336" s="185">
        <f t="shared" si="81"/>
        <v>3342.5810607557059</v>
      </c>
      <c r="F336" s="72">
        <f t="shared" si="86"/>
        <v>171</v>
      </c>
      <c r="G336" s="180">
        <f t="shared" si="82"/>
        <v>130343.5822331487</v>
      </c>
      <c r="H336" s="186">
        <f>-Office!$E$97/12</f>
        <v>898.0893756176489</v>
      </c>
      <c r="I336" s="149">
        <f>Office!$E$95/12*G335</f>
        <v>381.67499013766701</v>
      </c>
      <c r="J336" s="187">
        <f t="shared" si="83"/>
        <v>516.41438547998189</v>
      </c>
      <c r="K336" s="72">
        <f t="shared" si="87"/>
        <v>171</v>
      </c>
      <c r="L336" s="180">
        <f t="shared" si="84"/>
        <v>1092427.7868453951</v>
      </c>
      <c r="M336" s="181">
        <f t="shared" si="84"/>
        <v>8263.2820433441975</v>
      </c>
      <c r="N336" s="180">
        <f t="shared" si="84"/>
        <v>4404.2865971085093</v>
      </c>
      <c r="O336" s="132">
        <f t="shared" si="84"/>
        <v>3858.9954462356877</v>
      </c>
    </row>
    <row r="337" spans="1:15" x14ac:dyDescent="0.25">
      <c r="A337" s="72">
        <f t="shared" si="85"/>
        <v>172</v>
      </c>
      <c r="B337" s="183">
        <f t="shared" si="80"/>
        <v>958727.69613040425</v>
      </c>
      <c r="C337" s="184">
        <f>-Office!$E$92/12</f>
        <v>7365.1926677265483</v>
      </c>
      <c r="D337" s="183">
        <f>Office!$E$90/12*B336</f>
        <v>4008.6841858843604</v>
      </c>
      <c r="E337" s="185">
        <f t="shared" si="81"/>
        <v>3356.5084818421878</v>
      </c>
      <c r="F337" s="72">
        <f t="shared" si="86"/>
        <v>172</v>
      </c>
      <c r="G337" s="180">
        <f t="shared" si="82"/>
        <v>129825.6616390444</v>
      </c>
      <c r="H337" s="186">
        <f>-Office!$E$97/12</f>
        <v>898.0893756176489</v>
      </c>
      <c r="I337" s="149">
        <f>Office!$E$95/12*G336</f>
        <v>380.16878151335038</v>
      </c>
      <c r="J337" s="187">
        <f t="shared" si="83"/>
        <v>517.92059410429852</v>
      </c>
      <c r="K337" s="72">
        <f t="shared" si="87"/>
        <v>172</v>
      </c>
      <c r="L337" s="180">
        <f t="shared" si="84"/>
        <v>1088553.3577694485</v>
      </c>
      <c r="M337" s="181">
        <f t="shared" si="84"/>
        <v>8263.2820433441975</v>
      </c>
      <c r="N337" s="180">
        <f t="shared" si="84"/>
        <v>4388.8529673977109</v>
      </c>
      <c r="O337" s="132">
        <f t="shared" si="84"/>
        <v>3874.4290759464866</v>
      </c>
    </row>
    <row r="338" spans="1:15" x14ac:dyDescent="0.25">
      <c r="A338" s="72">
        <f t="shared" si="85"/>
        <v>173</v>
      </c>
      <c r="B338" s="183">
        <f t="shared" si="80"/>
        <v>955357.2021965544</v>
      </c>
      <c r="C338" s="184">
        <f>-Office!$E$92/12</f>
        <v>7365.1926677265483</v>
      </c>
      <c r="D338" s="183">
        <f>Office!$E$90/12*B337</f>
        <v>3994.6987338766844</v>
      </c>
      <c r="E338" s="185">
        <f t="shared" si="81"/>
        <v>3370.4939338498639</v>
      </c>
      <c r="F338" s="72">
        <f t="shared" si="86"/>
        <v>173</v>
      </c>
      <c r="G338" s="180">
        <f t="shared" si="82"/>
        <v>129306.2304432073</v>
      </c>
      <c r="H338" s="186">
        <f>-Office!$E$97/12</f>
        <v>898.0893756176489</v>
      </c>
      <c r="I338" s="149">
        <f>Office!$E$95/12*G337</f>
        <v>378.65817978054616</v>
      </c>
      <c r="J338" s="187">
        <f t="shared" si="83"/>
        <v>519.43119583710268</v>
      </c>
      <c r="K338" s="72">
        <f t="shared" si="87"/>
        <v>173</v>
      </c>
      <c r="L338" s="180">
        <f t="shared" si="84"/>
        <v>1084663.4326397616</v>
      </c>
      <c r="M338" s="181">
        <f t="shared" si="84"/>
        <v>8263.2820433441975</v>
      </c>
      <c r="N338" s="180">
        <f t="shared" si="84"/>
        <v>4373.3569136572305</v>
      </c>
      <c r="O338" s="132">
        <f t="shared" si="84"/>
        <v>3889.9251296869666</v>
      </c>
    </row>
    <row r="339" spans="1:15" x14ac:dyDescent="0.25">
      <c r="A339" s="72">
        <f t="shared" si="85"/>
        <v>174</v>
      </c>
      <c r="B339" s="183">
        <f t="shared" si="80"/>
        <v>951972.6645379801</v>
      </c>
      <c r="C339" s="184">
        <f>-Office!$E$92/12</f>
        <v>7365.1926677265483</v>
      </c>
      <c r="D339" s="183">
        <f>Office!$E$90/12*B338</f>
        <v>3980.65500915231</v>
      </c>
      <c r="E339" s="185">
        <f t="shared" si="81"/>
        <v>3384.5376585742383</v>
      </c>
      <c r="F339" s="72">
        <f t="shared" si="86"/>
        <v>174</v>
      </c>
      <c r="G339" s="180">
        <f t="shared" si="82"/>
        <v>128785.28423971568</v>
      </c>
      <c r="H339" s="186">
        <f>-Office!$E$97/12</f>
        <v>898.0893756176489</v>
      </c>
      <c r="I339" s="149">
        <f>Office!$E$95/12*G338</f>
        <v>377.14317212602128</v>
      </c>
      <c r="J339" s="187">
        <f t="shared" si="83"/>
        <v>520.94620349162756</v>
      </c>
      <c r="K339" s="72">
        <f t="shared" si="87"/>
        <v>174</v>
      </c>
      <c r="L339" s="180">
        <f t="shared" si="84"/>
        <v>1080757.9487776959</v>
      </c>
      <c r="M339" s="181">
        <f t="shared" si="84"/>
        <v>8263.2820433441975</v>
      </c>
      <c r="N339" s="180">
        <f t="shared" si="84"/>
        <v>4357.798181278331</v>
      </c>
      <c r="O339" s="132">
        <f t="shared" si="84"/>
        <v>3905.4838620658657</v>
      </c>
    </row>
    <row r="340" spans="1:15" x14ac:dyDescent="0.25">
      <c r="A340" s="72">
        <f t="shared" si="85"/>
        <v>175</v>
      </c>
      <c r="B340" s="183">
        <f t="shared" si="80"/>
        <v>948574.02463916177</v>
      </c>
      <c r="C340" s="184">
        <f>-Office!$E$92/12</f>
        <v>7365.1926677265483</v>
      </c>
      <c r="D340" s="183">
        <f>Office!$E$90/12*B339</f>
        <v>3966.5527689082505</v>
      </c>
      <c r="E340" s="185">
        <f t="shared" si="81"/>
        <v>3398.6398988182978</v>
      </c>
      <c r="F340" s="72">
        <f t="shared" si="86"/>
        <v>175</v>
      </c>
      <c r="G340" s="180">
        <f t="shared" si="82"/>
        <v>128262.81860979721</v>
      </c>
      <c r="H340" s="186">
        <f>-Office!$E$97/12</f>
        <v>898.0893756176489</v>
      </c>
      <c r="I340" s="149">
        <f>Office!$E$95/12*G339</f>
        <v>375.62374569917074</v>
      </c>
      <c r="J340" s="187">
        <f t="shared" si="83"/>
        <v>522.46562991847816</v>
      </c>
      <c r="K340" s="72">
        <f t="shared" si="87"/>
        <v>175</v>
      </c>
      <c r="L340" s="180">
        <f t="shared" si="84"/>
        <v>1076836.8432489589</v>
      </c>
      <c r="M340" s="181">
        <f t="shared" si="84"/>
        <v>8263.2820433441975</v>
      </c>
      <c r="N340" s="180">
        <f t="shared" si="84"/>
        <v>4342.1765146074213</v>
      </c>
      <c r="O340" s="132">
        <f t="shared" si="84"/>
        <v>3921.1055287367758</v>
      </c>
    </row>
    <row r="341" spans="1:15" x14ac:dyDescent="0.25">
      <c r="A341" s="72">
        <f t="shared" si="85"/>
        <v>176</v>
      </c>
      <c r="B341" s="183">
        <f t="shared" si="80"/>
        <v>945161.22374076501</v>
      </c>
      <c r="C341" s="184">
        <f>-Office!$E$92/12</f>
        <v>7365.1926677265483</v>
      </c>
      <c r="D341" s="183">
        <f>Office!$E$90/12*B340</f>
        <v>3952.3917693298408</v>
      </c>
      <c r="E341" s="185">
        <f t="shared" si="81"/>
        <v>3412.8008983967075</v>
      </c>
      <c r="F341" s="72">
        <f t="shared" si="86"/>
        <v>176</v>
      </c>
      <c r="G341" s="180">
        <f t="shared" si="82"/>
        <v>127738.82912179147</v>
      </c>
      <c r="H341" s="186">
        <f>-Office!$E$97/12</f>
        <v>898.0893756176489</v>
      </c>
      <c r="I341" s="149">
        <f>Office!$E$95/12*G340</f>
        <v>374.09988761190851</v>
      </c>
      <c r="J341" s="187">
        <f t="shared" si="83"/>
        <v>523.98948800574044</v>
      </c>
      <c r="K341" s="72">
        <f t="shared" si="87"/>
        <v>176</v>
      </c>
      <c r="L341" s="180">
        <f t="shared" si="84"/>
        <v>1072900.0528625564</v>
      </c>
      <c r="M341" s="181">
        <f t="shared" si="84"/>
        <v>8263.2820433441975</v>
      </c>
      <c r="N341" s="180">
        <f t="shared" si="84"/>
        <v>4326.4916569417492</v>
      </c>
      <c r="O341" s="132">
        <f t="shared" si="84"/>
        <v>3936.7903864024479</v>
      </c>
    </row>
    <row r="342" spans="1:15" x14ac:dyDescent="0.25">
      <c r="A342" s="72">
        <f t="shared" si="85"/>
        <v>177</v>
      </c>
      <c r="B342" s="183">
        <f t="shared" si="80"/>
        <v>941734.20283862494</v>
      </c>
      <c r="C342" s="184">
        <f>-Office!$E$92/12</f>
        <v>7365.1926677265483</v>
      </c>
      <c r="D342" s="183">
        <f>Office!$E$90/12*B341</f>
        <v>3938.1717655865209</v>
      </c>
      <c r="E342" s="185">
        <f t="shared" si="81"/>
        <v>3427.0209021400274</v>
      </c>
      <c r="F342" s="72">
        <f t="shared" si="86"/>
        <v>177</v>
      </c>
      <c r="G342" s="180">
        <f t="shared" si="82"/>
        <v>127213.31133111237</v>
      </c>
      <c r="H342" s="186">
        <f>-Office!$E$97/12</f>
        <v>898.0893756176489</v>
      </c>
      <c r="I342" s="149">
        <f>Office!$E$95/12*G341</f>
        <v>372.57158493855849</v>
      </c>
      <c r="J342" s="187">
        <f t="shared" si="83"/>
        <v>525.51779067909047</v>
      </c>
      <c r="K342" s="72">
        <f t="shared" si="87"/>
        <v>177</v>
      </c>
      <c r="L342" s="180">
        <f t="shared" si="84"/>
        <v>1068947.5141697372</v>
      </c>
      <c r="M342" s="181">
        <f t="shared" si="84"/>
        <v>8263.2820433441975</v>
      </c>
      <c r="N342" s="180">
        <f t="shared" si="84"/>
        <v>4310.7433505250792</v>
      </c>
      <c r="O342" s="132">
        <f t="shared" si="84"/>
        <v>3952.5386928191178</v>
      </c>
    </row>
    <row r="343" spans="1:15" x14ac:dyDescent="0.25">
      <c r="A343" s="72">
        <f t="shared" si="85"/>
        <v>178</v>
      </c>
      <c r="B343" s="183">
        <f t="shared" si="80"/>
        <v>938292.90268272604</v>
      </c>
      <c r="C343" s="184">
        <f>-Office!$E$92/12</f>
        <v>7365.1926677265483</v>
      </c>
      <c r="D343" s="183">
        <f>Office!$E$90/12*B342</f>
        <v>3923.8925118276038</v>
      </c>
      <c r="E343" s="185">
        <f t="shared" si="81"/>
        <v>3441.3001558989445</v>
      </c>
      <c r="F343" s="72">
        <f t="shared" si="86"/>
        <v>178</v>
      </c>
      <c r="G343" s="180">
        <f t="shared" si="82"/>
        <v>126686.26078021048</v>
      </c>
      <c r="H343" s="186">
        <f>-Office!$E$97/12</f>
        <v>898.0893756176489</v>
      </c>
      <c r="I343" s="149">
        <f>Office!$E$95/12*G342</f>
        <v>371.03882471574445</v>
      </c>
      <c r="J343" s="187">
        <f t="shared" si="83"/>
        <v>527.05055090190444</v>
      </c>
      <c r="K343" s="72">
        <f t="shared" si="87"/>
        <v>178</v>
      </c>
      <c r="L343" s="180">
        <f t="shared" si="84"/>
        <v>1064979.1634629364</v>
      </c>
      <c r="M343" s="181">
        <f t="shared" si="84"/>
        <v>8263.2820433441975</v>
      </c>
      <c r="N343" s="180">
        <f t="shared" si="84"/>
        <v>4294.9313365433482</v>
      </c>
      <c r="O343" s="132">
        <f t="shared" si="84"/>
        <v>3968.3507068008489</v>
      </c>
    </row>
    <row r="344" spans="1:15" x14ac:dyDescent="0.25">
      <c r="A344" s="72">
        <f t="shared" si="85"/>
        <v>179</v>
      </c>
      <c r="B344" s="183">
        <f t="shared" si="80"/>
        <v>934837.26377617754</v>
      </c>
      <c r="C344" s="184">
        <f>-Office!$E$92/12</f>
        <v>7365.1926677265483</v>
      </c>
      <c r="D344" s="183">
        <f>Office!$E$90/12*B343</f>
        <v>3909.5537611780251</v>
      </c>
      <c r="E344" s="185">
        <f t="shared" si="81"/>
        <v>3455.6389065485232</v>
      </c>
      <c r="F344" s="72">
        <f t="shared" si="86"/>
        <v>179</v>
      </c>
      <c r="G344" s="180">
        <f t="shared" si="82"/>
        <v>126157.67299853511</v>
      </c>
      <c r="H344" s="186">
        <f>-Office!$E$97/12</f>
        <v>898.0893756176489</v>
      </c>
      <c r="I344" s="149">
        <f>Office!$E$95/12*G343</f>
        <v>369.50159394228058</v>
      </c>
      <c r="J344" s="187">
        <f t="shared" si="83"/>
        <v>528.58778167536832</v>
      </c>
      <c r="K344" s="72">
        <f t="shared" si="87"/>
        <v>179</v>
      </c>
      <c r="L344" s="180">
        <f t="shared" si="84"/>
        <v>1060994.9367747128</v>
      </c>
      <c r="M344" s="181">
        <f t="shared" si="84"/>
        <v>8263.2820433441975</v>
      </c>
      <c r="N344" s="180">
        <f t="shared" si="84"/>
        <v>4279.0553551203056</v>
      </c>
      <c r="O344" s="132">
        <f t="shared" si="84"/>
        <v>3984.2266882238914</v>
      </c>
    </row>
    <row r="345" spans="1:15" x14ac:dyDescent="0.25">
      <c r="A345" s="72">
        <f t="shared" si="85"/>
        <v>180</v>
      </c>
      <c r="B345" s="183">
        <f t="shared" si="80"/>
        <v>931367.22637418506</v>
      </c>
      <c r="C345" s="184">
        <f>-Office!$E$92/12</f>
        <v>7365.1926677265483</v>
      </c>
      <c r="D345" s="183">
        <f>Office!$E$90/12*B344</f>
        <v>3895.1552657340731</v>
      </c>
      <c r="E345" s="185">
        <f t="shared" si="81"/>
        <v>3470.0374019924752</v>
      </c>
      <c r="F345" s="72">
        <f t="shared" si="86"/>
        <v>180</v>
      </c>
      <c r="G345" s="180">
        <f t="shared" si="82"/>
        <v>125627.54350249653</v>
      </c>
      <c r="H345" s="186">
        <f>-Office!$E$97/12</f>
        <v>898.0893756176489</v>
      </c>
      <c r="I345" s="149">
        <f>Office!$E$95/12*G344</f>
        <v>367.95987957906078</v>
      </c>
      <c r="J345" s="187">
        <f t="shared" si="83"/>
        <v>530.12949603858806</v>
      </c>
      <c r="K345" s="72">
        <f t="shared" si="87"/>
        <v>180</v>
      </c>
      <c r="L345" s="180">
        <f t="shared" si="84"/>
        <v>1056994.7698766815</v>
      </c>
      <c r="M345" s="181">
        <f t="shared" si="84"/>
        <v>8263.2820433441975</v>
      </c>
      <c r="N345" s="180">
        <f t="shared" si="84"/>
        <v>4263.1151453131342</v>
      </c>
      <c r="O345" s="132">
        <f t="shared" si="84"/>
        <v>4000.1668980310633</v>
      </c>
    </row>
    <row r="346" spans="1:15" x14ac:dyDescent="0.25">
      <c r="A346" s="72">
        <f t="shared" si="85"/>
        <v>181</v>
      </c>
      <c r="B346" s="183">
        <f t="shared" si="80"/>
        <v>927882.73048301763</v>
      </c>
      <c r="C346" s="184">
        <f>-Office!$E$92/12</f>
        <v>7365.1926677265483</v>
      </c>
      <c r="D346" s="183">
        <f>Office!$E$90/12*B345</f>
        <v>3880.6967765591044</v>
      </c>
      <c r="E346" s="185">
        <f t="shared" si="81"/>
        <v>3484.4958911674439</v>
      </c>
      <c r="F346" s="72">
        <f t="shared" si="86"/>
        <v>181</v>
      </c>
      <c r="G346" s="180">
        <f t="shared" si="82"/>
        <v>125095.86779542782</v>
      </c>
      <c r="H346" s="186">
        <f>-Office!$E$97/12</f>
        <v>898.0893756176489</v>
      </c>
      <c r="I346" s="149">
        <f>Office!$E$95/12*G345</f>
        <v>366.41366854894824</v>
      </c>
      <c r="J346" s="187">
        <f t="shared" si="83"/>
        <v>531.6757070687006</v>
      </c>
      <c r="K346" s="72">
        <f t="shared" si="87"/>
        <v>181</v>
      </c>
      <c r="L346" s="180">
        <f t="shared" si="84"/>
        <v>1052978.5982784454</v>
      </c>
      <c r="M346" s="181">
        <f t="shared" si="84"/>
        <v>8263.2820433441975</v>
      </c>
      <c r="N346" s="180">
        <f t="shared" si="84"/>
        <v>4247.1104451080528</v>
      </c>
      <c r="O346" s="132">
        <f t="shared" si="84"/>
        <v>4016.1715982361447</v>
      </c>
    </row>
    <row r="347" spans="1:15" x14ac:dyDescent="0.25">
      <c r="A347" s="72">
        <f t="shared" si="85"/>
        <v>182</v>
      </c>
      <c r="B347" s="183">
        <f t="shared" si="80"/>
        <v>924383.7158589703</v>
      </c>
      <c r="C347" s="184">
        <f>-Office!$E$92/12</f>
        <v>7365.1926677265483</v>
      </c>
      <c r="D347" s="183">
        <f>Office!$E$90/12*B346</f>
        <v>3866.1780436792401</v>
      </c>
      <c r="E347" s="185">
        <f t="shared" si="81"/>
        <v>3499.0146240473082</v>
      </c>
      <c r="F347" s="72">
        <f t="shared" si="86"/>
        <v>182</v>
      </c>
      <c r="G347" s="180">
        <f t="shared" si="82"/>
        <v>124562.64136754684</v>
      </c>
      <c r="H347" s="186">
        <f>-Office!$E$97/12</f>
        <v>898.0893756176489</v>
      </c>
      <c r="I347" s="149">
        <f>Office!$E$95/12*G346</f>
        <v>364.86294773666452</v>
      </c>
      <c r="J347" s="187">
        <f t="shared" si="83"/>
        <v>533.22642788098437</v>
      </c>
      <c r="K347" s="72">
        <f t="shared" si="87"/>
        <v>182</v>
      </c>
      <c r="L347" s="180">
        <f t="shared" si="84"/>
        <v>1048946.3572265171</v>
      </c>
      <c r="M347" s="181">
        <f t="shared" si="84"/>
        <v>8263.2820433441975</v>
      </c>
      <c r="N347" s="180">
        <f t="shared" si="84"/>
        <v>4231.0409914159045</v>
      </c>
      <c r="O347" s="132">
        <f t="shared" si="84"/>
        <v>4032.2410519282926</v>
      </c>
    </row>
    <row r="348" spans="1:15" x14ac:dyDescent="0.25">
      <c r="A348" s="72">
        <f t="shared" si="85"/>
        <v>183</v>
      </c>
      <c r="B348" s="183">
        <f t="shared" si="80"/>
        <v>920870.12200732285</v>
      </c>
      <c r="C348" s="184">
        <f>-Office!$E$92/12</f>
        <v>7365.1926677265483</v>
      </c>
      <c r="D348" s="183">
        <f>Office!$E$90/12*B347</f>
        <v>3851.598816079043</v>
      </c>
      <c r="E348" s="185">
        <f t="shared" si="81"/>
        <v>3513.5938516475053</v>
      </c>
      <c r="F348" s="72">
        <f t="shared" si="86"/>
        <v>183</v>
      </c>
      <c r="G348" s="180">
        <f t="shared" si="82"/>
        <v>124027.85969591787</v>
      </c>
      <c r="H348" s="186">
        <f>-Office!$E$97/12</f>
        <v>898.0893756176489</v>
      </c>
      <c r="I348" s="149">
        <f>Office!$E$95/12*G347</f>
        <v>363.30770398867827</v>
      </c>
      <c r="J348" s="187">
        <f t="shared" si="83"/>
        <v>534.78167162897057</v>
      </c>
      <c r="K348" s="72">
        <f t="shared" si="87"/>
        <v>183</v>
      </c>
      <c r="L348" s="180">
        <f t="shared" si="84"/>
        <v>1044897.9817032407</v>
      </c>
      <c r="M348" s="181">
        <f t="shared" si="84"/>
        <v>8263.2820433441975</v>
      </c>
      <c r="N348" s="180">
        <f t="shared" si="84"/>
        <v>4214.9065200677214</v>
      </c>
      <c r="O348" s="132">
        <f t="shared" si="84"/>
        <v>4048.3755232764761</v>
      </c>
    </row>
    <row r="349" spans="1:15" x14ac:dyDescent="0.25">
      <c r="A349" s="72">
        <f t="shared" si="85"/>
        <v>184</v>
      </c>
      <c r="B349" s="183">
        <f t="shared" si="80"/>
        <v>917341.8881812935</v>
      </c>
      <c r="C349" s="184">
        <f>-Office!$E$92/12</f>
        <v>7365.1926677265483</v>
      </c>
      <c r="D349" s="183">
        <f>Office!$E$90/12*B348</f>
        <v>3836.9588416971783</v>
      </c>
      <c r="E349" s="185">
        <f t="shared" si="81"/>
        <v>3528.23382602937</v>
      </c>
      <c r="F349" s="72">
        <f t="shared" si="86"/>
        <v>184</v>
      </c>
      <c r="G349" s="180">
        <f t="shared" si="82"/>
        <v>123491.51824441331</v>
      </c>
      <c r="H349" s="186">
        <f>-Office!$E$97/12</f>
        <v>898.0893756176489</v>
      </c>
      <c r="I349" s="149">
        <f>Office!$E$95/12*G348</f>
        <v>361.7479241130938</v>
      </c>
      <c r="J349" s="187">
        <f t="shared" si="83"/>
        <v>536.34145150455515</v>
      </c>
      <c r="K349" s="72">
        <f t="shared" si="87"/>
        <v>184</v>
      </c>
      <c r="L349" s="180">
        <f t="shared" si="84"/>
        <v>1040833.4064257068</v>
      </c>
      <c r="M349" s="181">
        <f t="shared" si="84"/>
        <v>8263.2820433441975</v>
      </c>
      <c r="N349" s="180">
        <f t="shared" si="84"/>
        <v>4198.7067658102724</v>
      </c>
      <c r="O349" s="132">
        <f t="shared" si="84"/>
        <v>4064.5752775339251</v>
      </c>
    </row>
    <row r="350" spans="1:15" x14ac:dyDescent="0.25">
      <c r="A350" s="72">
        <f t="shared" si="85"/>
        <v>185</v>
      </c>
      <c r="B350" s="183">
        <f t="shared" si="80"/>
        <v>913798.95338098903</v>
      </c>
      <c r="C350" s="184">
        <f>-Office!$E$92/12</f>
        <v>7365.1926677265483</v>
      </c>
      <c r="D350" s="183">
        <f>Office!$E$90/12*B349</f>
        <v>3822.2578674220563</v>
      </c>
      <c r="E350" s="185">
        <f t="shared" si="81"/>
        <v>3542.934800304492</v>
      </c>
      <c r="F350" s="72">
        <f t="shared" si="86"/>
        <v>185</v>
      </c>
      <c r="G350" s="180">
        <f t="shared" si="82"/>
        <v>122953.61246367521</v>
      </c>
      <c r="H350" s="186">
        <f>-Office!$E$97/12</f>
        <v>898.0893756176489</v>
      </c>
      <c r="I350" s="149">
        <f>Office!$E$95/12*G349</f>
        <v>360.18359487953882</v>
      </c>
      <c r="J350" s="187">
        <f t="shared" si="83"/>
        <v>537.90578073811002</v>
      </c>
      <c r="K350" s="72">
        <f t="shared" si="87"/>
        <v>185</v>
      </c>
      <c r="L350" s="180">
        <f t="shared" si="84"/>
        <v>1036752.5658446642</v>
      </c>
      <c r="M350" s="181">
        <f t="shared" si="84"/>
        <v>8263.2820433441975</v>
      </c>
      <c r="N350" s="180">
        <f t="shared" si="84"/>
        <v>4182.4414623015955</v>
      </c>
      <c r="O350" s="132">
        <f t="shared" si="84"/>
        <v>4080.840581042602</v>
      </c>
    </row>
    <row r="351" spans="1:15" x14ac:dyDescent="0.25">
      <c r="A351" s="72">
        <f t="shared" si="85"/>
        <v>186</v>
      </c>
      <c r="B351" s="183">
        <f t="shared" si="80"/>
        <v>910241.25635234988</v>
      </c>
      <c r="C351" s="184">
        <f>-Office!$E$92/12</f>
        <v>7365.1926677265483</v>
      </c>
      <c r="D351" s="183">
        <f>Office!$E$90/12*B350</f>
        <v>3807.495639087454</v>
      </c>
      <c r="E351" s="185">
        <f t="shared" si="81"/>
        <v>3557.6970286390942</v>
      </c>
      <c r="F351" s="72">
        <f t="shared" si="86"/>
        <v>186</v>
      </c>
      <c r="G351" s="180">
        <f t="shared" si="82"/>
        <v>122414.13779107662</v>
      </c>
      <c r="H351" s="186">
        <f>-Office!$E$97/12</f>
        <v>898.0893756176489</v>
      </c>
      <c r="I351" s="149">
        <f>Office!$E$95/12*G350</f>
        <v>358.61470301905268</v>
      </c>
      <c r="J351" s="187">
        <f t="shared" si="83"/>
        <v>539.47467259859627</v>
      </c>
      <c r="K351" s="72">
        <f t="shared" si="87"/>
        <v>186</v>
      </c>
      <c r="L351" s="180">
        <f t="shared" si="84"/>
        <v>1032655.3941434266</v>
      </c>
      <c r="M351" s="181">
        <f t="shared" si="84"/>
        <v>8263.2820433441975</v>
      </c>
      <c r="N351" s="180">
        <f t="shared" si="84"/>
        <v>4166.1103421065063</v>
      </c>
      <c r="O351" s="132">
        <f t="shared" si="84"/>
        <v>4097.1717012376903</v>
      </c>
    </row>
    <row r="352" spans="1:15" x14ac:dyDescent="0.25">
      <c r="A352" s="72">
        <f t="shared" si="85"/>
        <v>187</v>
      </c>
      <c r="B352" s="183">
        <f t="shared" si="80"/>
        <v>906668.73558609141</v>
      </c>
      <c r="C352" s="184">
        <f>-Office!$E$92/12</f>
        <v>7365.1926677265483</v>
      </c>
      <c r="D352" s="183">
        <f>Office!$E$90/12*B351</f>
        <v>3792.6719014681244</v>
      </c>
      <c r="E352" s="185">
        <f t="shared" si="81"/>
        <v>3572.5207662584239</v>
      </c>
      <c r="F352" s="72">
        <f t="shared" si="86"/>
        <v>187</v>
      </c>
      <c r="G352" s="180">
        <f t="shared" si="82"/>
        <v>121873.08965068294</v>
      </c>
      <c r="H352" s="186">
        <f>-Office!$E$97/12</f>
        <v>898.0893756176489</v>
      </c>
      <c r="I352" s="149">
        <f>Office!$E$95/12*G351</f>
        <v>357.0412352239735</v>
      </c>
      <c r="J352" s="187">
        <f t="shared" si="83"/>
        <v>541.04814039367534</v>
      </c>
      <c r="K352" s="72">
        <f t="shared" si="87"/>
        <v>187</v>
      </c>
      <c r="L352" s="180">
        <f t="shared" si="84"/>
        <v>1028541.8252367744</v>
      </c>
      <c r="M352" s="181">
        <f t="shared" si="84"/>
        <v>8263.2820433441975</v>
      </c>
      <c r="N352" s="180">
        <f t="shared" si="84"/>
        <v>4149.7131366920976</v>
      </c>
      <c r="O352" s="132">
        <f t="shared" si="84"/>
        <v>4113.568906652099</v>
      </c>
    </row>
    <row r="353" spans="1:15" x14ac:dyDescent="0.25">
      <c r="A353" s="72">
        <f t="shared" si="85"/>
        <v>188</v>
      </c>
      <c r="B353" s="183">
        <f t="shared" si="80"/>
        <v>903081.32931664027</v>
      </c>
      <c r="C353" s="184">
        <f>-Office!$E$92/12</f>
        <v>7365.1926677265483</v>
      </c>
      <c r="D353" s="183">
        <f>Office!$E$90/12*B352</f>
        <v>3777.7863982753806</v>
      </c>
      <c r="E353" s="185">
        <f t="shared" si="81"/>
        <v>3587.4062694511676</v>
      </c>
      <c r="F353" s="72">
        <f t="shared" si="86"/>
        <v>188</v>
      </c>
      <c r="G353" s="180">
        <f t="shared" si="82"/>
        <v>121330.46345321312</v>
      </c>
      <c r="H353" s="186">
        <f>-Office!$E$97/12</f>
        <v>898.0893756176489</v>
      </c>
      <c r="I353" s="149">
        <f>Office!$E$95/12*G352</f>
        <v>355.46317814782526</v>
      </c>
      <c r="J353" s="187">
        <f t="shared" si="83"/>
        <v>542.62619746982364</v>
      </c>
      <c r="K353" s="72">
        <f t="shared" si="87"/>
        <v>188</v>
      </c>
      <c r="L353" s="180">
        <f t="shared" si="84"/>
        <v>1024411.7927698534</v>
      </c>
      <c r="M353" s="181">
        <f t="shared" si="84"/>
        <v>8263.2820433441975</v>
      </c>
      <c r="N353" s="180">
        <f t="shared" si="84"/>
        <v>4133.2495764232062</v>
      </c>
      <c r="O353" s="132">
        <f t="shared" si="84"/>
        <v>4130.0324669209913</v>
      </c>
    </row>
    <row r="354" spans="1:15" x14ac:dyDescent="0.25">
      <c r="A354" s="72">
        <f t="shared" si="85"/>
        <v>189</v>
      </c>
      <c r="B354" s="183">
        <f t="shared" si="80"/>
        <v>899478.97552106634</v>
      </c>
      <c r="C354" s="184">
        <f>-Office!$E$92/12</f>
        <v>7365.1926677265483</v>
      </c>
      <c r="D354" s="183">
        <f>Office!$E$90/12*B353</f>
        <v>3762.8388721526676</v>
      </c>
      <c r="E354" s="185">
        <f t="shared" si="81"/>
        <v>3602.3537955738807</v>
      </c>
      <c r="F354" s="72">
        <f t="shared" si="86"/>
        <v>189</v>
      </c>
      <c r="G354" s="180">
        <f t="shared" si="82"/>
        <v>120786.25459600067</v>
      </c>
      <c r="H354" s="186">
        <f>-Office!$E$97/12</f>
        <v>898.0893756176489</v>
      </c>
      <c r="I354" s="149">
        <f>Office!$E$95/12*G353</f>
        <v>353.88051840520495</v>
      </c>
      <c r="J354" s="187">
        <f t="shared" si="83"/>
        <v>544.20885721244395</v>
      </c>
      <c r="K354" s="72">
        <f t="shared" si="87"/>
        <v>189</v>
      </c>
      <c r="L354" s="180">
        <f t="shared" si="84"/>
        <v>1020265.230117067</v>
      </c>
      <c r="M354" s="181">
        <f t="shared" si="84"/>
        <v>8263.2820433441975</v>
      </c>
      <c r="N354" s="180">
        <f t="shared" si="84"/>
        <v>4116.7193905578724</v>
      </c>
      <c r="O354" s="132">
        <f t="shared" si="84"/>
        <v>4146.5626527863242</v>
      </c>
    </row>
    <row r="355" spans="1:15" x14ac:dyDescent="0.25">
      <c r="A355" s="72">
        <f t="shared" si="85"/>
        <v>190</v>
      </c>
      <c r="B355" s="183">
        <f t="shared" si="80"/>
        <v>895861.61191801087</v>
      </c>
      <c r="C355" s="184">
        <f>-Office!$E$92/12</f>
        <v>7365.1926677265483</v>
      </c>
      <c r="D355" s="183">
        <f>Office!$E$90/12*B354</f>
        <v>3747.8290646711098</v>
      </c>
      <c r="E355" s="185">
        <f t="shared" si="81"/>
        <v>3617.3636030554385</v>
      </c>
      <c r="F355" s="72">
        <f t="shared" si="86"/>
        <v>190</v>
      </c>
      <c r="G355" s="180">
        <f t="shared" si="82"/>
        <v>120240.45846295469</v>
      </c>
      <c r="H355" s="186">
        <f>-Office!$E$97/12</f>
        <v>898.0893756176489</v>
      </c>
      <c r="I355" s="149">
        <f>Office!$E$95/12*G354</f>
        <v>352.29324257166866</v>
      </c>
      <c r="J355" s="187">
        <f t="shared" si="83"/>
        <v>545.79613304598024</v>
      </c>
      <c r="K355" s="72">
        <f t="shared" si="87"/>
        <v>190</v>
      </c>
      <c r="L355" s="180">
        <f t="shared" si="84"/>
        <v>1016102.0703809656</v>
      </c>
      <c r="M355" s="181">
        <f t="shared" si="84"/>
        <v>8263.2820433441975</v>
      </c>
      <c r="N355" s="180">
        <f t="shared" si="84"/>
        <v>4100.1223072427783</v>
      </c>
      <c r="O355" s="132">
        <f t="shared" si="84"/>
        <v>4163.1597361014192</v>
      </c>
    </row>
    <row r="356" spans="1:15" x14ac:dyDescent="0.25">
      <c r="A356" s="72">
        <f t="shared" si="85"/>
        <v>191</v>
      </c>
      <c r="B356" s="183">
        <f t="shared" si="80"/>
        <v>892229.17596660939</v>
      </c>
      <c r="C356" s="184">
        <f>-Office!$E$92/12</f>
        <v>7365.1926677265483</v>
      </c>
      <c r="D356" s="183">
        <f>Office!$E$90/12*B355</f>
        <v>3732.7567163250451</v>
      </c>
      <c r="E356" s="185">
        <f t="shared" si="81"/>
        <v>3632.4359514015032</v>
      </c>
      <c r="F356" s="72">
        <f t="shared" si="86"/>
        <v>191</v>
      </c>
      <c r="G356" s="180">
        <f t="shared" si="82"/>
        <v>119693.07042452066</v>
      </c>
      <c r="H356" s="186">
        <f>-Office!$E$97/12</f>
        <v>898.0893756176489</v>
      </c>
      <c r="I356" s="149">
        <f>Office!$E$95/12*G355</f>
        <v>350.70133718361785</v>
      </c>
      <c r="J356" s="187">
        <f t="shared" si="83"/>
        <v>547.38803843403105</v>
      </c>
      <c r="K356" s="72">
        <f t="shared" si="87"/>
        <v>191</v>
      </c>
      <c r="L356" s="180">
        <f t="shared" si="84"/>
        <v>1011922.24639113</v>
      </c>
      <c r="M356" s="181">
        <f t="shared" si="84"/>
        <v>8263.2820433441975</v>
      </c>
      <c r="N356" s="180">
        <f t="shared" si="84"/>
        <v>4083.4580535086629</v>
      </c>
      <c r="O356" s="132">
        <f t="shared" si="84"/>
        <v>4179.8239898355341</v>
      </c>
    </row>
    <row r="357" spans="1:15" x14ac:dyDescent="0.25">
      <c r="A357" s="72">
        <f t="shared" si="85"/>
        <v>192</v>
      </c>
      <c r="B357" s="183">
        <f t="shared" si="80"/>
        <v>888581.60486541037</v>
      </c>
      <c r="C357" s="184">
        <f>-Office!$E$92/12</f>
        <v>7365.1926677265483</v>
      </c>
      <c r="D357" s="183">
        <f>Office!$E$90/12*B356</f>
        <v>3717.621566527539</v>
      </c>
      <c r="E357" s="185">
        <f t="shared" si="81"/>
        <v>3647.5711011990093</v>
      </c>
      <c r="F357" s="72">
        <f t="shared" si="86"/>
        <v>192</v>
      </c>
      <c r="G357" s="180">
        <f t="shared" si="82"/>
        <v>119144.08583764119</v>
      </c>
      <c r="H357" s="186">
        <f>-Office!$E$97/12</f>
        <v>898.0893756176489</v>
      </c>
      <c r="I357" s="149">
        <f>Office!$E$95/12*G356</f>
        <v>349.10478873818528</v>
      </c>
      <c r="J357" s="187">
        <f t="shared" si="83"/>
        <v>548.98458687946368</v>
      </c>
      <c r="K357" s="72">
        <f t="shared" si="87"/>
        <v>192</v>
      </c>
      <c r="L357" s="180">
        <f t="shared" si="84"/>
        <v>1007725.6907030515</v>
      </c>
      <c r="M357" s="181">
        <f t="shared" si="84"/>
        <v>8263.2820433441975</v>
      </c>
      <c r="N357" s="180">
        <f t="shared" si="84"/>
        <v>4066.7263552657241</v>
      </c>
      <c r="O357" s="132">
        <f t="shared" ref="O357:O420" si="88">J357+E357</f>
        <v>4196.5556880784734</v>
      </c>
    </row>
    <row r="358" spans="1:15" x14ac:dyDescent="0.25">
      <c r="A358" s="72">
        <f t="shared" si="85"/>
        <v>193</v>
      </c>
      <c r="B358" s="183">
        <f t="shared" ref="B358:B421" si="89">B357-E358</f>
        <v>884918.83555128973</v>
      </c>
      <c r="C358" s="184">
        <f>-Office!$E$92/12</f>
        <v>7365.1926677265483</v>
      </c>
      <c r="D358" s="183">
        <f>Office!$E$90/12*B357</f>
        <v>3702.4233536058764</v>
      </c>
      <c r="E358" s="185">
        <f t="shared" ref="E358:E421" si="90">C358-D358</f>
        <v>3662.7693141206719</v>
      </c>
      <c r="F358" s="72">
        <f t="shared" si="86"/>
        <v>193</v>
      </c>
      <c r="G358" s="180">
        <f t="shared" ref="G358:G421" si="91">G357-J358</f>
        <v>118593.50004571666</v>
      </c>
      <c r="H358" s="186">
        <f>-Office!$E$97/12</f>
        <v>898.0893756176489</v>
      </c>
      <c r="I358" s="149">
        <f>Office!$E$95/12*G357</f>
        <v>347.50358369312016</v>
      </c>
      <c r="J358" s="187">
        <f t="shared" ref="J358:J421" si="92">H358-I358</f>
        <v>550.58579192452873</v>
      </c>
      <c r="K358" s="72">
        <f t="shared" si="87"/>
        <v>193</v>
      </c>
      <c r="L358" s="180">
        <f t="shared" ref="L358:O421" si="93">G358+B358</f>
        <v>1003512.3355970064</v>
      </c>
      <c r="M358" s="181">
        <f t="shared" si="93"/>
        <v>8263.2820433441975</v>
      </c>
      <c r="N358" s="180">
        <f t="shared" si="93"/>
        <v>4049.9269372989966</v>
      </c>
      <c r="O358" s="132">
        <f t="shared" si="88"/>
        <v>4213.355106045201</v>
      </c>
    </row>
    <row r="359" spans="1:15" x14ac:dyDescent="0.25">
      <c r="A359" s="72">
        <f t="shared" ref="A359:A422" si="94">A358+1</f>
        <v>194</v>
      </c>
      <c r="B359" s="183">
        <f t="shared" si="89"/>
        <v>881240.80469836027</v>
      </c>
      <c r="C359" s="184">
        <f>-Office!$E$92/12</f>
        <v>7365.1926677265483</v>
      </c>
      <c r="D359" s="183">
        <f>Office!$E$90/12*B358</f>
        <v>3687.1618147970403</v>
      </c>
      <c r="E359" s="185">
        <f t="shared" si="90"/>
        <v>3678.030852929508</v>
      </c>
      <c r="F359" s="72">
        <f t="shared" ref="F359:F422" si="95">F358+1</f>
        <v>194</v>
      </c>
      <c r="G359" s="180">
        <f t="shared" si="91"/>
        <v>118041.30837856568</v>
      </c>
      <c r="H359" s="186">
        <f>-Office!$E$97/12</f>
        <v>898.0893756176489</v>
      </c>
      <c r="I359" s="149">
        <f>Office!$E$95/12*G358</f>
        <v>345.89770846667363</v>
      </c>
      <c r="J359" s="187">
        <f t="shared" si="92"/>
        <v>552.19166715097526</v>
      </c>
      <c r="K359" s="72">
        <f t="shared" ref="K359:K422" si="96">K358+1</f>
        <v>194</v>
      </c>
      <c r="L359" s="180">
        <f t="shared" si="93"/>
        <v>999282.11307692598</v>
      </c>
      <c r="M359" s="181">
        <f t="shared" si="93"/>
        <v>8263.2820433441975</v>
      </c>
      <c r="N359" s="180">
        <f t="shared" si="93"/>
        <v>4033.0595232637138</v>
      </c>
      <c r="O359" s="132">
        <f t="shared" si="88"/>
        <v>4230.2225200804833</v>
      </c>
    </row>
    <row r="360" spans="1:15" x14ac:dyDescent="0.25">
      <c r="A360" s="72">
        <f t="shared" si="94"/>
        <v>195</v>
      </c>
      <c r="B360" s="183">
        <f t="shared" si="89"/>
        <v>877547.44871687691</v>
      </c>
      <c r="C360" s="184">
        <f>-Office!$E$92/12</f>
        <v>7365.1926677265483</v>
      </c>
      <c r="D360" s="183">
        <f>Office!$E$90/12*B359</f>
        <v>3671.8366862431676</v>
      </c>
      <c r="E360" s="185">
        <f t="shared" si="90"/>
        <v>3693.3559814833807</v>
      </c>
      <c r="F360" s="72">
        <f t="shared" si="95"/>
        <v>195</v>
      </c>
      <c r="G360" s="180">
        <f t="shared" si="91"/>
        <v>117487.50615238551</v>
      </c>
      <c r="H360" s="186">
        <f>-Office!$E$97/12</f>
        <v>898.0893756176489</v>
      </c>
      <c r="I360" s="149">
        <f>Office!$E$95/12*G359</f>
        <v>344.28714943748327</v>
      </c>
      <c r="J360" s="187">
        <f t="shared" si="92"/>
        <v>553.80222618016569</v>
      </c>
      <c r="K360" s="72">
        <f t="shared" si="96"/>
        <v>195</v>
      </c>
      <c r="L360" s="180">
        <f t="shared" si="93"/>
        <v>995034.95486926241</v>
      </c>
      <c r="M360" s="181">
        <f t="shared" si="93"/>
        <v>8263.2820433441975</v>
      </c>
      <c r="N360" s="180">
        <f t="shared" si="93"/>
        <v>4016.1238356806507</v>
      </c>
      <c r="O360" s="132">
        <f t="shared" si="88"/>
        <v>4247.1582076635459</v>
      </c>
    </row>
    <row r="361" spans="1:15" x14ac:dyDescent="0.25">
      <c r="A361" s="72">
        <f t="shared" si="94"/>
        <v>196</v>
      </c>
      <c r="B361" s="183">
        <f t="shared" si="89"/>
        <v>873838.70375213737</v>
      </c>
      <c r="C361" s="184">
        <f>-Office!$E$92/12</f>
        <v>7365.1926677265483</v>
      </c>
      <c r="D361" s="183">
        <f>Office!$E$90/12*B360</f>
        <v>3656.4477029869872</v>
      </c>
      <c r="E361" s="185">
        <f t="shared" si="90"/>
        <v>3708.7449647395611</v>
      </c>
      <c r="F361" s="72">
        <f t="shared" si="95"/>
        <v>196</v>
      </c>
      <c r="G361" s="180">
        <f t="shared" si="91"/>
        <v>116932.08866971232</v>
      </c>
      <c r="H361" s="186">
        <f>-Office!$E$97/12</f>
        <v>898.0893756176489</v>
      </c>
      <c r="I361" s="149">
        <f>Office!$E$95/12*G360</f>
        <v>342.67189294445774</v>
      </c>
      <c r="J361" s="187">
        <f t="shared" si="92"/>
        <v>555.41748267319122</v>
      </c>
      <c r="K361" s="72">
        <f t="shared" si="96"/>
        <v>196</v>
      </c>
      <c r="L361" s="180">
        <f t="shared" si="93"/>
        <v>990770.79242184968</v>
      </c>
      <c r="M361" s="181">
        <f t="shared" si="93"/>
        <v>8263.2820433441975</v>
      </c>
      <c r="N361" s="180">
        <f t="shared" si="93"/>
        <v>3999.119595931445</v>
      </c>
      <c r="O361" s="132">
        <f t="shared" si="88"/>
        <v>4264.162447412752</v>
      </c>
    </row>
    <row r="362" spans="1:15" x14ac:dyDescent="0.25">
      <c r="A362" s="72">
        <f t="shared" si="94"/>
        <v>197</v>
      </c>
      <c r="B362" s="183">
        <f t="shared" si="89"/>
        <v>870114.50568337808</v>
      </c>
      <c r="C362" s="184">
        <f>-Office!$E$92/12</f>
        <v>7365.1926677265483</v>
      </c>
      <c r="D362" s="183">
        <f>Office!$E$90/12*B361</f>
        <v>3640.9945989672392</v>
      </c>
      <c r="E362" s="185">
        <f t="shared" si="90"/>
        <v>3724.1980687593091</v>
      </c>
      <c r="F362" s="72">
        <f t="shared" si="95"/>
        <v>197</v>
      </c>
      <c r="G362" s="180">
        <f t="shared" si="91"/>
        <v>116375.05121938133</v>
      </c>
      <c r="H362" s="186">
        <f>-Office!$E$97/12</f>
        <v>898.0893756176489</v>
      </c>
      <c r="I362" s="149">
        <f>Office!$E$95/12*G361</f>
        <v>341.05192528666095</v>
      </c>
      <c r="J362" s="187">
        <f t="shared" si="92"/>
        <v>557.03745033098789</v>
      </c>
      <c r="K362" s="72">
        <f t="shared" si="96"/>
        <v>197</v>
      </c>
      <c r="L362" s="180">
        <f t="shared" si="93"/>
        <v>986489.55690275948</v>
      </c>
      <c r="M362" s="181">
        <f t="shared" si="93"/>
        <v>8263.2820433441975</v>
      </c>
      <c r="N362" s="180">
        <f t="shared" si="93"/>
        <v>3982.0465242539003</v>
      </c>
      <c r="O362" s="132">
        <f t="shared" si="88"/>
        <v>4281.2355190902972</v>
      </c>
    </row>
    <row r="363" spans="1:15" x14ac:dyDescent="0.25">
      <c r="A363" s="72">
        <f t="shared" si="94"/>
        <v>198</v>
      </c>
      <c r="B363" s="183">
        <f t="shared" si="89"/>
        <v>866374.79012266558</v>
      </c>
      <c r="C363" s="184">
        <f>-Office!$E$92/12</f>
        <v>7365.1926677265483</v>
      </c>
      <c r="D363" s="183">
        <f>Office!$E$90/12*B362</f>
        <v>3625.4771070140755</v>
      </c>
      <c r="E363" s="185">
        <f t="shared" si="90"/>
        <v>3739.7155607124728</v>
      </c>
      <c r="F363" s="72">
        <f t="shared" si="95"/>
        <v>198</v>
      </c>
      <c r="G363" s="180">
        <f t="shared" si="91"/>
        <v>115816.38907648688</v>
      </c>
      <c r="H363" s="186">
        <f>-Office!$E$97/12</f>
        <v>898.0893756176489</v>
      </c>
      <c r="I363" s="149">
        <f>Office!$E$95/12*G362</f>
        <v>339.42723272319557</v>
      </c>
      <c r="J363" s="187">
        <f t="shared" si="92"/>
        <v>558.66214289445338</v>
      </c>
      <c r="K363" s="72">
        <f t="shared" si="96"/>
        <v>198</v>
      </c>
      <c r="L363" s="180">
        <f t="shared" si="93"/>
        <v>982191.17919915251</v>
      </c>
      <c r="M363" s="181">
        <f t="shared" si="93"/>
        <v>8263.2820433441975</v>
      </c>
      <c r="N363" s="180">
        <f t="shared" si="93"/>
        <v>3964.9043397372711</v>
      </c>
      <c r="O363" s="132">
        <f t="shared" si="88"/>
        <v>4298.3777036069259</v>
      </c>
    </row>
    <row r="364" spans="1:15" x14ac:dyDescent="0.25">
      <c r="A364" s="72">
        <f t="shared" si="94"/>
        <v>199</v>
      </c>
      <c r="B364" s="183">
        <f t="shared" si="89"/>
        <v>862619.49241378345</v>
      </c>
      <c r="C364" s="184">
        <f>-Office!$E$92/12</f>
        <v>7365.1926677265483</v>
      </c>
      <c r="D364" s="183">
        <f>Office!$E$90/12*B363</f>
        <v>3609.8949588444398</v>
      </c>
      <c r="E364" s="185">
        <f t="shared" si="90"/>
        <v>3755.2977088821085</v>
      </c>
      <c r="F364" s="72">
        <f t="shared" si="95"/>
        <v>199</v>
      </c>
      <c r="G364" s="180">
        <f t="shared" si="91"/>
        <v>115256.09750234232</v>
      </c>
      <c r="H364" s="186">
        <f>-Office!$E$97/12</f>
        <v>898.0893756176489</v>
      </c>
      <c r="I364" s="149">
        <f>Office!$E$95/12*G363</f>
        <v>337.79780147308674</v>
      </c>
      <c r="J364" s="187">
        <f t="shared" si="92"/>
        <v>560.29157414456222</v>
      </c>
      <c r="K364" s="72">
        <f t="shared" si="96"/>
        <v>199</v>
      </c>
      <c r="L364" s="180">
        <f t="shared" si="93"/>
        <v>977875.58991612575</v>
      </c>
      <c r="M364" s="181">
        <f t="shared" si="93"/>
        <v>8263.2820433441975</v>
      </c>
      <c r="N364" s="180">
        <f t="shared" si="93"/>
        <v>3947.6927603175263</v>
      </c>
      <c r="O364" s="132">
        <f t="shared" si="88"/>
        <v>4315.5892830266712</v>
      </c>
    </row>
    <row r="365" spans="1:15" x14ac:dyDescent="0.25">
      <c r="A365" s="72">
        <f t="shared" si="94"/>
        <v>200</v>
      </c>
      <c r="B365" s="183">
        <f t="shared" si="89"/>
        <v>858848.54763111437</v>
      </c>
      <c r="C365" s="184">
        <f>-Office!$E$92/12</f>
        <v>7365.1926677265483</v>
      </c>
      <c r="D365" s="183">
        <f>Office!$E$90/12*B364</f>
        <v>3594.2478850574312</v>
      </c>
      <c r="E365" s="185">
        <f t="shared" si="90"/>
        <v>3770.9447826691171</v>
      </c>
      <c r="F365" s="72">
        <f t="shared" si="95"/>
        <v>200</v>
      </c>
      <c r="G365" s="180">
        <f t="shared" si="91"/>
        <v>114694.17174443984</v>
      </c>
      <c r="H365" s="186">
        <f>-Office!$E$97/12</f>
        <v>898.0893756176489</v>
      </c>
      <c r="I365" s="149">
        <f>Office!$E$95/12*G364</f>
        <v>336.16361771516512</v>
      </c>
      <c r="J365" s="187">
        <f t="shared" si="92"/>
        <v>561.92575790248384</v>
      </c>
      <c r="K365" s="72">
        <f t="shared" si="96"/>
        <v>200</v>
      </c>
      <c r="L365" s="180">
        <f t="shared" si="93"/>
        <v>973542.71937555424</v>
      </c>
      <c r="M365" s="181">
        <f t="shared" si="93"/>
        <v>8263.2820433441975</v>
      </c>
      <c r="N365" s="180">
        <f t="shared" si="93"/>
        <v>3930.4115027725961</v>
      </c>
      <c r="O365" s="132">
        <f t="shared" si="88"/>
        <v>4332.8705405716009</v>
      </c>
    </row>
    <row r="366" spans="1:15" x14ac:dyDescent="0.25">
      <c r="A366" s="72">
        <f t="shared" si="94"/>
        <v>201</v>
      </c>
      <c r="B366" s="183">
        <f t="shared" si="89"/>
        <v>855061.89057851746</v>
      </c>
      <c r="C366" s="184">
        <f>-Office!$E$92/12</f>
        <v>7365.1926677265483</v>
      </c>
      <c r="D366" s="183">
        <f>Office!$E$90/12*B365</f>
        <v>3578.5356151296432</v>
      </c>
      <c r="E366" s="185">
        <f t="shared" si="90"/>
        <v>3786.657052596905</v>
      </c>
      <c r="F366" s="72">
        <f t="shared" si="95"/>
        <v>201</v>
      </c>
      <c r="G366" s="180">
        <f t="shared" si="91"/>
        <v>114130.60703641013</v>
      </c>
      <c r="H366" s="186">
        <f>-Office!$E$97/12</f>
        <v>898.0893756176489</v>
      </c>
      <c r="I366" s="149">
        <f>Office!$E$95/12*G365</f>
        <v>334.52466758794952</v>
      </c>
      <c r="J366" s="187">
        <f t="shared" si="92"/>
        <v>563.56470802969943</v>
      </c>
      <c r="K366" s="72">
        <f t="shared" si="96"/>
        <v>201</v>
      </c>
      <c r="L366" s="180">
        <f t="shared" si="93"/>
        <v>969192.49761492759</v>
      </c>
      <c r="M366" s="181">
        <f t="shared" si="93"/>
        <v>8263.2820433441975</v>
      </c>
      <c r="N366" s="180">
        <f t="shared" si="93"/>
        <v>3913.0602827175926</v>
      </c>
      <c r="O366" s="132">
        <f t="shared" si="88"/>
        <v>4350.221760626604</v>
      </c>
    </row>
    <row r="367" spans="1:15" x14ac:dyDescent="0.25">
      <c r="A367" s="72">
        <f t="shared" si="94"/>
        <v>202</v>
      </c>
      <c r="B367" s="183">
        <f t="shared" si="89"/>
        <v>851259.45578820142</v>
      </c>
      <c r="C367" s="184">
        <f>-Office!$E$92/12</f>
        <v>7365.1926677265483</v>
      </c>
      <c r="D367" s="183">
        <f>Office!$E$90/12*B366</f>
        <v>3562.7578774104895</v>
      </c>
      <c r="E367" s="185">
        <f t="shared" si="90"/>
        <v>3802.4347903160588</v>
      </c>
      <c r="F367" s="72">
        <f t="shared" si="95"/>
        <v>202</v>
      </c>
      <c r="G367" s="180">
        <f t="shared" si="91"/>
        <v>113565.39859798201</v>
      </c>
      <c r="H367" s="186">
        <f>-Office!$E$97/12</f>
        <v>898.0893756176489</v>
      </c>
      <c r="I367" s="149">
        <f>Office!$E$95/12*G366</f>
        <v>332.88093718952956</v>
      </c>
      <c r="J367" s="187">
        <f t="shared" si="92"/>
        <v>565.20843842811928</v>
      </c>
      <c r="K367" s="72">
        <f t="shared" si="96"/>
        <v>202</v>
      </c>
      <c r="L367" s="180">
        <f t="shared" si="93"/>
        <v>964824.85438618343</v>
      </c>
      <c r="M367" s="181">
        <f t="shared" si="93"/>
        <v>8263.2820433441975</v>
      </c>
      <c r="N367" s="180">
        <f t="shared" si="93"/>
        <v>3895.638814600019</v>
      </c>
      <c r="O367" s="132">
        <f t="shared" si="88"/>
        <v>4367.6432287441785</v>
      </c>
    </row>
    <row r="368" spans="1:15" x14ac:dyDescent="0.25">
      <c r="A368" s="72">
        <f t="shared" si="94"/>
        <v>203</v>
      </c>
      <c r="B368" s="183">
        <f t="shared" si="89"/>
        <v>847441.17751959234</v>
      </c>
      <c r="C368" s="184">
        <f>-Office!$E$92/12</f>
        <v>7365.1926677265483</v>
      </c>
      <c r="D368" s="183">
        <f>Office!$E$90/12*B367</f>
        <v>3546.914399117506</v>
      </c>
      <c r="E368" s="185">
        <f t="shared" si="90"/>
        <v>3818.2782686090422</v>
      </c>
      <c r="F368" s="72">
        <f t="shared" si="95"/>
        <v>203</v>
      </c>
      <c r="G368" s="180">
        <f t="shared" si="91"/>
        <v>112998.54163494181</v>
      </c>
      <c r="H368" s="186">
        <f>-Office!$E$97/12</f>
        <v>898.0893756176489</v>
      </c>
      <c r="I368" s="149">
        <f>Office!$E$95/12*G367</f>
        <v>331.23241257744758</v>
      </c>
      <c r="J368" s="187">
        <f t="shared" si="92"/>
        <v>566.85696304020132</v>
      </c>
      <c r="K368" s="72">
        <f t="shared" si="96"/>
        <v>203</v>
      </c>
      <c r="L368" s="180">
        <f t="shared" si="93"/>
        <v>960439.71915453416</v>
      </c>
      <c r="M368" s="181">
        <f t="shared" si="93"/>
        <v>8263.2820433441975</v>
      </c>
      <c r="N368" s="180">
        <f t="shared" si="93"/>
        <v>3878.1468116949536</v>
      </c>
      <c r="O368" s="132">
        <f t="shared" si="88"/>
        <v>4385.1352316492439</v>
      </c>
    </row>
    <row r="369" spans="1:15" x14ac:dyDescent="0.25">
      <c r="A369" s="72">
        <f t="shared" si="94"/>
        <v>204</v>
      </c>
      <c r="B369" s="183">
        <f t="shared" si="89"/>
        <v>843606.98975819745</v>
      </c>
      <c r="C369" s="184">
        <f>-Office!$E$92/12</f>
        <v>7365.1926677265483</v>
      </c>
      <c r="D369" s="183">
        <f>Office!$E$90/12*B368</f>
        <v>3531.0049063316346</v>
      </c>
      <c r="E369" s="185">
        <f t="shared" si="90"/>
        <v>3834.1877613949137</v>
      </c>
      <c r="F369" s="72">
        <f t="shared" si="95"/>
        <v>204</v>
      </c>
      <c r="G369" s="180">
        <f t="shared" si="91"/>
        <v>112430.03133909273</v>
      </c>
      <c r="H369" s="186">
        <f>-Office!$E$97/12</f>
        <v>898.0893756176489</v>
      </c>
      <c r="I369" s="149">
        <f>Office!$E$95/12*G368</f>
        <v>329.5790797685803</v>
      </c>
      <c r="J369" s="187">
        <f t="shared" si="92"/>
        <v>568.5102958490686</v>
      </c>
      <c r="K369" s="72">
        <f t="shared" si="96"/>
        <v>204</v>
      </c>
      <c r="L369" s="180">
        <f t="shared" si="93"/>
        <v>956037.02109729021</v>
      </c>
      <c r="M369" s="181">
        <f t="shared" si="93"/>
        <v>8263.2820433441975</v>
      </c>
      <c r="N369" s="180">
        <f t="shared" si="93"/>
        <v>3860.583986100215</v>
      </c>
      <c r="O369" s="132">
        <f t="shared" si="88"/>
        <v>4402.6980572439825</v>
      </c>
    </row>
    <row r="370" spans="1:15" x14ac:dyDescent="0.25">
      <c r="A370" s="72">
        <f t="shared" si="94"/>
        <v>205</v>
      </c>
      <c r="B370" s="183">
        <f t="shared" si="89"/>
        <v>839756.82621446345</v>
      </c>
      <c r="C370" s="184">
        <f>-Office!$E$92/12</f>
        <v>7365.1926677265483</v>
      </c>
      <c r="D370" s="183">
        <f>Office!$E$90/12*B369</f>
        <v>3515.0291239924895</v>
      </c>
      <c r="E370" s="185">
        <f t="shared" si="90"/>
        <v>3850.1635437340587</v>
      </c>
      <c r="F370" s="72">
        <f t="shared" si="95"/>
        <v>205</v>
      </c>
      <c r="G370" s="180">
        <f t="shared" si="91"/>
        <v>111859.86288821411</v>
      </c>
      <c r="H370" s="186">
        <f>-Office!$E$97/12</f>
        <v>898.0893756176489</v>
      </c>
      <c r="I370" s="149">
        <f>Office!$E$95/12*G369</f>
        <v>327.92092473902051</v>
      </c>
      <c r="J370" s="187">
        <f t="shared" si="92"/>
        <v>570.16845087862839</v>
      </c>
      <c r="K370" s="72">
        <f t="shared" si="96"/>
        <v>205</v>
      </c>
      <c r="L370" s="180">
        <f t="shared" si="93"/>
        <v>951616.68910267751</v>
      </c>
      <c r="M370" s="181">
        <f t="shared" si="93"/>
        <v>8263.2820433441975</v>
      </c>
      <c r="N370" s="180">
        <f t="shared" si="93"/>
        <v>3842.9500487315099</v>
      </c>
      <c r="O370" s="132">
        <f t="shared" si="88"/>
        <v>4420.3319946126867</v>
      </c>
    </row>
    <row r="371" spans="1:15" x14ac:dyDescent="0.25">
      <c r="A371" s="72">
        <f t="shared" si="94"/>
        <v>206</v>
      </c>
      <c r="B371" s="183">
        <f t="shared" si="89"/>
        <v>835890.62032263051</v>
      </c>
      <c r="C371" s="184">
        <f>-Office!$E$92/12</f>
        <v>7365.1926677265483</v>
      </c>
      <c r="D371" s="183">
        <f>Office!$E$90/12*B370</f>
        <v>3498.9867758935975</v>
      </c>
      <c r="E371" s="185">
        <f t="shared" si="90"/>
        <v>3866.2058918329508</v>
      </c>
      <c r="F371" s="72">
        <f t="shared" si="95"/>
        <v>206</v>
      </c>
      <c r="G371" s="180">
        <f t="shared" si="91"/>
        <v>111288.03144602041</v>
      </c>
      <c r="H371" s="186">
        <f>-Office!$E$97/12</f>
        <v>898.0893756176489</v>
      </c>
      <c r="I371" s="149">
        <f>Office!$E$95/12*G370</f>
        <v>326.25793342395781</v>
      </c>
      <c r="J371" s="187">
        <f t="shared" si="92"/>
        <v>571.83144219369115</v>
      </c>
      <c r="K371" s="72">
        <f t="shared" si="96"/>
        <v>206</v>
      </c>
      <c r="L371" s="180">
        <f t="shared" si="93"/>
        <v>947178.65176865086</v>
      </c>
      <c r="M371" s="181">
        <f t="shared" si="93"/>
        <v>8263.2820433441975</v>
      </c>
      <c r="N371" s="180">
        <f t="shared" si="93"/>
        <v>3825.2447093175551</v>
      </c>
      <c r="O371" s="132">
        <f t="shared" si="88"/>
        <v>4438.0373340266415</v>
      </c>
    </row>
    <row r="372" spans="1:15" x14ac:dyDescent="0.25">
      <c r="A372" s="72">
        <f t="shared" si="94"/>
        <v>207</v>
      </c>
      <c r="B372" s="183">
        <f t="shared" si="89"/>
        <v>832008.30523958162</v>
      </c>
      <c r="C372" s="184">
        <f>-Office!$E$92/12</f>
        <v>7365.1926677265483</v>
      </c>
      <c r="D372" s="183">
        <f>Office!$E$90/12*B371</f>
        <v>3482.8775846776271</v>
      </c>
      <c r="E372" s="185">
        <f t="shared" si="90"/>
        <v>3882.3150830489212</v>
      </c>
      <c r="F372" s="72">
        <f t="shared" si="95"/>
        <v>207</v>
      </c>
      <c r="G372" s="180">
        <f t="shared" si="91"/>
        <v>110714.53216212032</v>
      </c>
      <c r="H372" s="186">
        <f>-Office!$E$97/12</f>
        <v>898.0893756176489</v>
      </c>
      <c r="I372" s="149">
        <f>Office!$E$95/12*G371</f>
        <v>324.59009171755952</v>
      </c>
      <c r="J372" s="187">
        <f t="shared" si="92"/>
        <v>573.49928390008938</v>
      </c>
      <c r="K372" s="72">
        <f t="shared" si="96"/>
        <v>207</v>
      </c>
      <c r="L372" s="180">
        <f t="shared" si="93"/>
        <v>942722.83740170195</v>
      </c>
      <c r="M372" s="181">
        <f t="shared" si="93"/>
        <v>8263.2820433441975</v>
      </c>
      <c r="N372" s="180">
        <f t="shared" si="93"/>
        <v>3807.4676763951866</v>
      </c>
      <c r="O372" s="132">
        <f t="shared" si="88"/>
        <v>4455.8143669490109</v>
      </c>
    </row>
    <row r="373" spans="1:15" x14ac:dyDescent="0.25">
      <c r="A373" s="72">
        <f t="shared" si="94"/>
        <v>208</v>
      </c>
      <c r="B373" s="183">
        <f t="shared" si="89"/>
        <v>828109.81384368672</v>
      </c>
      <c r="C373" s="184">
        <f>-Office!$E$92/12</f>
        <v>7365.1926677265483</v>
      </c>
      <c r="D373" s="183">
        <f>Office!$E$90/12*B372</f>
        <v>3466.70127183159</v>
      </c>
      <c r="E373" s="185">
        <f t="shared" si="90"/>
        <v>3898.4913958949583</v>
      </c>
      <c r="F373" s="72">
        <f t="shared" si="95"/>
        <v>208</v>
      </c>
      <c r="G373" s="180">
        <f t="shared" si="91"/>
        <v>110139.36017197552</v>
      </c>
      <c r="H373" s="186">
        <f>-Office!$E$97/12</f>
        <v>898.0893756176489</v>
      </c>
      <c r="I373" s="149">
        <f>Office!$E$95/12*G372</f>
        <v>322.91738547285092</v>
      </c>
      <c r="J373" s="187">
        <f t="shared" si="92"/>
        <v>575.17199014479797</v>
      </c>
      <c r="K373" s="72">
        <f t="shared" si="96"/>
        <v>208</v>
      </c>
      <c r="L373" s="180">
        <f t="shared" si="93"/>
        <v>938249.17401566228</v>
      </c>
      <c r="M373" s="181">
        <f t="shared" si="93"/>
        <v>8263.2820433441975</v>
      </c>
      <c r="N373" s="180">
        <f t="shared" si="93"/>
        <v>3789.6186573044411</v>
      </c>
      <c r="O373" s="132">
        <f t="shared" si="88"/>
        <v>4473.663386039756</v>
      </c>
    </row>
    <row r="374" spans="1:15" x14ac:dyDescent="0.25">
      <c r="A374" s="72">
        <f t="shared" si="94"/>
        <v>209</v>
      </c>
      <c r="B374" s="183">
        <f t="shared" si="89"/>
        <v>824195.07873364224</v>
      </c>
      <c r="C374" s="184">
        <f>-Office!$E$92/12</f>
        <v>7365.1926677265483</v>
      </c>
      <c r="D374" s="183">
        <f>Office!$E$90/12*B373</f>
        <v>3450.457557682028</v>
      </c>
      <c r="E374" s="185">
        <f t="shared" si="90"/>
        <v>3914.7351100445203</v>
      </c>
      <c r="F374" s="72">
        <f t="shared" si="95"/>
        <v>209</v>
      </c>
      <c r="G374" s="180">
        <f t="shared" si="91"/>
        <v>109562.51059685947</v>
      </c>
      <c r="H374" s="186">
        <f>-Office!$E$97/12</f>
        <v>898.0893756176489</v>
      </c>
      <c r="I374" s="149">
        <f>Office!$E$95/12*G373</f>
        <v>321.23980050159531</v>
      </c>
      <c r="J374" s="187">
        <f t="shared" si="92"/>
        <v>576.84957511605353</v>
      </c>
      <c r="K374" s="72">
        <f t="shared" si="96"/>
        <v>209</v>
      </c>
      <c r="L374" s="180">
        <f t="shared" si="93"/>
        <v>933757.58933050174</v>
      </c>
      <c r="M374" s="181">
        <f t="shared" si="93"/>
        <v>8263.2820433441975</v>
      </c>
      <c r="N374" s="180">
        <f t="shared" si="93"/>
        <v>3771.6973581836232</v>
      </c>
      <c r="O374" s="132">
        <f t="shared" si="88"/>
        <v>4491.5846851605738</v>
      </c>
    </row>
    <row r="375" spans="1:15" x14ac:dyDescent="0.25">
      <c r="A375" s="72">
        <f t="shared" si="94"/>
        <v>210</v>
      </c>
      <c r="B375" s="183">
        <f t="shared" si="89"/>
        <v>820264.03222730581</v>
      </c>
      <c r="C375" s="184">
        <f>-Office!$E$92/12</f>
        <v>7365.1926677265483</v>
      </c>
      <c r="D375" s="183">
        <f>Office!$E$90/12*B374</f>
        <v>3434.1461613901761</v>
      </c>
      <c r="E375" s="185">
        <f t="shared" si="90"/>
        <v>3931.0465063363722</v>
      </c>
      <c r="F375" s="72">
        <f t="shared" si="95"/>
        <v>210</v>
      </c>
      <c r="G375" s="180">
        <f t="shared" si="91"/>
        <v>108983.978543816</v>
      </c>
      <c r="H375" s="186">
        <f>-Office!$E$97/12</f>
        <v>898.0893756176489</v>
      </c>
      <c r="I375" s="149">
        <f>Office!$E$95/12*G374</f>
        <v>319.5573225741735</v>
      </c>
      <c r="J375" s="187">
        <f t="shared" si="92"/>
        <v>578.53205304347534</v>
      </c>
      <c r="K375" s="72">
        <f t="shared" si="96"/>
        <v>210</v>
      </c>
      <c r="L375" s="180">
        <f t="shared" si="93"/>
        <v>929248.01077112183</v>
      </c>
      <c r="M375" s="181">
        <f t="shared" si="93"/>
        <v>8263.2820433441975</v>
      </c>
      <c r="N375" s="180">
        <f t="shared" si="93"/>
        <v>3753.7034839643497</v>
      </c>
      <c r="O375" s="132">
        <f t="shared" si="88"/>
        <v>4509.5785593798473</v>
      </c>
    </row>
    <row r="376" spans="1:15" x14ac:dyDescent="0.25">
      <c r="A376" s="72">
        <f t="shared" si="94"/>
        <v>211</v>
      </c>
      <c r="B376" s="183">
        <f t="shared" si="89"/>
        <v>816316.60636052641</v>
      </c>
      <c r="C376" s="184">
        <f>-Office!$E$92/12</f>
        <v>7365.1926677265483</v>
      </c>
      <c r="D376" s="183">
        <f>Office!$E$90/12*B375</f>
        <v>3417.7668009471076</v>
      </c>
      <c r="E376" s="185">
        <f t="shared" si="90"/>
        <v>3947.4258667794406</v>
      </c>
      <c r="F376" s="72">
        <f t="shared" si="95"/>
        <v>211</v>
      </c>
      <c r="G376" s="180">
        <f t="shared" si="91"/>
        <v>108403.75910561782</v>
      </c>
      <c r="H376" s="186">
        <f>-Office!$E$97/12</f>
        <v>898.0893756176489</v>
      </c>
      <c r="I376" s="149">
        <f>Office!$E$95/12*G375</f>
        <v>317.86993741946338</v>
      </c>
      <c r="J376" s="187">
        <f t="shared" si="92"/>
        <v>580.21943819818557</v>
      </c>
      <c r="K376" s="72">
        <f t="shared" si="96"/>
        <v>211</v>
      </c>
      <c r="L376" s="180">
        <f t="shared" si="93"/>
        <v>924720.36546614417</v>
      </c>
      <c r="M376" s="181">
        <f t="shared" si="93"/>
        <v>8263.2820433441975</v>
      </c>
      <c r="N376" s="180">
        <f t="shared" si="93"/>
        <v>3735.6367383665711</v>
      </c>
      <c r="O376" s="132">
        <f t="shared" si="88"/>
        <v>4527.6453049776264</v>
      </c>
    </row>
    <row r="377" spans="1:15" x14ac:dyDescent="0.25">
      <c r="A377" s="72">
        <f t="shared" si="94"/>
        <v>212</v>
      </c>
      <c r="B377" s="183">
        <f t="shared" si="89"/>
        <v>812352.73288596875</v>
      </c>
      <c r="C377" s="184">
        <f>-Office!$E$92/12</f>
        <v>7365.1926677265483</v>
      </c>
      <c r="D377" s="183">
        <f>Office!$E$90/12*B376</f>
        <v>3401.3191931688598</v>
      </c>
      <c r="E377" s="185">
        <f t="shared" si="90"/>
        <v>3963.8734745576885</v>
      </c>
      <c r="F377" s="72">
        <f t="shared" si="95"/>
        <v>212</v>
      </c>
      <c r="G377" s="180">
        <f t="shared" si="91"/>
        <v>107821.84736072489</v>
      </c>
      <c r="H377" s="186">
        <f>-Office!$E$97/12</f>
        <v>898.0893756176489</v>
      </c>
      <c r="I377" s="149">
        <f>Office!$E$95/12*G376</f>
        <v>316.17763072471865</v>
      </c>
      <c r="J377" s="187">
        <f t="shared" si="92"/>
        <v>581.9117448929303</v>
      </c>
      <c r="K377" s="72">
        <f t="shared" si="96"/>
        <v>212</v>
      </c>
      <c r="L377" s="180">
        <f t="shared" si="93"/>
        <v>920174.58024669369</v>
      </c>
      <c r="M377" s="181">
        <f t="shared" si="93"/>
        <v>8263.2820433441975</v>
      </c>
      <c r="N377" s="180">
        <f t="shared" si="93"/>
        <v>3717.4968238935785</v>
      </c>
      <c r="O377" s="132">
        <f t="shared" si="88"/>
        <v>4545.7852194506186</v>
      </c>
    </row>
    <row r="378" spans="1:15" x14ac:dyDescent="0.25">
      <c r="A378" s="72">
        <f t="shared" si="94"/>
        <v>213</v>
      </c>
      <c r="B378" s="183">
        <f t="shared" si="89"/>
        <v>808372.34327193373</v>
      </c>
      <c r="C378" s="184">
        <f>-Office!$E$92/12</f>
        <v>7365.1926677265483</v>
      </c>
      <c r="D378" s="183">
        <f>Office!$E$90/12*B377</f>
        <v>3384.8030536915362</v>
      </c>
      <c r="E378" s="185">
        <f t="shared" si="90"/>
        <v>3980.3896140350121</v>
      </c>
      <c r="F378" s="72">
        <f t="shared" si="95"/>
        <v>213</v>
      </c>
      <c r="G378" s="180">
        <f t="shared" si="91"/>
        <v>107238.23837324268</v>
      </c>
      <c r="H378" s="186">
        <f>-Office!$E$97/12</f>
        <v>898.0893756176489</v>
      </c>
      <c r="I378" s="149">
        <f>Office!$E$95/12*G377</f>
        <v>314.48038813544758</v>
      </c>
      <c r="J378" s="187">
        <f t="shared" si="92"/>
        <v>583.60898748220131</v>
      </c>
      <c r="K378" s="72">
        <f t="shared" si="96"/>
        <v>213</v>
      </c>
      <c r="L378" s="180">
        <f t="shared" si="93"/>
        <v>915610.5816451764</v>
      </c>
      <c r="M378" s="181">
        <f t="shared" si="93"/>
        <v>8263.2820433441975</v>
      </c>
      <c r="N378" s="180">
        <f t="shared" si="93"/>
        <v>3699.283441826984</v>
      </c>
      <c r="O378" s="132">
        <f t="shared" si="88"/>
        <v>4563.9986015172135</v>
      </c>
    </row>
    <row r="379" spans="1:15" x14ac:dyDescent="0.25">
      <c r="A379" s="72">
        <f t="shared" si="94"/>
        <v>214</v>
      </c>
      <c r="B379" s="183">
        <f t="shared" si="89"/>
        <v>804375.36870117357</v>
      </c>
      <c r="C379" s="184">
        <f>-Office!$E$92/12</f>
        <v>7365.1926677265483</v>
      </c>
      <c r="D379" s="183">
        <f>Office!$E$90/12*B378</f>
        <v>3368.2180969663905</v>
      </c>
      <c r="E379" s="185">
        <f t="shared" si="90"/>
        <v>3996.9745707601578</v>
      </c>
      <c r="F379" s="72">
        <f t="shared" si="95"/>
        <v>214</v>
      </c>
      <c r="G379" s="180">
        <f t="shared" si="91"/>
        <v>106652.92719288032</v>
      </c>
      <c r="H379" s="186">
        <f>-Office!$E$97/12</f>
        <v>898.0893756176489</v>
      </c>
      <c r="I379" s="149">
        <f>Office!$E$95/12*G378</f>
        <v>312.77819525529117</v>
      </c>
      <c r="J379" s="187">
        <f t="shared" si="92"/>
        <v>585.31118036235773</v>
      </c>
      <c r="K379" s="72">
        <f t="shared" si="96"/>
        <v>214</v>
      </c>
      <c r="L379" s="180">
        <f t="shared" si="93"/>
        <v>911028.29589405388</v>
      </c>
      <c r="M379" s="181">
        <f t="shared" si="93"/>
        <v>8263.2820433441975</v>
      </c>
      <c r="N379" s="180">
        <f t="shared" si="93"/>
        <v>3680.9962922216819</v>
      </c>
      <c r="O379" s="132">
        <f t="shared" si="88"/>
        <v>4582.2857511225156</v>
      </c>
    </row>
    <row r="380" spans="1:15" x14ac:dyDescent="0.25">
      <c r="A380" s="72">
        <f t="shared" si="94"/>
        <v>215</v>
      </c>
      <c r="B380" s="183">
        <f t="shared" si="89"/>
        <v>800361.74006970192</v>
      </c>
      <c r="C380" s="184">
        <f>-Office!$E$92/12</f>
        <v>7365.1926677265483</v>
      </c>
      <c r="D380" s="183">
        <f>Office!$E$90/12*B379</f>
        <v>3351.5640362548897</v>
      </c>
      <c r="E380" s="185">
        <f t="shared" si="90"/>
        <v>4013.6286314716585</v>
      </c>
      <c r="F380" s="72">
        <f t="shared" si="95"/>
        <v>215</v>
      </c>
      <c r="G380" s="180">
        <f t="shared" si="91"/>
        <v>106065.90885490857</v>
      </c>
      <c r="H380" s="186">
        <f>-Office!$E$97/12</f>
        <v>898.0893756176489</v>
      </c>
      <c r="I380" s="149">
        <f>Office!$E$95/12*G379</f>
        <v>311.07103764590096</v>
      </c>
      <c r="J380" s="187">
        <f t="shared" si="92"/>
        <v>587.018337971748</v>
      </c>
      <c r="K380" s="72">
        <f t="shared" si="96"/>
        <v>215</v>
      </c>
      <c r="L380" s="180">
        <f t="shared" si="93"/>
        <v>906427.64892461046</v>
      </c>
      <c r="M380" s="181">
        <f t="shared" si="93"/>
        <v>8263.2820433441975</v>
      </c>
      <c r="N380" s="180">
        <f t="shared" si="93"/>
        <v>3662.6350739007908</v>
      </c>
      <c r="O380" s="132">
        <f t="shared" si="88"/>
        <v>4600.6469694434063</v>
      </c>
    </row>
    <row r="381" spans="1:15" x14ac:dyDescent="0.25">
      <c r="A381" s="72">
        <f t="shared" si="94"/>
        <v>216</v>
      </c>
      <c r="B381" s="183">
        <f t="shared" si="89"/>
        <v>796331.38798559911</v>
      </c>
      <c r="C381" s="184">
        <f>-Office!$E$92/12</f>
        <v>7365.1926677265483</v>
      </c>
      <c r="D381" s="183">
        <f>Office!$E$90/12*B380</f>
        <v>3334.840583623758</v>
      </c>
      <c r="E381" s="185">
        <f t="shared" si="90"/>
        <v>4030.3520841027903</v>
      </c>
      <c r="F381" s="72">
        <f t="shared" si="95"/>
        <v>216</v>
      </c>
      <c r="G381" s="180">
        <f t="shared" si="91"/>
        <v>105477.17838011774</v>
      </c>
      <c r="H381" s="186">
        <f>-Office!$E$97/12</f>
        <v>898.0893756176489</v>
      </c>
      <c r="I381" s="149">
        <f>Office!$E$95/12*G380</f>
        <v>309.35890082681669</v>
      </c>
      <c r="J381" s="187">
        <f t="shared" si="92"/>
        <v>588.7304747908322</v>
      </c>
      <c r="K381" s="72">
        <f t="shared" si="96"/>
        <v>216</v>
      </c>
      <c r="L381" s="180">
        <f t="shared" si="93"/>
        <v>901808.56636571686</v>
      </c>
      <c r="M381" s="181">
        <f t="shared" si="93"/>
        <v>8263.2820433441975</v>
      </c>
      <c r="N381" s="180">
        <f t="shared" si="93"/>
        <v>3644.1994844505748</v>
      </c>
      <c r="O381" s="132">
        <f t="shared" si="88"/>
        <v>4619.0825588936223</v>
      </c>
    </row>
    <row r="382" spans="1:15" x14ac:dyDescent="0.25">
      <c r="A382" s="72">
        <f t="shared" si="94"/>
        <v>217</v>
      </c>
      <c r="B382" s="183">
        <f t="shared" si="89"/>
        <v>792284.24276781257</v>
      </c>
      <c r="C382" s="184">
        <f>-Office!$E$92/12</f>
        <v>7365.1926677265483</v>
      </c>
      <c r="D382" s="183">
        <f>Office!$E$90/12*B381</f>
        <v>3318.0474499399961</v>
      </c>
      <c r="E382" s="185">
        <f t="shared" si="90"/>
        <v>4047.1452177865522</v>
      </c>
      <c r="F382" s="72">
        <f t="shared" si="95"/>
        <v>217</v>
      </c>
      <c r="G382" s="180">
        <f t="shared" si="91"/>
        <v>104886.73077477544</v>
      </c>
      <c r="H382" s="186">
        <f>-Office!$E$97/12</f>
        <v>898.0893756176489</v>
      </c>
      <c r="I382" s="149">
        <f>Office!$E$95/12*G381</f>
        <v>307.64177027534339</v>
      </c>
      <c r="J382" s="187">
        <f t="shared" si="92"/>
        <v>590.44760534230545</v>
      </c>
      <c r="K382" s="72">
        <f t="shared" si="96"/>
        <v>217</v>
      </c>
      <c r="L382" s="180">
        <f t="shared" si="93"/>
        <v>897170.97354258806</v>
      </c>
      <c r="M382" s="181">
        <f t="shared" si="93"/>
        <v>8263.2820433441975</v>
      </c>
      <c r="N382" s="180">
        <f t="shared" si="93"/>
        <v>3625.6892202153394</v>
      </c>
      <c r="O382" s="132">
        <f t="shared" si="88"/>
        <v>4637.5928231288581</v>
      </c>
    </row>
    <row r="383" spans="1:15" x14ac:dyDescent="0.25">
      <c r="A383" s="72">
        <f t="shared" si="94"/>
        <v>218</v>
      </c>
      <c r="B383" s="183">
        <f t="shared" si="89"/>
        <v>788220.23444495187</v>
      </c>
      <c r="C383" s="184">
        <f>-Office!$E$92/12</f>
        <v>7365.1926677265483</v>
      </c>
      <c r="D383" s="183">
        <f>Office!$E$90/12*B382</f>
        <v>3301.1843448658856</v>
      </c>
      <c r="E383" s="185">
        <f t="shared" si="90"/>
        <v>4064.0083228606627</v>
      </c>
      <c r="F383" s="72">
        <f t="shared" si="95"/>
        <v>218</v>
      </c>
      <c r="G383" s="180">
        <f t="shared" si="91"/>
        <v>104294.56103058421</v>
      </c>
      <c r="H383" s="186">
        <f>-Office!$E$97/12</f>
        <v>898.0893756176489</v>
      </c>
      <c r="I383" s="149">
        <f>Office!$E$95/12*G382</f>
        <v>305.9196314264284</v>
      </c>
      <c r="J383" s="187">
        <f t="shared" si="92"/>
        <v>592.1697441912205</v>
      </c>
      <c r="K383" s="72">
        <f t="shared" si="96"/>
        <v>218</v>
      </c>
      <c r="L383" s="180">
        <f t="shared" si="93"/>
        <v>892514.79547553603</v>
      </c>
      <c r="M383" s="181">
        <f t="shared" si="93"/>
        <v>8263.2820433441975</v>
      </c>
      <c r="N383" s="180">
        <f t="shared" si="93"/>
        <v>3607.1039762923137</v>
      </c>
      <c r="O383" s="132">
        <f t="shared" si="88"/>
        <v>4656.1780670518829</v>
      </c>
    </row>
    <row r="384" spans="1:15" x14ac:dyDescent="0.25">
      <c r="A384" s="72">
        <f t="shared" si="94"/>
        <v>219</v>
      </c>
      <c r="B384" s="183">
        <f t="shared" si="89"/>
        <v>784139.29275407933</v>
      </c>
      <c r="C384" s="184">
        <f>-Office!$E$92/12</f>
        <v>7365.1926677265483</v>
      </c>
      <c r="D384" s="183">
        <f>Office!$E$90/12*B383</f>
        <v>3284.2509768539662</v>
      </c>
      <c r="E384" s="185">
        <f t="shared" si="90"/>
        <v>4080.9416908725821</v>
      </c>
      <c r="F384" s="72">
        <f t="shared" si="95"/>
        <v>219</v>
      </c>
      <c r="G384" s="180">
        <f t="shared" si="91"/>
        <v>103700.66412463911</v>
      </c>
      <c r="H384" s="186">
        <f>-Office!$E$97/12</f>
        <v>898.0893756176489</v>
      </c>
      <c r="I384" s="149">
        <f>Office!$E$95/12*G383</f>
        <v>304.1924696725373</v>
      </c>
      <c r="J384" s="187">
        <f t="shared" si="92"/>
        <v>593.8969059451116</v>
      </c>
      <c r="K384" s="72">
        <f t="shared" si="96"/>
        <v>219</v>
      </c>
      <c r="L384" s="180">
        <f t="shared" si="93"/>
        <v>887839.95687871845</v>
      </c>
      <c r="M384" s="181">
        <f t="shared" si="93"/>
        <v>8263.2820433441975</v>
      </c>
      <c r="N384" s="180">
        <f t="shared" si="93"/>
        <v>3588.4434465265035</v>
      </c>
      <c r="O384" s="132">
        <f t="shared" si="88"/>
        <v>4674.8385968176935</v>
      </c>
    </row>
    <row r="385" spans="1:15" x14ac:dyDescent="0.25">
      <c r="A385" s="72">
        <f t="shared" si="94"/>
        <v>220</v>
      </c>
      <c r="B385" s="183">
        <f t="shared" si="89"/>
        <v>780041.34713949473</v>
      </c>
      <c r="C385" s="184">
        <f>-Office!$E$92/12</f>
        <v>7365.1926677265483</v>
      </c>
      <c r="D385" s="183">
        <f>Office!$E$90/12*B384</f>
        <v>3267.2470531419972</v>
      </c>
      <c r="E385" s="185">
        <f t="shared" si="90"/>
        <v>4097.9456145845506</v>
      </c>
      <c r="F385" s="72">
        <f t="shared" si="95"/>
        <v>220</v>
      </c>
      <c r="G385" s="180">
        <f t="shared" si="91"/>
        <v>103105.03501938499</v>
      </c>
      <c r="H385" s="186">
        <f>-Office!$E$97/12</f>
        <v>898.0893756176489</v>
      </c>
      <c r="I385" s="149">
        <f>Office!$E$95/12*G384</f>
        <v>302.46027036353075</v>
      </c>
      <c r="J385" s="187">
        <f t="shared" si="92"/>
        <v>595.62910525411814</v>
      </c>
      <c r="K385" s="72">
        <f t="shared" si="96"/>
        <v>220</v>
      </c>
      <c r="L385" s="180">
        <f t="shared" si="93"/>
        <v>883146.38215887966</v>
      </c>
      <c r="M385" s="181">
        <f t="shared" si="93"/>
        <v>8263.2820433441975</v>
      </c>
      <c r="N385" s="180">
        <f t="shared" si="93"/>
        <v>3569.7073235055277</v>
      </c>
      <c r="O385" s="132">
        <f t="shared" si="88"/>
        <v>4693.5747198386689</v>
      </c>
    </row>
    <row r="386" spans="1:15" x14ac:dyDescent="0.25">
      <c r="A386" s="72">
        <f t="shared" si="94"/>
        <v>221</v>
      </c>
      <c r="B386" s="183">
        <f t="shared" si="89"/>
        <v>775926.32675151608</v>
      </c>
      <c r="C386" s="184">
        <f>-Office!$E$92/12</f>
        <v>7365.1926677265483</v>
      </c>
      <c r="D386" s="183">
        <f>Office!$E$90/12*B385</f>
        <v>3250.1722797478947</v>
      </c>
      <c r="E386" s="185">
        <f t="shared" si="90"/>
        <v>4115.0203879786532</v>
      </c>
      <c r="F386" s="72">
        <f t="shared" si="95"/>
        <v>221</v>
      </c>
      <c r="G386" s="180">
        <f t="shared" si="91"/>
        <v>102507.66866257388</v>
      </c>
      <c r="H386" s="186">
        <f>-Office!$E$97/12</f>
        <v>898.0893756176489</v>
      </c>
      <c r="I386" s="149">
        <f>Office!$E$95/12*G385</f>
        <v>300.72301880653959</v>
      </c>
      <c r="J386" s="187">
        <f t="shared" si="92"/>
        <v>597.36635681110931</v>
      </c>
      <c r="K386" s="72">
        <f t="shared" si="96"/>
        <v>221</v>
      </c>
      <c r="L386" s="180">
        <f t="shared" si="93"/>
        <v>878433.99541408999</v>
      </c>
      <c r="M386" s="181">
        <f t="shared" si="93"/>
        <v>8263.2820433441975</v>
      </c>
      <c r="N386" s="180">
        <f t="shared" si="93"/>
        <v>3550.8952985544342</v>
      </c>
      <c r="O386" s="132">
        <f t="shared" si="88"/>
        <v>4712.3867447897628</v>
      </c>
    </row>
    <row r="387" spans="1:15" x14ac:dyDescent="0.25">
      <c r="A387" s="72">
        <f t="shared" si="94"/>
        <v>222</v>
      </c>
      <c r="B387" s="183">
        <f t="shared" si="89"/>
        <v>771794.16044525418</v>
      </c>
      <c r="C387" s="184">
        <f>-Office!$E$92/12</f>
        <v>7365.1926677265483</v>
      </c>
      <c r="D387" s="183">
        <f>Office!$E$90/12*B386</f>
        <v>3233.0263614646501</v>
      </c>
      <c r="E387" s="185">
        <f t="shared" si="90"/>
        <v>4132.1663062618982</v>
      </c>
      <c r="F387" s="72">
        <f t="shared" si="95"/>
        <v>222</v>
      </c>
      <c r="G387" s="180">
        <f t="shared" si="91"/>
        <v>101908.55998722208</v>
      </c>
      <c r="H387" s="186">
        <f>-Office!$E$97/12</f>
        <v>898.0893756176489</v>
      </c>
      <c r="I387" s="149">
        <f>Office!$E$95/12*G386</f>
        <v>298.98070026584048</v>
      </c>
      <c r="J387" s="187">
        <f t="shared" si="92"/>
        <v>599.10867535180842</v>
      </c>
      <c r="K387" s="72">
        <f t="shared" si="96"/>
        <v>222</v>
      </c>
      <c r="L387" s="180">
        <f t="shared" si="93"/>
        <v>873702.72043247626</v>
      </c>
      <c r="M387" s="181">
        <f t="shared" si="93"/>
        <v>8263.2820433441975</v>
      </c>
      <c r="N387" s="180">
        <f t="shared" si="93"/>
        <v>3532.0070617304905</v>
      </c>
      <c r="O387" s="132">
        <f t="shared" si="88"/>
        <v>4731.2749816137066</v>
      </c>
    </row>
    <row r="388" spans="1:15" x14ac:dyDescent="0.25">
      <c r="A388" s="72">
        <f t="shared" si="94"/>
        <v>223</v>
      </c>
      <c r="B388" s="183">
        <f t="shared" si="89"/>
        <v>767644.77677938284</v>
      </c>
      <c r="C388" s="184">
        <f>-Office!$E$92/12</f>
        <v>7365.1926677265483</v>
      </c>
      <c r="D388" s="183">
        <f>Office!$E$90/12*B387</f>
        <v>3215.8090018552257</v>
      </c>
      <c r="E388" s="185">
        <f t="shared" si="90"/>
        <v>4149.3836658713226</v>
      </c>
      <c r="F388" s="72">
        <f t="shared" si="95"/>
        <v>223</v>
      </c>
      <c r="G388" s="180">
        <f t="shared" si="91"/>
        <v>101307.70391156717</v>
      </c>
      <c r="H388" s="186">
        <f>-Office!$E$97/12</f>
        <v>898.0893756176489</v>
      </c>
      <c r="I388" s="149">
        <f>Office!$E$95/12*G387</f>
        <v>297.23329996273105</v>
      </c>
      <c r="J388" s="187">
        <f t="shared" si="92"/>
        <v>600.85607565491784</v>
      </c>
      <c r="K388" s="72">
        <f t="shared" si="96"/>
        <v>223</v>
      </c>
      <c r="L388" s="180">
        <f t="shared" si="93"/>
        <v>868952.48069095006</v>
      </c>
      <c r="M388" s="181">
        <f t="shared" si="93"/>
        <v>8263.2820433441975</v>
      </c>
      <c r="N388" s="180">
        <f t="shared" si="93"/>
        <v>3513.0423018179567</v>
      </c>
      <c r="O388" s="132">
        <f t="shared" si="88"/>
        <v>4750.2397415262403</v>
      </c>
    </row>
    <row r="389" spans="1:15" x14ac:dyDescent="0.25">
      <c r="A389" s="72">
        <f t="shared" si="94"/>
        <v>224</v>
      </c>
      <c r="B389" s="183">
        <f t="shared" si="89"/>
        <v>763478.10401490377</v>
      </c>
      <c r="C389" s="184">
        <f>-Office!$E$92/12</f>
        <v>7365.1926677265483</v>
      </c>
      <c r="D389" s="183">
        <f>Office!$E$90/12*B388</f>
        <v>3198.5199032474284</v>
      </c>
      <c r="E389" s="185">
        <f t="shared" si="90"/>
        <v>4166.6727644791199</v>
      </c>
      <c r="F389" s="72">
        <f t="shared" si="95"/>
        <v>224</v>
      </c>
      <c r="G389" s="180">
        <f t="shared" si="91"/>
        <v>100705.09533902492</v>
      </c>
      <c r="H389" s="186">
        <f>-Office!$E$97/12</f>
        <v>898.0893756176489</v>
      </c>
      <c r="I389" s="149">
        <f>Office!$E$95/12*G388</f>
        <v>295.48080307540425</v>
      </c>
      <c r="J389" s="187">
        <f t="shared" si="92"/>
        <v>602.6085725422447</v>
      </c>
      <c r="K389" s="72">
        <f t="shared" si="96"/>
        <v>224</v>
      </c>
      <c r="L389" s="180">
        <f t="shared" si="93"/>
        <v>864183.19935392868</v>
      </c>
      <c r="M389" s="181">
        <f t="shared" si="93"/>
        <v>8263.2820433441975</v>
      </c>
      <c r="N389" s="180">
        <f t="shared" si="93"/>
        <v>3494.0007063228327</v>
      </c>
      <c r="O389" s="132">
        <f t="shared" si="88"/>
        <v>4769.2813370213644</v>
      </c>
    </row>
    <row r="390" spans="1:15" x14ac:dyDescent="0.25">
      <c r="A390" s="72">
        <f t="shared" si="94"/>
        <v>225</v>
      </c>
      <c r="B390" s="183">
        <f t="shared" si="89"/>
        <v>759294.07011390594</v>
      </c>
      <c r="C390" s="184">
        <f>-Office!$E$92/12</f>
        <v>7365.1926677265483</v>
      </c>
      <c r="D390" s="183">
        <f>Office!$E$90/12*B389</f>
        <v>3181.1587667287658</v>
      </c>
      <c r="E390" s="185">
        <f t="shared" si="90"/>
        <v>4184.0339009977824</v>
      </c>
      <c r="F390" s="72">
        <f t="shared" si="95"/>
        <v>225</v>
      </c>
      <c r="G390" s="180">
        <f t="shared" si="91"/>
        <v>100100.72915814609</v>
      </c>
      <c r="H390" s="186">
        <f>-Office!$E$97/12</f>
        <v>898.0893756176489</v>
      </c>
      <c r="I390" s="149">
        <f>Office!$E$95/12*G389</f>
        <v>293.72319473882271</v>
      </c>
      <c r="J390" s="187">
        <f t="shared" si="92"/>
        <v>604.36618087882619</v>
      </c>
      <c r="K390" s="72">
        <f t="shared" si="96"/>
        <v>225</v>
      </c>
      <c r="L390" s="180">
        <f t="shared" si="93"/>
        <v>859394.79927205201</v>
      </c>
      <c r="M390" s="181">
        <f t="shared" si="93"/>
        <v>8263.2820433441975</v>
      </c>
      <c r="N390" s="180">
        <f t="shared" si="93"/>
        <v>3474.8819614675886</v>
      </c>
      <c r="O390" s="132">
        <f t="shared" si="88"/>
        <v>4788.400081876609</v>
      </c>
    </row>
    <row r="391" spans="1:15" x14ac:dyDescent="0.25">
      <c r="A391" s="72">
        <f t="shared" si="94"/>
        <v>226</v>
      </c>
      <c r="B391" s="183">
        <f t="shared" si="89"/>
        <v>755092.60273832071</v>
      </c>
      <c r="C391" s="184">
        <f>-Office!$E$92/12</f>
        <v>7365.1926677265483</v>
      </c>
      <c r="D391" s="183">
        <f>Office!$E$90/12*B390</f>
        <v>3163.7252921412746</v>
      </c>
      <c r="E391" s="185">
        <f t="shared" si="90"/>
        <v>4201.4673755852737</v>
      </c>
      <c r="F391" s="72">
        <f t="shared" si="95"/>
        <v>226</v>
      </c>
      <c r="G391" s="180">
        <f t="shared" si="91"/>
        <v>99494.600242573026</v>
      </c>
      <c r="H391" s="186">
        <f>-Office!$E$97/12</f>
        <v>898.0893756176489</v>
      </c>
      <c r="I391" s="149">
        <f>Office!$E$95/12*G390</f>
        <v>291.96046004459276</v>
      </c>
      <c r="J391" s="187">
        <f t="shared" si="92"/>
        <v>606.12891557305613</v>
      </c>
      <c r="K391" s="72">
        <f t="shared" si="96"/>
        <v>226</v>
      </c>
      <c r="L391" s="180">
        <f t="shared" si="93"/>
        <v>854587.20298089378</v>
      </c>
      <c r="M391" s="181">
        <f t="shared" si="93"/>
        <v>8263.2820433441975</v>
      </c>
      <c r="N391" s="180">
        <f t="shared" si="93"/>
        <v>3455.6857521858674</v>
      </c>
      <c r="O391" s="132">
        <f t="shared" si="88"/>
        <v>4807.5962911583301</v>
      </c>
    </row>
    <row r="392" spans="1:15" x14ac:dyDescent="0.25">
      <c r="A392" s="72">
        <f t="shared" si="94"/>
        <v>227</v>
      </c>
      <c r="B392" s="183">
        <f t="shared" si="89"/>
        <v>750873.62924867054</v>
      </c>
      <c r="C392" s="184">
        <f>-Office!$E$92/12</f>
        <v>7365.1926677265483</v>
      </c>
      <c r="D392" s="183">
        <f>Office!$E$90/12*B391</f>
        <v>3146.2191780763364</v>
      </c>
      <c r="E392" s="185">
        <f t="shared" si="90"/>
        <v>4218.9734896502123</v>
      </c>
      <c r="F392" s="72">
        <f t="shared" si="95"/>
        <v>227</v>
      </c>
      <c r="G392" s="180">
        <f t="shared" si="91"/>
        <v>98886.70345099621</v>
      </c>
      <c r="H392" s="186">
        <f>-Office!$E$97/12</f>
        <v>898.0893756176489</v>
      </c>
      <c r="I392" s="149">
        <f>Office!$E$95/12*G391</f>
        <v>290.19258404083803</v>
      </c>
      <c r="J392" s="187">
        <f t="shared" si="92"/>
        <v>607.89679157681087</v>
      </c>
      <c r="K392" s="72">
        <f t="shared" si="96"/>
        <v>227</v>
      </c>
      <c r="L392" s="180">
        <f t="shared" si="93"/>
        <v>849760.33269966673</v>
      </c>
      <c r="M392" s="181">
        <f t="shared" si="93"/>
        <v>8263.2820433441975</v>
      </c>
      <c r="N392" s="180">
        <f t="shared" si="93"/>
        <v>3436.4117621171745</v>
      </c>
      <c r="O392" s="132">
        <f t="shared" si="88"/>
        <v>4826.870281227023</v>
      </c>
    </row>
    <row r="393" spans="1:15" x14ac:dyDescent="0.25">
      <c r="A393" s="72">
        <f t="shared" si="94"/>
        <v>228</v>
      </c>
      <c r="B393" s="183">
        <f t="shared" si="89"/>
        <v>746637.0767028135</v>
      </c>
      <c r="C393" s="184">
        <f>-Office!$E$92/12</f>
        <v>7365.1926677265483</v>
      </c>
      <c r="D393" s="183">
        <f>Office!$E$90/12*B392</f>
        <v>3128.6401218694605</v>
      </c>
      <c r="E393" s="185">
        <f t="shared" si="90"/>
        <v>4236.5525458570883</v>
      </c>
      <c r="F393" s="72">
        <f t="shared" si="95"/>
        <v>228</v>
      </c>
      <c r="G393" s="180">
        <f t="shared" si="91"/>
        <v>98277.033627110635</v>
      </c>
      <c r="H393" s="186">
        <f>-Office!$E$97/12</f>
        <v>898.0893756176489</v>
      </c>
      <c r="I393" s="149">
        <f>Office!$E$95/12*G392</f>
        <v>288.41955173207231</v>
      </c>
      <c r="J393" s="187">
        <f t="shared" si="92"/>
        <v>609.66982388557653</v>
      </c>
      <c r="K393" s="72">
        <f t="shared" si="96"/>
        <v>228</v>
      </c>
      <c r="L393" s="180">
        <f t="shared" si="93"/>
        <v>844914.11032992415</v>
      </c>
      <c r="M393" s="181">
        <f t="shared" si="93"/>
        <v>8263.2820433441975</v>
      </c>
      <c r="N393" s="180">
        <f t="shared" si="93"/>
        <v>3417.0596736015327</v>
      </c>
      <c r="O393" s="132">
        <f t="shared" si="88"/>
        <v>4846.2223697426653</v>
      </c>
    </row>
    <row r="394" spans="1:15" x14ac:dyDescent="0.25">
      <c r="A394" s="72">
        <f t="shared" si="94"/>
        <v>229</v>
      </c>
      <c r="B394" s="183">
        <f t="shared" si="89"/>
        <v>742382.87185468199</v>
      </c>
      <c r="C394" s="184">
        <f>-Office!$E$92/12</f>
        <v>7365.1926677265483</v>
      </c>
      <c r="D394" s="183">
        <f>Office!$E$90/12*B393</f>
        <v>3110.9878195950564</v>
      </c>
      <c r="E394" s="185">
        <f t="shared" si="90"/>
        <v>4254.2048481314923</v>
      </c>
      <c r="F394" s="72">
        <f t="shared" si="95"/>
        <v>229</v>
      </c>
      <c r="G394" s="180">
        <f t="shared" si="91"/>
        <v>97665.585599572063</v>
      </c>
      <c r="H394" s="186">
        <f>-Office!$E$97/12</f>
        <v>898.0893756176489</v>
      </c>
      <c r="I394" s="149">
        <f>Office!$E$95/12*G393</f>
        <v>286.64134807907271</v>
      </c>
      <c r="J394" s="187">
        <f t="shared" si="92"/>
        <v>611.44802753857618</v>
      </c>
      <c r="K394" s="72">
        <f t="shared" si="96"/>
        <v>229</v>
      </c>
      <c r="L394" s="180">
        <f t="shared" si="93"/>
        <v>840048.45745425404</v>
      </c>
      <c r="M394" s="181">
        <f t="shared" si="93"/>
        <v>8263.2820433441975</v>
      </c>
      <c r="N394" s="180">
        <f t="shared" si="93"/>
        <v>3397.6291676741293</v>
      </c>
      <c r="O394" s="132">
        <f t="shared" si="88"/>
        <v>4865.6528756700682</v>
      </c>
    </row>
    <row r="395" spans="1:15" x14ac:dyDescent="0.25">
      <c r="A395" s="72">
        <f t="shared" si="94"/>
        <v>230</v>
      </c>
      <c r="B395" s="183">
        <f t="shared" si="89"/>
        <v>738110.94115301664</v>
      </c>
      <c r="C395" s="184">
        <f>-Office!$E$92/12</f>
        <v>7365.1926677265483</v>
      </c>
      <c r="D395" s="183">
        <f>Office!$E$90/12*B394</f>
        <v>3093.2619660611749</v>
      </c>
      <c r="E395" s="185">
        <f t="shared" si="90"/>
        <v>4271.9307016653729</v>
      </c>
      <c r="F395" s="72">
        <f t="shared" si="95"/>
        <v>230</v>
      </c>
      <c r="G395" s="180">
        <f t="shared" si="91"/>
        <v>97052.354181953167</v>
      </c>
      <c r="H395" s="186">
        <f>-Office!$E$97/12</f>
        <v>898.0893756176489</v>
      </c>
      <c r="I395" s="149">
        <f>Office!$E$95/12*G394</f>
        <v>284.85795799875189</v>
      </c>
      <c r="J395" s="187">
        <f t="shared" si="92"/>
        <v>613.23141761889701</v>
      </c>
      <c r="K395" s="72">
        <f t="shared" si="96"/>
        <v>230</v>
      </c>
      <c r="L395" s="180">
        <f t="shared" si="93"/>
        <v>835163.29533496976</v>
      </c>
      <c r="M395" s="181">
        <f t="shared" si="93"/>
        <v>8263.2820433441975</v>
      </c>
      <c r="N395" s="180">
        <f t="shared" si="93"/>
        <v>3378.1199240599267</v>
      </c>
      <c r="O395" s="132">
        <f t="shared" si="88"/>
        <v>4885.1621192842704</v>
      </c>
    </row>
    <row r="396" spans="1:15" x14ac:dyDescent="0.25">
      <c r="A396" s="72">
        <f t="shared" si="94"/>
        <v>231</v>
      </c>
      <c r="B396" s="183">
        <f t="shared" si="89"/>
        <v>733821.21074009431</v>
      </c>
      <c r="C396" s="184">
        <f>-Office!$E$92/12</f>
        <v>7365.1926677265483</v>
      </c>
      <c r="D396" s="183">
        <f>Office!$E$90/12*B395</f>
        <v>3075.4622548042362</v>
      </c>
      <c r="E396" s="185">
        <f t="shared" si="90"/>
        <v>4289.7304129223121</v>
      </c>
      <c r="F396" s="72">
        <f t="shared" si="95"/>
        <v>231</v>
      </c>
      <c r="G396" s="180">
        <f t="shared" si="91"/>
        <v>96437.334172699542</v>
      </c>
      <c r="H396" s="186">
        <f>-Office!$E$97/12</f>
        <v>898.0893756176489</v>
      </c>
      <c r="I396" s="149">
        <f>Office!$E$95/12*G395</f>
        <v>283.06936636403009</v>
      </c>
      <c r="J396" s="187">
        <f t="shared" si="92"/>
        <v>615.02000925361881</v>
      </c>
      <c r="K396" s="72">
        <f t="shared" si="96"/>
        <v>231</v>
      </c>
      <c r="L396" s="180">
        <f t="shared" si="93"/>
        <v>830258.54491279391</v>
      </c>
      <c r="M396" s="181">
        <f t="shared" si="93"/>
        <v>8263.2820433441975</v>
      </c>
      <c r="N396" s="180">
        <f t="shared" si="93"/>
        <v>3358.5316211682662</v>
      </c>
      <c r="O396" s="132">
        <f t="shared" si="88"/>
        <v>4904.7504221759309</v>
      </c>
    </row>
    <row r="397" spans="1:15" x14ac:dyDescent="0.25">
      <c r="A397" s="72">
        <f t="shared" si="94"/>
        <v>232</v>
      </c>
      <c r="B397" s="183">
        <f t="shared" si="89"/>
        <v>729513.60645045154</v>
      </c>
      <c r="C397" s="184">
        <f>-Office!$E$92/12</f>
        <v>7365.1926677265483</v>
      </c>
      <c r="D397" s="183">
        <f>Office!$E$90/12*B396</f>
        <v>3057.5883780837262</v>
      </c>
      <c r="E397" s="185">
        <f t="shared" si="90"/>
        <v>4307.6042896428226</v>
      </c>
      <c r="F397" s="72">
        <f t="shared" si="95"/>
        <v>232</v>
      </c>
      <c r="G397" s="180">
        <f t="shared" si="91"/>
        <v>95820.520355085595</v>
      </c>
      <c r="H397" s="186">
        <f>-Office!$E$97/12</f>
        <v>898.0893756176489</v>
      </c>
      <c r="I397" s="149">
        <f>Office!$E$95/12*G396</f>
        <v>281.27555800370703</v>
      </c>
      <c r="J397" s="187">
        <f t="shared" si="92"/>
        <v>616.81381761394186</v>
      </c>
      <c r="K397" s="72">
        <f t="shared" si="96"/>
        <v>232</v>
      </c>
      <c r="L397" s="180">
        <f t="shared" si="93"/>
        <v>825334.12680553715</v>
      </c>
      <c r="M397" s="181">
        <f t="shared" si="93"/>
        <v>8263.2820433441975</v>
      </c>
      <c r="N397" s="180">
        <f t="shared" si="93"/>
        <v>3338.8639360874331</v>
      </c>
      <c r="O397" s="132">
        <f t="shared" si="88"/>
        <v>4924.4181072567644</v>
      </c>
    </row>
    <row r="398" spans="1:15" x14ac:dyDescent="0.25">
      <c r="A398" s="72">
        <f t="shared" si="94"/>
        <v>233</v>
      </c>
      <c r="B398" s="183">
        <f t="shared" si="89"/>
        <v>725188.05380960181</v>
      </c>
      <c r="C398" s="184">
        <f>-Office!$E$92/12</f>
        <v>7365.1926677265483</v>
      </c>
      <c r="D398" s="183">
        <f>Office!$E$90/12*B397</f>
        <v>3039.6400268768812</v>
      </c>
      <c r="E398" s="185">
        <f t="shared" si="90"/>
        <v>4325.5526408496671</v>
      </c>
      <c r="F398" s="72">
        <f t="shared" si="95"/>
        <v>233</v>
      </c>
      <c r="G398" s="180">
        <f t="shared" si="91"/>
        <v>95201.907497170279</v>
      </c>
      <c r="H398" s="186">
        <f>-Office!$E$97/12</f>
        <v>898.0893756176489</v>
      </c>
      <c r="I398" s="149">
        <f>Office!$E$95/12*G397</f>
        <v>279.47651770233301</v>
      </c>
      <c r="J398" s="187">
        <f t="shared" si="92"/>
        <v>618.61285791531589</v>
      </c>
      <c r="K398" s="72">
        <f t="shared" si="96"/>
        <v>233</v>
      </c>
      <c r="L398" s="180">
        <f t="shared" si="93"/>
        <v>820389.96130677208</v>
      </c>
      <c r="M398" s="181">
        <f t="shared" si="93"/>
        <v>8263.2820433441975</v>
      </c>
      <c r="N398" s="180">
        <f t="shared" si="93"/>
        <v>3319.116544579214</v>
      </c>
      <c r="O398" s="132">
        <f t="shared" si="88"/>
        <v>4944.1654987649827</v>
      </c>
    </row>
    <row r="399" spans="1:15" x14ac:dyDescent="0.25">
      <c r="A399" s="72">
        <f t="shared" si="94"/>
        <v>234</v>
      </c>
      <c r="B399" s="183">
        <f t="shared" si="89"/>
        <v>720844.47803274856</v>
      </c>
      <c r="C399" s="184">
        <f>-Office!$E$92/12</f>
        <v>7365.1926677265483</v>
      </c>
      <c r="D399" s="183">
        <f>Office!$E$90/12*B398</f>
        <v>3021.6168908733407</v>
      </c>
      <c r="E399" s="185">
        <f t="shared" si="90"/>
        <v>4343.5757768532076</v>
      </c>
      <c r="F399" s="72">
        <f t="shared" si="95"/>
        <v>234</v>
      </c>
      <c r="G399" s="180">
        <f t="shared" si="91"/>
        <v>94581.490351752713</v>
      </c>
      <c r="H399" s="186">
        <f>-Office!$E$97/12</f>
        <v>898.0893756176489</v>
      </c>
      <c r="I399" s="149">
        <f>Office!$E$95/12*G398</f>
        <v>277.67223020007998</v>
      </c>
      <c r="J399" s="187">
        <f t="shared" si="92"/>
        <v>620.41714541756892</v>
      </c>
      <c r="K399" s="72">
        <f t="shared" si="96"/>
        <v>234</v>
      </c>
      <c r="L399" s="180">
        <f t="shared" si="93"/>
        <v>815425.96838450129</v>
      </c>
      <c r="M399" s="181">
        <f t="shared" si="93"/>
        <v>8263.2820433441975</v>
      </c>
      <c r="N399" s="180">
        <f t="shared" si="93"/>
        <v>3299.2891210734206</v>
      </c>
      <c r="O399" s="132">
        <f t="shared" si="88"/>
        <v>4963.992922270776</v>
      </c>
    </row>
    <row r="400" spans="1:15" x14ac:dyDescent="0.25">
      <c r="A400" s="72">
        <f t="shared" si="94"/>
        <v>235</v>
      </c>
      <c r="B400" s="183">
        <f t="shared" si="89"/>
        <v>716482.8040234918</v>
      </c>
      <c r="C400" s="184">
        <f>-Office!$E$92/12</f>
        <v>7365.1926677265483</v>
      </c>
      <c r="D400" s="183">
        <f>Office!$E$90/12*B399</f>
        <v>3003.5186584697858</v>
      </c>
      <c r="E400" s="185">
        <f t="shared" si="90"/>
        <v>4361.6740092567625</v>
      </c>
      <c r="F400" s="72">
        <f t="shared" si="95"/>
        <v>235</v>
      </c>
      <c r="G400" s="180">
        <f t="shared" si="91"/>
        <v>93959.263656327676</v>
      </c>
      <c r="H400" s="186">
        <f>-Office!$E$97/12</f>
        <v>898.0893756176489</v>
      </c>
      <c r="I400" s="149">
        <f>Office!$E$95/12*G399</f>
        <v>275.86268019261212</v>
      </c>
      <c r="J400" s="187">
        <f t="shared" si="92"/>
        <v>622.22669542503672</v>
      </c>
      <c r="K400" s="72">
        <f t="shared" si="96"/>
        <v>235</v>
      </c>
      <c r="L400" s="180">
        <f t="shared" si="93"/>
        <v>810442.06767981942</v>
      </c>
      <c r="M400" s="181">
        <f t="shared" si="93"/>
        <v>8263.2820433441975</v>
      </c>
      <c r="N400" s="180">
        <f t="shared" si="93"/>
        <v>3279.3813386623979</v>
      </c>
      <c r="O400" s="132">
        <f t="shared" si="88"/>
        <v>4983.9007046817987</v>
      </c>
    </row>
    <row r="401" spans="1:15" x14ac:dyDescent="0.25">
      <c r="A401" s="72">
        <f t="shared" si="94"/>
        <v>236</v>
      </c>
      <c r="B401" s="183">
        <f t="shared" si="89"/>
        <v>712102.95637252985</v>
      </c>
      <c r="C401" s="184">
        <f>-Office!$E$92/12</f>
        <v>7365.1926677265483</v>
      </c>
      <c r="D401" s="183">
        <f>Office!$E$90/12*B400</f>
        <v>2985.3450167645492</v>
      </c>
      <c r="E401" s="185">
        <f t="shared" si="90"/>
        <v>4379.8476509619995</v>
      </c>
      <c r="F401" s="72">
        <f t="shared" si="95"/>
        <v>236</v>
      </c>
      <c r="G401" s="180">
        <f t="shared" si="91"/>
        <v>93335.222133040981</v>
      </c>
      <c r="H401" s="186">
        <f>-Office!$E$97/12</f>
        <v>898.0893756176489</v>
      </c>
      <c r="I401" s="149">
        <f>Office!$E$95/12*G400</f>
        <v>274.04785233095572</v>
      </c>
      <c r="J401" s="187">
        <f t="shared" si="92"/>
        <v>624.04152328669318</v>
      </c>
      <c r="K401" s="72">
        <f t="shared" si="96"/>
        <v>236</v>
      </c>
      <c r="L401" s="180">
        <f t="shared" si="93"/>
        <v>805438.17850557086</v>
      </c>
      <c r="M401" s="181">
        <f t="shared" si="93"/>
        <v>8263.2820433441975</v>
      </c>
      <c r="N401" s="180">
        <f t="shared" si="93"/>
        <v>3259.3928690955049</v>
      </c>
      <c r="O401" s="132">
        <f t="shared" si="88"/>
        <v>5003.8891742486931</v>
      </c>
    </row>
    <row r="402" spans="1:15" x14ac:dyDescent="0.25">
      <c r="A402" s="72">
        <f t="shared" si="94"/>
        <v>237</v>
      </c>
      <c r="B402" s="183">
        <f t="shared" si="89"/>
        <v>707704.8593563555</v>
      </c>
      <c r="C402" s="184">
        <f>-Office!$E$92/12</f>
        <v>7365.1926677265483</v>
      </c>
      <c r="D402" s="183">
        <f>Office!$E$90/12*B401</f>
        <v>2967.0956515522075</v>
      </c>
      <c r="E402" s="185">
        <f t="shared" si="90"/>
        <v>4398.0970161743408</v>
      </c>
      <c r="F402" s="72">
        <f t="shared" si="95"/>
        <v>237</v>
      </c>
      <c r="G402" s="180">
        <f t="shared" si="91"/>
        <v>92709.360488644699</v>
      </c>
      <c r="H402" s="186">
        <f>-Office!$E$97/12</f>
        <v>898.0893756176489</v>
      </c>
      <c r="I402" s="149">
        <f>Office!$E$95/12*G401</f>
        <v>272.22773122136954</v>
      </c>
      <c r="J402" s="187">
        <f t="shared" si="92"/>
        <v>625.86164439627942</v>
      </c>
      <c r="K402" s="72">
        <f t="shared" si="96"/>
        <v>237</v>
      </c>
      <c r="L402" s="180">
        <f t="shared" si="93"/>
        <v>800414.21984500019</v>
      </c>
      <c r="M402" s="181">
        <f t="shared" si="93"/>
        <v>8263.2820433441975</v>
      </c>
      <c r="N402" s="180">
        <f t="shared" si="93"/>
        <v>3239.3233827735771</v>
      </c>
      <c r="O402" s="132">
        <f t="shared" si="88"/>
        <v>5023.9586605706199</v>
      </c>
    </row>
    <row r="403" spans="1:15" x14ac:dyDescent="0.25">
      <c r="A403" s="72">
        <f t="shared" si="94"/>
        <v>238</v>
      </c>
      <c r="B403" s="183">
        <f t="shared" si="89"/>
        <v>703288.43693594716</v>
      </c>
      <c r="C403" s="184">
        <f>-Office!$E$92/12</f>
        <v>7365.1926677265483</v>
      </c>
      <c r="D403" s="183">
        <f>Office!$E$90/12*B402</f>
        <v>2948.770247318148</v>
      </c>
      <c r="E403" s="185">
        <f t="shared" si="90"/>
        <v>4416.4224204084003</v>
      </c>
      <c r="F403" s="72">
        <f t="shared" si="95"/>
        <v>238</v>
      </c>
      <c r="G403" s="180">
        <f t="shared" si="91"/>
        <v>92081.673414452263</v>
      </c>
      <c r="H403" s="186">
        <f>-Office!$E$97/12</f>
        <v>898.0893756176489</v>
      </c>
      <c r="I403" s="149">
        <f>Office!$E$95/12*G402</f>
        <v>270.40230142521369</v>
      </c>
      <c r="J403" s="187">
        <f t="shared" si="92"/>
        <v>627.68707419243515</v>
      </c>
      <c r="K403" s="72">
        <f t="shared" si="96"/>
        <v>238</v>
      </c>
      <c r="L403" s="180">
        <f t="shared" si="93"/>
        <v>795370.11035039939</v>
      </c>
      <c r="M403" s="181">
        <f t="shared" si="93"/>
        <v>8263.2820433441975</v>
      </c>
      <c r="N403" s="180">
        <f t="shared" si="93"/>
        <v>3219.1725487433619</v>
      </c>
      <c r="O403" s="132">
        <f t="shared" si="88"/>
        <v>5044.1094946008352</v>
      </c>
    </row>
    <row r="404" spans="1:15" x14ac:dyDescent="0.25">
      <c r="A404" s="72">
        <f t="shared" si="94"/>
        <v>239</v>
      </c>
      <c r="B404" s="183">
        <f t="shared" si="89"/>
        <v>698853.61275545368</v>
      </c>
      <c r="C404" s="184">
        <f>-Office!$E$92/12</f>
        <v>7365.1926677265483</v>
      </c>
      <c r="D404" s="183">
        <f>Office!$E$90/12*B403</f>
        <v>2930.3684872331132</v>
      </c>
      <c r="E404" s="185">
        <f t="shared" si="90"/>
        <v>4434.8241804934351</v>
      </c>
      <c r="F404" s="72">
        <f t="shared" si="95"/>
        <v>239</v>
      </c>
      <c r="G404" s="180">
        <f t="shared" si="91"/>
        <v>91452.155586293433</v>
      </c>
      <c r="H404" s="186">
        <f>-Office!$E$97/12</f>
        <v>898.0893756176489</v>
      </c>
      <c r="I404" s="149">
        <f>Office!$E$95/12*G403</f>
        <v>268.57154745881911</v>
      </c>
      <c r="J404" s="187">
        <f t="shared" si="92"/>
        <v>629.51782815882984</v>
      </c>
      <c r="K404" s="72">
        <f t="shared" si="96"/>
        <v>239</v>
      </c>
      <c r="L404" s="180">
        <f t="shared" si="93"/>
        <v>790305.76834174711</v>
      </c>
      <c r="M404" s="181">
        <f t="shared" si="93"/>
        <v>8263.2820433441975</v>
      </c>
      <c r="N404" s="180">
        <f t="shared" si="93"/>
        <v>3198.9400346919324</v>
      </c>
      <c r="O404" s="132">
        <f t="shared" si="88"/>
        <v>5064.3420086522647</v>
      </c>
    </row>
    <row r="405" spans="1:15" x14ac:dyDescent="0.25">
      <c r="A405" s="72">
        <f t="shared" si="94"/>
        <v>240</v>
      </c>
      <c r="B405" s="183">
        <f t="shared" si="89"/>
        <v>694400.31014087482</v>
      </c>
      <c r="C405" s="184">
        <f>-Office!$E$92/12</f>
        <v>7365.1926677265483</v>
      </c>
      <c r="D405" s="183">
        <f>Office!$E$90/12*B404</f>
        <v>2911.8900531477238</v>
      </c>
      <c r="E405" s="185">
        <f t="shared" si="90"/>
        <v>4453.3026145788244</v>
      </c>
      <c r="F405" s="72">
        <f t="shared" si="95"/>
        <v>240</v>
      </c>
      <c r="G405" s="180">
        <f t="shared" si="91"/>
        <v>90820.801664469138</v>
      </c>
      <c r="H405" s="186">
        <f>-Office!$E$97/12</f>
        <v>898.0893756176489</v>
      </c>
      <c r="I405" s="149">
        <f>Office!$E$95/12*G404</f>
        <v>266.73545379335587</v>
      </c>
      <c r="J405" s="187">
        <f t="shared" si="92"/>
        <v>631.35392182429302</v>
      </c>
      <c r="K405" s="72">
        <f t="shared" si="96"/>
        <v>240</v>
      </c>
      <c r="L405" s="180">
        <f t="shared" si="93"/>
        <v>785221.111805344</v>
      </c>
      <c r="M405" s="181">
        <f t="shared" si="93"/>
        <v>8263.2820433441975</v>
      </c>
      <c r="N405" s="180">
        <f t="shared" si="93"/>
        <v>3178.6255069410799</v>
      </c>
      <c r="O405" s="132">
        <f t="shared" si="88"/>
        <v>5084.6565364031176</v>
      </c>
    </row>
    <row r="406" spans="1:15" x14ac:dyDescent="0.25">
      <c r="A406" s="72">
        <f t="shared" si="94"/>
        <v>241</v>
      </c>
      <c r="B406" s="183">
        <f t="shared" si="89"/>
        <v>689928.45209873526</v>
      </c>
      <c r="C406" s="184">
        <f>-Office!$E$92/12</f>
        <v>7365.1926677265483</v>
      </c>
      <c r="D406" s="183">
        <f>Office!$E$90/12*B405</f>
        <v>2893.3346255869783</v>
      </c>
      <c r="E406" s="185">
        <f t="shared" si="90"/>
        <v>4471.85804213957</v>
      </c>
      <c r="F406" s="72">
        <f t="shared" si="95"/>
        <v>241</v>
      </c>
      <c r="G406" s="180">
        <f t="shared" si="91"/>
        <v>90187.606293706194</v>
      </c>
      <c r="H406" s="186">
        <f>-Office!$E$97/12</f>
        <v>898.0893756176489</v>
      </c>
      <c r="I406" s="149">
        <f>Office!$E$95/12*G405</f>
        <v>264.89400485470168</v>
      </c>
      <c r="J406" s="187">
        <f t="shared" si="92"/>
        <v>633.19537076294728</v>
      </c>
      <c r="K406" s="72">
        <f t="shared" si="96"/>
        <v>241</v>
      </c>
      <c r="L406" s="180">
        <f t="shared" si="93"/>
        <v>780116.05839244148</v>
      </c>
      <c r="M406" s="181">
        <f t="shared" si="93"/>
        <v>8263.2820433441975</v>
      </c>
      <c r="N406" s="180">
        <f t="shared" si="93"/>
        <v>3158.2286304416798</v>
      </c>
      <c r="O406" s="132">
        <f t="shared" si="88"/>
        <v>5105.0534129025173</v>
      </c>
    </row>
    <row r="407" spans="1:15" x14ac:dyDescent="0.25">
      <c r="A407" s="72">
        <f t="shared" si="94"/>
        <v>242</v>
      </c>
      <c r="B407" s="183">
        <f t="shared" si="89"/>
        <v>685437.9613147534</v>
      </c>
      <c r="C407" s="184">
        <f>-Office!$E$92/12</f>
        <v>7365.1926677265483</v>
      </c>
      <c r="D407" s="183">
        <f>Office!$E$90/12*B406</f>
        <v>2874.7018837447304</v>
      </c>
      <c r="E407" s="185">
        <f t="shared" si="90"/>
        <v>4490.4907839818179</v>
      </c>
      <c r="F407" s="72">
        <f t="shared" si="95"/>
        <v>242</v>
      </c>
      <c r="G407" s="180">
        <f t="shared" si="91"/>
        <v>89552.564103111858</v>
      </c>
      <c r="H407" s="186">
        <f>-Office!$E$97/12</f>
        <v>898.0893756176489</v>
      </c>
      <c r="I407" s="149">
        <f>Office!$E$95/12*G406</f>
        <v>263.04718502330974</v>
      </c>
      <c r="J407" s="187">
        <f t="shared" si="92"/>
        <v>635.04219059433922</v>
      </c>
      <c r="K407" s="72">
        <f t="shared" si="96"/>
        <v>242</v>
      </c>
      <c r="L407" s="180">
        <f t="shared" si="93"/>
        <v>774990.52541786525</v>
      </c>
      <c r="M407" s="181">
        <f t="shared" si="93"/>
        <v>8263.2820433441975</v>
      </c>
      <c r="N407" s="180">
        <f t="shared" si="93"/>
        <v>3137.7490687680402</v>
      </c>
      <c r="O407" s="132">
        <f t="shared" si="88"/>
        <v>5125.5329745761574</v>
      </c>
    </row>
    <row r="408" spans="1:15" x14ac:dyDescent="0.25">
      <c r="A408" s="72">
        <f t="shared" si="94"/>
        <v>243</v>
      </c>
      <c r="B408" s="183">
        <f t="shared" si="89"/>
        <v>680928.76015250501</v>
      </c>
      <c r="C408" s="184">
        <f>-Office!$E$92/12</f>
        <v>7365.1926677265483</v>
      </c>
      <c r="D408" s="183">
        <f>Office!$E$90/12*B407</f>
        <v>2855.9915054781391</v>
      </c>
      <c r="E408" s="185">
        <f t="shared" si="90"/>
        <v>4509.2011622484097</v>
      </c>
      <c r="F408" s="72">
        <f t="shared" si="95"/>
        <v>243</v>
      </c>
      <c r="G408" s="180">
        <f t="shared" si="91"/>
        <v>88915.66970612829</v>
      </c>
      <c r="H408" s="186">
        <f>-Office!$E$97/12</f>
        <v>898.0893756176489</v>
      </c>
      <c r="I408" s="149">
        <f>Office!$E$95/12*G407</f>
        <v>261.19497863407628</v>
      </c>
      <c r="J408" s="187">
        <f t="shared" si="92"/>
        <v>636.89439698357262</v>
      </c>
      <c r="K408" s="72">
        <f t="shared" si="96"/>
        <v>243</v>
      </c>
      <c r="L408" s="180">
        <f t="shared" si="93"/>
        <v>769844.42985863332</v>
      </c>
      <c r="M408" s="181">
        <f t="shared" si="93"/>
        <v>8263.2820433441975</v>
      </c>
      <c r="N408" s="180">
        <f t="shared" si="93"/>
        <v>3117.1864841122151</v>
      </c>
      <c r="O408" s="132">
        <f t="shared" si="88"/>
        <v>5146.0955592319824</v>
      </c>
    </row>
    <row r="409" spans="1:15" x14ac:dyDescent="0.25">
      <c r="A409" s="72">
        <f t="shared" si="94"/>
        <v>244</v>
      </c>
      <c r="B409" s="183">
        <f t="shared" si="89"/>
        <v>676400.77065208054</v>
      </c>
      <c r="C409" s="184">
        <f>-Office!$E$92/12</f>
        <v>7365.1926677265483</v>
      </c>
      <c r="D409" s="183">
        <f>Office!$E$90/12*B408</f>
        <v>2837.2031673021042</v>
      </c>
      <c r="E409" s="185">
        <f t="shared" si="90"/>
        <v>4527.9895004244445</v>
      </c>
      <c r="F409" s="72">
        <f t="shared" si="95"/>
        <v>244</v>
      </c>
      <c r="G409" s="180">
        <f t="shared" si="91"/>
        <v>88276.917700486854</v>
      </c>
      <c r="H409" s="186">
        <f>-Office!$E$97/12</f>
        <v>898.0893756176489</v>
      </c>
      <c r="I409" s="149">
        <f>Office!$E$95/12*G408</f>
        <v>259.33736997620753</v>
      </c>
      <c r="J409" s="187">
        <f t="shared" si="92"/>
        <v>638.75200564144143</v>
      </c>
      <c r="K409" s="72">
        <f t="shared" si="96"/>
        <v>244</v>
      </c>
      <c r="L409" s="180">
        <f t="shared" si="93"/>
        <v>764677.68835256738</v>
      </c>
      <c r="M409" s="181">
        <f t="shared" si="93"/>
        <v>8263.2820433441975</v>
      </c>
      <c r="N409" s="180">
        <f t="shared" si="93"/>
        <v>3096.5405372783116</v>
      </c>
      <c r="O409" s="132">
        <f t="shared" si="88"/>
        <v>5166.7415060658859</v>
      </c>
    </row>
    <row r="410" spans="1:15" x14ac:dyDescent="0.25">
      <c r="A410" s="72">
        <f t="shared" si="94"/>
        <v>245</v>
      </c>
      <c r="B410" s="183">
        <f t="shared" si="89"/>
        <v>671853.91452873766</v>
      </c>
      <c r="C410" s="184">
        <f>-Office!$E$92/12</f>
        <v>7365.1926677265483</v>
      </c>
      <c r="D410" s="183">
        <f>Office!$E$90/12*B409</f>
        <v>2818.3365443836688</v>
      </c>
      <c r="E410" s="185">
        <f t="shared" si="90"/>
        <v>4546.8561233428791</v>
      </c>
      <c r="F410" s="72">
        <f t="shared" si="95"/>
        <v>245</v>
      </c>
      <c r="G410" s="180">
        <f t="shared" si="91"/>
        <v>87636.302668162287</v>
      </c>
      <c r="H410" s="186">
        <f>-Office!$E$97/12</f>
        <v>898.0893756176489</v>
      </c>
      <c r="I410" s="149">
        <f>Office!$E$95/12*G409</f>
        <v>257.47434329308669</v>
      </c>
      <c r="J410" s="187">
        <f t="shared" si="92"/>
        <v>640.61503232456221</v>
      </c>
      <c r="K410" s="72">
        <f t="shared" si="96"/>
        <v>245</v>
      </c>
      <c r="L410" s="180">
        <f t="shared" si="93"/>
        <v>759490.21719689993</v>
      </c>
      <c r="M410" s="181">
        <f t="shared" si="93"/>
        <v>8263.2820433441975</v>
      </c>
      <c r="N410" s="180">
        <f t="shared" si="93"/>
        <v>3075.8108876767556</v>
      </c>
      <c r="O410" s="132">
        <f t="shared" si="88"/>
        <v>5187.4711556674411</v>
      </c>
    </row>
    <row r="411" spans="1:15" x14ac:dyDescent="0.25">
      <c r="A411" s="72">
        <f t="shared" si="94"/>
        <v>246</v>
      </c>
      <c r="B411" s="183">
        <f t="shared" si="89"/>
        <v>667288.11317154753</v>
      </c>
      <c r="C411" s="184">
        <f>-Office!$E$92/12</f>
        <v>7365.1926677265483</v>
      </c>
      <c r="D411" s="183">
        <f>Office!$E$90/12*B410</f>
        <v>2799.3913105364068</v>
      </c>
      <c r="E411" s="185">
        <f t="shared" si="90"/>
        <v>4565.8013571901411</v>
      </c>
      <c r="F411" s="72">
        <f t="shared" si="95"/>
        <v>246</v>
      </c>
      <c r="G411" s="180">
        <f t="shared" si="91"/>
        <v>86993.819175326775</v>
      </c>
      <c r="H411" s="186">
        <f>-Office!$E$97/12</f>
        <v>898.0893756176489</v>
      </c>
      <c r="I411" s="149">
        <f>Office!$E$95/12*G410</f>
        <v>255.60588278214001</v>
      </c>
      <c r="J411" s="187">
        <f t="shared" si="92"/>
        <v>642.48349283550886</v>
      </c>
      <c r="K411" s="72">
        <f t="shared" si="96"/>
        <v>246</v>
      </c>
      <c r="L411" s="180">
        <f t="shared" si="93"/>
        <v>754281.93234687427</v>
      </c>
      <c r="M411" s="181">
        <f t="shared" si="93"/>
        <v>8263.2820433441975</v>
      </c>
      <c r="N411" s="180">
        <f t="shared" si="93"/>
        <v>3054.9971933185466</v>
      </c>
      <c r="O411" s="132">
        <f t="shared" si="88"/>
        <v>5208.2848500256496</v>
      </c>
    </row>
    <row r="412" spans="1:15" x14ac:dyDescent="0.25">
      <c r="A412" s="72">
        <f t="shared" si="94"/>
        <v>247</v>
      </c>
      <c r="B412" s="183">
        <f t="shared" si="89"/>
        <v>662703.28764203575</v>
      </c>
      <c r="C412" s="184">
        <f>-Office!$E$92/12</f>
        <v>7365.1926677265483</v>
      </c>
      <c r="D412" s="183">
        <f>Office!$E$90/12*B411</f>
        <v>2780.3671382147813</v>
      </c>
      <c r="E412" s="185">
        <f t="shared" si="90"/>
        <v>4584.8255295117669</v>
      </c>
      <c r="F412" s="72">
        <f t="shared" si="95"/>
        <v>247</v>
      </c>
      <c r="G412" s="180">
        <f t="shared" si="91"/>
        <v>86349.461772303825</v>
      </c>
      <c r="H412" s="186">
        <f>-Office!$E$97/12</f>
        <v>898.0893756176489</v>
      </c>
      <c r="I412" s="149">
        <f>Office!$E$95/12*G411</f>
        <v>253.73197259470311</v>
      </c>
      <c r="J412" s="187">
        <f t="shared" si="92"/>
        <v>644.35740302294585</v>
      </c>
      <c r="K412" s="72">
        <f t="shared" si="96"/>
        <v>247</v>
      </c>
      <c r="L412" s="180">
        <f t="shared" si="93"/>
        <v>749052.74941433955</v>
      </c>
      <c r="M412" s="181">
        <f t="shared" si="93"/>
        <v>8263.2820433441975</v>
      </c>
      <c r="N412" s="180">
        <f t="shared" si="93"/>
        <v>3034.0991108094845</v>
      </c>
      <c r="O412" s="132">
        <f t="shared" si="88"/>
        <v>5229.1829325347126</v>
      </c>
    </row>
    <row r="413" spans="1:15" x14ac:dyDescent="0.25">
      <c r="A413" s="72">
        <f t="shared" si="94"/>
        <v>248</v>
      </c>
      <c r="B413" s="183">
        <f t="shared" si="89"/>
        <v>658099.3586728177</v>
      </c>
      <c r="C413" s="184">
        <f>-Office!$E$92/12</f>
        <v>7365.1926677265483</v>
      </c>
      <c r="D413" s="183">
        <f>Office!$E$90/12*B412</f>
        <v>2761.2636985084823</v>
      </c>
      <c r="E413" s="185">
        <f t="shared" si="90"/>
        <v>4603.9289692180664</v>
      </c>
      <c r="F413" s="72">
        <f t="shared" si="95"/>
        <v>248</v>
      </c>
      <c r="G413" s="180">
        <f t="shared" si="91"/>
        <v>85703.224993522061</v>
      </c>
      <c r="H413" s="186">
        <f>-Office!$E$97/12</f>
        <v>898.0893756176489</v>
      </c>
      <c r="I413" s="149">
        <f>Office!$E$95/12*G412</f>
        <v>251.85259683588617</v>
      </c>
      <c r="J413" s="187">
        <f t="shared" si="92"/>
        <v>646.23677878176272</v>
      </c>
      <c r="K413" s="72">
        <f t="shared" si="96"/>
        <v>248</v>
      </c>
      <c r="L413" s="180">
        <f t="shared" si="93"/>
        <v>743802.58366633975</v>
      </c>
      <c r="M413" s="181">
        <f t="shared" si="93"/>
        <v>8263.2820433441975</v>
      </c>
      <c r="N413" s="180">
        <f t="shared" si="93"/>
        <v>3013.1162953443686</v>
      </c>
      <c r="O413" s="132">
        <f t="shared" si="88"/>
        <v>5250.1657479998294</v>
      </c>
    </row>
    <row r="414" spans="1:15" x14ac:dyDescent="0.25">
      <c r="A414" s="72">
        <f t="shared" si="94"/>
        <v>249</v>
      </c>
      <c r="B414" s="183">
        <f t="shared" si="89"/>
        <v>653476.24666622793</v>
      </c>
      <c r="C414" s="184">
        <f>-Office!$E$92/12</f>
        <v>7365.1926677265483</v>
      </c>
      <c r="D414" s="183">
        <f>Office!$E$90/12*B413</f>
        <v>2742.0806611367402</v>
      </c>
      <c r="E414" s="185">
        <f t="shared" si="90"/>
        <v>4623.1120065898085</v>
      </c>
      <c r="F414" s="72">
        <f t="shared" si="95"/>
        <v>249</v>
      </c>
      <c r="G414" s="180">
        <f t="shared" si="91"/>
        <v>85055.103357468848</v>
      </c>
      <c r="H414" s="186">
        <f>-Office!$E$97/12</f>
        <v>898.0893756176489</v>
      </c>
      <c r="I414" s="149">
        <f>Office!$E$95/12*G413</f>
        <v>249.96773956443934</v>
      </c>
      <c r="J414" s="187">
        <f t="shared" si="92"/>
        <v>648.12163605320961</v>
      </c>
      <c r="K414" s="72">
        <f t="shared" si="96"/>
        <v>249</v>
      </c>
      <c r="L414" s="180">
        <f t="shared" si="93"/>
        <v>738531.35002369678</v>
      </c>
      <c r="M414" s="181">
        <f t="shared" si="93"/>
        <v>8263.2820433441975</v>
      </c>
      <c r="N414" s="180">
        <f t="shared" si="93"/>
        <v>2992.0484007011796</v>
      </c>
      <c r="O414" s="132">
        <f t="shared" si="88"/>
        <v>5271.2336426430184</v>
      </c>
    </row>
    <row r="415" spans="1:15" x14ac:dyDescent="0.25">
      <c r="A415" s="72">
        <f t="shared" si="94"/>
        <v>250</v>
      </c>
      <c r="B415" s="183">
        <f t="shared" si="89"/>
        <v>648833.87169294397</v>
      </c>
      <c r="C415" s="184">
        <f>-Office!$E$92/12</f>
        <v>7365.1926677265483</v>
      </c>
      <c r="D415" s="183">
        <f>Office!$E$90/12*B414</f>
        <v>2722.8176944426164</v>
      </c>
      <c r="E415" s="185">
        <f t="shared" si="90"/>
        <v>4642.3749732839315</v>
      </c>
      <c r="F415" s="72">
        <f t="shared" si="95"/>
        <v>250</v>
      </c>
      <c r="G415" s="180">
        <f t="shared" si="91"/>
        <v>84405.091366643814</v>
      </c>
      <c r="H415" s="186">
        <f>-Office!$E$97/12</f>
        <v>898.0893756176489</v>
      </c>
      <c r="I415" s="149">
        <f>Office!$E$95/12*G414</f>
        <v>248.07738479261749</v>
      </c>
      <c r="J415" s="187">
        <f t="shared" si="92"/>
        <v>650.01199082503138</v>
      </c>
      <c r="K415" s="72">
        <f t="shared" si="96"/>
        <v>250</v>
      </c>
      <c r="L415" s="180">
        <f t="shared" si="93"/>
        <v>733238.96305958775</v>
      </c>
      <c r="M415" s="181">
        <f t="shared" si="93"/>
        <v>8263.2820433441975</v>
      </c>
      <c r="N415" s="180">
        <f t="shared" si="93"/>
        <v>2970.8950792352339</v>
      </c>
      <c r="O415" s="132">
        <f t="shared" si="88"/>
        <v>5292.3869641089632</v>
      </c>
    </row>
    <row r="416" spans="1:15" x14ac:dyDescent="0.25">
      <c r="A416" s="72">
        <f t="shared" si="94"/>
        <v>251</v>
      </c>
      <c r="B416" s="183">
        <f t="shared" si="89"/>
        <v>644172.15349060472</v>
      </c>
      <c r="C416" s="184">
        <f>-Office!$E$92/12</f>
        <v>7365.1926677265483</v>
      </c>
      <c r="D416" s="183">
        <f>Office!$E$90/12*B415</f>
        <v>2703.4744653872667</v>
      </c>
      <c r="E416" s="185">
        <f t="shared" si="90"/>
        <v>4661.7182023392816</v>
      </c>
      <c r="F416" s="72">
        <f t="shared" si="95"/>
        <v>251</v>
      </c>
      <c r="G416" s="180">
        <f t="shared" si="91"/>
        <v>83753.183507512207</v>
      </c>
      <c r="H416" s="186">
        <f>-Office!$E$97/12</f>
        <v>898.0893756176489</v>
      </c>
      <c r="I416" s="149">
        <f>Office!$E$95/12*G415</f>
        <v>246.18151648604447</v>
      </c>
      <c r="J416" s="187">
        <f t="shared" si="92"/>
        <v>651.90785913160448</v>
      </c>
      <c r="K416" s="72">
        <f t="shared" si="96"/>
        <v>251</v>
      </c>
      <c r="L416" s="180">
        <f t="shared" si="93"/>
        <v>727925.33699811692</v>
      </c>
      <c r="M416" s="181">
        <f t="shared" si="93"/>
        <v>8263.2820433441975</v>
      </c>
      <c r="N416" s="180">
        <f t="shared" si="93"/>
        <v>2949.6559818733112</v>
      </c>
      <c r="O416" s="132">
        <f t="shared" si="88"/>
        <v>5313.6260614708863</v>
      </c>
    </row>
    <row r="417" spans="1:15" x14ac:dyDescent="0.25">
      <c r="A417" s="72">
        <f t="shared" si="94"/>
        <v>252</v>
      </c>
      <c r="B417" s="183">
        <f t="shared" si="89"/>
        <v>639491.01146242232</v>
      </c>
      <c r="C417" s="184">
        <f>-Office!$E$92/12</f>
        <v>7365.1926677265483</v>
      </c>
      <c r="D417" s="183">
        <f>Office!$E$90/12*B416</f>
        <v>2684.0506395441862</v>
      </c>
      <c r="E417" s="185">
        <f t="shared" si="90"/>
        <v>4681.1420281823621</v>
      </c>
      <c r="F417" s="72">
        <f t="shared" si="95"/>
        <v>252</v>
      </c>
      <c r="G417" s="180">
        <f t="shared" si="91"/>
        <v>83099.374250458131</v>
      </c>
      <c r="H417" s="186">
        <f>-Office!$E$97/12</f>
        <v>898.0893756176489</v>
      </c>
      <c r="I417" s="149">
        <f>Office!$E$95/12*G416</f>
        <v>244.28011856357728</v>
      </c>
      <c r="J417" s="187">
        <f t="shared" si="92"/>
        <v>653.80925705407162</v>
      </c>
      <c r="K417" s="72">
        <f t="shared" si="96"/>
        <v>252</v>
      </c>
      <c r="L417" s="180">
        <f t="shared" si="93"/>
        <v>722590.38571288041</v>
      </c>
      <c r="M417" s="181">
        <f t="shared" si="93"/>
        <v>8263.2820433441975</v>
      </c>
      <c r="N417" s="180">
        <f t="shared" si="93"/>
        <v>2928.3307581077634</v>
      </c>
      <c r="O417" s="132">
        <f t="shared" si="88"/>
        <v>5334.9512852364333</v>
      </c>
    </row>
    <row r="418" spans="1:15" x14ac:dyDescent="0.25">
      <c r="A418" s="72">
        <f t="shared" si="94"/>
        <v>253</v>
      </c>
      <c r="B418" s="183">
        <f t="shared" si="89"/>
        <v>634790.36467578914</v>
      </c>
      <c r="C418" s="184">
        <f>-Office!$E$92/12</f>
        <v>7365.1926677265483</v>
      </c>
      <c r="D418" s="183">
        <f>Office!$E$90/12*B417</f>
        <v>2664.5458810934265</v>
      </c>
      <c r="E418" s="185">
        <f t="shared" si="90"/>
        <v>4700.6467866331222</v>
      </c>
      <c r="F418" s="72">
        <f t="shared" si="95"/>
        <v>253</v>
      </c>
      <c r="G418" s="180">
        <f t="shared" si="91"/>
        <v>82443.658049737656</v>
      </c>
      <c r="H418" s="186">
        <f>-Office!$E$97/12</f>
        <v>898.0893756176489</v>
      </c>
      <c r="I418" s="149">
        <f>Office!$E$95/12*G417</f>
        <v>242.37317489716955</v>
      </c>
      <c r="J418" s="187">
        <f t="shared" si="92"/>
        <v>655.71620072047938</v>
      </c>
      <c r="K418" s="72">
        <f t="shared" si="96"/>
        <v>253</v>
      </c>
      <c r="L418" s="180">
        <f t="shared" si="93"/>
        <v>717234.02272552683</v>
      </c>
      <c r="M418" s="181">
        <f t="shared" si="93"/>
        <v>8263.2820433441975</v>
      </c>
      <c r="N418" s="180">
        <f t="shared" si="93"/>
        <v>2906.919055990596</v>
      </c>
      <c r="O418" s="132">
        <f t="shared" si="88"/>
        <v>5356.362987353602</v>
      </c>
    </row>
    <row r="419" spans="1:15" x14ac:dyDescent="0.25">
      <c r="A419" s="72">
        <f t="shared" si="94"/>
        <v>254</v>
      </c>
      <c r="B419" s="183">
        <f t="shared" si="89"/>
        <v>630070.13186087843</v>
      </c>
      <c r="C419" s="184">
        <f>-Office!$E$92/12</f>
        <v>7365.1926677265483</v>
      </c>
      <c r="D419" s="183">
        <f>Office!$E$90/12*B418</f>
        <v>2644.9598528157881</v>
      </c>
      <c r="E419" s="185">
        <f t="shared" si="90"/>
        <v>4720.2328149107598</v>
      </c>
      <c r="F419" s="72">
        <f t="shared" si="95"/>
        <v>254</v>
      </c>
      <c r="G419" s="180">
        <f t="shared" si="91"/>
        <v>81786.029343431743</v>
      </c>
      <c r="H419" s="186">
        <f>-Office!$E$97/12</f>
        <v>898.0893756176489</v>
      </c>
      <c r="I419" s="149">
        <f>Office!$E$95/12*G418</f>
        <v>240.46066931173485</v>
      </c>
      <c r="J419" s="187">
        <f t="shared" si="92"/>
        <v>657.62870630591408</v>
      </c>
      <c r="K419" s="72">
        <f t="shared" si="96"/>
        <v>254</v>
      </c>
      <c r="L419" s="180">
        <f t="shared" si="93"/>
        <v>711856.16120431013</v>
      </c>
      <c r="M419" s="181">
        <f t="shared" si="93"/>
        <v>8263.2820433441975</v>
      </c>
      <c r="N419" s="180">
        <f t="shared" si="93"/>
        <v>2885.4205221275229</v>
      </c>
      <c r="O419" s="132">
        <f t="shared" si="88"/>
        <v>5377.8615212166742</v>
      </c>
    </row>
    <row r="420" spans="1:15" x14ac:dyDescent="0.25">
      <c r="A420" s="72">
        <f t="shared" si="94"/>
        <v>255</v>
      </c>
      <c r="B420" s="183">
        <f t="shared" si="89"/>
        <v>625330.23140923888</v>
      </c>
      <c r="C420" s="184">
        <f>-Office!$E$92/12</f>
        <v>7365.1926677265483</v>
      </c>
      <c r="D420" s="183">
        <f>Office!$E$90/12*B419</f>
        <v>2625.2922160869934</v>
      </c>
      <c r="E420" s="185">
        <f t="shared" si="90"/>
        <v>4739.9004516395544</v>
      </c>
      <c r="F420" s="72">
        <f t="shared" si="95"/>
        <v>255</v>
      </c>
      <c r="G420" s="180">
        <f t="shared" si="91"/>
        <v>81126.48255339911</v>
      </c>
      <c r="H420" s="186">
        <f>-Office!$E$97/12</f>
        <v>898.0893756176489</v>
      </c>
      <c r="I420" s="149">
        <f>Office!$E$95/12*G419</f>
        <v>238.54258558500925</v>
      </c>
      <c r="J420" s="187">
        <f t="shared" si="92"/>
        <v>659.54679003263959</v>
      </c>
      <c r="K420" s="72">
        <f t="shared" si="96"/>
        <v>255</v>
      </c>
      <c r="L420" s="180">
        <f t="shared" si="93"/>
        <v>706456.71396263805</v>
      </c>
      <c r="M420" s="181">
        <f t="shared" si="93"/>
        <v>8263.2820433441975</v>
      </c>
      <c r="N420" s="180">
        <f t="shared" si="93"/>
        <v>2863.8348016720029</v>
      </c>
      <c r="O420" s="132">
        <f t="shared" si="88"/>
        <v>5399.4472416721937</v>
      </c>
    </row>
    <row r="421" spans="1:15" x14ac:dyDescent="0.25">
      <c r="A421" s="72">
        <f t="shared" si="94"/>
        <v>256</v>
      </c>
      <c r="B421" s="183">
        <f t="shared" si="89"/>
        <v>620570.58137238421</v>
      </c>
      <c r="C421" s="184">
        <f>-Office!$E$92/12</f>
        <v>7365.1926677265483</v>
      </c>
      <c r="D421" s="183">
        <f>Office!$E$90/12*B420</f>
        <v>2605.5426308718288</v>
      </c>
      <c r="E421" s="185">
        <f t="shared" si="90"/>
        <v>4759.6500368547195</v>
      </c>
      <c r="F421" s="72">
        <f t="shared" si="95"/>
        <v>256</v>
      </c>
      <c r="G421" s="180">
        <f t="shared" si="91"/>
        <v>80465.012085228882</v>
      </c>
      <c r="H421" s="186">
        <f>-Office!$E$97/12</f>
        <v>898.0893756176489</v>
      </c>
      <c r="I421" s="149">
        <f>Office!$E$95/12*G420</f>
        <v>236.61890744741407</v>
      </c>
      <c r="J421" s="187">
        <f t="shared" si="92"/>
        <v>661.47046817023488</v>
      </c>
      <c r="K421" s="72">
        <f t="shared" si="96"/>
        <v>256</v>
      </c>
      <c r="L421" s="180">
        <f t="shared" si="93"/>
        <v>701035.59345761314</v>
      </c>
      <c r="M421" s="181">
        <f t="shared" si="93"/>
        <v>8263.2820433441975</v>
      </c>
      <c r="N421" s="180">
        <f t="shared" si="93"/>
        <v>2842.1615383192429</v>
      </c>
      <c r="O421" s="132">
        <f t="shared" si="93"/>
        <v>5421.1205050249546</v>
      </c>
    </row>
    <row r="422" spans="1:15" x14ac:dyDescent="0.25">
      <c r="A422" s="72">
        <f t="shared" si="94"/>
        <v>257</v>
      </c>
      <c r="B422" s="183">
        <f t="shared" ref="B422:B485" si="97">B421-E422</f>
        <v>615791.09946037596</v>
      </c>
      <c r="C422" s="184">
        <f>-Office!$E$92/12</f>
        <v>7365.1926677265483</v>
      </c>
      <c r="D422" s="183">
        <f>Office!$E$90/12*B421</f>
        <v>2585.7107557182676</v>
      </c>
      <c r="E422" s="185">
        <f t="shared" ref="E422:E485" si="98">C422-D422</f>
        <v>4779.4819120082811</v>
      </c>
      <c r="F422" s="72">
        <f t="shared" si="95"/>
        <v>257</v>
      </c>
      <c r="G422" s="180">
        <f t="shared" ref="G422:G485" si="99">G421-J422</f>
        <v>79801.61232819315</v>
      </c>
      <c r="H422" s="186">
        <f>-Office!$E$97/12</f>
        <v>898.0893756176489</v>
      </c>
      <c r="I422" s="149">
        <f>Office!$E$95/12*G421</f>
        <v>234.68961858191759</v>
      </c>
      <c r="J422" s="187">
        <f t="shared" ref="J422:J485" si="100">H422-I422</f>
        <v>663.39975703573134</v>
      </c>
      <c r="K422" s="72">
        <f t="shared" si="96"/>
        <v>257</v>
      </c>
      <c r="L422" s="180">
        <f t="shared" ref="L422:O485" si="101">G422+B422</f>
        <v>695592.71178856911</v>
      </c>
      <c r="M422" s="181">
        <f t="shared" si="101"/>
        <v>8263.2820433441975</v>
      </c>
      <c r="N422" s="180">
        <f t="shared" si="101"/>
        <v>2820.4003743001854</v>
      </c>
      <c r="O422" s="132">
        <f t="shared" si="101"/>
        <v>5442.8816690440126</v>
      </c>
    </row>
    <row r="423" spans="1:15" x14ac:dyDescent="0.25">
      <c r="A423" s="72">
        <f t="shared" ref="A423:A486" si="102">A422+1</f>
        <v>258</v>
      </c>
      <c r="B423" s="183">
        <f t="shared" si="97"/>
        <v>610991.70304040099</v>
      </c>
      <c r="C423" s="184">
        <f>-Office!$E$92/12</f>
        <v>7365.1926677265483</v>
      </c>
      <c r="D423" s="183">
        <f>Office!$E$90/12*B422</f>
        <v>2565.7962477515666</v>
      </c>
      <c r="E423" s="185">
        <f t="shared" si="98"/>
        <v>4799.3964199749817</v>
      </c>
      <c r="F423" s="72">
        <f t="shared" ref="F423:F486" si="103">F422+1</f>
        <v>258</v>
      </c>
      <c r="G423" s="180">
        <f t="shared" si="99"/>
        <v>79136.277655199403</v>
      </c>
      <c r="H423" s="186">
        <f>-Office!$E$97/12</f>
        <v>898.0893756176489</v>
      </c>
      <c r="I423" s="149">
        <f>Office!$E$95/12*G422</f>
        <v>232.75470262389669</v>
      </c>
      <c r="J423" s="187">
        <f t="shared" si="100"/>
        <v>665.33467299375218</v>
      </c>
      <c r="K423" s="72">
        <f t="shared" ref="K423:K486" si="104">K422+1</f>
        <v>258</v>
      </c>
      <c r="L423" s="180">
        <f t="shared" si="101"/>
        <v>690127.98069560039</v>
      </c>
      <c r="M423" s="181">
        <f t="shared" si="101"/>
        <v>8263.2820433441975</v>
      </c>
      <c r="N423" s="180">
        <f t="shared" si="101"/>
        <v>2798.5509503754633</v>
      </c>
      <c r="O423" s="132">
        <f t="shared" si="101"/>
        <v>5464.7310929687337</v>
      </c>
    </row>
    <row r="424" spans="1:15" x14ac:dyDescent="0.25">
      <c r="A424" s="72">
        <f t="shared" si="102"/>
        <v>259</v>
      </c>
      <c r="B424" s="183">
        <f t="shared" si="97"/>
        <v>606172.30913534283</v>
      </c>
      <c r="C424" s="184">
        <f>-Office!$E$92/12</f>
        <v>7365.1926677265483</v>
      </c>
      <c r="D424" s="183">
        <f>Office!$E$90/12*B423</f>
        <v>2545.7987626683375</v>
      </c>
      <c r="E424" s="185">
        <f t="shared" si="98"/>
        <v>4819.3939050582103</v>
      </c>
      <c r="F424" s="72">
        <f t="shared" si="103"/>
        <v>259</v>
      </c>
      <c r="G424" s="180">
        <f t="shared" si="99"/>
        <v>78469.002422742749</v>
      </c>
      <c r="H424" s="186">
        <f>-Office!$E$97/12</f>
        <v>898.0893756176489</v>
      </c>
      <c r="I424" s="149">
        <f>Office!$E$95/12*G423</f>
        <v>230.81414316099827</v>
      </c>
      <c r="J424" s="187">
        <f t="shared" si="100"/>
        <v>667.27523245665066</v>
      </c>
      <c r="K424" s="72">
        <f t="shared" si="104"/>
        <v>259</v>
      </c>
      <c r="L424" s="180">
        <f t="shared" si="101"/>
        <v>684641.31155808561</v>
      </c>
      <c r="M424" s="181">
        <f t="shared" si="101"/>
        <v>8263.2820433441975</v>
      </c>
      <c r="N424" s="180">
        <f t="shared" si="101"/>
        <v>2776.6129058293359</v>
      </c>
      <c r="O424" s="132">
        <f t="shared" si="101"/>
        <v>5486.6691375148612</v>
      </c>
    </row>
    <row r="425" spans="1:15" x14ac:dyDescent="0.25">
      <c r="A425" s="72">
        <f t="shared" si="102"/>
        <v>260</v>
      </c>
      <c r="B425" s="183">
        <f t="shared" si="97"/>
        <v>601332.8344223469</v>
      </c>
      <c r="C425" s="184">
        <f>-Office!$E$92/12</f>
        <v>7365.1926677265483</v>
      </c>
      <c r="D425" s="183">
        <f>Office!$E$90/12*B424</f>
        <v>2525.717954730595</v>
      </c>
      <c r="E425" s="185">
        <f t="shared" si="98"/>
        <v>4839.4747129959533</v>
      </c>
      <c r="F425" s="72">
        <f t="shared" si="103"/>
        <v>260</v>
      </c>
      <c r="G425" s="180">
        <f t="shared" si="99"/>
        <v>77799.780970858104</v>
      </c>
      <c r="H425" s="186">
        <f>-Office!$E$97/12</f>
        <v>898.0893756176489</v>
      </c>
      <c r="I425" s="149">
        <f>Office!$E$95/12*G424</f>
        <v>228.86792373299969</v>
      </c>
      <c r="J425" s="187">
        <f t="shared" si="100"/>
        <v>669.22145188464924</v>
      </c>
      <c r="K425" s="72">
        <f t="shared" si="104"/>
        <v>260</v>
      </c>
      <c r="L425" s="180">
        <f t="shared" si="101"/>
        <v>679132.61539320496</v>
      </c>
      <c r="M425" s="181">
        <f t="shared" si="101"/>
        <v>8263.2820433441975</v>
      </c>
      <c r="N425" s="180">
        <f t="shared" si="101"/>
        <v>2754.5858784635948</v>
      </c>
      <c r="O425" s="132">
        <f t="shared" si="101"/>
        <v>5508.6961648806027</v>
      </c>
    </row>
    <row r="426" spans="1:15" x14ac:dyDescent="0.25">
      <c r="A426" s="72">
        <f t="shared" si="102"/>
        <v>261</v>
      </c>
      <c r="B426" s="183">
        <f t="shared" si="97"/>
        <v>596473.19523138017</v>
      </c>
      <c r="C426" s="184">
        <f>-Office!$E$92/12</f>
        <v>7365.1926677265483</v>
      </c>
      <c r="D426" s="183">
        <f>Office!$E$90/12*B425</f>
        <v>2505.5534767597787</v>
      </c>
      <c r="E426" s="185">
        <f t="shared" si="98"/>
        <v>4859.6391909667691</v>
      </c>
      <c r="F426" s="72">
        <f t="shared" si="103"/>
        <v>261</v>
      </c>
      <c r="G426" s="180">
        <f t="shared" si="99"/>
        <v>77128.607623072123</v>
      </c>
      <c r="H426" s="186">
        <f>-Office!$E$97/12</f>
        <v>898.0893756176489</v>
      </c>
      <c r="I426" s="149">
        <f>Office!$E$95/12*G425</f>
        <v>226.91602783166948</v>
      </c>
      <c r="J426" s="187">
        <f t="shared" si="100"/>
        <v>671.17334778597944</v>
      </c>
      <c r="K426" s="72">
        <f t="shared" si="104"/>
        <v>261</v>
      </c>
      <c r="L426" s="180">
        <f t="shared" si="101"/>
        <v>673601.80285445228</v>
      </c>
      <c r="M426" s="181">
        <f t="shared" si="101"/>
        <v>8263.2820433441975</v>
      </c>
      <c r="N426" s="180">
        <f t="shared" si="101"/>
        <v>2732.4695045914482</v>
      </c>
      <c r="O426" s="132">
        <f t="shared" si="101"/>
        <v>5530.8125387527489</v>
      </c>
    </row>
    <row r="427" spans="1:15" x14ac:dyDescent="0.25">
      <c r="A427" s="72">
        <f t="shared" si="102"/>
        <v>262</v>
      </c>
      <c r="B427" s="183">
        <f t="shared" si="97"/>
        <v>591593.30754378438</v>
      </c>
      <c r="C427" s="184">
        <f>-Office!$E$92/12</f>
        <v>7365.1926677265483</v>
      </c>
      <c r="D427" s="183">
        <f>Office!$E$90/12*B426</f>
        <v>2485.3049801307507</v>
      </c>
      <c r="E427" s="185">
        <f t="shared" si="98"/>
        <v>4879.8876875957976</v>
      </c>
      <c r="F427" s="72">
        <f t="shared" si="103"/>
        <v>262</v>
      </c>
      <c r="G427" s="180">
        <f t="shared" si="99"/>
        <v>76455.476686355105</v>
      </c>
      <c r="H427" s="186">
        <f>-Office!$E$97/12</f>
        <v>898.0893756176489</v>
      </c>
      <c r="I427" s="149">
        <f>Office!$E$95/12*G426</f>
        <v>224.95843890062704</v>
      </c>
      <c r="J427" s="187">
        <f t="shared" si="100"/>
        <v>673.13093671702188</v>
      </c>
      <c r="K427" s="72">
        <f t="shared" si="104"/>
        <v>262</v>
      </c>
      <c r="L427" s="180">
        <f t="shared" si="101"/>
        <v>668048.78423013946</v>
      </c>
      <c r="M427" s="181">
        <f t="shared" si="101"/>
        <v>8263.2820433441975</v>
      </c>
      <c r="N427" s="180">
        <f t="shared" si="101"/>
        <v>2710.2634190313779</v>
      </c>
      <c r="O427" s="132">
        <f t="shared" si="101"/>
        <v>5553.0186243128192</v>
      </c>
    </row>
    <row r="428" spans="1:15" x14ac:dyDescent="0.25">
      <c r="A428" s="72">
        <f t="shared" si="102"/>
        <v>263</v>
      </c>
      <c r="B428" s="183">
        <f t="shared" si="97"/>
        <v>586693.08699082362</v>
      </c>
      <c r="C428" s="184">
        <f>-Office!$E$92/12</f>
        <v>7365.1926677265483</v>
      </c>
      <c r="D428" s="183">
        <f>Office!$E$90/12*B427</f>
        <v>2464.9721147657683</v>
      </c>
      <c r="E428" s="185">
        <f t="shared" si="98"/>
        <v>4900.22055296078</v>
      </c>
      <c r="F428" s="72">
        <f t="shared" si="103"/>
        <v>263</v>
      </c>
      <c r="G428" s="180">
        <f t="shared" si="99"/>
        <v>75780.382451072655</v>
      </c>
      <c r="H428" s="186">
        <f>-Office!$E$97/12</f>
        <v>898.0893756176489</v>
      </c>
      <c r="I428" s="149">
        <f>Office!$E$95/12*G427</f>
        <v>222.99514033520239</v>
      </c>
      <c r="J428" s="187">
        <f t="shared" si="100"/>
        <v>675.09423528244656</v>
      </c>
      <c r="K428" s="72">
        <f t="shared" si="104"/>
        <v>263</v>
      </c>
      <c r="L428" s="180">
        <f t="shared" si="101"/>
        <v>662473.4694418963</v>
      </c>
      <c r="M428" s="181">
        <f t="shared" si="101"/>
        <v>8263.2820433441975</v>
      </c>
      <c r="N428" s="180">
        <f t="shared" si="101"/>
        <v>2687.9672551009708</v>
      </c>
      <c r="O428" s="132">
        <f t="shared" si="101"/>
        <v>5575.3147882432268</v>
      </c>
    </row>
    <row r="429" spans="1:15" x14ac:dyDescent="0.25">
      <c r="A429" s="72">
        <f t="shared" si="102"/>
        <v>264</v>
      </c>
      <c r="B429" s="183">
        <f t="shared" si="97"/>
        <v>581772.44885222556</v>
      </c>
      <c r="C429" s="184">
        <f>-Office!$E$92/12</f>
        <v>7365.1926677265483</v>
      </c>
      <c r="D429" s="183">
        <f>Office!$E$90/12*B428</f>
        <v>2444.5545291284316</v>
      </c>
      <c r="E429" s="185">
        <f t="shared" si="98"/>
        <v>4920.6381385981167</v>
      </c>
      <c r="F429" s="72">
        <f t="shared" si="103"/>
        <v>264</v>
      </c>
      <c r="G429" s="180">
        <f t="shared" si="99"/>
        <v>75103.319190937298</v>
      </c>
      <c r="H429" s="186">
        <f>-Office!$E$97/12</f>
        <v>898.0893756176489</v>
      </c>
      <c r="I429" s="149">
        <f>Office!$E$95/12*G428</f>
        <v>221.02611548229527</v>
      </c>
      <c r="J429" s="187">
        <f t="shared" si="100"/>
        <v>677.06326013535363</v>
      </c>
      <c r="K429" s="72">
        <f t="shared" si="104"/>
        <v>264</v>
      </c>
      <c r="L429" s="180">
        <f t="shared" si="101"/>
        <v>656875.76804316288</v>
      </c>
      <c r="M429" s="181">
        <f t="shared" si="101"/>
        <v>8263.2820433441975</v>
      </c>
      <c r="N429" s="180">
        <f t="shared" si="101"/>
        <v>2665.5806446107267</v>
      </c>
      <c r="O429" s="132">
        <f t="shared" si="101"/>
        <v>5597.7013987334703</v>
      </c>
    </row>
    <row r="430" spans="1:15" x14ac:dyDescent="0.25">
      <c r="A430" s="72">
        <f t="shared" si="102"/>
        <v>265</v>
      </c>
      <c r="B430" s="183">
        <f t="shared" si="97"/>
        <v>576831.30805471656</v>
      </c>
      <c r="C430" s="184">
        <f>-Office!$E$92/12</f>
        <v>7365.1926677265483</v>
      </c>
      <c r="D430" s="183">
        <f>Office!$E$90/12*B429</f>
        <v>2424.0518702176064</v>
      </c>
      <c r="E430" s="185">
        <f t="shared" si="98"/>
        <v>4941.1407975089423</v>
      </c>
      <c r="F430" s="72">
        <f t="shared" si="103"/>
        <v>265</v>
      </c>
      <c r="G430" s="180">
        <f t="shared" si="99"/>
        <v>74424.281162959887</v>
      </c>
      <c r="H430" s="186">
        <f>-Office!$E$97/12</f>
        <v>898.0893756176489</v>
      </c>
      <c r="I430" s="149">
        <f>Office!$E$95/12*G429</f>
        <v>219.05134764023379</v>
      </c>
      <c r="J430" s="187">
        <f t="shared" si="100"/>
        <v>679.03802797741514</v>
      </c>
      <c r="K430" s="72">
        <f t="shared" si="104"/>
        <v>265</v>
      </c>
      <c r="L430" s="180">
        <f t="shared" si="101"/>
        <v>651255.58921767643</v>
      </c>
      <c r="M430" s="181">
        <f t="shared" si="101"/>
        <v>8263.2820433441975</v>
      </c>
      <c r="N430" s="180">
        <f t="shared" si="101"/>
        <v>2643.1032178578403</v>
      </c>
      <c r="O430" s="132">
        <f t="shared" si="101"/>
        <v>5620.1788254863577</v>
      </c>
    </row>
    <row r="431" spans="1:15" x14ac:dyDescent="0.25">
      <c r="A431" s="72">
        <f t="shared" si="102"/>
        <v>266</v>
      </c>
      <c r="B431" s="183">
        <f t="shared" si="97"/>
        <v>571869.57917055138</v>
      </c>
      <c r="C431" s="184">
        <f>-Office!$E$92/12</f>
        <v>7365.1926677265483</v>
      </c>
      <c r="D431" s="183">
        <f>Office!$E$90/12*B430</f>
        <v>2403.4637835613189</v>
      </c>
      <c r="E431" s="185">
        <f t="shared" si="98"/>
        <v>4961.7288841652298</v>
      </c>
      <c r="F431" s="72">
        <f t="shared" si="103"/>
        <v>266</v>
      </c>
      <c r="G431" s="180">
        <f t="shared" si="99"/>
        <v>73743.262607400873</v>
      </c>
      <c r="H431" s="186">
        <f>-Office!$E$97/12</f>
        <v>898.0893756176489</v>
      </c>
      <c r="I431" s="149">
        <f>Office!$E$95/12*G430</f>
        <v>217.07082005863302</v>
      </c>
      <c r="J431" s="187">
        <f t="shared" si="100"/>
        <v>681.01855555901591</v>
      </c>
      <c r="K431" s="72">
        <f t="shared" si="104"/>
        <v>266</v>
      </c>
      <c r="L431" s="180">
        <f t="shared" si="101"/>
        <v>645612.84177795227</v>
      </c>
      <c r="M431" s="181">
        <f t="shared" si="101"/>
        <v>8263.2820433441975</v>
      </c>
      <c r="N431" s="180">
        <f t="shared" si="101"/>
        <v>2620.5346036199521</v>
      </c>
      <c r="O431" s="132">
        <f t="shared" si="101"/>
        <v>5642.7474397242459</v>
      </c>
    </row>
    <row r="432" spans="1:15" x14ac:dyDescent="0.25">
      <c r="A432" s="72">
        <f t="shared" si="102"/>
        <v>267</v>
      </c>
      <c r="B432" s="183">
        <f t="shared" si="97"/>
        <v>566887.17641603551</v>
      </c>
      <c r="C432" s="184">
        <f>-Office!$E$92/12</f>
        <v>7365.1926677265483</v>
      </c>
      <c r="D432" s="183">
        <f>Office!$E$90/12*B431</f>
        <v>2382.7899132106309</v>
      </c>
      <c r="E432" s="185">
        <f t="shared" si="98"/>
        <v>4982.402754515917</v>
      </c>
      <c r="F432" s="72">
        <f t="shared" si="103"/>
        <v>267</v>
      </c>
      <c r="G432" s="180">
        <f t="shared" si="99"/>
        <v>73060.25774772148</v>
      </c>
      <c r="H432" s="186">
        <f>-Office!$E$97/12</f>
        <v>898.0893756176489</v>
      </c>
      <c r="I432" s="149">
        <f>Office!$E$95/12*G431</f>
        <v>215.08451593825257</v>
      </c>
      <c r="J432" s="187">
        <f t="shared" si="100"/>
        <v>683.0048596793963</v>
      </c>
      <c r="K432" s="72">
        <f t="shared" si="104"/>
        <v>267</v>
      </c>
      <c r="L432" s="180">
        <f t="shared" si="101"/>
        <v>639947.43416375702</v>
      </c>
      <c r="M432" s="181">
        <f t="shared" si="101"/>
        <v>8263.2820433441975</v>
      </c>
      <c r="N432" s="180">
        <f t="shared" si="101"/>
        <v>2597.8744291488833</v>
      </c>
      <c r="O432" s="132">
        <f t="shared" si="101"/>
        <v>5665.4076141953137</v>
      </c>
    </row>
    <row r="433" spans="1:15" x14ac:dyDescent="0.25">
      <c r="A433" s="72">
        <f t="shared" si="102"/>
        <v>268</v>
      </c>
      <c r="B433" s="183">
        <f t="shared" si="97"/>
        <v>561884.01365004247</v>
      </c>
      <c r="C433" s="184">
        <f>-Office!$E$92/12</f>
        <v>7365.1926677265483</v>
      </c>
      <c r="D433" s="183">
        <f>Office!$E$90/12*B432</f>
        <v>2362.0299017334814</v>
      </c>
      <c r="E433" s="185">
        <f t="shared" si="98"/>
        <v>5003.1627659930673</v>
      </c>
      <c r="F433" s="72">
        <f t="shared" si="103"/>
        <v>268</v>
      </c>
      <c r="G433" s="180">
        <f t="shared" si="99"/>
        <v>72375.260790534681</v>
      </c>
      <c r="H433" s="186">
        <f>-Office!$E$97/12</f>
        <v>898.0893756176489</v>
      </c>
      <c r="I433" s="149">
        <f>Office!$E$95/12*G432</f>
        <v>213.09241843085434</v>
      </c>
      <c r="J433" s="187">
        <f t="shared" si="100"/>
        <v>684.99695718679459</v>
      </c>
      <c r="K433" s="72">
        <f t="shared" si="104"/>
        <v>268</v>
      </c>
      <c r="L433" s="180">
        <f t="shared" si="101"/>
        <v>634259.27444057714</v>
      </c>
      <c r="M433" s="181">
        <f t="shared" si="101"/>
        <v>8263.2820433441975</v>
      </c>
      <c r="N433" s="180">
        <f t="shared" si="101"/>
        <v>2575.1223201643356</v>
      </c>
      <c r="O433" s="132">
        <f t="shared" si="101"/>
        <v>5688.1597231798623</v>
      </c>
    </row>
    <row r="434" spans="1:15" x14ac:dyDescent="0.25">
      <c r="A434" s="72">
        <f t="shared" si="102"/>
        <v>269</v>
      </c>
      <c r="B434" s="183">
        <f t="shared" si="97"/>
        <v>556860.00437252445</v>
      </c>
      <c r="C434" s="184">
        <f>-Office!$E$92/12</f>
        <v>7365.1926677265483</v>
      </c>
      <c r="D434" s="183">
        <f>Office!$E$90/12*B433</f>
        <v>2341.1833902085104</v>
      </c>
      <c r="E434" s="185">
        <f t="shared" si="98"/>
        <v>5024.0092775180383</v>
      </c>
      <c r="F434" s="72">
        <f t="shared" si="103"/>
        <v>269</v>
      </c>
      <c r="G434" s="180">
        <f t="shared" si="99"/>
        <v>71688.265925556087</v>
      </c>
      <c r="H434" s="186">
        <f>-Office!$E$97/12</f>
        <v>898.0893756176489</v>
      </c>
      <c r="I434" s="149">
        <f>Office!$E$95/12*G433</f>
        <v>211.09451063905951</v>
      </c>
      <c r="J434" s="187">
        <f t="shared" si="100"/>
        <v>686.99486497858936</v>
      </c>
      <c r="K434" s="72">
        <f t="shared" si="104"/>
        <v>269</v>
      </c>
      <c r="L434" s="180">
        <f t="shared" si="101"/>
        <v>628548.27029808052</v>
      </c>
      <c r="M434" s="181">
        <f t="shared" si="101"/>
        <v>8263.2820433441975</v>
      </c>
      <c r="N434" s="180">
        <f t="shared" si="101"/>
        <v>2552.27790084757</v>
      </c>
      <c r="O434" s="132">
        <f t="shared" si="101"/>
        <v>5711.0041424966275</v>
      </c>
    </row>
    <row r="435" spans="1:15" x14ac:dyDescent="0.25">
      <c r="A435" s="72">
        <f t="shared" si="102"/>
        <v>270</v>
      </c>
      <c r="B435" s="183">
        <f t="shared" si="97"/>
        <v>551815.06172301678</v>
      </c>
      <c r="C435" s="184">
        <f>-Office!$E$92/12</f>
        <v>7365.1926677265483</v>
      </c>
      <c r="D435" s="183">
        <f>Office!$E$90/12*B434</f>
        <v>2320.2500182188519</v>
      </c>
      <c r="E435" s="185">
        <f t="shared" si="98"/>
        <v>5044.9426495076968</v>
      </c>
      <c r="F435" s="72">
        <f t="shared" si="103"/>
        <v>270</v>
      </c>
      <c r="G435" s="180">
        <f t="shared" si="99"/>
        <v>70999.26732555464</v>
      </c>
      <c r="H435" s="186">
        <f>-Office!$E$97/12</f>
        <v>898.0893756176489</v>
      </c>
      <c r="I435" s="149">
        <f>Office!$E$95/12*G434</f>
        <v>209.09077561620526</v>
      </c>
      <c r="J435" s="187">
        <f t="shared" si="100"/>
        <v>688.99860000144361</v>
      </c>
      <c r="K435" s="72">
        <f t="shared" si="104"/>
        <v>270</v>
      </c>
      <c r="L435" s="180">
        <f t="shared" si="101"/>
        <v>622814.32904857141</v>
      </c>
      <c r="M435" s="181">
        <f t="shared" si="101"/>
        <v>8263.2820433441975</v>
      </c>
      <c r="N435" s="180">
        <f t="shared" si="101"/>
        <v>2529.340793835057</v>
      </c>
      <c r="O435" s="132">
        <f t="shared" si="101"/>
        <v>5733.9412495091401</v>
      </c>
    </row>
    <row r="436" spans="1:15" x14ac:dyDescent="0.25">
      <c r="A436" s="72">
        <f t="shared" si="102"/>
        <v>271</v>
      </c>
      <c r="B436" s="183">
        <f t="shared" si="97"/>
        <v>546749.09847913613</v>
      </c>
      <c r="C436" s="184">
        <f>-Office!$E$92/12</f>
        <v>7365.1926677265483</v>
      </c>
      <c r="D436" s="183">
        <f>Office!$E$90/12*B435</f>
        <v>2299.2294238459031</v>
      </c>
      <c r="E436" s="185">
        <f t="shared" si="98"/>
        <v>5065.9632438806457</v>
      </c>
      <c r="F436" s="72">
        <f t="shared" si="103"/>
        <v>271</v>
      </c>
      <c r="G436" s="180">
        <f t="shared" si="99"/>
        <v>70308.259146303186</v>
      </c>
      <c r="H436" s="186">
        <f>-Office!$E$97/12</f>
        <v>898.0893756176489</v>
      </c>
      <c r="I436" s="149">
        <f>Office!$E$95/12*G435</f>
        <v>207.08119636620106</v>
      </c>
      <c r="J436" s="187">
        <f t="shared" si="100"/>
        <v>691.00817925144781</v>
      </c>
      <c r="K436" s="72">
        <f t="shared" si="104"/>
        <v>271</v>
      </c>
      <c r="L436" s="180">
        <f t="shared" si="101"/>
        <v>617057.3576254393</v>
      </c>
      <c r="M436" s="181">
        <f t="shared" si="101"/>
        <v>8263.2820433441975</v>
      </c>
      <c r="N436" s="180">
        <f t="shared" si="101"/>
        <v>2506.3106202121039</v>
      </c>
      <c r="O436" s="132">
        <f t="shared" si="101"/>
        <v>5756.9714231320932</v>
      </c>
    </row>
    <row r="437" spans="1:15" x14ac:dyDescent="0.25">
      <c r="A437" s="72">
        <f t="shared" si="102"/>
        <v>272</v>
      </c>
      <c r="B437" s="183">
        <f t="shared" si="97"/>
        <v>541662.0270550726</v>
      </c>
      <c r="C437" s="184">
        <f>-Office!$E$92/12</f>
        <v>7365.1926677265483</v>
      </c>
      <c r="D437" s="183">
        <f>Office!$E$90/12*B436</f>
        <v>2278.1212436630672</v>
      </c>
      <c r="E437" s="185">
        <f t="shared" si="98"/>
        <v>5087.0714240634807</v>
      </c>
      <c r="F437" s="72">
        <f t="shared" si="103"/>
        <v>272</v>
      </c>
      <c r="G437" s="180">
        <f t="shared" si="99"/>
        <v>69615.235526528922</v>
      </c>
      <c r="H437" s="186">
        <f>-Office!$E$97/12</f>
        <v>898.0893756176489</v>
      </c>
      <c r="I437" s="149">
        <f>Office!$E$95/12*G436</f>
        <v>205.0657558433843</v>
      </c>
      <c r="J437" s="187">
        <f t="shared" si="100"/>
        <v>693.0236197742646</v>
      </c>
      <c r="K437" s="72">
        <f t="shared" si="104"/>
        <v>272</v>
      </c>
      <c r="L437" s="180">
        <f t="shared" si="101"/>
        <v>611277.26258160151</v>
      </c>
      <c r="M437" s="181">
        <f t="shared" si="101"/>
        <v>8263.2820433441975</v>
      </c>
      <c r="N437" s="180">
        <f t="shared" si="101"/>
        <v>2483.1869995064517</v>
      </c>
      <c r="O437" s="132">
        <f t="shared" si="101"/>
        <v>5780.0950438377449</v>
      </c>
    </row>
    <row r="438" spans="1:15" x14ac:dyDescent="0.25">
      <c r="A438" s="72">
        <f t="shared" si="102"/>
        <v>273</v>
      </c>
      <c r="B438" s="183">
        <f t="shared" si="97"/>
        <v>536553.75950007548</v>
      </c>
      <c r="C438" s="184">
        <f>-Office!$E$92/12</f>
        <v>7365.1926677265483</v>
      </c>
      <c r="D438" s="183">
        <f>Office!$E$90/12*B437</f>
        <v>2256.9251127294692</v>
      </c>
      <c r="E438" s="185">
        <f t="shared" si="98"/>
        <v>5108.2675549970791</v>
      </c>
      <c r="F438" s="72">
        <f t="shared" si="103"/>
        <v>273</v>
      </c>
      <c r="G438" s="180">
        <f t="shared" si="99"/>
        <v>68920.190587863646</v>
      </c>
      <c r="H438" s="186">
        <f>-Office!$E$97/12</f>
        <v>898.0893756176489</v>
      </c>
      <c r="I438" s="149">
        <f>Office!$E$95/12*G437</f>
        <v>203.04443695237603</v>
      </c>
      <c r="J438" s="187">
        <f t="shared" si="100"/>
        <v>695.04493866527287</v>
      </c>
      <c r="K438" s="72">
        <f t="shared" si="104"/>
        <v>273</v>
      </c>
      <c r="L438" s="180">
        <f t="shared" si="101"/>
        <v>605473.95008793916</v>
      </c>
      <c r="M438" s="181">
        <f t="shared" si="101"/>
        <v>8263.2820433441975</v>
      </c>
      <c r="N438" s="180">
        <f t="shared" si="101"/>
        <v>2459.9695496818454</v>
      </c>
      <c r="O438" s="132">
        <f t="shared" si="101"/>
        <v>5803.3124936623517</v>
      </c>
    </row>
    <row r="439" spans="1:15" x14ac:dyDescent="0.25">
      <c r="A439" s="72">
        <f t="shared" si="102"/>
        <v>274</v>
      </c>
      <c r="B439" s="183">
        <f t="shared" si="97"/>
        <v>531424.20749693259</v>
      </c>
      <c r="C439" s="184">
        <f>-Office!$E$92/12</f>
        <v>7365.1926677265483</v>
      </c>
      <c r="D439" s="183">
        <f>Office!$E$90/12*B438</f>
        <v>2235.6406645836478</v>
      </c>
      <c r="E439" s="185">
        <f t="shared" si="98"/>
        <v>5129.5520031429005</v>
      </c>
      <c r="F439" s="72">
        <f t="shared" si="103"/>
        <v>274</v>
      </c>
      <c r="G439" s="180">
        <f t="shared" si="99"/>
        <v>68223.118434793927</v>
      </c>
      <c r="H439" s="186">
        <f>-Office!$E$97/12</f>
        <v>898.0893756176489</v>
      </c>
      <c r="I439" s="149">
        <f>Office!$E$95/12*G438</f>
        <v>201.01722254793563</v>
      </c>
      <c r="J439" s="187">
        <f t="shared" si="100"/>
        <v>697.07215306971329</v>
      </c>
      <c r="K439" s="72">
        <f t="shared" si="104"/>
        <v>274</v>
      </c>
      <c r="L439" s="180">
        <f t="shared" si="101"/>
        <v>599647.32593172649</v>
      </c>
      <c r="M439" s="181">
        <f t="shared" si="101"/>
        <v>8263.2820433441975</v>
      </c>
      <c r="N439" s="180">
        <f t="shared" si="101"/>
        <v>2436.6578871315833</v>
      </c>
      <c r="O439" s="132">
        <f t="shared" si="101"/>
        <v>5826.6241562126143</v>
      </c>
    </row>
    <row r="440" spans="1:15" x14ac:dyDescent="0.25">
      <c r="A440" s="72">
        <f t="shared" si="102"/>
        <v>275</v>
      </c>
      <c r="B440" s="183">
        <f t="shared" si="97"/>
        <v>526273.28236044326</v>
      </c>
      <c r="C440" s="184">
        <f>-Office!$E$92/12</f>
        <v>7365.1926677265483</v>
      </c>
      <c r="D440" s="183">
        <f>Office!$E$90/12*B439</f>
        <v>2214.2675312372189</v>
      </c>
      <c r="E440" s="185">
        <f t="shared" si="98"/>
        <v>5150.9251364893298</v>
      </c>
      <c r="F440" s="72">
        <f t="shared" si="103"/>
        <v>275</v>
      </c>
      <c r="G440" s="180">
        <f t="shared" si="99"/>
        <v>67524.013154611093</v>
      </c>
      <c r="H440" s="186">
        <f>-Office!$E$97/12</f>
        <v>898.0893756176489</v>
      </c>
      <c r="I440" s="149">
        <f>Office!$E$95/12*G439</f>
        <v>198.98409543481563</v>
      </c>
      <c r="J440" s="187">
        <f t="shared" si="100"/>
        <v>699.10528018283321</v>
      </c>
      <c r="K440" s="72">
        <f t="shared" si="104"/>
        <v>275</v>
      </c>
      <c r="L440" s="180">
        <f t="shared" si="101"/>
        <v>593797.29551505437</v>
      </c>
      <c r="M440" s="181">
        <f t="shared" si="101"/>
        <v>8263.2820433441975</v>
      </c>
      <c r="N440" s="180">
        <f t="shared" si="101"/>
        <v>2413.2516266720345</v>
      </c>
      <c r="O440" s="132">
        <f t="shared" si="101"/>
        <v>5850.0304166721635</v>
      </c>
    </row>
    <row r="441" spans="1:15" x14ac:dyDescent="0.25">
      <c r="A441" s="72">
        <f t="shared" si="102"/>
        <v>276</v>
      </c>
      <c r="B441" s="183">
        <f t="shared" si="97"/>
        <v>521100.89503588522</v>
      </c>
      <c r="C441" s="184">
        <f>-Office!$E$92/12</f>
        <v>7365.1926677265483</v>
      </c>
      <c r="D441" s="183">
        <f>Office!$E$90/12*B440</f>
        <v>2192.8053431685134</v>
      </c>
      <c r="E441" s="185">
        <f t="shared" si="98"/>
        <v>5172.3873245580344</v>
      </c>
      <c r="F441" s="72">
        <f t="shared" si="103"/>
        <v>276</v>
      </c>
      <c r="G441" s="180">
        <f t="shared" si="99"/>
        <v>66822.868817361057</v>
      </c>
      <c r="H441" s="186">
        <f>-Office!$E$97/12</f>
        <v>898.0893756176489</v>
      </c>
      <c r="I441" s="149">
        <f>Office!$E$95/12*G440</f>
        <v>196.94503836761569</v>
      </c>
      <c r="J441" s="187">
        <f t="shared" si="100"/>
        <v>701.14433725003323</v>
      </c>
      <c r="K441" s="72">
        <f t="shared" si="104"/>
        <v>276</v>
      </c>
      <c r="L441" s="180">
        <f t="shared" si="101"/>
        <v>587923.76385324623</v>
      </c>
      <c r="M441" s="181">
        <f t="shared" si="101"/>
        <v>8263.2820433441975</v>
      </c>
      <c r="N441" s="180">
        <f t="shared" si="101"/>
        <v>2389.7503815361292</v>
      </c>
      <c r="O441" s="132">
        <f t="shared" si="101"/>
        <v>5873.5316618080678</v>
      </c>
    </row>
    <row r="442" spans="1:15" x14ac:dyDescent="0.25">
      <c r="A442" s="72">
        <f t="shared" si="102"/>
        <v>277</v>
      </c>
      <c r="B442" s="183">
        <f t="shared" si="97"/>
        <v>515906.95609747485</v>
      </c>
      <c r="C442" s="184">
        <f>-Office!$E$92/12</f>
        <v>7365.1926677265483</v>
      </c>
      <c r="D442" s="183">
        <f>Office!$E$90/12*B441</f>
        <v>2171.2537293161886</v>
      </c>
      <c r="E442" s="185">
        <f t="shared" si="98"/>
        <v>5193.9389384103597</v>
      </c>
      <c r="F442" s="72">
        <f t="shared" si="103"/>
        <v>277</v>
      </c>
      <c r="G442" s="180">
        <f t="shared" si="99"/>
        <v>66119.679475794052</v>
      </c>
      <c r="H442" s="186">
        <f>-Office!$E$97/12</f>
        <v>898.0893756176489</v>
      </c>
      <c r="I442" s="149">
        <f>Office!$E$95/12*G441</f>
        <v>194.90003405063644</v>
      </c>
      <c r="J442" s="187">
        <f t="shared" si="100"/>
        <v>703.18934156701243</v>
      </c>
      <c r="K442" s="72">
        <f t="shared" si="104"/>
        <v>277</v>
      </c>
      <c r="L442" s="180">
        <f t="shared" si="101"/>
        <v>582026.63557326887</v>
      </c>
      <c r="M442" s="181">
        <f t="shared" si="101"/>
        <v>8263.2820433441975</v>
      </c>
      <c r="N442" s="180">
        <f t="shared" si="101"/>
        <v>2366.1537633668249</v>
      </c>
      <c r="O442" s="132">
        <f t="shared" si="101"/>
        <v>5897.1282799773726</v>
      </c>
    </row>
    <row r="443" spans="1:15" x14ac:dyDescent="0.25">
      <c r="A443" s="72">
        <f t="shared" si="102"/>
        <v>278</v>
      </c>
      <c r="B443" s="183">
        <f t="shared" si="97"/>
        <v>510691.37574682111</v>
      </c>
      <c r="C443" s="184">
        <f>-Office!$E$92/12</f>
        <v>7365.1926677265483</v>
      </c>
      <c r="D443" s="183">
        <f>Office!$E$90/12*B442</f>
        <v>2149.6123170728119</v>
      </c>
      <c r="E443" s="185">
        <f t="shared" si="98"/>
        <v>5215.5803506537359</v>
      </c>
      <c r="F443" s="72">
        <f t="shared" si="103"/>
        <v>278</v>
      </c>
      <c r="G443" s="180">
        <f t="shared" si="99"/>
        <v>65414.439165314136</v>
      </c>
      <c r="H443" s="186">
        <f>-Office!$E$97/12</f>
        <v>898.0893756176489</v>
      </c>
      <c r="I443" s="149">
        <f>Office!$E$95/12*G442</f>
        <v>192.84906513773265</v>
      </c>
      <c r="J443" s="187">
        <f t="shared" si="100"/>
        <v>705.24031047991627</v>
      </c>
      <c r="K443" s="72">
        <f t="shared" si="104"/>
        <v>278</v>
      </c>
      <c r="L443" s="180">
        <f t="shared" si="101"/>
        <v>576105.81491213525</v>
      </c>
      <c r="M443" s="181">
        <f t="shared" si="101"/>
        <v>8263.2820433441975</v>
      </c>
      <c r="N443" s="180">
        <f t="shared" si="101"/>
        <v>2342.4613822105448</v>
      </c>
      <c r="O443" s="132">
        <f t="shared" si="101"/>
        <v>5920.8206611336518</v>
      </c>
    </row>
    <row r="444" spans="1:15" x14ac:dyDescent="0.25">
      <c r="A444" s="72">
        <f t="shared" si="102"/>
        <v>279</v>
      </c>
      <c r="B444" s="183">
        <f t="shared" si="97"/>
        <v>505454.06381137297</v>
      </c>
      <c r="C444" s="184">
        <f>-Office!$E$92/12</f>
        <v>7365.1926677265483</v>
      </c>
      <c r="D444" s="183">
        <f>Office!$E$90/12*B443</f>
        <v>2127.8807322784214</v>
      </c>
      <c r="E444" s="185">
        <f t="shared" si="98"/>
        <v>5237.3119354481269</v>
      </c>
      <c r="F444" s="72">
        <f t="shared" si="103"/>
        <v>279</v>
      </c>
      <c r="G444" s="180">
        <f t="shared" si="99"/>
        <v>64707.141903928656</v>
      </c>
      <c r="H444" s="186">
        <f>-Office!$E$97/12</f>
        <v>898.0893756176489</v>
      </c>
      <c r="I444" s="149">
        <f>Office!$E$95/12*G443</f>
        <v>190.79211423216623</v>
      </c>
      <c r="J444" s="187">
        <f t="shared" si="100"/>
        <v>707.29726138548267</v>
      </c>
      <c r="K444" s="72">
        <f t="shared" si="104"/>
        <v>279</v>
      </c>
      <c r="L444" s="180">
        <f t="shared" si="101"/>
        <v>570161.20571530168</v>
      </c>
      <c r="M444" s="181">
        <f t="shared" si="101"/>
        <v>8263.2820433441975</v>
      </c>
      <c r="N444" s="180">
        <f t="shared" si="101"/>
        <v>2318.6728465105875</v>
      </c>
      <c r="O444" s="132">
        <f t="shared" si="101"/>
        <v>5944.6091968336095</v>
      </c>
    </row>
    <row r="445" spans="1:15" x14ac:dyDescent="0.25">
      <c r="A445" s="72">
        <f t="shared" si="102"/>
        <v>280</v>
      </c>
      <c r="B445" s="183">
        <f t="shared" si="97"/>
        <v>500194.92974286049</v>
      </c>
      <c r="C445" s="184">
        <f>-Office!$E$92/12</f>
        <v>7365.1926677265483</v>
      </c>
      <c r="D445" s="183">
        <f>Office!$E$90/12*B444</f>
        <v>2106.0585992140541</v>
      </c>
      <c r="E445" s="185">
        <f t="shared" si="98"/>
        <v>5259.1340685124942</v>
      </c>
      <c r="F445" s="72">
        <f t="shared" si="103"/>
        <v>280</v>
      </c>
      <c r="G445" s="180">
        <f t="shared" si="99"/>
        <v>63997.781692197466</v>
      </c>
      <c r="H445" s="186">
        <f>-Office!$E$97/12</f>
        <v>898.0893756176489</v>
      </c>
      <c r="I445" s="149">
        <f>Office!$E$95/12*G444</f>
        <v>188.72916388645859</v>
      </c>
      <c r="J445" s="187">
        <f t="shared" si="100"/>
        <v>709.36021173119025</v>
      </c>
      <c r="K445" s="72">
        <f t="shared" si="104"/>
        <v>280</v>
      </c>
      <c r="L445" s="180">
        <f t="shared" si="101"/>
        <v>564192.71143505792</v>
      </c>
      <c r="M445" s="181">
        <f t="shared" si="101"/>
        <v>8263.2820433441975</v>
      </c>
      <c r="N445" s="180">
        <f t="shared" si="101"/>
        <v>2294.7877631005126</v>
      </c>
      <c r="O445" s="132">
        <f t="shared" si="101"/>
        <v>5968.4942802436844</v>
      </c>
    </row>
    <row r="446" spans="1:15" x14ac:dyDescent="0.25">
      <c r="A446" s="72">
        <f t="shared" si="102"/>
        <v>281</v>
      </c>
      <c r="B446" s="183">
        <f t="shared" si="97"/>
        <v>494913.88261572918</v>
      </c>
      <c r="C446" s="184">
        <f>-Office!$E$92/12</f>
        <v>7365.1926677265483</v>
      </c>
      <c r="D446" s="183">
        <f>Office!$E$90/12*B445</f>
        <v>2084.145540595252</v>
      </c>
      <c r="E446" s="185">
        <f t="shared" si="98"/>
        <v>5281.0471271312963</v>
      </c>
      <c r="F446" s="72">
        <f t="shared" si="103"/>
        <v>281</v>
      </c>
      <c r="G446" s="180">
        <f t="shared" si="99"/>
        <v>63286.352513182057</v>
      </c>
      <c r="H446" s="186">
        <f>-Office!$E$97/12</f>
        <v>898.0893756176489</v>
      </c>
      <c r="I446" s="149">
        <f>Office!$E$95/12*G445</f>
        <v>186.66019660224262</v>
      </c>
      <c r="J446" s="187">
        <f t="shared" si="100"/>
        <v>711.42917901540625</v>
      </c>
      <c r="K446" s="72">
        <f t="shared" si="104"/>
        <v>281</v>
      </c>
      <c r="L446" s="180">
        <f t="shared" si="101"/>
        <v>558200.23512891121</v>
      </c>
      <c r="M446" s="181">
        <f t="shared" si="101"/>
        <v>8263.2820433441975</v>
      </c>
      <c r="N446" s="180">
        <f t="shared" si="101"/>
        <v>2270.8057371974946</v>
      </c>
      <c r="O446" s="132">
        <f t="shared" si="101"/>
        <v>5992.4763061467029</v>
      </c>
    </row>
    <row r="447" spans="1:15" x14ac:dyDescent="0.25">
      <c r="A447" s="72">
        <f t="shared" si="102"/>
        <v>282</v>
      </c>
      <c r="B447" s="183">
        <f t="shared" si="97"/>
        <v>489610.83112556819</v>
      </c>
      <c r="C447" s="184">
        <f>-Office!$E$92/12</f>
        <v>7365.1926677265483</v>
      </c>
      <c r="D447" s="183">
        <f>Office!$E$90/12*B446</f>
        <v>2062.1411775655383</v>
      </c>
      <c r="E447" s="185">
        <f t="shared" si="98"/>
        <v>5303.0514901610095</v>
      </c>
      <c r="F447" s="72">
        <f t="shared" si="103"/>
        <v>282</v>
      </c>
      <c r="G447" s="180">
        <f t="shared" si="99"/>
        <v>62572.848332394526</v>
      </c>
      <c r="H447" s="186">
        <f>-Office!$E$97/12</f>
        <v>898.0893756176489</v>
      </c>
      <c r="I447" s="149">
        <f>Office!$E$95/12*G446</f>
        <v>184.58519483011435</v>
      </c>
      <c r="J447" s="187">
        <f t="shared" si="100"/>
        <v>713.50418078753455</v>
      </c>
      <c r="K447" s="72">
        <f t="shared" si="104"/>
        <v>282</v>
      </c>
      <c r="L447" s="180">
        <f t="shared" si="101"/>
        <v>552183.67945796275</v>
      </c>
      <c r="M447" s="181">
        <f t="shared" si="101"/>
        <v>8263.2820433441975</v>
      </c>
      <c r="N447" s="180">
        <f t="shared" si="101"/>
        <v>2246.7263723956526</v>
      </c>
      <c r="O447" s="132">
        <f t="shared" si="101"/>
        <v>6016.5556709485445</v>
      </c>
    </row>
    <row r="448" spans="1:15" x14ac:dyDescent="0.25">
      <c r="A448" s="72">
        <f t="shared" si="102"/>
        <v>283</v>
      </c>
      <c r="B448" s="183">
        <f t="shared" si="97"/>
        <v>484285.6835875315</v>
      </c>
      <c r="C448" s="184">
        <f>-Office!$E$92/12</f>
        <v>7365.1926677265483</v>
      </c>
      <c r="D448" s="183">
        <f>Office!$E$90/12*B447</f>
        <v>2040.0451296898675</v>
      </c>
      <c r="E448" s="185">
        <f t="shared" si="98"/>
        <v>5325.147538036681</v>
      </c>
      <c r="F448" s="72">
        <f t="shared" si="103"/>
        <v>283</v>
      </c>
      <c r="G448" s="180">
        <f t="shared" si="99"/>
        <v>61857.263097746363</v>
      </c>
      <c r="H448" s="186">
        <f>-Office!$E$97/12</f>
        <v>898.0893756176489</v>
      </c>
      <c r="I448" s="149">
        <f>Office!$E$95/12*G447</f>
        <v>182.50414096948404</v>
      </c>
      <c r="J448" s="187">
        <f t="shared" si="100"/>
        <v>715.58523464816483</v>
      </c>
      <c r="K448" s="72">
        <f t="shared" si="104"/>
        <v>283</v>
      </c>
      <c r="L448" s="180">
        <f t="shared" si="101"/>
        <v>546142.94668527786</v>
      </c>
      <c r="M448" s="181">
        <f t="shared" si="101"/>
        <v>8263.2820433441975</v>
      </c>
      <c r="N448" s="180">
        <f t="shared" si="101"/>
        <v>2222.5492706593514</v>
      </c>
      <c r="O448" s="132">
        <f t="shared" si="101"/>
        <v>6040.7327726848462</v>
      </c>
    </row>
    <row r="449" spans="1:15" x14ac:dyDescent="0.25">
      <c r="A449" s="72">
        <f t="shared" si="102"/>
        <v>284</v>
      </c>
      <c r="B449" s="183">
        <f t="shared" si="97"/>
        <v>478938.34793475299</v>
      </c>
      <c r="C449" s="184">
        <f>-Office!$E$92/12</f>
        <v>7365.1926677265483</v>
      </c>
      <c r="D449" s="183">
        <f>Office!$E$90/12*B448</f>
        <v>2017.8570149480479</v>
      </c>
      <c r="E449" s="185">
        <f t="shared" si="98"/>
        <v>5347.3356527784999</v>
      </c>
      <c r="F449" s="72">
        <f t="shared" si="103"/>
        <v>284</v>
      </c>
      <c r="G449" s="180">
        <f t="shared" si="99"/>
        <v>61139.590739497144</v>
      </c>
      <c r="H449" s="186">
        <f>-Office!$E$97/12</f>
        <v>898.0893756176489</v>
      </c>
      <c r="I449" s="149">
        <f>Office!$E$95/12*G448</f>
        <v>180.41701736842691</v>
      </c>
      <c r="J449" s="187">
        <f t="shared" si="100"/>
        <v>717.67235824922204</v>
      </c>
      <c r="K449" s="72">
        <f t="shared" si="104"/>
        <v>284</v>
      </c>
      <c r="L449" s="180">
        <f t="shared" si="101"/>
        <v>540077.93867425015</v>
      </c>
      <c r="M449" s="181">
        <f t="shared" si="101"/>
        <v>8263.2820433441975</v>
      </c>
      <c r="N449" s="180">
        <f t="shared" si="101"/>
        <v>2198.2740323164749</v>
      </c>
      <c r="O449" s="132">
        <f t="shared" si="101"/>
        <v>6065.0080110277222</v>
      </c>
    </row>
    <row r="450" spans="1:15" x14ac:dyDescent="0.25">
      <c r="A450" s="72">
        <f t="shared" si="102"/>
        <v>285</v>
      </c>
      <c r="B450" s="183">
        <f t="shared" si="97"/>
        <v>473568.73171675456</v>
      </c>
      <c r="C450" s="184">
        <f>-Office!$E$92/12</f>
        <v>7365.1926677265483</v>
      </c>
      <c r="D450" s="183">
        <f>Office!$E$90/12*B449</f>
        <v>1995.5764497281375</v>
      </c>
      <c r="E450" s="185">
        <f t="shared" si="98"/>
        <v>5369.6162179984112</v>
      </c>
      <c r="F450" s="72">
        <f t="shared" si="103"/>
        <v>285</v>
      </c>
      <c r="G450" s="180">
        <f t="shared" si="99"/>
        <v>60419.825170203025</v>
      </c>
      <c r="H450" s="186">
        <f>-Office!$E$97/12</f>
        <v>898.0893756176489</v>
      </c>
      <c r="I450" s="149">
        <f>Office!$E$95/12*G449</f>
        <v>178.32380632353335</v>
      </c>
      <c r="J450" s="187">
        <f t="shared" si="100"/>
        <v>719.76556929411549</v>
      </c>
      <c r="K450" s="72">
        <f t="shared" si="104"/>
        <v>285</v>
      </c>
      <c r="L450" s="180">
        <f t="shared" si="101"/>
        <v>533988.55688695761</v>
      </c>
      <c r="M450" s="181">
        <f t="shared" si="101"/>
        <v>8263.2820433441975</v>
      </c>
      <c r="N450" s="180">
        <f t="shared" si="101"/>
        <v>2173.900256051671</v>
      </c>
      <c r="O450" s="132">
        <f t="shared" si="101"/>
        <v>6089.3817872925265</v>
      </c>
    </row>
    <row r="451" spans="1:15" x14ac:dyDescent="0.25">
      <c r="A451" s="72">
        <f t="shared" si="102"/>
        <v>286</v>
      </c>
      <c r="B451" s="183">
        <f t="shared" si="97"/>
        <v>468176.7420978478</v>
      </c>
      <c r="C451" s="184">
        <f>-Office!$E$92/12</f>
        <v>7365.1926677265483</v>
      </c>
      <c r="D451" s="183">
        <f>Office!$E$90/12*B450</f>
        <v>1973.2030488198106</v>
      </c>
      <c r="E451" s="185">
        <f t="shared" si="98"/>
        <v>5391.9896189067376</v>
      </c>
      <c r="F451" s="72">
        <f t="shared" si="103"/>
        <v>286</v>
      </c>
      <c r="G451" s="180">
        <f t="shared" si="99"/>
        <v>59697.960284665132</v>
      </c>
      <c r="H451" s="186">
        <f>-Office!$E$97/12</f>
        <v>898.0893756176489</v>
      </c>
      <c r="I451" s="149">
        <f>Office!$E$95/12*G450</f>
        <v>176.22449007975882</v>
      </c>
      <c r="J451" s="187">
        <f t="shared" si="100"/>
        <v>721.86488553789013</v>
      </c>
      <c r="K451" s="72">
        <f t="shared" si="104"/>
        <v>286</v>
      </c>
      <c r="L451" s="180">
        <f t="shared" si="101"/>
        <v>527874.70238251297</v>
      </c>
      <c r="M451" s="181">
        <f t="shared" si="101"/>
        <v>8263.2820433441975</v>
      </c>
      <c r="N451" s="180">
        <f t="shared" si="101"/>
        <v>2149.4275388995693</v>
      </c>
      <c r="O451" s="132">
        <f t="shared" si="101"/>
        <v>6113.8545044446273</v>
      </c>
    </row>
    <row r="452" spans="1:15" x14ac:dyDescent="0.25">
      <c r="A452" s="72">
        <f t="shared" si="102"/>
        <v>287</v>
      </c>
      <c r="B452" s="183">
        <f t="shared" si="97"/>
        <v>462762.28585552896</v>
      </c>
      <c r="C452" s="184">
        <f>-Office!$E$92/12</f>
        <v>7365.1926677265483</v>
      </c>
      <c r="D452" s="183">
        <f>Office!$E$90/12*B451</f>
        <v>1950.7364254076992</v>
      </c>
      <c r="E452" s="185">
        <f t="shared" si="98"/>
        <v>5414.456242318849</v>
      </c>
      <c r="F452" s="72">
        <f t="shared" si="103"/>
        <v>287</v>
      </c>
      <c r="G452" s="180">
        <f t="shared" si="99"/>
        <v>58973.989959877756</v>
      </c>
      <c r="H452" s="186">
        <f>-Office!$E$97/12</f>
        <v>898.0893756176489</v>
      </c>
      <c r="I452" s="149">
        <f>Office!$E$95/12*G451</f>
        <v>174.11905083027332</v>
      </c>
      <c r="J452" s="187">
        <f t="shared" si="100"/>
        <v>723.9703247873756</v>
      </c>
      <c r="K452" s="72">
        <f t="shared" si="104"/>
        <v>287</v>
      </c>
      <c r="L452" s="180">
        <f t="shared" si="101"/>
        <v>521736.2758154067</v>
      </c>
      <c r="M452" s="181">
        <f t="shared" si="101"/>
        <v>8263.2820433441975</v>
      </c>
      <c r="N452" s="180">
        <f t="shared" si="101"/>
        <v>2124.8554762379727</v>
      </c>
      <c r="O452" s="132">
        <f t="shared" si="101"/>
        <v>6138.4265671062249</v>
      </c>
    </row>
    <row r="453" spans="1:15" x14ac:dyDescent="0.25">
      <c r="A453" s="72">
        <f t="shared" si="102"/>
        <v>288</v>
      </c>
      <c r="B453" s="183">
        <f t="shared" si="97"/>
        <v>457325.26937886712</v>
      </c>
      <c r="C453" s="184">
        <f>-Office!$E$92/12</f>
        <v>7365.1926677265483</v>
      </c>
      <c r="D453" s="183">
        <f>Office!$E$90/12*B452</f>
        <v>1928.176191064704</v>
      </c>
      <c r="E453" s="185">
        <f t="shared" si="98"/>
        <v>5437.0164766618445</v>
      </c>
      <c r="F453" s="72">
        <f t="shared" si="103"/>
        <v>288</v>
      </c>
      <c r="G453" s="180">
        <f t="shared" si="99"/>
        <v>58247.908054976418</v>
      </c>
      <c r="H453" s="186">
        <f>-Office!$E$97/12</f>
        <v>898.0893756176489</v>
      </c>
      <c r="I453" s="149">
        <f>Office!$E$95/12*G452</f>
        <v>172.00747071631014</v>
      </c>
      <c r="J453" s="187">
        <f t="shared" si="100"/>
        <v>726.0819049013387</v>
      </c>
      <c r="K453" s="72">
        <f t="shared" si="104"/>
        <v>288</v>
      </c>
      <c r="L453" s="180">
        <f t="shared" si="101"/>
        <v>515573.17743384355</v>
      </c>
      <c r="M453" s="181">
        <f t="shared" si="101"/>
        <v>8263.2820433441975</v>
      </c>
      <c r="N453" s="180">
        <f t="shared" si="101"/>
        <v>2100.1836617810141</v>
      </c>
      <c r="O453" s="132">
        <f t="shared" si="101"/>
        <v>6163.0983815631835</v>
      </c>
    </row>
    <row r="454" spans="1:15" x14ac:dyDescent="0.25">
      <c r="A454" s="72">
        <f t="shared" si="102"/>
        <v>289</v>
      </c>
      <c r="B454" s="183">
        <f t="shared" si="97"/>
        <v>451865.59866688587</v>
      </c>
      <c r="C454" s="184">
        <f>-Office!$E$92/12</f>
        <v>7365.1926677265483</v>
      </c>
      <c r="D454" s="183">
        <f>Office!$E$90/12*B453</f>
        <v>1905.5219557452797</v>
      </c>
      <c r="E454" s="185">
        <f t="shared" si="98"/>
        <v>5459.6707119812691</v>
      </c>
      <c r="F454" s="72">
        <f t="shared" si="103"/>
        <v>289</v>
      </c>
      <c r="G454" s="180">
        <f t="shared" si="99"/>
        <v>57519.708411185784</v>
      </c>
      <c r="H454" s="186">
        <f>-Office!$E$97/12</f>
        <v>898.0893756176489</v>
      </c>
      <c r="I454" s="149">
        <f>Office!$E$95/12*G453</f>
        <v>169.88973182701457</v>
      </c>
      <c r="J454" s="187">
        <f t="shared" si="100"/>
        <v>728.19964379063435</v>
      </c>
      <c r="K454" s="72">
        <f t="shared" si="104"/>
        <v>289</v>
      </c>
      <c r="L454" s="180">
        <f t="shared" si="101"/>
        <v>509385.30707807164</v>
      </c>
      <c r="M454" s="181">
        <f t="shared" si="101"/>
        <v>8263.2820433441975</v>
      </c>
      <c r="N454" s="180">
        <f t="shared" si="101"/>
        <v>2075.4116875722943</v>
      </c>
      <c r="O454" s="132">
        <f t="shared" si="101"/>
        <v>6187.8703557719036</v>
      </c>
    </row>
    <row r="455" spans="1:15" x14ac:dyDescent="0.25">
      <c r="A455" s="72">
        <f t="shared" si="102"/>
        <v>290</v>
      </c>
      <c r="B455" s="183">
        <f t="shared" si="97"/>
        <v>446383.179326938</v>
      </c>
      <c r="C455" s="184">
        <f>-Office!$E$92/12</f>
        <v>7365.1926677265483</v>
      </c>
      <c r="D455" s="183">
        <f>Office!$E$90/12*B454</f>
        <v>1882.7733277786911</v>
      </c>
      <c r="E455" s="185">
        <f t="shared" si="98"/>
        <v>5482.4193399478572</v>
      </c>
      <c r="F455" s="72">
        <f t="shared" si="103"/>
        <v>290</v>
      </c>
      <c r="G455" s="180">
        <f t="shared" si="99"/>
        <v>56789.384851767427</v>
      </c>
      <c r="H455" s="186">
        <f>-Office!$E$97/12</f>
        <v>898.0893756176489</v>
      </c>
      <c r="I455" s="149">
        <f>Office!$E$95/12*G454</f>
        <v>167.76581619929189</v>
      </c>
      <c r="J455" s="187">
        <f t="shared" si="100"/>
        <v>730.32355941835704</v>
      </c>
      <c r="K455" s="72">
        <f t="shared" si="104"/>
        <v>290</v>
      </c>
      <c r="L455" s="180">
        <f t="shared" si="101"/>
        <v>503172.56417870545</v>
      </c>
      <c r="M455" s="181">
        <f t="shared" si="101"/>
        <v>8263.2820433441975</v>
      </c>
      <c r="N455" s="180">
        <f t="shared" si="101"/>
        <v>2050.5391439779828</v>
      </c>
      <c r="O455" s="132">
        <f t="shared" si="101"/>
        <v>6212.7428993662143</v>
      </c>
    </row>
    <row r="456" spans="1:15" x14ac:dyDescent="0.25">
      <c r="A456" s="72">
        <f t="shared" si="102"/>
        <v>291</v>
      </c>
      <c r="B456" s="183">
        <f t="shared" si="97"/>
        <v>440877.91657307371</v>
      </c>
      <c r="C456" s="184">
        <f>-Office!$E$92/12</f>
        <v>7365.1926677265483</v>
      </c>
      <c r="D456" s="183">
        <f>Office!$E$90/12*B455</f>
        <v>1859.9299138622416</v>
      </c>
      <c r="E456" s="185">
        <f t="shared" si="98"/>
        <v>5505.2627538643064</v>
      </c>
      <c r="F456" s="72">
        <f t="shared" si="103"/>
        <v>291</v>
      </c>
      <c r="G456" s="180">
        <f t="shared" si="99"/>
        <v>56056.931181967433</v>
      </c>
      <c r="H456" s="186">
        <f>-Office!$E$97/12</f>
        <v>898.0893756176489</v>
      </c>
      <c r="I456" s="149">
        <f>Office!$E$95/12*G455</f>
        <v>165.63570581765501</v>
      </c>
      <c r="J456" s="187">
        <f t="shared" si="100"/>
        <v>732.45366979999392</v>
      </c>
      <c r="K456" s="72">
        <f t="shared" si="104"/>
        <v>291</v>
      </c>
      <c r="L456" s="180">
        <f t="shared" si="101"/>
        <v>496934.84775504115</v>
      </c>
      <c r="M456" s="181">
        <f t="shared" si="101"/>
        <v>8263.2820433441975</v>
      </c>
      <c r="N456" s="180">
        <f t="shared" si="101"/>
        <v>2025.5656196798966</v>
      </c>
      <c r="O456" s="132">
        <f t="shared" si="101"/>
        <v>6237.7164236643002</v>
      </c>
    </row>
    <row r="457" spans="1:15" x14ac:dyDescent="0.25">
      <c r="A457" s="72">
        <f t="shared" si="102"/>
        <v>292</v>
      </c>
      <c r="B457" s="183">
        <f t="shared" si="97"/>
        <v>435349.71522440162</v>
      </c>
      <c r="C457" s="184">
        <f>-Office!$E$92/12</f>
        <v>7365.1926677265483</v>
      </c>
      <c r="D457" s="183">
        <f>Office!$E$90/12*B456</f>
        <v>1836.9913190544737</v>
      </c>
      <c r="E457" s="185">
        <f t="shared" si="98"/>
        <v>5528.2013486720743</v>
      </c>
      <c r="F457" s="72">
        <f t="shared" si="103"/>
        <v>292</v>
      </c>
      <c r="G457" s="180">
        <f t="shared" si="99"/>
        <v>55322.341188963859</v>
      </c>
      <c r="H457" s="186">
        <f>-Office!$E$97/12</f>
        <v>898.0893756176489</v>
      </c>
      <c r="I457" s="149">
        <f>Office!$E$95/12*G456</f>
        <v>163.49938261407169</v>
      </c>
      <c r="J457" s="187">
        <f t="shared" si="100"/>
        <v>734.58999300357721</v>
      </c>
      <c r="K457" s="72">
        <f t="shared" si="104"/>
        <v>292</v>
      </c>
      <c r="L457" s="180">
        <f t="shared" si="101"/>
        <v>490672.05641336547</v>
      </c>
      <c r="M457" s="181">
        <f t="shared" si="101"/>
        <v>8263.2820433441975</v>
      </c>
      <c r="N457" s="180">
        <f t="shared" si="101"/>
        <v>2000.4907016685454</v>
      </c>
      <c r="O457" s="132">
        <f t="shared" si="101"/>
        <v>6262.7913416756519</v>
      </c>
    </row>
    <row r="458" spans="1:15" x14ac:dyDescent="0.25">
      <c r="A458" s="72">
        <f t="shared" si="102"/>
        <v>293</v>
      </c>
      <c r="B458" s="183">
        <f t="shared" si="97"/>
        <v>429798.47970344342</v>
      </c>
      <c r="C458" s="184">
        <f>-Office!$E$92/12</f>
        <v>7365.1926677265483</v>
      </c>
      <c r="D458" s="183">
        <f>Office!$E$90/12*B457</f>
        <v>1813.95714676834</v>
      </c>
      <c r="E458" s="185">
        <f t="shared" si="98"/>
        <v>5551.2355209582083</v>
      </c>
      <c r="F458" s="72">
        <f t="shared" si="103"/>
        <v>293</v>
      </c>
      <c r="G458" s="180">
        <f t="shared" si="99"/>
        <v>54585.608641814018</v>
      </c>
      <c r="H458" s="186">
        <f>-Office!$E$97/12</f>
        <v>898.0893756176489</v>
      </c>
      <c r="I458" s="149">
        <f>Office!$E$95/12*G457</f>
        <v>161.35682846781125</v>
      </c>
      <c r="J458" s="187">
        <f t="shared" si="100"/>
        <v>736.73254714983761</v>
      </c>
      <c r="K458" s="72">
        <f t="shared" si="104"/>
        <v>293</v>
      </c>
      <c r="L458" s="180">
        <f t="shared" si="101"/>
        <v>484384.08834525745</v>
      </c>
      <c r="M458" s="181">
        <f t="shared" si="101"/>
        <v>8263.2820433441975</v>
      </c>
      <c r="N458" s="180">
        <f t="shared" si="101"/>
        <v>1975.3139752361512</v>
      </c>
      <c r="O458" s="132">
        <f t="shared" si="101"/>
        <v>6287.9680681080463</v>
      </c>
    </row>
    <row r="459" spans="1:15" x14ac:dyDescent="0.25">
      <c r="A459" s="72">
        <f t="shared" si="102"/>
        <v>294</v>
      </c>
      <c r="B459" s="183">
        <f t="shared" si="97"/>
        <v>424224.11403448123</v>
      </c>
      <c r="C459" s="184">
        <f>-Office!$E$92/12</f>
        <v>7365.1926677265483</v>
      </c>
      <c r="D459" s="183">
        <f>Office!$E$90/12*B458</f>
        <v>1790.8269987643475</v>
      </c>
      <c r="E459" s="185">
        <f t="shared" si="98"/>
        <v>5574.3656689622003</v>
      </c>
      <c r="F459" s="72">
        <f t="shared" si="103"/>
        <v>294</v>
      </c>
      <c r="G459" s="180">
        <f t="shared" si="99"/>
        <v>53846.727291401658</v>
      </c>
      <c r="H459" s="186">
        <f>-Office!$E$97/12</f>
        <v>898.0893756176489</v>
      </c>
      <c r="I459" s="149">
        <f>Office!$E$95/12*G458</f>
        <v>159.20802520529088</v>
      </c>
      <c r="J459" s="187">
        <f t="shared" si="100"/>
        <v>738.88135041235796</v>
      </c>
      <c r="K459" s="72">
        <f t="shared" si="104"/>
        <v>294</v>
      </c>
      <c r="L459" s="180">
        <f t="shared" si="101"/>
        <v>478070.84132588288</v>
      </c>
      <c r="M459" s="181">
        <f t="shared" si="101"/>
        <v>8263.2820433441975</v>
      </c>
      <c r="N459" s="180">
        <f t="shared" si="101"/>
        <v>1950.0350239696384</v>
      </c>
      <c r="O459" s="132">
        <f t="shared" si="101"/>
        <v>6313.2470193745585</v>
      </c>
    </row>
    <row r="460" spans="1:15" x14ac:dyDescent="0.25">
      <c r="A460" s="72">
        <f t="shared" si="102"/>
        <v>295</v>
      </c>
      <c r="B460" s="183">
        <f t="shared" si="97"/>
        <v>418626.52184189833</v>
      </c>
      <c r="C460" s="184">
        <f>-Office!$E$92/12</f>
        <v>7365.1926677265483</v>
      </c>
      <c r="D460" s="183">
        <f>Office!$E$90/12*B459</f>
        <v>1767.6004751436717</v>
      </c>
      <c r="E460" s="185">
        <f t="shared" si="98"/>
        <v>5597.592192582877</v>
      </c>
      <c r="F460" s="72">
        <f t="shared" si="103"/>
        <v>295</v>
      </c>
      <c r="G460" s="180">
        <f t="shared" si="99"/>
        <v>53105.690870383929</v>
      </c>
      <c r="H460" s="186">
        <f>-Office!$E$97/12</f>
        <v>898.0893756176489</v>
      </c>
      <c r="I460" s="149">
        <f>Office!$E$95/12*G459</f>
        <v>157.05295459992152</v>
      </c>
      <c r="J460" s="187">
        <f t="shared" si="100"/>
        <v>741.03642101772743</v>
      </c>
      <c r="K460" s="72">
        <f t="shared" si="104"/>
        <v>295</v>
      </c>
      <c r="L460" s="180">
        <f t="shared" si="101"/>
        <v>471732.21271228226</v>
      </c>
      <c r="M460" s="181">
        <f t="shared" si="101"/>
        <v>8263.2820433441975</v>
      </c>
      <c r="N460" s="180">
        <f t="shared" si="101"/>
        <v>1924.6534297435933</v>
      </c>
      <c r="O460" s="132">
        <f t="shared" si="101"/>
        <v>6338.6286136006047</v>
      </c>
    </row>
    <row r="461" spans="1:15" x14ac:dyDescent="0.25">
      <c r="A461" s="72">
        <f t="shared" si="102"/>
        <v>296</v>
      </c>
      <c r="B461" s="183">
        <f t="shared" si="97"/>
        <v>413005.60634851304</v>
      </c>
      <c r="C461" s="184">
        <f>-Office!$E$92/12</f>
        <v>7365.1926677265483</v>
      </c>
      <c r="D461" s="183">
        <f>Office!$E$90/12*B460</f>
        <v>1744.2771743412429</v>
      </c>
      <c r="E461" s="185">
        <f t="shared" si="98"/>
        <v>5620.9154933853051</v>
      </c>
      <c r="F461" s="72">
        <f t="shared" si="103"/>
        <v>296</v>
      </c>
      <c r="G461" s="180">
        <f t="shared" si="99"/>
        <v>52362.493093138233</v>
      </c>
      <c r="H461" s="186">
        <f>-Office!$E$97/12</f>
        <v>898.0893756176489</v>
      </c>
      <c r="I461" s="149">
        <f>Office!$E$95/12*G460</f>
        <v>154.89159837195314</v>
      </c>
      <c r="J461" s="187">
        <f t="shared" si="100"/>
        <v>743.19777724569576</v>
      </c>
      <c r="K461" s="72">
        <f t="shared" si="104"/>
        <v>296</v>
      </c>
      <c r="L461" s="180">
        <f t="shared" si="101"/>
        <v>465368.09944165125</v>
      </c>
      <c r="M461" s="181">
        <f t="shared" si="101"/>
        <v>8263.2820433441975</v>
      </c>
      <c r="N461" s="180">
        <f t="shared" si="101"/>
        <v>1899.1687727131962</v>
      </c>
      <c r="O461" s="132">
        <f t="shared" si="101"/>
        <v>6364.1132706310009</v>
      </c>
    </row>
    <row r="462" spans="1:15" x14ac:dyDescent="0.25">
      <c r="A462" s="72">
        <f t="shared" si="102"/>
        <v>297</v>
      </c>
      <c r="B462" s="183">
        <f t="shared" si="97"/>
        <v>407361.27037390531</v>
      </c>
      <c r="C462" s="184">
        <f>-Office!$E$92/12</f>
        <v>7365.1926677265483</v>
      </c>
      <c r="D462" s="183">
        <f>Office!$E$90/12*B461</f>
        <v>1720.8566931188043</v>
      </c>
      <c r="E462" s="185">
        <f t="shared" si="98"/>
        <v>5644.335974607744</v>
      </c>
      <c r="F462" s="72">
        <f t="shared" si="103"/>
        <v>297</v>
      </c>
      <c r="G462" s="180">
        <f t="shared" si="99"/>
        <v>51617.127655708908</v>
      </c>
      <c r="H462" s="186">
        <f>-Office!$E$97/12</f>
        <v>898.0893756176489</v>
      </c>
      <c r="I462" s="149">
        <f>Office!$E$95/12*G461</f>
        <v>152.72393818831986</v>
      </c>
      <c r="J462" s="187">
        <f t="shared" si="100"/>
        <v>745.36543742932906</v>
      </c>
      <c r="K462" s="72">
        <f t="shared" si="104"/>
        <v>297</v>
      </c>
      <c r="L462" s="180">
        <f t="shared" si="101"/>
        <v>458978.39802961424</v>
      </c>
      <c r="M462" s="181">
        <f t="shared" si="101"/>
        <v>8263.2820433441975</v>
      </c>
      <c r="N462" s="180">
        <f t="shared" si="101"/>
        <v>1873.5806313071241</v>
      </c>
      <c r="O462" s="132">
        <f t="shared" si="101"/>
        <v>6389.7014120370732</v>
      </c>
    </row>
    <row r="463" spans="1:15" x14ac:dyDescent="0.25">
      <c r="A463" s="72">
        <f t="shared" si="102"/>
        <v>298</v>
      </c>
      <c r="B463" s="183">
        <f t="shared" si="97"/>
        <v>401693.41633273673</v>
      </c>
      <c r="C463" s="184">
        <f>-Office!$E$92/12</f>
        <v>7365.1926677265483</v>
      </c>
      <c r="D463" s="183">
        <f>Office!$E$90/12*B462</f>
        <v>1697.3386265579388</v>
      </c>
      <c r="E463" s="185">
        <f t="shared" si="98"/>
        <v>5667.8540411686099</v>
      </c>
      <c r="F463" s="72">
        <f t="shared" si="103"/>
        <v>298</v>
      </c>
      <c r="G463" s="180">
        <f t="shared" si="99"/>
        <v>50869.588235753741</v>
      </c>
      <c r="H463" s="186">
        <f>-Office!$E$97/12</f>
        <v>898.0893756176489</v>
      </c>
      <c r="I463" s="149">
        <f>Office!$E$95/12*G462</f>
        <v>150.54995566248431</v>
      </c>
      <c r="J463" s="187">
        <f t="shared" si="100"/>
        <v>747.53941995516459</v>
      </c>
      <c r="K463" s="72">
        <f t="shared" si="104"/>
        <v>298</v>
      </c>
      <c r="L463" s="180">
        <f t="shared" si="101"/>
        <v>452563.00456849049</v>
      </c>
      <c r="M463" s="181">
        <f t="shared" si="101"/>
        <v>8263.2820433441975</v>
      </c>
      <c r="N463" s="180">
        <f t="shared" si="101"/>
        <v>1847.8885822204231</v>
      </c>
      <c r="O463" s="132">
        <f t="shared" si="101"/>
        <v>6415.3934611237746</v>
      </c>
    </row>
    <row r="464" spans="1:15" x14ac:dyDescent="0.25">
      <c r="A464" s="72">
        <f t="shared" si="102"/>
        <v>299</v>
      </c>
      <c r="B464" s="183">
        <f t="shared" si="97"/>
        <v>396001.94623306324</v>
      </c>
      <c r="C464" s="184">
        <f>-Office!$E$92/12</f>
        <v>7365.1926677265483</v>
      </c>
      <c r="D464" s="183">
        <f>Office!$E$90/12*B463</f>
        <v>1673.7225680530696</v>
      </c>
      <c r="E464" s="185">
        <f t="shared" si="98"/>
        <v>5691.4700996734791</v>
      </c>
      <c r="F464" s="72">
        <f t="shared" si="103"/>
        <v>299</v>
      </c>
      <c r="G464" s="180">
        <f t="shared" si="99"/>
        <v>50119.868492490372</v>
      </c>
      <c r="H464" s="186">
        <f>-Office!$E$97/12</f>
        <v>898.0893756176489</v>
      </c>
      <c r="I464" s="149">
        <f>Office!$E$95/12*G463</f>
        <v>148.36963235428175</v>
      </c>
      <c r="J464" s="187">
        <f t="shared" si="100"/>
        <v>749.71974326336715</v>
      </c>
      <c r="K464" s="72">
        <f t="shared" si="104"/>
        <v>299</v>
      </c>
      <c r="L464" s="180">
        <f t="shared" si="101"/>
        <v>446121.81472555362</v>
      </c>
      <c r="M464" s="181">
        <f t="shared" si="101"/>
        <v>8263.2820433441975</v>
      </c>
      <c r="N464" s="180">
        <f t="shared" si="101"/>
        <v>1822.0922004073514</v>
      </c>
      <c r="O464" s="132">
        <f t="shared" si="101"/>
        <v>6441.1898429368466</v>
      </c>
    </row>
    <row r="465" spans="1:15" x14ac:dyDescent="0.25">
      <c r="A465" s="72">
        <f t="shared" si="102"/>
        <v>300</v>
      </c>
      <c r="B465" s="183">
        <f t="shared" si="97"/>
        <v>390286.76167464111</v>
      </c>
      <c r="C465" s="184">
        <f>-Office!$E$92/12</f>
        <v>7365.1926677265483</v>
      </c>
      <c r="D465" s="183">
        <f>Office!$E$90/12*B464</f>
        <v>1650.00810930443</v>
      </c>
      <c r="E465" s="185">
        <f t="shared" si="98"/>
        <v>5715.1845584221182</v>
      </c>
      <c r="F465" s="72">
        <f t="shared" si="103"/>
        <v>300</v>
      </c>
      <c r="G465" s="180">
        <f t="shared" si="99"/>
        <v>49367.962066642489</v>
      </c>
      <c r="H465" s="186">
        <f>-Office!$E$97/12</f>
        <v>898.0893756176489</v>
      </c>
      <c r="I465" s="149">
        <f>Office!$E$95/12*G464</f>
        <v>146.18294976976358</v>
      </c>
      <c r="J465" s="187">
        <f t="shared" si="100"/>
        <v>751.90642584788532</v>
      </c>
      <c r="K465" s="72">
        <f t="shared" si="104"/>
        <v>300</v>
      </c>
      <c r="L465" s="180">
        <f t="shared" si="101"/>
        <v>439654.72374128358</v>
      </c>
      <c r="M465" s="181">
        <f t="shared" si="101"/>
        <v>8263.2820433441975</v>
      </c>
      <c r="N465" s="180">
        <f t="shared" si="101"/>
        <v>1796.1910590741936</v>
      </c>
      <c r="O465" s="132">
        <f t="shared" si="101"/>
        <v>6467.0909842700039</v>
      </c>
    </row>
    <row r="466" spans="1:15" x14ac:dyDescent="0.25">
      <c r="A466" s="72">
        <f t="shared" si="102"/>
        <v>301</v>
      </c>
      <c r="B466" s="183">
        <f t="shared" si="97"/>
        <v>384547.76384722558</v>
      </c>
      <c r="C466" s="184">
        <f>-Office!$E$92/12</f>
        <v>7365.1926677265483</v>
      </c>
      <c r="D466" s="183">
        <f>Office!$E$90/12*B465</f>
        <v>1626.1948403110046</v>
      </c>
      <c r="E466" s="185">
        <f t="shared" si="98"/>
        <v>5738.9978274155437</v>
      </c>
      <c r="F466" s="72">
        <f t="shared" si="103"/>
        <v>301</v>
      </c>
      <c r="G466" s="180">
        <f t="shared" si="99"/>
        <v>48613.862580385881</v>
      </c>
      <c r="H466" s="186">
        <f>-Office!$E$97/12</f>
        <v>898.0893756176489</v>
      </c>
      <c r="I466" s="149">
        <f>Office!$E$95/12*G465</f>
        <v>143.98988936104061</v>
      </c>
      <c r="J466" s="187">
        <f t="shared" si="100"/>
        <v>754.09948625660832</v>
      </c>
      <c r="K466" s="72">
        <f t="shared" si="104"/>
        <v>301</v>
      </c>
      <c r="L466" s="180">
        <f t="shared" si="101"/>
        <v>433161.62642761145</v>
      </c>
      <c r="M466" s="181">
        <f t="shared" si="101"/>
        <v>8263.2820433441975</v>
      </c>
      <c r="N466" s="180">
        <f t="shared" si="101"/>
        <v>1770.1847296720453</v>
      </c>
      <c r="O466" s="132">
        <f t="shared" si="101"/>
        <v>6493.0973136721523</v>
      </c>
    </row>
    <row r="467" spans="1:15" x14ac:dyDescent="0.25">
      <c r="A467" s="72">
        <f t="shared" si="102"/>
        <v>302</v>
      </c>
      <c r="B467" s="183">
        <f t="shared" si="97"/>
        <v>378784.85352886247</v>
      </c>
      <c r="C467" s="184">
        <f>-Office!$E$92/12</f>
        <v>7365.1926677265483</v>
      </c>
      <c r="D467" s="183">
        <f>Office!$E$90/12*B466</f>
        <v>1602.2823493634398</v>
      </c>
      <c r="E467" s="185">
        <f t="shared" si="98"/>
        <v>5762.9103183631087</v>
      </c>
      <c r="F467" s="72">
        <f t="shared" si="103"/>
        <v>302</v>
      </c>
      <c r="G467" s="180">
        <f t="shared" si="99"/>
        <v>47857.563637294355</v>
      </c>
      <c r="H467" s="186">
        <f>-Office!$E$97/12</f>
        <v>898.0893756176489</v>
      </c>
      <c r="I467" s="149">
        <f>Office!$E$95/12*G466</f>
        <v>141.7904325261255</v>
      </c>
      <c r="J467" s="187">
        <f t="shared" si="100"/>
        <v>756.29894309152337</v>
      </c>
      <c r="K467" s="72">
        <f t="shared" si="104"/>
        <v>302</v>
      </c>
      <c r="L467" s="180">
        <f t="shared" si="101"/>
        <v>426642.41716615681</v>
      </c>
      <c r="M467" s="181">
        <f t="shared" si="101"/>
        <v>8263.2820433441975</v>
      </c>
      <c r="N467" s="180">
        <f t="shared" si="101"/>
        <v>1744.0727818895652</v>
      </c>
      <c r="O467" s="132">
        <f t="shared" si="101"/>
        <v>6519.2092614546318</v>
      </c>
    </row>
    <row r="468" spans="1:15" x14ac:dyDescent="0.25">
      <c r="A468" s="72">
        <f t="shared" si="102"/>
        <v>303</v>
      </c>
      <c r="B468" s="183">
        <f t="shared" si="97"/>
        <v>372997.93108417286</v>
      </c>
      <c r="C468" s="184">
        <f>-Office!$E$92/12</f>
        <v>7365.1926677265483</v>
      </c>
      <c r="D468" s="183">
        <f>Office!$E$90/12*B467</f>
        <v>1578.2702230369268</v>
      </c>
      <c r="E468" s="185">
        <f t="shared" si="98"/>
        <v>5786.9224446896214</v>
      </c>
      <c r="F468" s="72">
        <f t="shared" si="103"/>
        <v>303</v>
      </c>
      <c r="G468" s="180">
        <f t="shared" si="99"/>
        <v>47099.058822285479</v>
      </c>
      <c r="H468" s="186">
        <f>-Office!$E$97/12</f>
        <v>898.0893756176489</v>
      </c>
      <c r="I468" s="149">
        <f>Office!$E$95/12*G467</f>
        <v>139.58456060877521</v>
      </c>
      <c r="J468" s="187">
        <f t="shared" si="100"/>
        <v>758.50481500887372</v>
      </c>
      <c r="K468" s="72">
        <f t="shared" si="104"/>
        <v>303</v>
      </c>
      <c r="L468" s="180">
        <f t="shared" si="101"/>
        <v>420096.98990645836</v>
      </c>
      <c r="M468" s="181">
        <f t="shared" si="101"/>
        <v>8263.2820433441975</v>
      </c>
      <c r="N468" s="180">
        <f t="shared" si="101"/>
        <v>1717.8547836457021</v>
      </c>
      <c r="O468" s="132">
        <f t="shared" si="101"/>
        <v>6545.4272596984956</v>
      </c>
    </row>
    <row r="469" spans="1:15" x14ac:dyDescent="0.25">
      <c r="A469" s="72">
        <f t="shared" si="102"/>
        <v>304</v>
      </c>
      <c r="B469" s="183">
        <f t="shared" si="97"/>
        <v>367186.89646263036</v>
      </c>
      <c r="C469" s="184">
        <f>-Office!$E$92/12</f>
        <v>7365.1926677265483</v>
      </c>
      <c r="D469" s="183">
        <f>Office!$E$90/12*B468</f>
        <v>1554.1580461840535</v>
      </c>
      <c r="E469" s="185">
        <f t="shared" si="98"/>
        <v>5811.0346215424943</v>
      </c>
      <c r="F469" s="72">
        <f t="shared" si="103"/>
        <v>304</v>
      </c>
      <c r="G469" s="180">
        <f t="shared" si="99"/>
        <v>46338.341701566162</v>
      </c>
      <c r="H469" s="186">
        <f>-Office!$E$97/12</f>
        <v>898.0893756176489</v>
      </c>
      <c r="I469" s="149">
        <f>Office!$E$95/12*G468</f>
        <v>137.37225489833264</v>
      </c>
      <c r="J469" s="187">
        <f t="shared" si="100"/>
        <v>760.7171207193162</v>
      </c>
      <c r="K469" s="72">
        <f t="shared" si="104"/>
        <v>304</v>
      </c>
      <c r="L469" s="180">
        <f t="shared" si="101"/>
        <v>413525.23816419655</v>
      </c>
      <c r="M469" s="181">
        <f t="shared" si="101"/>
        <v>8263.2820433441975</v>
      </c>
      <c r="N469" s="180">
        <f t="shared" si="101"/>
        <v>1691.5303010823861</v>
      </c>
      <c r="O469" s="132">
        <f t="shared" si="101"/>
        <v>6571.7517422618103</v>
      </c>
    </row>
    <row r="470" spans="1:15" x14ac:dyDescent="0.25">
      <c r="A470" s="72">
        <f t="shared" si="102"/>
        <v>305</v>
      </c>
      <c r="B470" s="183">
        <f t="shared" si="97"/>
        <v>361351.64919683145</v>
      </c>
      <c r="C470" s="184">
        <f>-Office!$E$92/12</f>
        <v>7365.1926677265483</v>
      </c>
      <c r="D470" s="183">
        <f>Office!$E$90/12*B469</f>
        <v>1529.9454019276266</v>
      </c>
      <c r="E470" s="185">
        <f t="shared" si="98"/>
        <v>5835.2472657989219</v>
      </c>
      <c r="F470" s="72">
        <f t="shared" si="103"/>
        <v>305</v>
      </c>
      <c r="G470" s="180">
        <f t="shared" si="99"/>
        <v>45575.405822578083</v>
      </c>
      <c r="H470" s="186">
        <f>-Office!$E$97/12</f>
        <v>898.0893756176489</v>
      </c>
      <c r="I470" s="149">
        <f>Office!$E$95/12*G469</f>
        <v>135.15349662956797</v>
      </c>
      <c r="J470" s="187">
        <f t="shared" si="100"/>
        <v>762.93587898808096</v>
      </c>
      <c r="K470" s="72">
        <f t="shared" si="104"/>
        <v>305</v>
      </c>
      <c r="L470" s="180">
        <f t="shared" si="101"/>
        <v>406927.05501940951</v>
      </c>
      <c r="M470" s="181">
        <f t="shared" si="101"/>
        <v>8263.2820433441975</v>
      </c>
      <c r="N470" s="180">
        <f t="shared" si="101"/>
        <v>1665.0988985571946</v>
      </c>
      <c r="O470" s="132">
        <f t="shared" si="101"/>
        <v>6598.1831447870027</v>
      </c>
    </row>
    <row r="471" spans="1:15" x14ac:dyDescent="0.25">
      <c r="A471" s="72">
        <f t="shared" si="102"/>
        <v>306</v>
      </c>
      <c r="B471" s="183">
        <f t="shared" si="97"/>
        <v>355492.0884007584</v>
      </c>
      <c r="C471" s="184">
        <f>-Office!$E$92/12</f>
        <v>7365.1926677265483</v>
      </c>
      <c r="D471" s="183">
        <f>Office!$E$90/12*B470</f>
        <v>1505.6318716534643</v>
      </c>
      <c r="E471" s="185">
        <f t="shared" si="98"/>
        <v>5859.560796073084</v>
      </c>
      <c r="F471" s="72">
        <f t="shared" si="103"/>
        <v>306</v>
      </c>
      <c r="G471" s="180">
        <f t="shared" si="99"/>
        <v>44810.244713942957</v>
      </c>
      <c r="H471" s="186">
        <f>-Office!$E$97/12</f>
        <v>898.0893756176489</v>
      </c>
      <c r="I471" s="149">
        <f>Office!$E$95/12*G470</f>
        <v>132.9282669825194</v>
      </c>
      <c r="J471" s="187">
        <f t="shared" si="100"/>
        <v>765.16110863512949</v>
      </c>
      <c r="K471" s="72">
        <f t="shared" si="104"/>
        <v>306</v>
      </c>
      <c r="L471" s="180">
        <f t="shared" si="101"/>
        <v>400302.33311470132</v>
      </c>
      <c r="M471" s="181">
        <f t="shared" si="101"/>
        <v>8263.2820433441975</v>
      </c>
      <c r="N471" s="180">
        <f t="shared" si="101"/>
        <v>1638.5601386359835</v>
      </c>
      <c r="O471" s="132">
        <f t="shared" si="101"/>
        <v>6624.7219047082135</v>
      </c>
    </row>
    <row r="472" spans="1:15" x14ac:dyDescent="0.25">
      <c r="A472" s="72">
        <f t="shared" si="102"/>
        <v>307</v>
      </c>
      <c r="B472" s="183">
        <f t="shared" si="97"/>
        <v>349608.11276803503</v>
      </c>
      <c r="C472" s="184">
        <f>-Office!$E$92/12</f>
        <v>7365.1926677265483</v>
      </c>
      <c r="D472" s="183">
        <f>Office!$E$90/12*B471</f>
        <v>1481.2170350031599</v>
      </c>
      <c r="E472" s="185">
        <f t="shared" si="98"/>
        <v>5883.9756327233881</v>
      </c>
      <c r="F472" s="72">
        <f t="shared" si="103"/>
        <v>307</v>
      </c>
      <c r="G472" s="180">
        <f t="shared" si="99"/>
        <v>44042.851885407639</v>
      </c>
      <c r="H472" s="186">
        <f>-Office!$E$97/12</f>
        <v>898.0893756176489</v>
      </c>
      <c r="I472" s="149">
        <f>Office!$E$95/12*G471</f>
        <v>130.69654708233364</v>
      </c>
      <c r="J472" s="187">
        <f t="shared" si="100"/>
        <v>767.39282853531529</v>
      </c>
      <c r="K472" s="72">
        <f t="shared" si="104"/>
        <v>307</v>
      </c>
      <c r="L472" s="180">
        <f t="shared" si="101"/>
        <v>393650.96465344267</v>
      </c>
      <c r="M472" s="181">
        <f t="shared" si="101"/>
        <v>8263.2820433441975</v>
      </c>
      <c r="N472" s="180">
        <f t="shared" si="101"/>
        <v>1611.9135820854935</v>
      </c>
      <c r="O472" s="132">
        <f t="shared" si="101"/>
        <v>6651.3684612587031</v>
      </c>
    </row>
    <row r="473" spans="1:15" x14ac:dyDescent="0.25">
      <c r="A473" s="72">
        <f t="shared" si="102"/>
        <v>308</v>
      </c>
      <c r="B473" s="183">
        <f t="shared" si="97"/>
        <v>343699.62057017529</v>
      </c>
      <c r="C473" s="184">
        <f>-Office!$E$92/12</f>
        <v>7365.1926677265483</v>
      </c>
      <c r="D473" s="183">
        <f>Office!$E$90/12*B472</f>
        <v>1456.7004698668127</v>
      </c>
      <c r="E473" s="185">
        <f t="shared" si="98"/>
        <v>5908.4921978597358</v>
      </c>
      <c r="F473" s="72">
        <f t="shared" si="103"/>
        <v>308</v>
      </c>
      <c r="G473" s="180">
        <f t="shared" si="99"/>
        <v>43273.220827789097</v>
      </c>
      <c r="H473" s="186">
        <f>-Office!$E$97/12</f>
        <v>898.0893756176489</v>
      </c>
      <c r="I473" s="149">
        <f>Office!$E$95/12*G472</f>
        <v>128.45831799910562</v>
      </c>
      <c r="J473" s="187">
        <f t="shared" si="100"/>
        <v>769.63105761854331</v>
      </c>
      <c r="K473" s="72">
        <f t="shared" si="104"/>
        <v>308</v>
      </c>
      <c r="L473" s="180">
        <f t="shared" si="101"/>
        <v>386972.8413979644</v>
      </c>
      <c r="M473" s="181">
        <f t="shared" si="101"/>
        <v>8263.2820433441975</v>
      </c>
      <c r="N473" s="180">
        <f t="shared" si="101"/>
        <v>1585.1587878659184</v>
      </c>
      <c r="O473" s="132">
        <f t="shared" si="101"/>
        <v>6678.1232554782791</v>
      </c>
    </row>
    <row r="474" spans="1:15" x14ac:dyDescent="0.25">
      <c r="A474" s="72">
        <f t="shared" si="102"/>
        <v>309</v>
      </c>
      <c r="B474" s="183">
        <f t="shared" si="97"/>
        <v>337766.50965482445</v>
      </c>
      <c r="C474" s="184">
        <f>-Office!$E$92/12</f>
        <v>7365.1926677265483</v>
      </c>
      <c r="D474" s="183">
        <f>Office!$E$90/12*B473</f>
        <v>1432.0817523757303</v>
      </c>
      <c r="E474" s="185">
        <f t="shared" si="98"/>
        <v>5933.1109153508178</v>
      </c>
      <c r="F474" s="72">
        <f t="shared" si="103"/>
        <v>309</v>
      </c>
      <c r="G474" s="180">
        <f t="shared" si="99"/>
        <v>42501.34501291917</v>
      </c>
      <c r="H474" s="186">
        <f>-Office!$E$97/12</f>
        <v>898.0893756176489</v>
      </c>
      <c r="I474" s="149">
        <f>Office!$E$95/12*G473</f>
        <v>126.2135607477182</v>
      </c>
      <c r="J474" s="187">
        <f t="shared" si="100"/>
        <v>771.87581486993065</v>
      </c>
      <c r="K474" s="72">
        <f t="shared" si="104"/>
        <v>309</v>
      </c>
      <c r="L474" s="180">
        <f t="shared" si="101"/>
        <v>380267.85466774361</v>
      </c>
      <c r="M474" s="181">
        <f t="shared" si="101"/>
        <v>8263.2820433441975</v>
      </c>
      <c r="N474" s="180">
        <f t="shared" si="101"/>
        <v>1558.2953131234485</v>
      </c>
      <c r="O474" s="132">
        <f t="shared" si="101"/>
        <v>6704.9867302207485</v>
      </c>
    </row>
    <row r="475" spans="1:15" x14ac:dyDescent="0.25">
      <c r="A475" s="72">
        <f t="shared" si="102"/>
        <v>310</v>
      </c>
      <c r="B475" s="183">
        <f t="shared" si="97"/>
        <v>331808.67744399299</v>
      </c>
      <c r="C475" s="184">
        <f>-Office!$E$92/12</f>
        <v>7365.1926677265483</v>
      </c>
      <c r="D475" s="183">
        <f>Office!$E$90/12*B474</f>
        <v>1407.3604568951018</v>
      </c>
      <c r="E475" s="185">
        <f t="shared" si="98"/>
        <v>5957.832210831446</v>
      </c>
      <c r="F475" s="72">
        <f t="shared" si="103"/>
        <v>310</v>
      </c>
      <c r="G475" s="180">
        <f t="shared" si="99"/>
        <v>41727.217893589201</v>
      </c>
      <c r="H475" s="186">
        <f>-Office!$E$97/12</f>
        <v>898.0893756176489</v>
      </c>
      <c r="I475" s="149">
        <f>Office!$E$95/12*G474</f>
        <v>123.96225628768092</v>
      </c>
      <c r="J475" s="187">
        <f t="shared" si="100"/>
        <v>774.12711932996797</v>
      </c>
      <c r="K475" s="72">
        <f t="shared" si="104"/>
        <v>310</v>
      </c>
      <c r="L475" s="180">
        <f t="shared" si="101"/>
        <v>373535.89533758222</v>
      </c>
      <c r="M475" s="181">
        <f t="shared" si="101"/>
        <v>8263.2820433441975</v>
      </c>
      <c r="N475" s="180">
        <f t="shared" si="101"/>
        <v>1531.3227131827828</v>
      </c>
      <c r="O475" s="132">
        <f t="shared" si="101"/>
        <v>6731.9593301614141</v>
      </c>
    </row>
    <row r="476" spans="1:15" x14ac:dyDescent="0.25">
      <c r="A476" s="72">
        <f t="shared" si="102"/>
        <v>311</v>
      </c>
      <c r="B476" s="183">
        <f t="shared" si="97"/>
        <v>325826.02093228308</v>
      </c>
      <c r="C476" s="184">
        <f>-Office!$E$92/12</f>
        <v>7365.1926677265483</v>
      </c>
      <c r="D476" s="183">
        <f>Office!$E$90/12*B475</f>
        <v>1382.5361560166375</v>
      </c>
      <c r="E476" s="185">
        <f t="shared" si="98"/>
        <v>5982.6565117099108</v>
      </c>
      <c r="F476" s="72">
        <f t="shared" si="103"/>
        <v>311</v>
      </c>
      <c r="G476" s="180">
        <f t="shared" si="99"/>
        <v>40950.83290349452</v>
      </c>
      <c r="H476" s="186">
        <f>-Office!$E$97/12</f>
        <v>898.0893756176489</v>
      </c>
      <c r="I476" s="149">
        <f>Office!$E$95/12*G475</f>
        <v>121.70438552296851</v>
      </c>
      <c r="J476" s="187">
        <f t="shared" si="100"/>
        <v>776.38499009468035</v>
      </c>
      <c r="K476" s="72">
        <f t="shared" si="104"/>
        <v>311</v>
      </c>
      <c r="L476" s="180">
        <f t="shared" si="101"/>
        <v>366776.85383577761</v>
      </c>
      <c r="M476" s="181">
        <f t="shared" si="101"/>
        <v>8263.2820433441975</v>
      </c>
      <c r="N476" s="180">
        <f t="shared" si="101"/>
        <v>1504.2405415396061</v>
      </c>
      <c r="O476" s="132">
        <f t="shared" si="101"/>
        <v>6759.0415018045915</v>
      </c>
    </row>
    <row r="477" spans="1:15" x14ac:dyDescent="0.25">
      <c r="A477" s="72">
        <f t="shared" si="102"/>
        <v>312</v>
      </c>
      <c r="B477" s="183">
        <f t="shared" si="97"/>
        <v>319818.43668510771</v>
      </c>
      <c r="C477" s="184">
        <f>-Office!$E$92/12</f>
        <v>7365.1926677265483</v>
      </c>
      <c r="D477" s="183">
        <f>Office!$E$90/12*B476</f>
        <v>1357.6084205511795</v>
      </c>
      <c r="E477" s="185">
        <f t="shared" si="98"/>
        <v>6007.5842471753685</v>
      </c>
      <c r="F477" s="72">
        <f t="shared" si="103"/>
        <v>312</v>
      </c>
      <c r="G477" s="180">
        <f t="shared" si="99"/>
        <v>40172.183457178733</v>
      </c>
      <c r="H477" s="186">
        <f>-Office!$E$97/12</f>
        <v>898.0893756176489</v>
      </c>
      <c r="I477" s="149">
        <f>Office!$E$95/12*G476</f>
        <v>119.43992930185902</v>
      </c>
      <c r="J477" s="187">
        <f t="shared" si="100"/>
        <v>778.64944631578987</v>
      </c>
      <c r="K477" s="72">
        <f t="shared" si="104"/>
        <v>312</v>
      </c>
      <c r="L477" s="180">
        <f t="shared" si="101"/>
        <v>359990.62014228641</v>
      </c>
      <c r="M477" s="181">
        <f t="shared" si="101"/>
        <v>8263.2820433441975</v>
      </c>
      <c r="N477" s="180">
        <f t="shared" si="101"/>
        <v>1477.0483498530384</v>
      </c>
      <c r="O477" s="132">
        <f t="shared" si="101"/>
        <v>6786.2336934911582</v>
      </c>
    </row>
    <row r="478" spans="1:15" x14ac:dyDescent="0.25">
      <c r="A478" s="72">
        <f t="shared" si="102"/>
        <v>313</v>
      </c>
      <c r="B478" s="183">
        <f t="shared" si="97"/>
        <v>313785.82083690242</v>
      </c>
      <c r="C478" s="184">
        <f>-Office!$E$92/12</f>
        <v>7365.1926677265483</v>
      </c>
      <c r="D478" s="183">
        <f>Office!$E$90/12*B477</f>
        <v>1332.576819521282</v>
      </c>
      <c r="E478" s="185">
        <f t="shared" si="98"/>
        <v>6032.615848205266</v>
      </c>
      <c r="F478" s="72">
        <f t="shared" si="103"/>
        <v>313</v>
      </c>
      <c r="G478" s="180">
        <f t="shared" si="99"/>
        <v>39391.262949977856</v>
      </c>
      <c r="H478" s="186">
        <f>-Office!$E$97/12</f>
        <v>898.0893756176489</v>
      </c>
      <c r="I478" s="149">
        <f>Office!$E$95/12*G477</f>
        <v>117.1688684167713</v>
      </c>
      <c r="J478" s="187">
        <f t="shared" si="100"/>
        <v>780.92050720087764</v>
      </c>
      <c r="K478" s="72">
        <f t="shared" si="104"/>
        <v>313</v>
      </c>
      <c r="L478" s="180">
        <f t="shared" si="101"/>
        <v>353177.08378688025</v>
      </c>
      <c r="M478" s="181">
        <f t="shared" si="101"/>
        <v>8263.2820433441975</v>
      </c>
      <c r="N478" s="180">
        <f t="shared" si="101"/>
        <v>1449.7456879380534</v>
      </c>
      <c r="O478" s="132">
        <f t="shared" si="101"/>
        <v>6813.5363554061441</v>
      </c>
    </row>
    <row r="479" spans="1:15" x14ac:dyDescent="0.25">
      <c r="A479" s="72">
        <f t="shared" si="102"/>
        <v>314</v>
      </c>
      <c r="B479" s="183">
        <f t="shared" si="97"/>
        <v>307728.06908932963</v>
      </c>
      <c r="C479" s="184">
        <f>-Office!$E$92/12</f>
        <v>7365.1926677265483</v>
      </c>
      <c r="D479" s="183">
        <f>Office!$E$90/12*B478</f>
        <v>1307.4409201537601</v>
      </c>
      <c r="E479" s="185">
        <f t="shared" si="98"/>
        <v>6057.7517475727882</v>
      </c>
      <c r="F479" s="72">
        <f t="shared" si="103"/>
        <v>314</v>
      </c>
      <c r="G479" s="180">
        <f t="shared" si="99"/>
        <v>38608.064757964312</v>
      </c>
      <c r="H479" s="186">
        <f>-Office!$E$97/12</f>
        <v>898.0893756176489</v>
      </c>
      <c r="I479" s="149">
        <f>Office!$E$95/12*G478</f>
        <v>114.89118360410208</v>
      </c>
      <c r="J479" s="187">
        <f t="shared" si="100"/>
        <v>783.19819201354676</v>
      </c>
      <c r="K479" s="72">
        <f t="shared" si="104"/>
        <v>314</v>
      </c>
      <c r="L479" s="180">
        <f t="shared" si="101"/>
        <v>346336.13384729391</v>
      </c>
      <c r="M479" s="181">
        <f t="shared" si="101"/>
        <v>8263.2820433441975</v>
      </c>
      <c r="N479" s="180">
        <f t="shared" si="101"/>
        <v>1422.3321037578621</v>
      </c>
      <c r="O479" s="132">
        <f t="shared" si="101"/>
        <v>6840.9499395863349</v>
      </c>
    </row>
    <row r="480" spans="1:15" x14ac:dyDescent="0.25">
      <c r="A480" s="72">
        <f t="shared" si="102"/>
        <v>315</v>
      </c>
      <c r="B480" s="183">
        <f t="shared" si="97"/>
        <v>301645.07670947531</v>
      </c>
      <c r="C480" s="184">
        <f>-Office!$E$92/12</f>
        <v>7365.1926677265483</v>
      </c>
      <c r="D480" s="183">
        <f>Office!$E$90/12*B479</f>
        <v>1282.2002878722067</v>
      </c>
      <c r="E480" s="185">
        <f t="shared" si="98"/>
        <v>6082.9923798543414</v>
      </c>
      <c r="F480" s="72">
        <f t="shared" si="103"/>
        <v>315</v>
      </c>
      <c r="G480" s="180">
        <f t="shared" si="99"/>
        <v>37822.582237890725</v>
      </c>
      <c r="H480" s="186">
        <f>-Office!$E$97/12</f>
        <v>898.0893756176489</v>
      </c>
      <c r="I480" s="149">
        <f>Office!$E$95/12*G479</f>
        <v>112.60685554406258</v>
      </c>
      <c r="J480" s="187">
        <f t="shared" si="100"/>
        <v>785.48252007358633</v>
      </c>
      <c r="K480" s="72">
        <f t="shared" si="104"/>
        <v>315</v>
      </c>
      <c r="L480" s="180">
        <f t="shared" si="101"/>
        <v>339467.65894736606</v>
      </c>
      <c r="M480" s="181">
        <f t="shared" si="101"/>
        <v>8263.2820433441975</v>
      </c>
      <c r="N480" s="180">
        <f t="shared" si="101"/>
        <v>1394.8071434162694</v>
      </c>
      <c r="O480" s="132">
        <f t="shared" si="101"/>
        <v>6868.4748999279273</v>
      </c>
    </row>
    <row r="481" spans="1:15" x14ac:dyDescent="0.25">
      <c r="A481" s="72">
        <f t="shared" si="102"/>
        <v>316</v>
      </c>
      <c r="B481" s="183">
        <f t="shared" si="97"/>
        <v>295536.73852803826</v>
      </c>
      <c r="C481" s="184">
        <f>-Office!$E$92/12</f>
        <v>7365.1926677265483</v>
      </c>
      <c r="D481" s="183">
        <f>Office!$E$90/12*B480</f>
        <v>1256.8544862894805</v>
      </c>
      <c r="E481" s="185">
        <f t="shared" si="98"/>
        <v>6108.3381814370678</v>
      </c>
      <c r="F481" s="72">
        <f t="shared" si="103"/>
        <v>316</v>
      </c>
      <c r="G481" s="180">
        <f t="shared" si="99"/>
        <v>37034.80872713359</v>
      </c>
      <c r="H481" s="186">
        <f>-Office!$E$97/12</f>
        <v>898.0893756176489</v>
      </c>
      <c r="I481" s="149">
        <f>Office!$E$95/12*G480</f>
        <v>110.31586486051462</v>
      </c>
      <c r="J481" s="187">
        <f t="shared" si="100"/>
        <v>787.77351075713432</v>
      </c>
      <c r="K481" s="72">
        <f t="shared" si="104"/>
        <v>316</v>
      </c>
      <c r="L481" s="180">
        <f t="shared" si="101"/>
        <v>332571.54725517187</v>
      </c>
      <c r="M481" s="181">
        <f t="shared" si="101"/>
        <v>8263.2820433441975</v>
      </c>
      <c r="N481" s="180">
        <f t="shared" si="101"/>
        <v>1367.1703511499952</v>
      </c>
      <c r="O481" s="132">
        <f t="shared" si="101"/>
        <v>6896.1116921942021</v>
      </c>
    </row>
    <row r="482" spans="1:15" x14ac:dyDescent="0.25">
      <c r="A482" s="72">
        <f t="shared" si="102"/>
        <v>317</v>
      </c>
      <c r="B482" s="183">
        <f t="shared" si="97"/>
        <v>289402.94893751189</v>
      </c>
      <c r="C482" s="184">
        <f>-Office!$E$92/12</f>
        <v>7365.1926677265483</v>
      </c>
      <c r="D482" s="183">
        <f>Office!$E$90/12*B481</f>
        <v>1231.4030772001595</v>
      </c>
      <c r="E482" s="185">
        <f t="shared" si="98"/>
        <v>6133.7895905263886</v>
      </c>
      <c r="F482" s="72">
        <f t="shared" si="103"/>
        <v>317</v>
      </c>
      <c r="G482" s="180">
        <f t="shared" si="99"/>
        <v>36244.737543636744</v>
      </c>
      <c r="H482" s="186">
        <f>-Office!$E$97/12</f>
        <v>898.0893756176489</v>
      </c>
      <c r="I482" s="149">
        <f>Office!$E$95/12*G481</f>
        <v>108.0181921208063</v>
      </c>
      <c r="J482" s="187">
        <f t="shared" si="100"/>
        <v>790.07118349684265</v>
      </c>
      <c r="K482" s="72">
        <f t="shared" si="104"/>
        <v>317</v>
      </c>
      <c r="L482" s="180">
        <f t="shared" si="101"/>
        <v>325647.68648114864</v>
      </c>
      <c r="M482" s="181">
        <f t="shared" si="101"/>
        <v>8263.2820433441975</v>
      </c>
      <c r="N482" s="180">
        <f t="shared" si="101"/>
        <v>1339.4212693209658</v>
      </c>
      <c r="O482" s="132">
        <f t="shared" si="101"/>
        <v>6923.860774023231</v>
      </c>
    </row>
    <row r="483" spans="1:15" x14ac:dyDescent="0.25">
      <c r="A483" s="72">
        <f t="shared" si="102"/>
        <v>318</v>
      </c>
      <c r="B483" s="183">
        <f t="shared" si="97"/>
        <v>283243.60189035832</v>
      </c>
      <c r="C483" s="184">
        <f>-Office!$E$92/12</f>
        <v>7365.1926677265483</v>
      </c>
      <c r="D483" s="183">
        <f>Office!$E$90/12*B482</f>
        <v>1205.8456205729663</v>
      </c>
      <c r="E483" s="185">
        <f t="shared" si="98"/>
        <v>6159.347047153582</v>
      </c>
      <c r="F483" s="72">
        <f t="shared" si="103"/>
        <v>318</v>
      </c>
      <c r="G483" s="180">
        <f t="shared" si="99"/>
        <v>35452.361985854703</v>
      </c>
      <c r="H483" s="186">
        <f>-Office!$E$97/12</f>
        <v>898.0893756176489</v>
      </c>
      <c r="I483" s="149">
        <f>Office!$E$95/12*G482</f>
        <v>105.71381783560717</v>
      </c>
      <c r="J483" s="187">
        <f t="shared" si="100"/>
        <v>792.37555778204171</v>
      </c>
      <c r="K483" s="72">
        <f t="shared" si="104"/>
        <v>318</v>
      </c>
      <c r="L483" s="180">
        <f t="shared" si="101"/>
        <v>318695.96387621301</v>
      </c>
      <c r="M483" s="181">
        <f t="shared" si="101"/>
        <v>8263.2820433441975</v>
      </c>
      <c r="N483" s="180">
        <f t="shared" si="101"/>
        <v>1311.5594384085734</v>
      </c>
      <c r="O483" s="132">
        <f t="shared" si="101"/>
        <v>6951.7226049356241</v>
      </c>
    </row>
    <row r="484" spans="1:15" x14ac:dyDescent="0.25">
      <c r="A484" s="72">
        <f t="shared" si="102"/>
        <v>319</v>
      </c>
      <c r="B484" s="183">
        <f t="shared" si="97"/>
        <v>277058.5908971749</v>
      </c>
      <c r="C484" s="184">
        <f>-Office!$E$92/12</f>
        <v>7365.1926677265483</v>
      </c>
      <c r="D484" s="183">
        <f>Office!$E$90/12*B483</f>
        <v>1180.1816745431597</v>
      </c>
      <c r="E484" s="185">
        <f t="shared" si="98"/>
        <v>6185.0109931833886</v>
      </c>
      <c r="F484" s="72">
        <f t="shared" si="103"/>
        <v>319</v>
      </c>
      <c r="G484" s="180">
        <f t="shared" si="99"/>
        <v>34657.675332695799</v>
      </c>
      <c r="H484" s="186">
        <f>-Office!$E$97/12</f>
        <v>898.0893756176489</v>
      </c>
      <c r="I484" s="149">
        <f>Office!$E$95/12*G483</f>
        <v>103.40272245874289</v>
      </c>
      <c r="J484" s="187">
        <f t="shared" si="100"/>
        <v>794.68665315890598</v>
      </c>
      <c r="K484" s="72">
        <f t="shared" si="104"/>
        <v>319</v>
      </c>
      <c r="L484" s="180">
        <f t="shared" si="101"/>
        <v>311716.26622987073</v>
      </c>
      <c r="M484" s="181">
        <f t="shared" si="101"/>
        <v>8263.2820433441975</v>
      </c>
      <c r="N484" s="180">
        <f t="shared" si="101"/>
        <v>1283.5843970019025</v>
      </c>
      <c r="O484" s="132">
        <f t="shared" si="101"/>
        <v>6979.6976463422943</v>
      </c>
    </row>
    <row r="485" spans="1:15" x14ac:dyDescent="0.25">
      <c r="A485" s="72">
        <f t="shared" si="102"/>
        <v>320</v>
      </c>
      <c r="B485" s="183">
        <f t="shared" si="97"/>
        <v>270847.80902485322</v>
      </c>
      <c r="C485" s="184">
        <f>-Office!$E$92/12</f>
        <v>7365.1926677265483</v>
      </c>
      <c r="D485" s="183">
        <f>Office!$E$90/12*B484</f>
        <v>1154.4107954048955</v>
      </c>
      <c r="E485" s="185">
        <f t="shared" si="98"/>
        <v>6210.7818723216533</v>
      </c>
      <c r="F485" s="72">
        <f t="shared" si="103"/>
        <v>320</v>
      </c>
      <c r="G485" s="180">
        <f t="shared" si="99"/>
        <v>33860.670843465181</v>
      </c>
      <c r="H485" s="186">
        <f>-Office!$E$97/12</f>
        <v>898.0893756176489</v>
      </c>
      <c r="I485" s="149">
        <f>Office!$E$95/12*G484</f>
        <v>101.08488638702941</v>
      </c>
      <c r="J485" s="187">
        <f t="shared" si="100"/>
        <v>797.00448923061947</v>
      </c>
      <c r="K485" s="72">
        <f t="shared" si="104"/>
        <v>320</v>
      </c>
      <c r="L485" s="180">
        <f t="shared" si="101"/>
        <v>304708.47986831842</v>
      </c>
      <c r="M485" s="181">
        <f t="shared" si="101"/>
        <v>8263.2820433441975</v>
      </c>
      <c r="N485" s="180">
        <f t="shared" si="101"/>
        <v>1255.4956817919249</v>
      </c>
      <c r="O485" s="132">
        <f t="shared" ref="O485:O525" si="105">J485+E485</f>
        <v>7007.7863615522729</v>
      </c>
    </row>
    <row r="486" spans="1:15" x14ac:dyDescent="0.25">
      <c r="A486" s="72">
        <f t="shared" si="102"/>
        <v>321</v>
      </c>
      <c r="B486" s="183">
        <f t="shared" ref="B486:B525" si="106">B485-E486</f>
        <v>264611.14889473026</v>
      </c>
      <c r="C486" s="184">
        <f>-Office!$E$92/12</f>
        <v>7365.1926677265483</v>
      </c>
      <c r="D486" s="183">
        <f>Office!$E$90/12*B485</f>
        <v>1128.5325376035551</v>
      </c>
      <c r="E486" s="185">
        <f t="shared" ref="E486:E525" si="107">C486-D486</f>
        <v>6236.660130122993</v>
      </c>
      <c r="F486" s="72">
        <f t="shared" si="103"/>
        <v>321</v>
      </c>
      <c r="G486" s="180">
        <f t="shared" ref="G486:G525" si="108">G485-J486</f>
        <v>33061.341757807641</v>
      </c>
      <c r="H486" s="186">
        <f>-Office!$E$97/12</f>
        <v>898.0893756176489</v>
      </c>
      <c r="I486" s="149">
        <f>Office!$E$95/12*G485</f>
        <v>98.760289960106789</v>
      </c>
      <c r="J486" s="187">
        <f t="shared" ref="J486:J525" si="109">H486-I486</f>
        <v>799.32908565754212</v>
      </c>
      <c r="K486" s="72">
        <f t="shared" si="104"/>
        <v>321</v>
      </c>
      <c r="L486" s="180">
        <f t="shared" ref="L486:N525" si="110">G486+B486</f>
        <v>297672.4906525379</v>
      </c>
      <c r="M486" s="181">
        <f t="shared" si="110"/>
        <v>8263.2820433441975</v>
      </c>
      <c r="N486" s="180">
        <f t="shared" si="110"/>
        <v>1227.2928275636618</v>
      </c>
      <c r="O486" s="132">
        <f t="shared" si="105"/>
        <v>7035.9892157805352</v>
      </c>
    </row>
    <row r="487" spans="1:15" x14ac:dyDescent="0.25">
      <c r="A487" s="72">
        <f t="shared" ref="A487:A525" si="111">A486+1</f>
        <v>322</v>
      </c>
      <c r="B487" s="183">
        <f t="shared" si="106"/>
        <v>258348.50268073176</v>
      </c>
      <c r="C487" s="184">
        <f>-Office!$E$92/12</f>
        <v>7365.1926677265483</v>
      </c>
      <c r="D487" s="183">
        <f>Office!$E$90/12*B486</f>
        <v>1102.5464537280427</v>
      </c>
      <c r="E487" s="185">
        <f t="shared" si="107"/>
        <v>6262.6462139985051</v>
      </c>
      <c r="F487" s="72">
        <f t="shared" ref="F487:F525" si="112">F486+1</f>
        <v>322</v>
      </c>
      <c r="G487" s="180">
        <f t="shared" si="108"/>
        <v>32259.681295650265</v>
      </c>
      <c r="H487" s="186">
        <f>-Office!$E$97/12</f>
        <v>898.0893756176489</v>
      </c>
      <c r="I487" s="149">
        <f>Office!$E$95/12*G486</f>
        <v>96.428913460272284</v>
      </c>
      <c r="J487" s="187">
        <f t="shared" si="109"/>
        <v>801.66046215737663</v>
      </c>
      <c r="K487" s="72">
        <f t="shared" ref="K487:K525" si="113">K486+1</f>
        <v>322</v>
      </c>
      <c r="L487" s="180">
        <f t="shared" si="110"/>
        <v>290608.18397638202</v>
      </c>
      <c r="M487" s="181">
        <f t="shared" si="110"/>
        <v>8263.2820433441975</v>
      </c>
      <c r="N487" s="180">
        <f t="shared" si="110"/>
        <v>1198.975367188315</v>
      </c>
      <c r="O487" s="132">
        <f t="shared" si="105"/>
        <v>7064.3066761558821</v>
      </c>
    </row>
    <row r="488" spans="1:15" x14ac:dyDescent="0.25">
      <c r="A488" s="72">
        <f t="shared" si="111"/>
        <v>323</v>
      </c>
      <c r="B488" s="183">
        <f t="shared" si="106"/>
        <v>252059.76210750826</v>
      </c>
      <c r="C488" s="184">
        <f>-Office!$E$92/12</f>
        <v>7365.1926677265483</v>
      </c>
      <c r="D488" s="183">
        <f>Office!$E$90/12*B487</f>
        <v>1076.452094503049</v>
      </c>
      <c r="E488" s="185">
        <f t="shared" si="107"/>
        <v>6288.7405732234993</v>
      </c>
      <c r="F488" s="72">
        <f t="shared" si="112"/>
        <v>323</v>
      </c>
      <c r="G488" s="180">
        <f t="shared" si="108"/>
        <v>31455.682657144931</v>
      </c>
      <c r="H488" s="186">
        <f>-Office!$E$97/12</f>
        <v>898.0893756176489</v>
      </c>
      <c r="I488" s="149">
        <f>Office!$E$95/12*G487</f>
        <v>94.090737112313278</v>
      </c>
      <c r="J488" s="187">
        <f t="shared" si="109"/>
        <v>803.99863850533563</v>
      </c>
      <c r="K488" s="72">
        <f t="shared" si="113"/>
        <v>323</v>
      </c>
      <c r="L488" s="180">
        <f t="shared" si="110"/>
        <v>283515.44476465316</v>
      </c>
      <c r="M488" s="181">
        <f t="shared" si="110"/>
        <v>8263.2820433441975</v>
      </c>
      <c r="N488" s="180">
        <f t="shared" si="110"/>
        <v>1170.5428316153623</v>
      </c>
      <c r="O488" s="132">
        <f t="shared" si="105"/>
        <v>7092.7392117288346</v>
      </c>
    </row>
    <row r="489" spans="1:15" x14ac:dyDescent="0.25">
      <c r="A489" s="72">
        <f t="shared" si="111"/>
        <v>324</v>
      </c>
      <c r="B489" s="183">
        <f t="shared" si="106"/>
        <v>245744.81844856299</v>
      </c>
      <c r="C489" s="184">
        <f>-Office!$E$92/12</f>
        <v>7365.1926677265483</v>
      </c>
      <c r="D489" s="183">
        <f>Office!$E$90/12*B488</f>
        <v>1050.2490087812844</v>
      </c>
      <c r="E489" s="185">
        <f t="shared" si="107"/>
        <v>6314.9436589452635</v>
      </c>
      <c r="F489" s="72">
        <f t="shared" si="112"/>
        <v>324</v>
      </c>
      <c r="G489" s="180">
        <f t="shared" si="108"/>
        <v>30649.33902261062</v>
      </c>
      <c r="H489" s="186">
        <f>-Office!$E$97/12</f>
        <v>898.0893756176489</v>
      </c>
      <c r="I489" s="149">
        <f>Office!$E$95/12*G488</f>
        <v>91.745741083339382</v>
      </c>
      <c r="J489" s="187">
        <f t="shared" si="109"/>
        <v>806.34363453430956</v>
      </c>
      <c r="K489" s="72">
        <f t="shared" si="113"/>
        <v>324</v>
      </c>
      <c r="L489" s="180">
        <f t="shared" si="110"/>
        <v>276394.15747117362</v>
      </c>
      <c r="M489" s="181">
        <f t="shared" si="110"/>
        <v>8263.2820433441975</v>
      </c>
      <c r="N489" s="180">
        <f t="shared" si="110"/>
        <v>1141.9947498646238</v>
      </c>
      <c r="O489" s="132">
        <f t="shared" si="105"/>
        <v>7121.2872934795732</v>
      </c>
    </row>
    <row r="490" spans="1:15" x14ac:dyDescent="0.25">
      <c r="A490" s="72">
        <f t="shared" si="111"/>
        <v>325</v>
      </c>
      <c r="B490" s="183">
        <f t="shared" si="106"/>
        <v>239403.56252437213</v>
      </c>
      <c r="C490" s="184">
        <f>-Office!$E$92/12</f>
        <v>7365.1926677265483</v>
      </c>
      <c r="D490" s="183">
        <f>Office!$E$90/12*B489</f>
        <v>1023.9367435356791</v>
      </c>
      <c r="E490" s="185">
        <f t="shared" si="107"/>
        <v>6341.2559241908693</v>
      </c>
      <c r="F490" s="72">
        <f t="shared" si="112"/>
        <v>325</v>
      </c>
      <c r="G490" s="180">
        <f t="shared" si="108"/>
        <v>29840.643552475587</v>
      </c>
      <c r="H490" s="186">
        <f>-Office!$E$97/12</f>
        <v>898.0893756176489</v>
      </c>
      <c r="I490" s="149">
        <f>Office!$E$95/12*G489</f>
        <v>89.393905482614315</v>
      </c>
      <c r="J490" s="187">
        <f t="shared" si="109"/>
        <v>808.69547013503461</v>
      </c>
      <c r="K490" s="72">
        <f t="shared" si="113"/>
        <v>325</v>
      </c>
      <c r="L490" s="180">
        <f t="shared" si="110"/>
        <v>269244.20607684774</v>
      </c>
      <c r="M490" s="181">
        <f t="shared" si="110"/>
        <v>8263.2820433441975</v>
      </c>
      <c r="N490" s="180">
        <f t="shared" si="110"/>
        <v>1113.3306490182933</v>
      </c>
      <c r="O490" s="132">
        <f t="shared" si="105"/>
        <v>7149.9513943259044</v>
      </c>
    </row>
    <row r="491" spans="1:15" x14ac:dyDescent="0.25">
      <c r="A491" s="72">
        <f t="shared" si="111"/>
        <v>326</v>
      </c>
      <c r="B491" s="183">
        <f t="shared" si="106"/>
        <v>233035.88470049715</v>
      </c>
      <c r="C491" s="184">
        <f>-Office!$E$92/12</f>
        <v>7365.1926677265483</v>
      </c>
      <c r="D491" s="183">
        <f>Office!$E$90/12*B490</f>
        <v>997.51484385155049</v>
      </c>
      <c r="E491" s="185">
        <f t="shared" si="107"/>
        <v>6367.6778238749976</v>
      </c>
      <c r="F491" s="72">
        <f t="shared" si="112"/>
        <v>326</v>
      </c>
      <c r="G491" s="180">
        <f t="shared" si="108"/>
        <v>29029.589387219326</v>
      </c>
      <c r="H491" s="186">
        <f>-Office!$E$97/12</f>
        <v>898.0893756176489</v>
      </c>
      <c r="I491" s="149">
        <f>Office!$E$95/12*G490</f>
        <v>87.035210361387129</v>
      </c>
      <c r="J491" s="187">
        <f t="shared" si="109"/>
        <v>811.05416525626174</v>
      </c>
      <c r="K491" s="72">
        <f t="shared" si="113"/>
        <v>326</v>
      </c>
      <c r="L491" s="180">
        <f t="shared" si="110"/>
        <v>262065.47408771649</v>
      </c>
      <c r="M491" s="181">
        <f t="shared" si="110"/>
        <v>8263.2820433441975</v>
      </c>
      <c r="N491" s="180">
        <f t="shared" si="110"/>
        <v>1084.5500542129375</v>
      </c>
      <c r="O491" s="132">
        <f t="shared" si="105"/>
        <v>7178.7319891312591</v>
      </c>
    </row>
    <row r="492" spans="1:15" x14ac:dyDescent="0.25">
      <c r="A492" s="72">
        <f t="shared" si="111"/>
        <v>327</v>
      </c>
      <c r="B492" s="183">
        <f t="shared" si="106"/>
        <v>226641.67488568934</v>
      </c>
      <c r="C492" s="184">
        <f>-Office!$E$92/12</f>
        <v>7365.1926677265483</v>
      </c>
      <c r="D492" s="183">
        <f>Office!$E$90/12*B491</f>
        <v>970.9828529187381</v>
      </c>
      <c r="E492" s="185">
        <f t="shared" si="107"/>
        <v>6394.2098148078103</v>
      </c>
      <c r="F492" s="72">
        <f t="shared" si="112"/>
        <v>327</v>
      </c>
      <c r="G492" s="180">
        <f t="shared" si="108"/>
        <v>28216.1696473144</v>
      </c>
      <c r="H492" s="186">
        <f>-Office!$E$97/12</f>
        <v>898.0893756176489</v>
      </c>
      <c r="I492" s="149">
        <f>Office!$E$95/12*G491</f>
        <v>84.669635712723036</v>
      </c>
      <c r="J492" s="187">
        <f t="shared" si="109"/>
        <v>813.4197399049259</v>
      </c>
      <c r="K492" s="72">
        <f t="shared" si="113"/>
        <v>327</v>
      </c>
      <c r="L492" s="180">
        <f t="shared" si="110"/>
        <v>254857.84453300375</v>
      </c>
      <c r="M492" s="181">
        <f t="shared" si="110"/>
        <v>8263.2820433441975</v>
      </c>
      <c r="N492" s="180">
        <f t="shared" si="110"/>
        <v>1055.6524886314612</v>
      </c>
      <c r="O492" s="132">
        <f t="shared" si="105"/>
        <v>7207.6295547127365</v>
      </c>
    </row>
    <row r="493" spans="1:15" x14ac:dyDescent="0.25">
      <c r="A493" s="72">
        <f t="shared" si="111"/>
        <v>328</v>
      </c>
      <c r="B493" s="183">
        <f t="shared" si="106"/>
        <v>220220.8225299865</v>
      </c>
      <c r="C493" s="184">
        <f>-Office!$E$92/12</f>
        <v>7365.1926677265483</v>
      </c>
      <c r="D493" s="183">
        <f>Office!$E$90/12*B492</f>
        <v>944.34031202370556</v>
      </c>
      <c r="E493" s="185">
        <f t="shared" si="107"/>
        <v>6420.8523557028429</v>
      </c>
      <c r="F493" s="72">
        <f t="shared" si="112"/>
        <v>328</v>
      </c>
      <c r="G493" s="180">
        <f t="shared" si="108"/>
        <v>27400.377433168083</v>
      </c>
      <c r="H493" s="186">
        <f>-Office!$E$97/12</f>
        <v>898.0893756176489</v>
      </c>
      <c r="I493" s="149">
        <f>Office!$E$95/12*G492</f>
        <v>82.297161471333666</v>
      </c>
      <c r="J493" s="187">
        <f t="shared" si="109"/>
        <v>815.79221414631525</v>
      </c>
      <c r="K493" s="72">
        <f t="shared" si="113"/>
        <v>328</v>
      </c>
      <c r="L493" s="180">
        <f t="shared" si="110"/>
        <v>247621.19996315459</v>
      </c>
      <c r="M493" s="181">
        <f t="shared" si="110"/>
        <v>8263.2820433441975</v>
      </c>
      <c r="N493" s="180">
        <f t="shared" si="110"/>
        <v>1026.6374734950393</v>
      </c>
      <c r="O493" s="132">
        <f t="shared" si="105"/>
        <v>7236.644569849158</v>
      </c>
    </row>
    <row r="494" spans="1:15" x14ac:dyDescent="0.25">
      <c r="A494" s="72">
        <f t="shared" si="111"/>
        <v>329</v>
      </c>
      <c r="B494" s="183">
        <f t="shared" si="106"/>
        <v>213773.21662280156</v>
      </c>
      <c r="C494" s="184">
        <f>-Office!$E$92/12</f>
        <v>7365.1926677265483</v>
      </c>
      <c r="D494" s="183">
        <f>Office!$E$90/12*B493</f>
        <v>917.58676054161037</v>
      </c>
      <c r="E494" s="185">
        <f t="shared" si="107"/>
        <v>6447.6059071849377</v>
      </c>
      <c r="F494" s="72">
        <f t="shared" si="112"/>
        <v>329</v>
      </c>
      <c r="G494" s="180">
        <f t="shared" si="108"/>
        <v>26582.20582506384</v>
      </c>
      <c r="H494" s="186">
        <f>-Office!$E$97/12</f>
        <v>898.0893756176489</v>
      </c>
      <c r="I494" s="149">
        <f>Office!$E$95/12*G493</f>
        <v>79.917767513406915</v>
      </c>
      <c r="J494" s="187">
        <f t="shared" si="109"/>
        <v>818.17160810424195</v>
      </c>
      <c r="K494" s="72">
        <f t="shared" si="113"/>
        <v>329</v>
      </c>
      <c r="L494" s="180">
        <f t="shared" si="110"/>
        <v>240355.42244786539</v>
      </c>
      <c r="M494" s="181">
        <f t="shared" si="110"/>
        <v>8263.2820433441975</v>
      </c>
      <c r="N494" s="180">
        <f t="shared" si="110"/>
        <v>997.50452805501732</v>
      </c>
      <c r="O494" s="132">
        <f t="shared" si="105"/>
        <v>7265.77751528918</v>
      </c>
    </row>
    <row r="495" spans="1:15" x14ac:dyDescent="0.25">
      <c r="A495" s="72">
        <f t="shared" si="111"/>
        <v>330</v>
      </c>
      <c r="B495" s="183">
        <f t="shared" si="106"/>
        <v>207298.74569100334</v>
      </c>
      <c r="C495" s="184">
        <f>-Office!$E$92/12</f>
        <v>7365.1926677265483</v>
      </c>
      <c r="D495" s="183">
        <f>Office!$E$90/12*B494</f>
        <v>890.72173592833985</v>
      </c>
      <c r="E495" s="185">
        <f t="shared" si="107"/>
        <v>6474.4709317982088</v>
      </c>
      <c r="F495" s="72">
        <f t="shared" si="112"/>
        <v>330</v>
      </c>
      <c r="G495" s="180">
        <f t="shared" si="108"/>
        <v>25761.647883102629</v>
      </c>
      <c r="H495" s="186">
        <f>-Office!$E$97/12</f>
        <v>898.0893756176489</v>
      </c>
      <c r="I495" s="149">
        <f>Office!$E$95/12*G494</f>
        <v>77.531433656436207</v>
      </c>
      <c r="J495" s="187">
        <f t="shared" si="109"/>
        <v>820.55794196121269</v>
      </c>
      <c r="K495" s="72">
        <f t="shared" si="113"/>
        <v>330</v>
      </c>
      <c r="L495" s="180">
        <f t="shared" si="110"/>
        <v>233060.39357410595</v>
      </c>
      <c r="M495" s="181">
        <f t="shared" si="110"/>
        <v>8263.2820433441975</v>
      </c>
      <c r="N495" s="180">
        <f t="shared" si="110"/>
        <v>968.25316958477606</v>
      </c>
      <c r="O495" s="132">
        <f t="shared" si="105"/>
        <v>7295.0288737594219</v>
      </c>
    </row>
    <row r="496" spans="1:15" x14ac:dyDescent="0.25">
      <c r="A496" s="72">
        <f t="shared" si="111"/>
        <v>331</v>
      </c>
      <c r="B496" s="183">
        <f t="shared" si="106"/>
        <v>200797.2977969893</v>
      </c>
      <c r="C496" s="184">
        <f>-Office!$E$92/12</f>
        <v>7365.1926677265483</v>
      </c>
      <c r="D496" s="183">
        <f>Office!$E$90/12*B495</f>
        <v>863.74477371251385</v>
      </c>
      <c r="E496" s="185">
        <f t="shared" si="107"/>
        <v>6501.4478940140343</v>
      </c>
      <c r="F496" s="72">
        <f t="shared" si="112"/>
        <v>331</v>
      </c>
      <c r="G496" s="180">
        <f t="shared" si="108"/>
        <v>24938.696647144028</v>
      </c>
      <c r="H496" s="186">
        <f>-Office!$E$97/12</f>
        <v>898.0893756176489</v>
      </c>
      <c r="I496" s="149">
        <f>Office!$E$95/12*G495</f>
        <v>75.138139659049344</v>
      </c>
      <c r="J496" s="187">
        <f t="shared" si="109"/>
        <v>822.95123595859957</v>
      </c>
      <c r="K496" s="72">
        <f t="shared" si="113"/>
        <v>331</v>
      </c>
      <c r="L496" s="180">
        <f t="shared" si="110"/>
        <v>225735.99444413334</v>
      </c>
      <c r="M496" s="181">
        <f t="shared" si="110"/>
        <v>8263.2820433441975</v>
      </c>
      <c r="N496" s="180">
        <f t="shared" si="110"/>
        <v>938.88291337156318</v>
      </c>
      <c r="O496" s="132">
        <f t="shared" si="105"/>
        <v>7324.399129972634</v>
      </c>
    </row>
    <row r="497" spans="1:15" x14ac:dyDescent="0.25">
      <c r="A497" s="72">
        <f t="shared" si="111"/>
        <v>332</v>
      </c>
      <c r="B497" s="183">
        <f t="shared" si="106"/>
        <v>194268.7605367502</v>
      </c>
      <c r="C497" s="184">
        <f>-Office!$E$92/12</f>
        <v>7365.1926677265483</v>
      </c>
      <c r="D497" s="183">
        <f>Office!$E$90/12*B496</f>
        <v>836.65540748745536</v>
      </c>
      <c r="E497" s="185">
        <f t="shared" si="107"/>
        <v>6528.5372602390926</v>
      </c>
      <c r="F497" s="72">
        <f t="shared" si="112"/>
        <v>332</v>
      </c>
      <c r="G497" s="180">
        <f t="shared" si="108"/>
        <v>24113.345136747215</v>
      </c>
      <c r="H497" s="186">
        <f>-Office!$E$97/12</f>
        <v>898.0893756176489</v>
      </c>
      <c r="I497" s="149">
        <f>Office!$E$95/12*G496</f>
        <v>72.737865220836753</v>
      </c>
      <c r="J497" s="187">
        <f t="shared" si="109"/>
        <v>825.35151039681216</v>
      </c>
      <c r="K497" s="72">
        <f t="shared" si="113"/>
        <v>332</v>
      </c>
      <c r="L497" s="180">
        <f t="shared" si="110"/>
        <v>218382.10567349743</v>
      </c>
      <c r="M497" s="181">
        <f t="shared" si="110"/>
        <v>8263.2820433441975</v>
      </c>
      <c r="N497" s="180">
        <f t="shared" si="110"/>
        <v>909.3932727082921</v>
      </c>
      <c r="O497" s="132">
        <f t="shared" si="105"/>
        <v>7353.8887706359046</v>
      </c>
    </row>
    <row r="498" spans="1:15" x14ac:dyDescent="0.25">
      <c r="A498" s="72">
        <f t="shared" si="111"/>
        <v>333</v>
      </c>
      <c r="B498" s="183">
        <f t="shared" si="106"/>
        <v>187713.02103792678</v>
      </c>
      <c r="C498" s="184">
        <f>-Office!$E$92/12</f>
        <v>7365.1926677265483</v>
      </c>
      <c r="D498" s="183">
        <f>Office!$E$90/12*B497</f>
        <v>809.45316890312586</v>
      </c>
      <c r="E498" s="185">
        <f t="shared" si="107"/>
        <v>6555.7394988234228</v>
      </c>
      <c r="F498" s="72">
        <f t="shared" si="112"/>
        <v>333</v>
      </c>
      <c r="G498" s="180">
        <f t="shared" si="108"/>
        <v>23285.586351111746</v>
      </c>
      <c r="H498" s="186">
        <f>-Office!$E$97/12</f>
        <v>898.0893756176489</v>
      </c>
      <c r="I498" s="149">
        <f>Office!$E$95/12*G497</f>
        <v>70.330589982179376</v>
      </c>
      <c r="J498" s="187">
        <f t="shared" si="109"/>
        <v>827.75878563546951</v>
      </c>
      <c r="K498" s="72">
        <f t="shared" si="113"/>
        <v>333</v>
      </c>
      <c r="L498" s="180">
        <f t="shared" si="110"/>
        <v>210998.60738903852</v>
      </c>
      <c r="M498" s="181">
        <f t="shared" si="110"/>
        <v>8263.2820433441975</v>
      </c>
      <c r="N498" s="180">
        <f t="shared" si="110"/>
        <v>879.78375888530525</v>
      </c>
      <c r="O498" s="132">
        <f t="shared" si="105"/>
        <v>7383.4982844588922</v>
      </c>
    </row>
    <row r="499" spans="1:15" x14ac:dyDescent="0.25">
      <c r="A499" s="72">
        <f t="shared" si="111"/>
        <v>334</v>
      </c>
      <c r="B499" s="183">
        <f t="shared" si="106"/>
        <v>181129.96595785825</v>
      </c>
      <c r="C499" s="184">
        <f>-Office!$E$92/12</f>
        <v>7365.1926677265483</v>
      </c>
      <c r="D499" s="183">
        <f>Office!$E$90/12*B498</f>
        <v>782.13758765802822</v>
      </c>
      <c r="E499" s="185">
        <f t="shared" si="107"/>
        <v>6583.0550800685196</v>
      </c>
      <c r="F499" s="72">
        <f t="shared" si="112"/>
        <v>334</v>
      </c>
      <c r="G499" s="180">
        <f t="shared" si="108"/>
        <v>22455.413269018172</v>
      </c>
      <c r="H499" s="186">
        <f>-Office!$E$97/12</f>
        <v>898.0893756176489</v>
      </c>
      <c r="I499" s="149">
        <f>Office!$E$95/12*G498</f>
        <v>67.916293524075925</v>
      </c>
      <c r="J499" s="187">
        <f t="shared" si="109"/>
        <v>830.17308209357293</v>
      </c>
      <c r="K499" s="72">
        <f t="shared" si="113"/>
        <v>334</v>
      </c>
      <c r="L499" s="180">
        <f t="shared" si="110"/>
        <v>203585.37922687642</v>
      </c>
      <c r="M499" s="181">
        <f t="shared" si="110"/>
        <v>8263.2820433441975</v>
      </c>
      <c r="N499" s="180">
        <f t="shared" si="110"/>
        <v>850.05388118210419</v>
      </c>
      <c r="O499" s="132">
        <f t="shared" si="105"/>
        <v>7413.2281621620923</v>
      </c>
    </row>
    <row r="500" spans="1:15" x14ac:dyDescent="0.25">
      <c r="A500" s="72">
        <f t="shared" si="111"/>
        <v>335</v>
      </c>
      <c r="B500" s="183">
        <f t="shared" si="106"/>
        <v>174519.48148162279</v>
      </c>
      <c r="C500" s="184">
        <f>-Office!$E$92/12</f>
        <v>7365.1926677265483</v>
      </c>
      <c r="D500" s="183">
        <f>Office!$E$90/12*B499</f>
        <v>754.70819149107604</v>
      </c>
      <c r="E500" s="185">
        <f t="shared" si="107"/>
        <v>6610.4844762354724</v>
      </c>
      <c r="F500" s="72">
        <f t="shared" si="112"/>
        <v>335</v>
      </c>
      <c r="G500" s="180">
        <f t="shared" si="108"/>
        <v>21622.818848768493</v>
      </c>
      <c r="H500" s="186">
        <f>-Office!$E$97/12</f>
        <v>898.0893756176489</v>
      </c>
      <c r="I500" s="149">
        <f>Office!$E$95/12*G499</f>
        <v>65.494955367969666</v>
      </c>
      <c r="J500" s="187">
        <f t="shared" si="109"/>
        <v>832.59442024967927</v>
      </c>
      <c r="K500" s="72">
        <f t="shared" si="113"/>
        <v>335</v>
      </c>
      <c r="L500" s="180">
        <f t="shared" si="110"/>
        <v>196142.30033039127</v>
      </c>
      <c r="M500" s="181">
        <f t="shared" si="110"/>
        <v>8263.2820433441975</v>
      </c>
      <c r="N500" s="180">
        <f t="shared" si="110"/>
        <v>820.20314685904566</v>
      </c>
      <c r="O500" s="132">
        <f t="shared" si="105"/>
        <v>7443.0788964851517</v>
      </c>
    </row>
    <row r="501" spans="1:15" x14ac:dyDescent="0.25">
      <c r="A501" s="72">
        <f t="shared" si="111"/>
        <v>336</v>
      </c>
      <c r="B501" s="183">
        <f t="shared" si="106"/>
        <v>167881.45332006968</v>
      </c>
      <c r="C501" s="184">
        <f>-Office!$E$92/12</f>
        <v>7365.1926677265483</v>
      </c>
      <c r="D501" s="183">
        <f>Office!$E$90/12*B500</f>
        <v>727.16450617342832</v>
      </c>
      <c r="E501" s="185">
        <f t="shared" si="107"/>
        <v>6638.0281615531203</v>
      </c>
      <c r="F501" s="72">
        <f t="shared" si="112"/>
        <v>336</v>
      </c>
      <c r="G501" s="180">
        <f t="shared" si="108"/>
        <v>20787.79602812642</v>
      </c>
      <c r="H501" s="186">
        <f>-Office!$E$97/12</f>
        <v>898.0893756176489</v>
      </c>
      <c r="I501" s="149">
        <f>Office!$E$95/12*G500</f>
        <v>63.066554975574775</v>
      </c>
      <c r="J501" s="187">
        <f t="shared" si="109"/>
        <v>835.02282064207407</v>
      </c>
      <c r="K501" s="72">
        <f t="shared" si="113"/>
        <v>336</v>
      </c>
      <c r="L501" s="180">
        <f t="shared" si="110"/>
        <v>188669.24934819608</v>
      </c>
      <c r="M501" s="181">
        <f t="shared" si="110"/>
        <v>8263.2820433441975</v>
      </c>
      <c r="N501" s="180">
        <f t="shared" si="110"/>
        <v>790.23106114900315</v>
      </c>
      <c r="O501" s="132">
        <f t="shared" si="105"/>
        <v>7473.0509821951946</v>
      </c>
    </row>
    <row r="502" spans="1:15" x14ac:dyDescent="0.25">
      <c r="A502" s="72">
        <f t="shared" si="111"/>
        <v>337</v>
      </c>
      <c r="B502" s="183">
        <f t="shared" si="106"/>
        <v>161215.7667078434</v>
      </c>
      <c r="C502" s="184">
        <f>-Office!$E$92/12</f>
        <v>7365.1926677265483</v>
      </c>
      <c r="D502" s="183">
        <f>Office!$E$90/12*B501</f>
        <v>699.50605550029036</v>
      </c>
      <c r="E502" s="185">
        <f t="shared" si="107"/>
        <v>6665.6866122262581</v>
      </c>
      <c r="F502" s="72">
        <f t="shared" si="112"/>
        <v>337</v>
      </c>
      <c r="G502" s="180">
        <f t="shared" si="108"/>
        <v>19950.337724257475</v>
      </c>
      <c r="H502" s="186">
        <f>-Office!$E$97/12</f>
        <v>898.0893756176489</v>
      </c>
      <c r="I502" s="149">
        <f>Office!$E$95/12*G501</f>
        <v>60.631071748702063</v>
      </c>
      <c r="J502" s="187">
        <f t="shared" si="109"/>
        <v>837.45830386894681</v>
      </c>
      <c r="K502" s="72">
        <f t="shared" si="113"/>
        <v>337</v>
      </c>
      <c r="L502" s="180">
        <f t="shared" si="110"/>
        <v>181166.10443210087</v>
      </c>
      <c r="M502" s="181">
        <f t="shared" si="110"/>
        <v>8263.2820433441975</v>
      </c>
      <c r="N502" s="180">
        <f t="shared" si="110"/>
        <v>760.13712724899244</v>
      </c>
      <c r="O502" s="132">
        <f t="shared" si="105"/>
        <v>7503.1449160952052</v>
      </c>
    </row>
    <row r="503" spans="1:15" x14ac:dyDescent="0.25">
      <c r="A503" s="72">
        <f t="shared" si="111"/>
        <v>338</v>
      </c>
      <c r="B503" s="183">
        <f t="shared" si="106"/>
        <v>154522.30640139955</v>
      </c>
      <c r="C503" s="184">
        <f>-Office!$E$92/12</f>
        <v>7365.1926677265483</v>
      </c>
      <c r="D503" s="183">
        <f>Office!$E$90/12*B502</f>
        <v>671.73236128268081</v>
      </c>
      <c r="E503" s="185">
        <f t="shared" si="107"/>
        <v>6693.460306443867</v>
      </c>
      <c r="F503" s="72">
        <f t="shared" si="112"/>
        <v>338</v>
      </c>
      <c r="G503" s="180">
        <f t="shared" si="108"/>
        <v>19110.436833668911</v>
      </c>
      <c r="H503" s="186">
        <f>-Office!$E$97/12</f>
        <v>898.0893756176489</v>
      </c>
      <c r="I503" s="149">
        <f>Office!$E$95/12*G502</f>
        <v>58.188485029084305</v>
      </c>
      <c r="J503" s="187">
        <f t="shared" si="109"/>
        <v>839.90089058856461</v>
      </c>
      <c r="K503" s="72">
        <f t="shared" si="113"/>
        <v>338</v>
      </c>
      <c r="L503" s="180">
        <f t="shared" si="110"/>
        <v>173632.74323506845</v>
      </c>
      <c r="M503" s="181">
        <f t="shared" si="110"/>
        <v>8263.2820433441975</v>
      </c>
      <c r="N503" s="180">
        <f t="shared" si="110"/>
        <v>729.9208463117651</v>
      </c>
      <c r="O503" s="132">
        <f t="shared" si="105"/>
        <v>7533.3611970324318</v>
      </c>
    </row>
    <row r="504" spans="1:15" x14ac:dyDescent="0.25">
      <c r="A504" s="72">
        <f t="shared" si="111"/>
        <v>339</v>
      </c>
      <c r="B504" s="183">
        <f t="shared" si="106"/>
        <v>147800.95667701217</v>
      </c>
      <c r="C504" s="184">
        <f>-Office!$E$92/12</f>
        <v>7365.1926677265483</v>
      </c>
      <c r="D504" s="183">
        <f>Office!$E$90/12*B503</f>
        <v>643.84294333916478</v>
      </c>
      <c r="E504" s="185">
        <f t="shared" si="107"/>
        <v>6721.3497243873835</v>
      </c>
      <c r="F504" s="72">
        <f t="shared" si="112"/>
        <v>339</v>
      </c>
      <c r="G504" s="180">
        <f t="shared" si="108"/>
        <v>18268.086232149464</v>
      </c>
      <c r="H504" s="186">
        <f>-Office!$E$97/12</f>
        <v>898.0893756176489</v>
      </c>
      <c r="I504" s="149">
        <f>Office!$E$95/12*G503</f>
        <v>55.738774098200992</v>
      </c>
      <c r="J504" s="187">
        <f t="shared" si="109"/>
        <v>842.35060151944788</v>
      </c>
      <c r="K504" s="72">
        <f t="shared" si="113"/>
        <v>339</v>
      </c>
      <c r="L504" s="180">
        <f t="shared" si="110"/>
        <v>166069.04290916165</v>
      </c>
      <c r="M504" s="181">
        <f t="shared" si="110"/>
        <v>8263.2820433441975</v>
      </c>
      <c r="N504" s="180">
        <f t="shared" si="110"/>
        <v>699.5817174373658</v>
      </c>
      <c r="O504" s="132">
        <f t="shared" si="105"/>
        <v>7563.7003259068315</v>
      </c>
    </row>
    <row r="505" spans="1:15" x14ac:dyDescent="0.25">
      <c r="A505" s="72">
        <f t="shared" si="111"/>
        <v>340</v>
      </c>
      <c r="B505" s="183">
        <f t="shared" si="106"/>
        <v>141051.60132877319</v>
      </c>
      <c r="C505" s="184">
        <f>-Office!$E$92/12</f>
        <v>7365.1926677265483</v>
      </c>
      <c r="D505" s="183">
        <f>Office!$E$90/12*B504</f>
        <v>615.83731948755076</v>
      </c>
      <c r="E505" s="185">
        <f t="shared" si="107"/>
        <v>6749.355348238998</v>
      </c>
      <c r="F505" s="72">
        <f t="shared" si="112"/>
        <v>340</v>
      </c>
      <c r="G505" s="180">
        <f t="shared" si="108"/>
        <v>17423.278774708917</v>
      </c>
      <c r="H505" s="186">
        <f>-Office!$E$97/12</f>
        <v>898.0893756176489</v>
      </c>
      <c r="I505" s="149">
        <f>Office!$E$95/12*G504</f>
        <v>53.281918177102604</v>
      </c>
      <c r="J505" s="187">
        <f t="shared" si="109"/>
        <v>844.80745744054627</v>
      </c>
      <c r="K505" s="72">
        <f t="shared" si="113"/>
        <v>340</v>
      </c>
      <c r="L505" s="180">
        <f t="shared" si="110"/>
        <v>158474.88010348211</v>
      </c>
      <c r="M505" s="181">
        <f t="shared" si="110"/>
        <v>8263.2820433441975</v>
      </c>
      <c r="N505" s="180">
        <f t="shared" si="110"/>
        <v>669.11923766465338</v>
      </c>
      <c r="O505" s="132">
        <f t="shared" si="105"/>
        <v>7594.1628056795444</v>
      </c>
    </row>
    <row r="506" spans="1:15" x14ac:dyDescent="0.25">
      <c r="A506" s="72">
        <f t="shared" si="111"/>
        <v>341</v>
      </c>
      <c r="B506" s="183">
        <f t="shared" si="106"/>
        <v>134274.12366658321</v>
      </c>
      <c r="C506" s="184">
        <f>-Office!$E$92/12</f>
        <v>7365.1926677265483</v>
      </c>
      <c r="D506" s="183">
        <f>Office!$E$90/12*B505</f>
        <v>587.71500553655494</v>
      </c>
      <c r="E506" s="185">
        <f t="shared" si="107"/>
        <v>6777.4776621899937</v>
      </c>
      <c r="F506" s="72">
        <f t="shared" si="112"/>
        <v>341</v>
      </c>
      <c r="G506" s="180">
        <f t="shared" si="108"/>
        <v>16576.007295517502</v>
      </c>
      <c r="H506" s="186">
        <f>-Office!$E$97/12</f>
        <v>898.0893756176489</v>
      </c>
      <c r="I506" s="149">
        <f>Office!$E$95/12*G505</f>
        <v>50.817896426234341</v>
      </c>
      <c r="J506" s="187">
        <f t="shared" si="109"/>
        <v>847.27147919141453</v>
      </c>
      <c r="K506" s="72">
        <f t="shared" si="113"/>
        <v>341</v>
      </c>
      <c r="L506" s="180">
        <f t="shared" si="110"/>
        <v>150850.13096210072</v>
      </c>
      <c r="M506" s="181">
        <f t="shared" si="110"/>
        <v>8263.2820433441975</v>
      </c>
      <c r="N506" s="180">
        <f t="shared" si="110"/>
        <v>638.53290196278931</v>
      </c>
      <c r="O506" s="132">
        <f t="shared" si="105"/>
        <v>7624.7491413814078</v>
      </c>
    </row>
    <row r="507" spans="1:15" x14ac:dyDescent="0.25">
      <c r="A507" s="72">
        <f t="shared" si="111"/>
        <v>342</v>
      </c>
      <c r="B507" s="183">
        <f t="shared" si="106"/>
        <v>127468.4065141341</v>
      </c>
      <c r="C507" s="184">
        <f>-Office!$E$92/12</f>
        <v>7365.1926677265483</v>
      </c>
      <c r="D507" s="183">
        <f>Office!$E$90/12*B506</f>
        <v>559.47551527743008</v>
      </c>
      <c r="E507" s="185">
        <f t="shared" si="107"/>
        <v>6805.7171524491187</v>
      </c>
      <c r="F507" s="72">
        <f t="shared" si="112"/>
        <v>342</v>
      </c>
      <c r="G507" s="180">
        <f t="shared" si="108"/>
        <v>15726.264607845113</v>
      </c>
      <c r="H507" s="186">
        <f>-Office!$E$97/12</f>
        <v>898.0893756176489</v>
      </c>
      <c r="I507" s="149">
        <f>Office!$E$95/12*G506</f>
        <v>48.346687945259383</v>
      </c>
      <c r="J507" s="187">
        <f t="shared" si="109"/>
        <v>849.74268767238948</v>
      </c>
      <c r="K507" s="72">
        <f t="shared" si="113"/>
        <v>342</v>
      </c>
      <c r="L507" s="180">
        <f t="shared" si="110"/>
        <v>143194.67112197922</v>
      </c>
      <c r="M507" s="181">
        <f t="shared" si="110"/>
        <v>8263.2820433441975</v>
      </c>
      <c r="N507" s="180">
        <f t="shared" si="110"/>
        <v>607.8222032226895</v>
      </c>
      <c r="O507" s="132">
        <f t="shared" si="105"/>
        <v>7655.459840121508</v>
      </c>
    </row>
    <row r="508" spans="1:15" x14ac:dyDescent="0.25">
      <c r="A508" s="72">
        <f t="shared" si="111"/>
        <v>343</v>
      </c>
      <c r="B508" s="183">
        <f t="shared" si="106"/>
        <v>120634.3322068831</v>
      </c>
      <c r="C508" s="184">
        <f>-Office!$E$92/12</f>
        <v>7365.1926677265483</v>
      </c>
      <c r="D508" s="183">
        <f>Office!$E$90/12*B507</f>
        <v>531.11836047555869</v>
      </c>
      <c r="E508" s="185">
        <f t="shared" si="107"/>
        <v>6834.0743072509895</v>
      </c>
      <c r="F508" s="72">
        <f t="shared" si="112"/>
        <v>343</v>
      </c>
      <c r="G508" s="180">
        <f t="shared" si="108"/>
        <v>14874.043504000345</v>
      </c>
      <c r="H508" s="186">
        <f>-Office!$E$97/12</f>
        <v>898.0893756176489</v>
      </c>
      <c r="I508" s="149">
        <f>Office!$E$95/12*G507</f>
        <v>45.868271772881577</v>
      </c>
      <c r="J508" s="187">
        <f t="shared" si="109"/>
        <v>852.2211038447673</v>
      </c>
      <c r="K508" s="72">
        <f t="shared" si="113"/>
        <v>343</v>
      </c>
      <c r="L508" s="180">
        <f t="shared" si="110"/>
        <v>135508.37571088344</v>
      </c>
      <c r="M508" s="181">
        <f t="shared" si="110"/>
        <v>8263.2820433441975</v>
      </c>
      <c r="N508" s="180">
        <f t="shared" si="110"/>
        <v>576.98663224844029</v>
      </c>
      <c r="O508" s="132">
        <f t="shared" si="105"/>
        <v>7686.2954110957571</v>
      </c>
    </row>
    <row r="509" spans="1:15" x14ac:dyDescent="0.25">
      <c r="A509" s="72">
        <f t="shared" si="111"/>
        <v>344</v>
      </c>
      <c r="B509" s="183">
        <f t="shared" si="106"/>
        <v>113771.78259001857</v>
      </c>
      <c r="C509" s="184">
        <f>-Office!$E$92/12</f>
        <v>7365.1926677265483</v>
      </c>
      <c r="D509" s="183">
        <f>Office!$E$90/12*B508</f>
        <v>502.6430508620129</v>
      </c>
      <c r="E509" s="185">
        <f t="shared" si="107"/>
        <v>6862.549616864535</v>
      </c>
      <c r="F509" s="72">
        <f t="shared" si="112"/>
        <v>344</v>
      </c>
      <c r="G509" s="180">
        <f t="shared" si="108"/>
        <v>14019.336755269363</v>
      </c>
      <c r="H509" s="186">
        <f>-Office!$E$97/12</f>
        <v>898.0893756176489</v>
      </c>
      <c r="I509" s="149">
        <f>Office!$E$95/12*G508</f>
        <v>43.382626886667673</v>
      </c>
      <c r="J509" s="187">
        <f t="shared" si="109"/>
        <v>854.70674873098119</v>
      </c>
      <c r="K509" s="72">
        <f t="shared" si="113"/>
        <v>344</v>
      </c>
      <c r="L509" s="180">
        <f t="shared" si="110"/>
        <v>127791.11934528794</v>
      </c>
      <c r="M509" s="181">
        <f t="shared" si="110"/>
        <v>8263.2820433441975</v>
      </c>
      <c r="N509" s="180">
        <f t="shared" si="110"/>
        <v>546.02567774868055</v>
      </c>
      <c r="O509" s="132">
        <f t="shared" si="105"/>
        <v>7717.2563655955164</v>
      </c>
    </row>
    <row r="510" spans="1:15" x14ac:dyDescent="0.25">
      <c r="A510" s="72">
        <f t="shared" si="111"/>
        <v>345</v>
      </c>
      <c r="B510" s="183">
        <f t="shared" si="106"/>
        <v>106880.6390164171</v>
      </c>
      <c r="C510" s="184">
        <f>-Office!$E$92/12</f>
        <v>7365.1926677265483</v>
      </c>
      <c r="D510" s="183">
        <f>Office!$E$90/12*B509</f>
        <v>474.04909412507737</v>
      </c>
      <c r="E510" s="185">
        <f t="shared" si="107"/>
        <v>6891.143573601471</v>
      </c>
      <c r="F510" s="72">
        <f t="shared" si="112"/>
        <v>345</v>
      </c>
      <c r="G510" s="180">
        <f t="shared" si="108"/>
        <v>13162.137111854583</v>
      </c>
      <c r="H510" s="186">
        <f>-Office!$E$97/12</f>
        <v>898.0893756176489</v>
      </c>
      <c r="I510" s="149">
        <f>Office!$E$95/12*G509</f>
        <v>40.889732202868977</v>
      </c>
      <c r="J510" s="187">
        <f t="shared" si="109"/>
        <v>857.19964341477987</v>
      </c>
      <c r="K510" s="72">
        <f t="shared" si="113"/>
        <v>345</v>
      </c>
      <c r="L510" s="180">
        <f t="shared" si="110"/>
        <v>120042.77612827168</v>
      </c>
      <c r="M510" s="181">
        <f t="shared" si="110"/>
        <v>8263.2820433441975</v>
      </c>
      <c r="N510" s="180">
        <f t="shared" si="110"/>
        <v>514.93882632794634</v>
      </c>
      <c r="O510" s="132">
        <f t="shared" si="105"/>
        <v>7748.3432170162505</v>
      </c>
    </row>
    <row r="511" spans="1:15" x14ac:dyDescent="0.25">
      <c r="A511" s="72">
        <f t="shared" si="111"/>
        <v>346</v>
      </c>
      <c r="B511" s="183">
        <f t="shared" si="106"/>
        <v>99960.782344592299</v>
      </c>
      <c r="C511" s="184">
        <f>-Office!$E$92/12</f>
        <v>7365.1926677265483</v>
      </c>
      <c r="D511" s="183">
        <f>Office!$E$90/12*B510</f>
        <v>445.33599590173793</v>
      </c>
      <c r="E511" s="185">
        <f t="shared" si="107"/>
        <v>6919.8566718248103</v>
      </c>
      <c r="F511" s="72">
        <f t="shared" si="112"/>
        <v>346</v>
      </c>
      <c r="G511" s="180">
        <f t="shared" si="108"/>
        <v>12302.437302813176</v>
      </c>
      <c r="H511" s="186">
        <f>-Office!$E$97/12</f>
        <v>898.0893756176489</v>
      </c>
      <c r="I511" s="149">
        <f>Office!$E$95/12*G510</f>
        <v>38.389566576242537</v>
      </c>
      <c r="J511" s="187">
        <f t="shared" si="109"/>
        <v>859.69980904140641</v>
      </c>
      <c r="K511" s="72">
        <f t="shared" si="113"/>
        <v>346</v>
      </c>
      <c r="L511" s="180">
        <f t="shared" si="110"/>
        <v>112263.21964740548</v>
      </c>
      <c r="M511" s="181">
        <f t="shared" si="110"/>
        <v>8263.2820433441975</v>
      </c>
      <c r="N511" s="180">
        <f t="shared" si="110"/>
        <v>483.72556247798047</v>
      </c>
      <c r="O511" s="132">
        <f t="shared" si="105"/>
        <v>7779.5564808662166</v>
      </c>
    </row>
    <row r="512" spans="1:15" x14ac:dyDescent="0.25">
      <c r="A512" s="72">
        <f t="shared" si="111"/>
        <v>347</v>
      </c>
      <c r="B512" s="183">
        <f t="shared" si="106"/>
        <v>93012.092936634886</v>
      </c>
      <c r="C512" s="184">
        <f>-Office!$E$92/12</f>
        <v>7365.1926677265483</v>
      </c>
      <c r="D512" s="183">
        <f>Office!$E$90/12*B511</f>
        <v>416.50325976913456</v>
      </c>
      <c r="E512" s="185">
        <f t="shared" si="107"/>
        <v>6948.689407957414</v>
      </c>
      <c r="F512" s="72">
        <f t="shared" si="112"/>
        <v>347</v>
      </c>
      <c r="G512" s="180">
        <f t="shared" si="108"/>
        <v>11440.230035995399</v>
      </c>
      <c r="H512" s="186">
        <f>-Office!$E$97/12</f>
        <v>898.0893756176489</v>
      </c>
      <c r="I512" s="149">
        <f>Office!$E$95/12*G511</f>
        <v>35.882108799871766</v>
      </c>
      <c r="J512" s="187">
        <f t="shared" si="109"/>
        <v>862.20726681777717</v>
      </c>
      <c r="K512" s="72">
        <f t="shared" si="113"/>
        <v>347</v>
      </c>
      <c r="L512" s="180">
        <f t="shared" si="110"/>
        <v>104452.32297263028</v>
      </c>
      <c r="M512" s="181">
        <f t="shared" si="110"/>
        <v>8263.2820433441975</v>
      </c>
      <c r="N512" s="180">
        <f t="shared" si="110"/>
        <v>452.38536856900635</v>
      </c>
      <c r="O512" s="132">
        <f t="shared" si="105"/>
        <v>7810.8966747751911</v>
      </c>
    </row>
    <row r="513" spans="1:15" x14ac:dyDescent="0.25">
      <c r="A513" s="72">
        <f t="shared" si="111"/>
        <v>348</v>
      </c>
      <c r="B513" s="183">
        <f t="shared" si="106"/>
        <v>86034.450656144312</v>
      </c>
      <c r="C513" s="184">
        <f>-Office!$E$92/12</f>
        <v>7365.1926677265483</v>
      </c>
      <c r="D513" s="183">
        <f>Office!$E$90/12*B512</f>
        <v>387.55038723597869</v>
      </c>
      <c r="E513" s="185">
        <f t="shared" si="107"/>
        <v>6977.6422804905696</v>
      </c>
      <c r="F513" s="72">
        <f t="shared" si="112"/>
        <v>348</v>
      </c>
      <c r="G513" s="180">
        <f t="shared" si="108"/>
        <v>10575.507997982737</v>
      </c>
      <c r="H513" s="186">
        <f>-Office!$E$97/12</f>
        <v>898.0893756176489</v>
      </c>
      <c r="I513" s="149">
        <f>Office!$E$95/12*G512</f>
        <v>33.367337604986581</v>
      </c>
      <c r="J513" s="187">
        <f t="shared" si="109"/>
        <v>864.72203801266232</v>
      </c>
      <c r="K513" s="72">
        <f t="shared" si="113"/>
        <v>348</v>
      </c>
      <c r="L513" s="180">
        <f t="shared" si="110"/>
        <v>96609.958654127055</v>
      </c>
      <c r="M513" s="181">
        <f t="shared" si="110"/>
        <v>8263.2820433441975</v>
      </c>
      <c r="N513" s="180">
        <f t="shared" si="110"/>
        <v>420.91772484096526</v>
      </c>
      <c r="O513" s="132">
        <f t="shared" si="105"/>
        <v>7842.3643185032324</v>
      </c>
    </row>
    <row r="514" spans="1:15" x14ac:dyDescent="0.25">
      <c r="A514" s="72">
        <f t="shared" si="111"/>
        <v>349</v>
      </c>
      <c r="B514" s="183">
        <f t="shared" si="106"/>
        <v>79027.734866151703</v>
      </c>
      <c r="C514" s="184">
        <f>-Office!$E$92/12</f>
        <v>7365.1926677265483</v>
      </c>
      <c r="D514" s="183">
        <f>Office!$E$90/12*B513</f>
        <v>358.47687773393466</v>
      </c>
      <c r="E514" s="185">
        <f t="shared" si="107"/>
        <v>7006.7157899926133</v>
      </c>
      <c r="F514" s="72">
        <f t="shared" si="112"/>
        <v>349</v>
      </c>
      <c r="G514" s="180">
        <f t="shared" si="108"/>
        <v>9708.2638540258704</v>
      </c>
      <c r="H514" s="186">
        <f>-Office!$E$97/12</f>
        <v>898.0893756176489</v>
      </c>
      <c r="I514" s="149">
        <f>Office!$E$95/12*G513</f>
        <v>30.845231660782986</v>
      </c>
      <c r="J514" s="187">
        <f t="shared" si="109"/>
        <v>867.24414395686586</v>
      </c>
      <c r="K514" s="72">
        <f t="shared" si="113"/>
        <v>349</v>
      </c>
      <c r="L514" s="180">
        <f t="shared" si="110"/>
        <v>88735.998720177566</v>
      </c>
      <c r="M514" s="181">
        <f t="shared" si="110"/>
        <v>8263.2820433441975</v>
      </c>
      <c r="N514" s="180">
        <f t="shared" si="110"/>
        <v>389.32210939471764</v>
      </c>
      <c r="O514" s="132">
        <f t="shared" si="105"/>
        <v>7873.9599339494789</v>
      </c>
    </row>
    <row r="515" spans="1:15" x14ac:dyDescent="0.25">
      <c r="A515" s="72">
        <f t="shared" si="111"/>
        <v>350</v>
      </c>
      <c r="B515" s="183">
        <f t="shared" si="106"/>
        <v>71991.824427034124</v>
      </c>
      <c r="C515" s="184">
        <f>-Office!$E$92/12</f>
        <v>7365.1926677265483</v>
      </c>
      <c r="D515" s="183">
        <f>Office!$E$90/12*B514</f>
        <v>329.2822286089654</v>
      </c>
      <c r="E515" s="185">
        <f t="shared" si="107"/>
        <v>7035.9104391175824</v>
      </c>
      <c r="F515" s="72">
        <f t="shared" si="112"/>
        <v>350</v>
      </c>
      <c r="G515" s="180">
        <f t="shared" si="108"/>
        <v>8838.4902479824632</v>
      </c>
      <c r="H515" s="186">
        <f>-Office!$E$97/12</f>
        <v>898.0893756176489</v>
      </c>
      <c r="I515" s="149">
        <f>Office!$E$95/12*G514</f>
        <v>28.315769574242122</v>
      </c>
      <c r="J515" s="187">
        <f t="shared" si="109"/>
        <v>869.77360604340674</v>
      </c>
      <c r="K515" s="72">
        <f t="shared" si="113"/>
        <v>350</v>
      </c>
      <c r="L515" s="180">
        <f t="shared" si="110"/>
        <v>80830.314675016591</v>
      </c>
      <c r="M515" s="181">
        <f t="shared" si="110"/>
        <v>8263.2820433441975</v>
      </c>
      <c r="N515" s="180">
        <f t="shared" si="110"/>
        <v>357.59799818320749</v>
      </c>
      <c r="O515" s="132">
        <f t="shared" si="105"/>
        <v>7905.6840451609896</v>
      </c>
    </row>
    <row r="516" spans="1:15" x14ac:dyDescent="0.25">
      <c r="A516" s="72">
        <f t="shared" si="111"/>
        <v>351</v>
      </c>
      <c r="B516" s="183">
        <f t="shared" si="106"/>
        <v>64926.597694420219</v>
      </c>
      <c r="C516" s="184">
        <f>-Office!$E$92/12</f>
        <v>7365.1926677265483</v>
      </c>
      <c r="D516" s="183">
        <f>Office!$E$90/12*B515</f>
        <v>299.96593511264217</v>
      </c>
      <c r="E516" s="185">
        <f t="shared" si="107"/>
        <v>7065.2267326139063</v>
      </c>
      <c r="F516" s="72">
        <f t="shared" si="112"/>
        <v>351</v>
      </c>
      <c r="G516" s="180">
        <f t="shared" si="108"/>
        <v>7966.1798022547628</v>
      </c>
      <c r="H516" s="186">
        <f>-Office!$E$97/12</f>
        <v>898.0893756176489</v>
      </c>
      <c r="I516" s="149">
        <f>Office!$E$95/12*G515</f>
        <v>25.778929889948852</v>
      </c>
      <c r="J516" s="187">
        <f t="shared" si="109"/>
        <v>872.31044572770008</v>
      </c>
      <c r="K516" s="72">
        <f t="shared" si="113"/>
        <v>351</v>
      </c>
      <c r="L516" s="180">
        <f t="shared" si="110"/>
        <v>72892.777496674986</v>
      </c>
      <c r="M516" s="181">
        <f t="shared" si="110"/>
        <v>8263.2820433441975</v>
      </c>
      <c r="N516" s="180">
        <f t="shared" si="110"/>
        <v>325.74486500259104</v>
      </c>
      <c r="O516" s="132">
        <f t="shared" si="105"/>
        <v>7937.5371783416067</v>
      </c>
    </row>
    <row r="517" spans="1:15" x14ac:dyDescent="0.25">
      <c r="A517" s="72">
        <f t="shared" si="111"/>
        <v>352</v>
      </c>
      <c r="B517" s="183">
        <f t="shared" si="106"/>
        <v>57831.932517087087</v>
      </c>
      <c r="C517" s="184">
        <f>-Office!$E$92/12</f>
        <v>7365.1926677265483</v>
      </c>
      <c r="D517" s="183">
        <f>Office!$E$90/12*B516</f>
        <v>270.52749039341757</v>
      </c>
      <c r="E517" s="185">
        <f t="shared" si="107"/>
        <v>7094.6651773331305</v>
      </c>
      <c r="F517" s="72">
        <f t="shared" si="112"/>
        <v>352</v>
      </c>
      <c r="G517" s="180">
        <f t="shared" si="108"/>
        <v>7091.3251177270231</v>
      </c>
      <c r="H517" s="186">
        <f>-Office!$E$97/12</f>
        <v>898.0893756176489</v>
      </c>
      <c r="I517" s="149">
        <f>Office!$E$95/12*G516</f>
        <v>23.234691089909727</v>
      </c>
      <c r="J517" s="187">
        <f t="shared" si="109"/>
        <v>874.85468452773921</v>
      </c>
      <c r="K517" s="72">
        <f t="shared" si="113"/>
        <v>352</v>
      </c>
      <c r="L517" s="180">
        <f t="shared" si="110"/>
        <v>64923.257634814108</v>
      </c>
      <c r="M517" s="181">
        <f t="shared" si="110"/>
        <v>8263.2820433441975</v>
      </c>
      <c r="N517" s="180">
        <f t="shared" si="110"/>
        <v>293.76218148332731</v>
      </c>
      <c r="O517" s="132">
        <f t="shared" si="105"/>
        <v>7969.5198618608702</v>
      </c>
    </row>
    <row r="518" spans="1:15" x14ac:dyDescent="0.25">
      <c r="A518" s="72">
        <f t="shared" si="111"/>
        <v>353</v>
      </c>
      <c r="B518" s="183">
        <f t="shared" si="106"/>
        <v>50707.706234848403</v>
      </c>
      <c r="C518" s="184">
        <f>-Office!$E$92/12</f>
        <v>7365.1926677265483</v>
      </c>
      <c r="D518" s="183">
        <f>Office!$E$90/12*B517</f>
        <v>240.96638548786285</v>
      </c>
      <c r="E518" s="185">
        <f t="shared" si="107"/>
        <v>7124.2262822386856</v>
      </c>
      <c r="F518" s="72">
        <f t="shared" si="112"/>
        <v>353</v>
      </c>
      <c r="G518" s="180">
        <f t="shared" si="108"/>
        <v>6213.9187737027451</v>
      </c>
      <c r="H518" s="186">
        <f>-Office!$E$97/12</f>
        <v>898.0893756176489</v>
      </c>
      <c r="I518" s="149">
        <f>Office!$E$95/12*G517</f>
        <v>20.683031593370487</v>
      </c>
      <c r="J518" s="187">
        <f t="shared" si="109"/>
        <v>877.40634402427838</v>
      </c>
      <c r="K518" s="72">
        <f t="shared" si="113"/>
        <v>353</v>
      </c>
      <c r="L518" s="180">
        <f t="shared" si="110"/>
        <v>56921.625008551149</v>
      </c>
      <c r="M518" s="181">
        <f t="shared" si="110"/>
        <v>8263.2820433441975</v>
      </c>
      <c r="N518" s="180">
        <f t="shared" si="110"/>
        <v>261.64941708123331</v>
      </c>
      <c r="O518" s="132">
        <f t="shared" si="105"/>
        <v>8001.6326262629636</v>
      </c>
    </row>
    <row r="519" spans="1:15" x14ac:dyDescent="0.25">
      <c r="A519" s="72">
        <f t="shared" si="111"/>
        <v>354</v>
      </c>
      <c r="B519" s="183">
        <f t="shared" si="106"/>
        <v>43553.795676433721</v>
      </c>
      <c r="C519" s="184">
        <f>-Office!$E$92/12</f>
        <v>7365.1926677265483</v>
      </c>
      <c r="D519" s="183">
        <f>Office!$E$90/12*B518</f>
        <v>211.28210931186834</v>
      </c>
      <c r="E519" s="185">
        <f t="shared" si="107"/>
        <v>7153.9105584146801</v>
      </c>
      <c r="F519" s="72">
        <f t="shared" si="112"/>
        <v>354</v>
      </c>
      <c r="G519" s="180">
        <f t="shared" si="108"/>
        <v>5333.9533278417293</v>
      </c>
      <c r="H519" s="186">
        <f>-Office!$E$97/12</f>
        <v>898.0893756176489</v>
      </c>
      <c r="I519" s="149">
        <f>Office!$E$95/12*G518</f>
        <v>18.123929756633007</v>
      </c>
      <c r="J519" s="187">
        <f t="shared" si="109"/>
        <v>879.96544586101584</v>
      </c>
      <c r="K519" s="72">
        <f t="shared" si="113"/>
        <v>354</v>
      </c>
      <c r="L519" s="180">
        <f t="shared" si="110"/>
        <v>48887.749004275451</v>
      </c>
      <c r="M519" s="181">
        <f t="shared" si="110"/>
        <v>8263.2820433441975</v>
      </c>
      <c r="N519" s="180">
        <f t="shared" si="110"/>
        <v>229.40603906850134</v>
      </c>
      <c r="O519" s="132">
        <f t="shared" si="105"/>
        <v>8033.8760042756958</v>
      </c>
    </row>
    <row r="520" spans="1:15" x14ac:dyDescent="0.25">
      <c r="A520" s="72">
        <f t="shared" si="111"/>
        <v>355</v>
      </c>
      <c r="B520" s="183">
        <f t="shared" si="106"/>
        <v>36370.077157358981</v>
      </c>
      <c r="C520" s="184">
        <f>-Office!$E$92/12</f>
        <v>7365.1926677265483</v>
      </c>
      <c r="D520" s="183">
        <f>Office!$E$90/12*B519</f>
        <v>181.47414865180718</v>
      </c>
      <c r="E520" s="185">
        <f t="shared" si="107"/>
        <v>7183.7185190747414</v>
      </c>
      <c r="F520" s="72">
        <f t="shared" si="112"/>
        <v>355</v>
      </c>
      <c r="G520" s="180">
        <f t="shared" si="108"/>
        <v>4451.4213160969521</v>
      </c>
      <c r="H520" s="186">
        <f>-Office!$E$97/12</f>
        <v>898.0893756176489</v>
      </c>
      <c r="I520" s="149">
        <f>Office!$E$95/12*G519</f>
        <v>15.557363872871711</v>
      </c>
      <c r="J520" s="187">
        <f t="shared" si="109"/>
        <v>882.53201174477715</v>
      </c>
      <c r="K520" s="72">
        <f t="shared" si="113"/>
        <v>355</v>
      </c>
      <c r="L520" s="180">
        <f t="shared" si="110"/>
        <v>40821.498473455933</v>
      </c>
      <c r="M520" s="181">
        <f t="shared" si="110"/>
        <v>8263.2820433441975</v>
      </c>
      <c r="N520" s="180">
        <f t="shared" si="110"/>
        <v>197.0315125246789</v>
      </c>
      <c r="O520" s="132">
        <f t="shared" si="105"/>
        <v>8066.2505308195186</v>
      </c>
    </row>
    <row r="521" spans="1:15" x14ac:dyDescent="0.25">
      <c r="A521" s="72">
        <f t="shared" si="111"/>
        <v>356</v>
      </c>
      <c r="B521" s="183">
        <f t="shared" si="106"/>
        <v>29156.426477788096</v>
      </c>
      <c r="C521" s="184">
        <f>-Office!$E$92/12</f>
        <v>7365.1926677265483</v>
      </c>
      <c r="D521" s="183">
        <f>Office!$E$90/12*B520</f>
        <v>151.54198815566241</v>
      </c>
      <c r="E521" s="185">
        <f t="shared" si="107"/>
        <v>7213.6506795708856</v>
      </c>
      <c r="F521" s="72">
        <f t="shared" si="112"/>
        <v>356</v>
      </c>
      <c r="G521" s="180">
        <f t="shared" si="108"/>
        <v>3566.3152526512526</v>
      </c>
      <c r="H521" s="186">
        <f>-Office!$E$97/12</f>
        <v>898.0893756176489</v>
      </c>
      <c r="I521" s="149">
        <f>Office!$E$95/12*G520</f>
        <v>12.983312171949445</v>
      </c>
      <c r="J521" s="187">
        <f t="shared" si="109"/>
        <v>885.10606344569942</v>
      </c>
      <c r="K521" s="72">
        <f t="shared" si="113"/>
        <v>356</v>
      </c>
      <c r="L521" s="180">
        <f t="shared" si="110"/>
        <v>32722.741730439349</v>
      </c>
      <c r="M521" s="181">
        <f t="shared" si="110"/>
        <v>8263.2820433441975</v>
      </c>
      <c r="N521" s="180">
        <f t="shared" si="110"/>
        <v>164.52530032761186</v>
      </c>
      <c r="O521" s="132">
        <f t="shared" si="105"/>
        <v>8098.7567430165855</v>
      </c>
    </row>
    <row r="522" spans="1:15" x14ac:dyDescent="0.25">
      <c r="A522" s="72">
        <f t="shared" si="111"/>
        <v>357</v>
      </c>
      <c r="B522" s="183">
        <f t="shared" si="106"/>
        <v>21912.718920385665</v>
      </c>
      <c r="C522" s="184">
        <f>-Office!$E$92/12</f>
        <v>7365.1926677265483</v>
      </c>
      <c r="D522" s="183">
        <f>Office!$E$90/12*B521</f>
        <v>121.48511032411706</v>
      </c>
      <c r="E522" s="185">
        <f t="shared" si="107"/>
        <v>7243.7075574024311</v>
      </c>
      <c r="F522" s="72">
        <f t="shared" si="112"/>
        <v>357</v>
      </c>
      <c r="G522" s="180">
        <f t="shared" si="108"/>
        <v>2678.6276298538364</v>
      </c>
      <c r="H522" s="186">
        <f>-Office!$E$97/12</f>
        <v>898.0893756176489</v>
      </c>
      <c r="I522" s="149">
        <f>Office!$E$95/12*G521</f>
        <v>10.40175282023282</v>
      </c>
      <c r="J522" s="187">
        <f t="shared" si="109"/>
        <v>887.68762279741611</v>
      </c>
      <c r="K522" s="72">
        <f t="shared" si="113"/>
        <v>357</v>
      </c>
      <c r="L522" s="180">
        <f t="shared" si="110"/>
        <v>24591.346550239501</v>
      </c>
      <c r="M522" s="181">
        <f t="shared" si="110"/>
        <v>8263.2820433441975</v>
      </c>
      <c r="N522" s="180">
        <f t="shared" si="110"/>
        <v>131.88686314434989</v>
      </c>
      <c r="O522" s="132">
        <f t="shared" si="105"/>
        <v>8131.3951801998473</v>
      </c>
    </row>
    <row r="523" spans="1:15" x14ac:dyDescent="0.25">
      <c r="A523" s="72">
        <f t="shared" si="111"/>
        <v>358</v>
      </c>
      <c r="B523" s="183">
        <f t="shared" si="106"/>
        <v>14638.829248160724</v>
      </c>
      <c r="C523" s="184">
        <f>-Office!$E$92/12</f>
        <v>7365.1926677265483</v>
      </c>
      <c r="D523" s="183">
        <f>Office!$E$90/12*B522</f>
        <v>91.302995501606944</v>
      </c>
      <c r="E523" s="185">
        <f t="shared" si="107"/>
        <v>7273.889672224941</v>
      </c>
      <c r="F523" s="72">
        <f t="shared" si="112"/>
        <v>358</v>
      </c>
      <c r="G523" s="180">
        <f t="shared" si="108"/>
        <v>1788.3509181565946</v>
      </c>
      <c r="H523" s="186">
        <f>-Office!$E$97/12</f>
        <v>898.0893756176489</v>
      </c>
      <c r="I523" s="149">
        <f>Office!$E$95/12*G522</f>
        <v>7.8126639204070232</v>
      </c>
      <c r="J523" s="187">
        <f t="shared" si="109"/>
        <v>890.27671169724192</v>
      </c>
      <c r="K523" s="72">
        <f t="shared" si="113"/>
        <v>358</v>
      </c>
      <c r="L523" s="180">
        <f t="shared" si="110"/>
        <v>16427.180166317317</v>
      </c>
      <c r="M523" s="181">
        <f t="shared" si="110"/>
        <v>8263.2820433441975</v>
      </c>
      <c r="N523" s="180">
        <f t="shared" si="110"/>
        <v>99.115659422013962</v>
      </c>
      <c r="O523" s="132">
        <f t="shared" si="105"/>
        <v>8164.1663839221828</v>
      </c>
    </row>
    <row r="524" spans="1:15" x14ac:dyDescent="0.25">
      <c r="A524" s="72">
        <f t="shared" si="111"/>
        <v>359</v>
      </c>
      <c r="B524" s="183">
        <f t="shared" si="106"/>
        <v>7334.6317023015117</v>
      </c>
      <c r="C524" s="184">
        <f>-Office!$E$92/12</f>
        <v>7365.1926677265483</v>
      </c>
      <c r="D524" s="183">
        <f>Office!$E$90/12*B523</f>
        <v>60.995121867336351</v>
      </c>
      <c r="E524" s="185">
        <f t="shared" si="107"/>
        <v>7304.1975458592124</v>
      </c>
      <c r="F524" s="72">
        <f t="shared" si="112"/>
        <v>359</v>
      </c>
      <c r="G524" s="180">
        <f t="shared" si="108"/>
        <v>895.47756605023574</v>
      </c>
      <c r="H524" s="186">
        <f>-Office!$E$97/12</f>
        <v>898.0893756176489</v>
      </c>
      <c r="I524" s="149">
        <f>Office!$E$95/12*G523</f>
        <v>5.2160235112900679</v>
      </c>
      <c r="J524" s="187">
        <f t="shared" si="109"/>
        <v>892.87335210635888</v>
      </c>
      <c r="K524" s="72">
        <f t="shared" si="113"/>
        <v>359</v>
      </c>
      <c r="L524" s="180">
        <f t="shared" si="110"/>
        <v>8230.1092683517472</v>
      </c>
      <c r="M524" s="181">
        <f t="shared" si="110"/>
        <v>8263.2820433441975</v>
      </c>
      <c r="N524" s="180">
        <f t="shared" si="110"/>
        <v>66.211145378626412</v>
      </c>
      <c r="O524" s="132">
        <f t="shared" si="105"/>
        <v>8197.0708979655719</v>
      </c>
    </row>
    <row r="525" spans="1:15" ht="16.5" thickBot="1" x14ac:dyDescent="0.3">
      <c r="A525" s="73">
        <f t="shared" si="111"/>
        <v>360</v>
      </c>
      <c r="B525" s="191">
        <f t="shared" si="106"/>
        <v>1.2196323950774968E-9</v>
      </c>
      <c r="C525" s="192">
        <f>-Office!$E$92/12</f>
        <v>7365.1926677265483</v>
      </c>
      <c r="D525" s="191">
        <f>Office!$E$90/12*B524</f>
        <v>30.560965426256299</v>
      </c>
      <c r="E525" s="193">
        <f t="shared" si="107"/>
        <v>7334.6317023002921</v>
      </c>
      <c r="F525" s="73">
        <f t="shared" si="112"/>
        <v>360</v>
      </c>
      <c r="G525" s="188">
        <f t="shared" si="108"/>
        <v>2.3339907784247771E-10</v>
      </c>
      <c r="H525" s="194">
        <f>-Office!$E$97/12</f>
        <v>898.0893756176489</v>
      </c>
      <c r="I525" s="195">
        <f>Office!$E$95/12*G524</f>
        <v>2.6118095676465209</v>
      </c>
      <c r="J525" s="196">
        <f t="shared" si="109"/>
        <v>895.47756605000234</v>
      </c>
      <c r="K525" s="73">
        <f t="shared" si="113"/>
        <v>360</v>
      </c>
      <c r="L525" s="188">
        <f t="shared" si="110"/>
        <v>1.4530314729199745E-9</v>
      </c>
      <c r="M525" s="189">
        <f t="shared" si="110"/>
        <v>8263.2820433441975</v>
      </c>
      <c r="N525" s="188">
        <f t="shared" si="110"/>
        <v>33.17277499390282</v>
      </c>
      <c r="O525" s="190">
        <f t="shared" si="105"/>
        <v>8230.1092683502939</v>
      </c>
    </row>
  </sheetData>
  <sortState ref="I90:I91">
    <sortCondition ref="I87"/>
  </sortState>
  <pageMargins left="0" right="0" top="0" bottom="0" header="0" footer="0"/>
  <pageSetup scale="55"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31"/>
  <sheetViews>
    <sheetView zoomScale="70" zoomScaleNormal="70" zoomScalePageLayoutView="70" workbookViewId="0"/>
  </sheetViews>
  <sheetFormatPr defaultColWidth="8.85546875" defaultRowHeight="15.75" x14ac:dyDescent="0.25"/>
  <cols>
    <col min="1" max="1" width="18.42578125" style="11" customWidth="1"/>
    <col min="2" max="2" width="24.42578125" style="11" customWidth="1"/>
    <col min="3" max="3" width="23.140625" style="11" customWidth="1"/>
    <col min="4" max="4" width="22.28515625" style="11" customWidth="1"/>
    <col min="5" max="5" width="17.85546875" style="11" customWidth="1"/>
    <col min="6" max="6" width="17" style="11" customWidth="1"/>
    <col min="7" max="7" width="14.85546875" style="11" customWidth="1"/>
    <col min="8" max="8" width="13.42578125" style="11" customWidth="1"/>
    <col min="9" max="9" width="13.28515625" style="11" customWidth="1"/>
    <col min="10" max="10" width="15" style="11" customWidth="1"/>
    <col min="11" max="11" width="13.42578125" style="11" customWidth="1"/>
    <col min="12" max="12" width="14.42578125" style="11" customWidth="1"/>
    <col min="13" max="13" width="14.140625" style="11" customWidth="1"/>
    <col min="14" max="14" width="14.85546875" style="11" customWidth="1"/>
    <col min="15" max="15" width="16.28515625" style="11" customWidth="1"/>
    <col min="16" max="16" width="14.7109375" style="11" customWidth="1"/>
    <col min="17" max="17" width="14.140625" style="11" customWidth="1"/>
    <col min="18" max="18" width="16.42578125" style="11" customWidth="1"/>
    <col min="19" max="21" width="14.28515625" style="11" customWidth="1"/>
    <col min="22" max="22" width="17.140625" style="11" customWidth="1"/>
    <col min="23" max="23" width="14.2851562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3.71093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546</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431</v>
      </c>
      <c r="I4" s="114"/>
      <c r="J4" s="114"/>
      <c r="K4" s="114"/>
      <c r="L4" s="463">
        <f>C25</f>
        <v>7220000</v>
      </c>
      <c r="M4" s="336"/>
      <c r="S4" s="39"/>
      <c r="Y4" s="39"/>
      <c r="Z4" s="39"/>
      <c r="AA4" s="39"/>
    </row>
    <row r="5" spans="1:27" x14ac:dyDescent="0.25">
      <c r="A5" s="67" t="s">
        <v>37</v>
      </c>
      <c r="B5" s="65"/>
      <c r="C5" s="65"/>
      <c r="D5" s="310">
        <v>0.1</v>
      </c>
      <c r="E5" s="311">
        <f>G130</f>
        <v>0.24545227947511306</v>
      </c>
      <c r="F5" s="290"/>
      <c r="G5" s="336"/>
      <c r="H5" s="17" t="s">
        <v>38</v>
      </c>
      <c r="I5" s="18"/>
      <c r="J5" s="18"/>
      <c r="K5" s="18"/>
      <c r="L5" s="134">
        <f>H73</f>
        <v>0</v>
      </c>
    </row>
    <row r="6" spans="1:27" x14ac:dyDescent="0.25">
      <c r="A6" s="17" t="s">
        <v>416</v>
      </c>
      <c r="B6" s="18"/>
      <c r="C6" s="18"/>
      <c r="D6" s="247">
        <v>0.12</v>
      </c>
      <c r="E6" s="312">
        <f>IF($C$11=10,N143,IF($C$11=15,S143,IF($C$11=20,X143,IF($C$11=25,AC143,IF($C$11=30,AH143)))))</f>
        <v>0.16492270867505421</v>
      </c>
      <c r="F6" s="313">
        <f>IF($C$11=10,N144,IF($C$11=15,S144,IF($C$11=20,X144,IF($C$11=25,AC144,IF($C$11=30,AH144)))))</f>
        <v>2167535.0726277623</v>
      </c>
      <c r="H6" s="17" t="s">
        <v>39</v>
      </c>
      <c r="I6" s="24"/>
      <c r="J6" s="24"/>
      <c r="K6" s="24"/>
      <c r="L6" s="134">
        <f>H47</f>
        <v>0</v>
      </c>
    </row>
    <row r="7" spans="1:27" x14ac:dyDescent="0.25">
      <c r="A7" s="17" t="s">
        <v>417</v>
      </c>
      <c r="B7" s="18"/>
      <c r="C7" s="18"/>
      <c r="D7" s="247">
        <v>0.25</v>
      </c>
      <c r="E7" s="312">
        <f>IF($C$11=10,N151,IF($C$11=15,S151,IF($C$11=20,X151,IF($C$11=25,AC151,IF($C$11=30,AH151)))))</f>
        <v>0.31385323192470871</v>
      </c>
      <c r="F7" s="313">
        <f>IF($C$11=10,N152,IF($C$11=15,S152,IF($C$11=20,X152,IF($C$11=25,AC152,IF($C$11=30,AH152)))))</f>
        <v>739841.53853995586</v>
      </c>
      <c r="G7" s="336"/>
      <c r="H7" s="17" t="s">
        <v>40</v>
      </c>
      <c r="I7" s="24"/>
      <c r="J7" s="24"/>
      <c r="K7" s="24"/>
      <c r="L7" s="134">
        <f>H53</f>
        <v>250000</v>
      </c>
    </row>
    <row r="8" spans="1:27" x14ac:dyDescent="0.25">
      <c r="A8" s="17" t="s">
        <v>24</v>
      </c>
      <c r="B8" s="18"/>
      <c r="C8" s="18"/>
      <c r="D8" s="100">
        <v>1.25</v>
      </c>
      <c r="E8" s="33">
        <f>G124/G126</f>
        <v>2.8950950154478723</v>
      </c>
      <c r="F8" s="34"/>
      <c r="H8" s="17" t="s">
        <v>533</v>
      </c>
      <c r="I8" s="24"/>
      <c r="J8" s="27"/>
      <c r="K8" s="27"/>
      <c r="L8" s="28">
        <f>SUM(L5:L7)</f>
        <v>250000</v>
      </c>
      <c r="P8" s="272"/>
    </row>
    <row r="9" spans="1:27" ht="16.5" thickBot="1" x14ac:dyDescent="0.3">
      <c r="A9" s="35" t="s">
        <v>418</v>
      </c>
      <c r="B9" s="36"/>
      <c r="C9" s="36"/>
      <c r="D9" s="37">
        <f>L98</f>
        <v>0.05</v>
      </c>
      <c r="E9" s="314">
        <f>IF($C$11=10,N164,IF($C$11=15,S164,IF($C$11=20,X164,IF($C$11=25,AC164,IF($C$11=30,AH164)))))</f>
        <v>9.7171389918413675E-2</v>
      </c>
      <c r="F9" s="315">
        <f>IF($C$11=10,N165,IF($C$11=15,S165,IF($C$11=20,X165,IF($C$11=25,AC165,IF($C$11=30,AH165)))))</f>
        <v>228052.16620955465</v>
      </c>
      <c r="H9" s="29" t="s">
        <v>432</v>
      </c>
      <c r="I9" s="30"/>
      <c r="J9" s="31"/>
      <c r="K9" s="31"/>
      <c r="L9" s="32">
        <f>L4-L8</f>
        <v>6970000</v>
      </c>
    </row>
    <row r="10" spans="1:27" ht="16.5" thickBot="1" x14ac:dyDescent="0.3">
      <c r="F10" s="38"/>
      <c r="G10" s="38"/>
      <c r="U10" s="23"/>
      <c r="V10" s="263"/>
    </row>
    <row r="11" spans="1:27" ht="16.5" thickBot="1" x14ac:dyDescent="0.3">
      <c r="A11" s="829" t="s">
        <v>427</v>
      </c>
      <c r="B11" s="304"/>
      <c r="C11" s="305">
        <v>10</v>
      </c>
      <c r="D11" s="166" t="s">
        <v>555</v>
      </c>
      <c r="E11" s="38"/>
      <c r="H11" s="344" t="s">
        <v>457</v>
      </c>
      <c r="I11" s="12"/>
      <c r="J11" s="12"/>
      <c r="K11" s="12"/>
      <c r="L11" s="13"/>
      <c r="U11" s="23"/>
      <c r="V11" s="263"/>
    </row>
    <row r="12" spans="1:27" ht="16.5" thickBot="1" x14ac:dyDescent="0.3">
      <c r="H12" s="40" t="s">
        <v>42</v>
      </c>
      <c r="I12" s="15"/>
      <c r="J12" s="15"/>
      <c r="K12" s="15"/>
      <c r="L12" s="246">
        <v>2.5000000000000001E-3</v>
      </c>
      <c r="U12" s="23"/>
      <c r="V12" s="263"/>
    </row>
    <row r="13" spans="1:27" ht="16.5" thickBot="1" x14ac:dyDescent="0.3">
      <c r="A13" s="43" t="s">
        <v>409</v>
      </c>
      <c r="B13" s="51"/>
      <c r="C13" s="359" t="s">
        <v>407</v>
      </c>
      <c r="H13" s="50" t="s">
        <v>131</v>
      </c>
      <c r="I13" s="44"/>
      <c r="J13" s="44"/>
      <c r="K13" s="15"/>
      <c r="L13" s="246">
        <v>2.5000000000000001E-2</v>
      </c>
      <c r="U13" s="23"/>
      <c r="V13" s="263"/>
    </row>
    <row r="14" spans="1:27" ht="16.5" thickBot="1" x14ac:dyDescent="0.3">
      <c r="A14" s="414" t="s">
        <v>408</v>
      </c>
      <c r="B14" s="128"/>
      <c r="C14" s="415">
        <v>0</v>
      </c>
      <c r="D14" s="166" t="s">
        <v>525</v>
      </c>
      <c r="H14" s="43" t="s">
        <v>61</v>
      </c>
      <c r="I14" s="76" t="s">
        <v>81</v>
      </c>
      <c r="J14" s="77" t="s">
        <v>82</v>
      </c>
      <c r="K14" s="77" t="s">
        <v>83</v>
      </c>
      <c r="L14" s="78" t="s">
        <v>84</v>
      </c>
      <c r="U14" s="23"/>
      <c r="V14" s="263"/>
    </row>
    <row r="15" spans="1:27" x14ac:dyDescent="0.25">
      <c r="A15" s="416" t="s">
        <v>528</v>
      </c>
      <c r="B15" s="58"/>
      <c r="C15" s="411"/>
      <c r="H15" s="335" t="s">
        <v>85</v>
      </c>
      <c r="I15" s="310">
        <v>0</v>
      </c>
      <c r="J15" s="310">
        <v>0</v>
      </c>
      <c r="K15" s="363">
        <v>0</v>
      </c>
      <c r="L15" s="364">
        <v>0</v>
      </c>
      <c r="U15" s="23"/>
      <c r="V15" s="263"/>
    </row>
    <row r="16" spans="1:27" x14ac:dyDescent="0.25">
      <c r="A16" s="72" t="s">
        <v>423</v>
      </c>
      <c r="B16" s="24"/>
      <c r="C16" s="252">
        <v>4000000</v>
      </c>
      <c r="D16" s="166" t="s">
        <v>521</v>
      </c>
      <c r="H16" s="72" t="s">
        <v>86</v>
      </c>
      <c r="I16" s="247">
        <v>0</v>
      </c>
      <c r="J16" s="247">
        <v>0</v>
      </c>
      <c r="K16" s="243">
        <v>0</v>
      </c>
      <c r="L16" s="252">
        <v>0</v>
      </c>
      <c r="U16" s="23"/>
      <c r="V16" s="263"/>
    </row>
    <row r="17" spans="1:22" x14ac:dyDescent="0.25">
      <c r="A17" s="72" t="s">
        <v>384</v>
      </c>
      <c r="B17" s="24"/>
      <c r="C17" s="252"/>
      <c r="H17" s="72" t="s">
        <v>87</v>
      </c>
      <c r="I17" s="247">
        <v>0</v>
      </c>
      <c r="J17" s="247">
        <v>0</v>
      </c>
      <c r="K17" s="243">
        <v>0</v>
      </c>
      <c r="L17" s="252">
        <v>0</v>
      </c>
      <c r="U17" s="23"/>
      <c r="V17" s="263"/>
    </row>
    <row r="18" spans="1:22" x14ac:dyDescent="0.25">
      <c r="A18" s="72" t="s">
        <v>389</v>
      </c>
      <c r="B18" s="24"/>
      <c r="C18" s="252">
        <v>240000</v>
      </c>
      <c r="D18" s="166" t="s">
        <v>521</v>
      </c>
      <c r="H18" s="72" t="s">
        <v>88</v>
      </c>
      <c r="I18" s="247">
        <v>0</v>
      </c>
      <c r="J18" s="247">
        <v>0</v>
      </c>
      <c r="K18" s="243">
        <v>0</v>
      </c>
      <c r="L18" s="252">
        <v>0</v>
      </c>
      <c r="U18" s="23"/>
      <c r="V18" s="263"/>
    </row>
    <row r="19" spans="1:22" x14ac:dyDescent="0.25">
      <c r="A19" s="72" t="s">
        <v>385</v>
      </c>
      <c r="B19" s="24"/>
      <c r="C19" s="252">
        <v>240000</v>
      </c>
      <c r="D19" s="166" t="s">
        <v>521</v>
      </c>
      <c r="H19" s="72" t="s">
        <v>89</v>
      </c>
      <c r="I19" s="247">
        <v>0</v>
      </c>
      <c r="J19" s="247">
        <v>0</v>
      </c>
      <c r="K19" s="243">
        <v>0</v>
      </c>
      <c r="L19" s="252">
        <v>0</v>
      </c>
      <c r="U19" s="23"/>
      <c r="V19" s="263"/>
    </row>
    <row r="20" spans="1:22" x14ac:dyDescent="0.25">
      <c r="A20" s="72" t="s">
        <v>386</v>
      </c>
      <c r="B20" s="24"/>
      <c r="C20" s="252">
        <v>1000000</v>
      </c>
      <c r="D20" s="166" t="s">
        <v>521</v>
      </c>
      <c r="H20" s="72" t="s">
        <v>90</v>
      </c>
      <c r="I20" s="247">
        <v>0</v>
      </c>
      <c r="J20" s="247">
        <v>0</v>
      </c>
      <c r="K20" s="243">
        <v>0</v>
      </c>
      <c r="L20" s="252">
        <v>0</v>
      </c>
      <c r="U20" s="23"/>
      <c r="V20" s="263"/>
    </row>
    <row r="21" spans="1:22" x14ac:dyDescent="0.25">
      <c r="A21" s="72" t="s">
        <v>387</v>
      </c>
      <c r="B21" s="24"/>
      <c r="C21" s="252">
        <v>500000</v>
      </c>
      <c r="D21" s="166" t="s">
        <v>521</v>
      </c>
      <c r="H21" s="72" t="s">
        <v>91</v>
      </c>
      <c r="I21" s="247">
        <v>0</v>
      </c>
      <c r="J21" s="247">
        <v>0</v>
      </c>
      <c r="K21" s="243">
        <v>0</v>
      </c>
      <c r="L21" s="252">
        <v>0</v>
      </c>
      <c r="U21" s="23"/>
      <c r="V21" s="263"/>
    </row>
    <row r="22" spans="1:22" x14ac:dyDescent="0.25">
      <c r="A22" s="72" t="s">
        <v>388</v>
      </c>
      <c r="B22" s="24"/>
      <c r="C22" s="252">
        <v>240000</v>
      </c>
      <c r="D22" s="166" t="s">
        <v>521</v>
      </c>
      <c r="H22" s="72" t="s">
        <v>92</v>
      </c>
      <c r="I22" s="247">
        <v>0</v>
      </c>
      <c r="J22" s="247">
        <v>0</v>
      </c>
      <c r="K22" s="243">
        <v>0</v>
      </c>
      <c r="L22" s="252">
        <v>0</v>
      </c>
      <c r="U22" s="23"/>
      <c r="V22" s="263"/>
    </row>
    <row r="23" spans="1:22" x14ac:dyDescent="0.25">
      <c r="A23" s="72" t="s">
        <v>390</v>
      </c>
      <c r="B23" s="24"/>
      <c r="C23" s="134">
        <f>SUM(C18:C22)</f>
        <v>2220000</v>
      </c>
      <c r="H23" s="72" t="s">
        <v>93</v>
      </c>
      <c r="I23" s="247">
        <v>0</v>
      </c>
      <c r="J23" s="247">
        <v>0</v>
      </c>
      <c r="K23" s="243">
        <v>0</v>
      </c>
      <c r="L23" s="252">
        <v>0</v>
      </c>
      <c r="U23" s="23"/>
      <c r="V23" s="263"/>
    </row>
    <row r="24" spans="1:22" x14ac:dyDescent="0.25">
      <c r="A24" s="413" t="s">
        <v>398</v>
      </c>
      <c r="B24" s="27"/>
      <c r="C24" s="252">
        <v>1000000</v>
      </c>
      <c r="D24" s="166" t="s">
        <v>521</v>
      </c>
      <c r="H24" s="72" t="s">
        <v>94</v>
      </c>
      <c r="I24" s="247">
        <v>0</v>
      </c>
      <c r="J24" s="247">
        <v>0</v>
      </c>
      <c r="K24" s="243">
        <v>0</v>
      </c>
      <c r="L24" s="252">
        <v>0</v>
      </c>
      <c r="U24" s="23"/>
      <c r="V24" s="263"/>
    </row>
    <row r="25" spans="1:22" x14ac:dyDescent="0.25">
      <c r="A25" s="418" t="s">
        <v>44</v>
      </c>
      <c r="B25" s="27"/>
      <c r="C25" s="412">
        <f>IF(C14&gt;0,C14,C16+C23+C24)</f>
        <v>7220000</v>
      </c>
      <c r="H25" s="72" t="s">
        <v>239</v>
      </c>
      <c r="I25" s="247">
        <v>0</v>
      </c>
      <c r="J25" s="247">
        <v>0</v>
      </c>
      <c r="K25" s="243">
        <v>0</v>
      </c>
      <c r="L25" s="252">
        <v>0</v>
      </c>
      <c r="U25" s="23"/>
      <c r="V25" s="263"/>
    </row>
    <row r="26" spans="1:22" x14ac:dyDescent="0.25">
      <c r="A26" s="49" t="s">
        <v>533</v>
      </c>
      <c r="B26" s="24"/>
      <c r="C26" s="827">
        <f>L8</f>
        <v>250000</v>
      </c>
      <c r="D26" s="166" t="s">
        <v>532</v>
      </c>
      <c r="H26" s="72" t="s">
        <v>240</v>
      </c>
      <c r="I26" s="247">
        <v>0</v>
      </c>
      <c r="J26" s="247">
        <v>0</v>
      </c>
      <c r="K26" s="243">
        <v>0</v>
      </c>
      <c r="L26" s="252">
        <v>0</v>
      </c>
      <c r="U26" s="23"/>
      <c r="V26" s="263"/>
    </row>
    <row r="27" spans="1:22" ht="16.5" thickBot="1" x14ac:dyDescent="0.3">
      <c r="A27" s="118" t="s">
        <v>534</v>
      </c>
      <c r="B27" s="36"/>
      <c r="C27" s="421">
        <f>C25-C26</f>
        <v>6970000</v>
      </c>
      <c r="D27" s="336"/>
      <c r="H27" s="72" t="s">
        <v>241</v>
      </c>
      <c r="I27" s="247">
        <v>0</v>
      </c>
      <c r="J27" s="247">
        <v>0</v>
      </c>
      <c r="K27" s="243">
        <v>0</v>
      </c>
      <c r="L27" s="252">
        <v>0</v>
      </c>
      <c r="U27" s="23"/>
      <c r="V27" s="263"/>
    </row>
    <row r="28" spans="1:22" ht="16.5" thickBot="1" x14ac:dyDescent="0.3">
      <c r="H28" s="72" t="s">
        <v>242</v>
      </c>
      <c r="I28" s="247">
        <v>0</v>
      </c>
      <c r="J28" s="247">
        <v>0</v>
      </c>
      <c r="K28" s="243">
        <v>0</v>
      </c>
      <c r="L28" s="252">
        <v>0</v>
      </c>
      <c r="U28" s="23"/>
      <c r="V28" s="263"/>
    </row>
    <row r="29" spans="1:22" ht="16.5" thickBot="1" x14ac:dyDescent="0.3">
      <c r="A29" s="43" t="s">
        <v>400</v>
      </c>
      <c r="B29" s="51"/>
      <c r="C29" s="53"/>
      <c r="H29" s="72" t="s">
        <v>243</v>
      </c>
      <c r="I29" s="247">
        <v>0</v>
      </c>
      <c r="J29" s="247">
        <v>0</v>
      </c>
      <c r="K29" s="243">
        <v>0</v>
      </c>
      <c r="L29" s="252">
        <v>0</v>
      </c>
      <c r="U29" s="23"/>
      <c r="V29" s="263"/>
    </row>
    <row r="30" spans="1:22" x14ac:dyDescent="0.25">
      <c r="A30" s="54" t="s">
        <v>403</v>
      </c>
      <c r="B30" s="24"/>
      <c r="C30" s="422">
        <v>35000</v>
      </c>
      <c r="H30" s="72" t="s">
        <v>244</v>
      </c>
      <c r="I30" s="247">
        <v>0</v>
      </c>
      <c r="J30" s="247">
        <v>0</v>
      </c>
      <c r="K30" s="243">
        <v>0</v>
      </c>
      <c r="L30" s="252">
        <v>0</v>
      </c>
      <c r="U30" s="23"/>
      <c r="V30" s="263"/>
    </row>
    <row r="31" spans="1:22" x14ac:dyDescent="0.25">
      <c r="A31" s="54" t="s">
        <v>391</v>
      </c>
      <c r="B31" s="24"/>
      <c r="C31" s="424">
        <v>4</v>
      </c>
      <c r="H31" s="72" t="s">
        <v>245</v>
      </c>
      <c r="I31" s="247">
        <v>0</v>
      </c>
      <c r="J31" s="247">
        <v>0</v>
      </c>
      <c r="K31" s="243">
        <v>0</v>
      </c>
      <c r="L31" s="252">
        <v>0</v>
      </c>
      <c r="U31" s="23"/>
      <c r="V31" s="263"/>
    </row>
    <row r="32" spans="1:22" x14ac:dyDescent="0.25">
      <c r="A32" s="54" t="s">
        <v>460</v>
      </c>
      <c r="B32" s="24"/>
      <c r="C32" s="423">
        <f>C30/C31</f>
        <v>8750</v>
      </c>
      <c r="H32" s="72" t="s">
        <v>246</v>
      </c>
      <c r="I32" s="247">
        <v>0</v>
      </c>
      <c r="J32" s="247">
        <v>0</v>
      </c>
      <c r="K32" s="243">
        <v>0</v>
      </c>
      <c r="L32" s="252">
        <v>0</v>
      </c>
      <c r="U32" s="23"/>
      <c r="V32" s="263"/>
    </row>
    <row r="33" spans="1:22" ht="16.5" thickBot="1" x14ac:dyDescent="0.3">
      <c r="A33" s="73" t="s">
        <v>393</v>
      </c>
      <c r="B33" s="36"/>
      <c r="C33" s="427">
        <f>C32/43560</f>
        <v>0.20087235996326905</v>
      </c>
      <c r="H33" s="72" t="s">
        <v>247</v>
      </c>
      <c r="I33" s="247">
        <v>0</v>
      </c>
      <c r="J33" s="247">
        <v>0</v>
      </c>
      <c r="K33" s="243">
        <v>0</v>
      </c>
      <c r="L33" s="252">
        <v>0</v>
      </c>
      <c r="U33" s="23"/>
      <c r="V33" s="263"/>
    </row>
    <row r="34" spans="1:22" ht="16.5" thickBot="1" x14ac:dyDescent="0.3">
      <c r="H34" s="72" t="s">
        <v>248</v>
      </c>
      <c r="I34" s="247">
        <v>0</v>
      </c>
      <c r="J34" s="247">
        <v>0</v>
      </c>
      <c r="K34" s="243">
        <v>0</v>
      </c>
      <c r="L34" s="252">
        <v>0</v>
      </c>
      <c r="U34" s="23"/>
      <c r="V34" s="263"/>
    </row>
    <row r="35" spans="1:22" ht="16.5" thickBot="1" x14ac:dyDescent="0.3">
      <c r="A35" s="43" t="s">
        <v>397</v>
      </c>
      <c r="B35" s="44"/>
      <c r="C35" s="45"/>
      <c r="E35" s="39"/>
      <c r="H35" s="72" t="s">
        <v>249</v>
      </c>
      <c r="I35" s="247">
        <v>0</v>
      </c>
      <c r="J35" s="247">
        <v>0</v>
      </c>
      <c r="K35" s="243">
        <v>0</v>
      </c>
      <c r="L35" s="252">
        <v>0</v>
      </c>
      <c r="U35" s="23"/>
      <c r="V35" s="263"/>
    </row>
    <row r="36" spans="1:22" x14ac:dyDescent="0.25">
      <c r="A36" s="72" t="s">
        <v>404</v>
      </c>
      <c r="B36" s="24"/>
      <c r="C36" s="830">
        <v>12</v>
      </c>
      <c r="E36" s="39"/>
      <c r="H36" s="72" t="s">
        <v>250</v>
      </c>
      <c r="I36" s="247">
        <v>0</v>
      </c>
      <c r="J36" s="247">
        <v>0</v>
      </c>
      <c r="K36" s="243">
        <v>0</v>
      </c>
      <c r="L36" s="252">
        <v>0</v>
      </c>
      <c r="U36" s="23"/>
      <c r="V36" s="263"/>
    </row>
    <row r="37" spans="1:22" x14ac:dyDescent="0.25">
      <c r="A37" s="389" t="s">
        <v>134</v>
      </c>
      <c r="B37" s="387"/>
      <c r="C37" s="395">
        <v>400</v>
      </c>
      <c r="E37" s="39"/>
      <c r="H37" s="72" t="s">
        <v>251</v>
      </c>
      <c r="I37" s="247">
        <v>0</v>
      </c>
      <c r="J37" s="247">
        <v>0</v>
      </c>
      <c r="K37" s="243">
        <v>0</v>
      </c>
      <c r="L37" s="252">
        <v>0</v>
      </c>
      <c r="U37" s="23"/>
      <c r="V37" s="263"/>
    </row>
    <row r="38" spans="1:22" x14ac:dyDescent="0.25">
      <c r="A38" s="389" t="s">
        <v>461</v>
      </c>
      <c r="B38" s="387"/>
      <c r="C38" s="836">
        <v>0.05</v>
      </c>
      <c r="E38" s="39"/>
      <c r="H38" s="72" t="s">
        <v>252</v>
      </c>
      <c r="I38" s="247">
        <v>0</v>
      </c>
      <c r="J38" s="247">
        <v>0</v>
      </c>
      <c r="K38" s="243">
        <v>0</v>
      </c>
      <c r="L38" s="252">
        <v>0</v>
      </c>
      <c r="U38" s="23"/>
      <c r="V38" s="263"/>
    </row>
    <row r="39" spans="1:22" x14ac:dyDescent="0.25">
      <c r="A39" s="72" t="s">
        <v>429</v>
      </c>
      <c r="B39" s="18"/>
      <c r="C39" s="835">
        <v>0.05</v>
      </c>
      <c r="E39" s="39"/>
      <c r="H39" s="72" t="s">
        <v>253</v>
      </c>
      <c r="I39" s="247">
        <v>0</v>
      </c>
      <c r="J39" s="247">
        <v>0</v>
      </c>
      <c r="K39" s="243">
        <v>0</v>
      </c>
      <c r="L39" s="252">
        <v>0</v>
      </c>
      <c r="U39" s="23"/>
      <c r="V39" s="263"/>
    </row>
    <row r="40" spans="1:22" x14ac:dyDescent="0.25">
      <c r="A40" s="333" t="s">
        <v>394</v>
      </c>
      <c r="B40" s="18"/>
      <c r="C40" s="250">
        <v>7.4999999999999997E-2</v>
      </c>
      <c r="E40" s="39"/>
      <c r="H40" s="72" t="s">
        <v>254</v>
      </c>
      <c r="I40" s="247">
        <v>0</v>
      </c>
      <c r="J40" s="247">
        <v>0</v>
      </c>
      <c r="K40" s="243">
        <v>0</v>
      </c>
      <c r="L40" s="252">
        <v>0</v>
      </c>
      <c r="U40" s="23"/>
      <c r="V40" s="263"/>
    </row>
    <row r="41" spans="1:22" x14ac:dyDescent="0.25">
      <c r="A41" s="333" t="s">
        <v>395</v>
      </c>
      <c r="B41" s="18"/>
      <c r="C41" s="250">
        <v>2.5000000000000001E-2</v>
      </c>
      <c r="D41" s="39"/>
      <c r="E41" s="39"/>
      <c r="H41" s="72" t="s">
        <v>255</v>
      </c>
      <c r="I41" s="247">
        <v>0</v>
      </c>
      <c r="J41" s="247">
        <v>0</v>
      </c>
      <c r="K41" s="243">
        <v>0</v>
      </c>
      <c r="L41" s="252">
        <v>0</v>
      </c>
      <c r="U41" s="23"/>
      <c r="V41" s="263"/>
    </row>
    <row r="42" spans="1:22" ht="16.5" thickBot="1" x14ac:dyDescent="0.3">
      <c r="A42" s="334" t="s">
        <v>405</v>
      </c>
      <c r="B42" s="31"/>
      <c r="C42" s="464">
        <v>7</v>
      </c>
      <c r="D42" s="11" t="s">
        <v>406</v>
      </c>
      <c r="H42" s="72" t="s">
        <v>256</v>
      </c>
      <c r="I42" s="247">
        <v>0</v>
      </c>
      <c r="J42" s="247">
        <v>0</v>
      </c>
      <c r="K42" s="243">
        <v>0</v>
      </c>
      <c r="L42" s="252">
        <v>0</v>
      </c>
      <c r="U42" s="23"/>
      <c r="V42" s="263"/>
    </row>
    <row r="43" spans="1:22" s="39" customFormat="1" ht="16.5" thickBot="1" x14ac:dyDescent="0.3">
      <c r="F43" s="11"/>
      <c r="G43" s="11"/>
      <c r="H43" s="72" t="s">
        <v>257</v>
      </c>
      <c r="I43" s="247">
        <v>0</v>
      </c>
      <c r="J43" s="247">
        <v>0</v>
      </c>
      <c r="K43" s="243">
        <v>0</v>
      </c>
      <c r="L43" s="252">
        <v>0</v>
      </c>
      <c r="U43" s="23"/>
      <c r="V43" s="263"/>
    </row>
    <row r="44" spans="1:22" ht="16.5" thickBot="1" x14ac:dyDescent="0.3">
      <c r="A44" s="84" t="s">
        <v>428</v>
      </c>
      <c r="B44" s="85"/>
      <c r="C44" s="52" t="s">
        <v>43</v>
      </c>
      <c r="D44" s="86"/>
      <c r="E44" s="39"/>
      <c r="G44" s="39"/>
      <c r="H44" s="73" t="s">
        <v>258</v>
      </c>
      <c r="I44" s="253">
        <v>0</v>
      </c>
      <c r="J44" s="253">
        <v>0</v>
      </c>
      <c r="K44" s="254">
        <v>0</v>
      </c>
      <c r="L44" s="255">
        <v>0</v>
      </c>
      <c r="U44" s="23"/>
      <c r="V44" s="263"/>
    </row>
    <row r="45" spans="1:22" ht="16.5" thickBot="1" x14ac:dyDescent="0.3">
      <c r="A45" s="87" t="s">
        <v>449</v>
      </c>
      <c r="B45" s="82"/>
      <c r="C45" s="833">
        <f>C27</f>
        <v>6970000</v>
      </c>
      <c r="D45" s="290"/>
      <c r="E45" s="39"/>
      <c r="U45" s="23"/>
      <c r="V45" s="263"/>
    </row>
    <row r="46" spans="1:22" ht="16.5" thickBot="1" x14ac:dyDescent="0.3">
      <c r="A46" s="90" t="s">
        <v>535</v>
      </c>
      <c r="B46" s="24"/>
      <c r="C46" s="832">
        <f>C45/C30</f>
        <v>199.14285714285714</v>
      </c>
      <c r="D46" s="91"/>
      <c r="H46" s="43" t="s">
        <v>419</v>
      </c>
      <c r="I46" s="44"/>
      <c r="J46" s="44"/>
      <c r="K46" s="44"/>
      <c r="L46" s="45"/>
      <c r="U46" s="23"/>
      <c r="V46" s="263"/>
    </row>
    <row r="47" spans="1:22" ht="16.5" thickBot="1" x14ac:dyDescent="0.3">
      <c r="A47" s="50" t="s">
        <v>45</v>
      </c>
      <c r="B47" s="51"/>
      <c r="C47" s="52" t="s">
        <v>43</v>
      </c>
      <c r="D47" s="53" t="s">
        <v>46</v>
      </c>
      <c r="E47" s="39"/>
      <c r="H47" s="273">
        <f>SUM(H48:H52)</f>
        <v>0</v>
      </c>
      <c r="I47" s="274" t="s">
        <v>441</v>
      </c>
      <c r="J47" s="128"/>
      <c r="K47" s="128"/>
      <c r="L47" s="267"/>
      <c r="M47" s="336"/>
      <c r="U47" s="23"/>
      <c r="V47" s="263"/>
    </row>
    <row r="48" spans="1:22" x14ac:dyDescent="0.25">
      <c r="A48" s="54" t="s">
        <v>50</v>
      </c>
      <c r="B48" s="24"/>
      <c r="C48" s="367">
        <f>C30</f>
        <v>35000</v>
      </c>
      <c r="D48" s="465"/>
      <c r="H48" s="264">
        <v>0</v>
      </c>
      <c r="I48" s="265" t="s">
        <v>147</v>
      </c>
      <c r="J48" s="24"/>
      <c r="K48" s="24"/>
      <c r="L48" s="275"/>
      <c r="U48" s="23"/>
      <c r="V48" s="263"/>
    </row>
    <row r="49" spans="1:22" x14ac:dyDescent="0.25">
      <c r="A49" s="57" t="s">
        <v>536</v>
      </c>
      <c r="B49" s="58"/>
      <c r="C49" s="93"/>
      <c r="D49" s="823">
        <f>C37*C48</f>
        <v>14000000</v>
      </c>
      <c r="H49" s="264">
        <v>0</v>
      </c>
      <c r="I49" s="265" t="s">
        <v>151</v>
      </c>
      <c r="J49" s="24"/>
      <c r="K49" s="24"/>
      <c r="L49" s="275"/>
      <c r="U49" s="23"/>
      <c r="V49" s="263"/>
    </row>
    <row r="50" spans="1:22" x14ac:dyDescent="0.25">
      <c r="A50" s="72" t="s">
        <v>537</v>
      </c>
      <c r="B50" s="837"/>
      <c r="D50" s="834">
        <f>C36*C30</f>
        <v>420000</v>
      </c>
      <c r="H50" s="264">
        <v>0</v>
      </c>
      <c r="I50" s="266" t="s">
        <v>149</v>
      </c>
      <c r="J50" s="24"/>
      <c r="K50" s="24"/>
      <c r="L50" s="275"/>
    </row>
    <row r="51" spans="1:22" x14ac:dyDescent="0.25">
      <c r="A51" s="72" t="s">
        <v>135</v>
      </c>
      <c r="B51" s="24"/>
      <c r="C51" s="202"/>
      <c r="D51" s="317">
        <f>D49*C38</f>
        <v>700000</v>
      </c>
      <c r="G51" s="39"/>
      <c r="H51" s="264">
        <v>0</v>
      </c>
      <c r="I51" s="265" t="s">
        <v>458</v>
      </c>
      <c r="J51" s="24"/>
      <c r="K51" s="24"/>
      <c r="L51" s="275"/>
      <c r="U51" s="261"/>
      <c r="V51" s="166"/>
    </row>
    <row r="52" spans="1:22" ht="16.5" thickBot="1" x14ac:dyDescent="0.3">
      <c r="A52" s="17" t="s">
        <v>420</v>
      </c>
      <c r="B52" s="18"/>
      <c r="C52" s="97"/>
      <c r="D52" s="217">
        <f>D50+D51</f>
        <v>1120000</v>
      </c>
      <c r="G52" s="39"/>
      <c r="H52" s="264">
        <v>0</v>
      </c>
      <c r="I52" s="265" t="s">
        <v>458</v>
      </c>
      <c r="J52" s="24"/>
      <c r="K52" s="24"/>
      <c r="L52" s="275"/>
      <c r="U52" s="23"/>
      <c r="V52" s="263"/>
    </row>
    <row r="53" spans="1:22" x14ac:dyDescent="0.25">
      <c r="A53" s="17" t="s">
        <v>421</v>
      </c>
      <c r="B53" s="18"/>
      <c r="C53" s="25">
        <f>C39</f>
        <v>0.05</v>
      </c>
      <c r="D53" s="134">
        <f>D52*C53</f>
        <v>56000</v>
      </c>
      <c r="G53" s="39"/>
      <c r="H53" s="273">
        <f>SUM(H54:H72)</f>
        <v>250000</v>
      </c>
      <c r="I53" s="274" t="s">
        <v>195</v>
      </c>
      <c r="J53" s="128"/>
      <c r="K53" s="128"/>
      <c r="L53" s="267"/>
      <c r="U53" s="369"/>
      <c r="V53" s="263"/>
    </row>
    <row r="54" spans="1:22" x14ac:dyDescent="0.25">
      <c r="A54" s="17" t="s">
        <v>430</v>
      </c>
      <c r="B54" s="18"/>
      <c r="C54" s="247"/>
      <c r="D54" s="217">
        <f>D52+D53</f>
        <v>1176000</v>
      </c>
      <c r="G54" s="39"/>
      <c r="H54" s="264">
        <v>250000</v>
      </c>
      <c r="I54" s="265" t="s">
        <v>161</v>
      </c>
      <c r="J54" s="24"/>
      <c r="K54" s="24"/>
      <c r="L54" s="275"/>
      <c r="U54" s="23"/>
      <c r="V54" s="263"/>
    </row>
    <row r="55" spans="1:22" x14ac:dyDescent="0.25">
      <c r="A55" s="59" t="s">
        <v>54</v>
      </c>
      <c r="B55" s="18"/>
      <c r="C55" s="25">
        <f>C40</f>
        <v>7.4999999999999997E-2</v>
      </c>
      <c r="D55" s="217">
        <f>D54*C55</f>
        <v>88200</v>
      </c>
      <c r="G55" s="39"/>
      <c r="H55" s="264">
        <v>0</v>
      </c>
      <c r="I55" s="265" t="s">
        <v>196</v>
      </c>
      <c r="J55" s="24"/>
      <c r="K55" s="24"/>
      <c r="L55" s="275"/>
      <c r="U55" s="23"/>
      <c r="V55" s="263"/>
    </row>
    <row r="56" spans="1:22" x14ac:dyDescent="0.25">
      <c r="A56" s="59" t="s">
        <v>55</v>
      </c>
      <c r="B56" s="18"/>
      <c r="C56" s="25">
        <f>C41</f>
        <v>2.5000000000000001E-2</v>
      </c>
      <c r="D56" s="217">
        <f>D54*C56</f>
        <v>29400</v>
      </c>
      <c r="G56" s="39"/>
      <c r="H56" s="264">
        <v>0</v>
      </c>
      <c r="I56" s="265" t="s">
        <v>197</v>
      </c>
      <c r="J56" s="24"/>
      <c r="K56" s="24"/>
      <c r="L56" s="275"/>
    </row>
    <row r="57" spans="1:22" x14ac:dyDescent="0.25">
      <c r="A57" s="17" t="s">
        <v>56</v>
      </c>
      <c r="B57" s="18"/>
      <c r="C57" s="100"/>
      <c r="D57" s="217">
        <f>D54-D55-D56</f>
        <v>1058400</v>
      </c>
      <c r="G57" s="11" t="s">
        <v>9</v>
      </c>
      <c r="H57" s="264">
        <v>0</v>
      </c>
      <c r="I57" s="265" t="s">
        <v>204</v>
      </c>
      <c r="J57" s="24"/>
      <c r="K57" s="24"/>
      <c r="L57" s="275"/>
      <c r="U57" s="261"/>
      <c r="V57" s="166"/>
    </row>
    <row r="58" spans="1:22" ht="16.5" thickBot="1" x14ac:dyDescent="0.3">
      <c r="A58" s="59" t="s">
        <v>422</v>
      </c>
      <c r="B58" s="18"/>
      <c r="C58" s="368">
        <f>C42</f>
        <v>7</v>
      </c>
      <c r="D58" s="217">
        <f>C58*C48</f>
        <v>245000</v>
      </c>
      <c r="H58" s="264">
        <v>0</v>
      </c>
      <c r="I58" s="265" t="s">
        <v>199</v>
      </c>
      <c r="J58" s="24"/>
      <c r="K58" s="24"/>
      <c r="L58" s="275"/>
      <c r="U58" s="261"/>
      <c r="V58" s="166"/>
    </row>
    <row r="59" spans="1:22" ht="16.5" thickBot="1" x14ac:dyDescent="0.3">
      <c r="A59" s="102" t="s">
        <v>4</v>
      </c>
      <c r="B59" s="103"/>
      <c r="C59" s="104"/>
      <c r="D59" s="140">
        <f>D57-D58</f>
        <v>813400</v>
      </c>
      <c r="H59" s="264">
        <v>0</v>
      </c>
      <c r="I59" s="265" t="s">
        <v>175</v>
      </c>
      <c r="J59" s="24"/>
      <c r="K59" s="24"/>
      <c r="L59" s="275"/>
      <c r="P59" s="39"/>
      <c r="U59" s="23"/>
      <c r="V59" s="263"/>
    </row>
    <row r="60" spans="1:22" ht="16.5" thickBot="1" x14ac:dyDescent="0.3">
      <c r="H60" s="264">
        <v>0</v>
      </c>
      <c r="I60" s="265" t="s">
        <v>203</v>
      </c>
      <c r="J60" s="24"/>
      <c r="K60" s="24"/>
      <c r="L60" s="275"/>
      <c r="P60" s="39"/>
      <c r="U60" s="23"/>
      <c r="V60" s="263"/>
    </row>
    <row r="61" spans="1:22" ht="16.5" thickBot="1" x14ac:dyDescent="0.3">
      <c r="A61" s="60" t="s">
        <v>58</v>
      </c>
      <c r="B61" s="61"/>
      <c r="C61" s="62"/>
      <c r="H61" s="264">
        <v>0</v>
      </c>
      <c r="I61" s="265" t="s">
        <v>167</v>
      </c>
      <c r="J61" s="24"/>
      <c r="K61" s="24"/>
      <c r="L61" s="275"/>
      <c r="P61" s="39"/>
      <c r="U61" s="23"/>
      <c r="V61" s="263"/>
    </row>
    <row r="62" spans="1:22" ht="16.5" thickBot="1" x14ac:dyDescent="0.3">
      <c r="A62" s="64" t="s">
        <v>59</v>
      </c>
      <c r="B62" s="65"/>
      <c r="C62" s="106">
        <f>IFERROR(D59/L4,0)</f>
        <v>0.11265927977839335</v>
      </c>
      <c r="H62" s="264">
        <v>0</v>
      </c>
      <c r="I62" s="265" t="s">
        <v>200</v>
      </c>
      <c r="J62" s="24"/>
      <c r="K62" s="24"/>
      <c r="L62" s="275"/>
      <c r="U62" s="23"/>
      <c r="V62" s="263"/>
    </row>
    <row r="63" spans="1:22" x14ac:dyDescent="0.25">
      <c r="A63" s="107" t="s">
        <v>60</v>
      </c>
      <c r="B63" s="108"/>
      <c r="C63" s="109">
        <f>IFERROR(-E105,0)</f>
        <v>296341.2445609413</v>
      </c>
      <c r="F63" s="38"/>
      <c r="H63" s="264">
        <v>0</v>
      </c>
      <c r="I63" s="265" t="s">
        <v>165</v>
      </c>
      <c r="J63" s="24"/>
      <c r="K63" s="24"/>
      <c r="L63" s="275"/>
    </row>
    <row r="64" spans="1:22" ht="16.5" thickBot="1" x14ac:dyDescent="0.3">
      <c r="A64" s="59" t="s">
        <v>436</v>
      </c>
      <c r="B64" s="110"/>
      <c r="C64" s="111">
        <f>D59-C63</f>
        <v>517058.7554390587</v>
      </c>
      <c r="F64" s="38"/>
      <c r="H64" s="396">
        <v>0</v>
      </c>
      <c r="I64" s="46" t="s">
        <v>497</v>
      </c>
      <c r="J64" s="24"/>
      <c r="K64" s="24"/>
      <c r="L64" s="275"/>
    </row>
    <row r="65" spans="1:12" ht="16.5" thickBot="1" x14ac:dyDescent="0.3">
      <c r="A65" s="102" t="s">
        <v>62</v>
      </c>
      <c r="B65" s="103"/>
      <c r="C65" s="112">
        <f>IFERROR(C64/E108,0)</f>
        <v>0.22598721828630189</v>
      </c>
      <c r="E65" s="38"/>
      <c r="F65" s="38"/>
      <c r="H65" s="264">
        <v>0</v>
      </c>
      <c r="I65" s="265" t="s">
        <v>163</v>
      </c>
      <c r="J65" s="24"/>
      <c r="K65" s="24"/>
      <c r="L65" s="275"/>
    </row>
    <row r="66" spans="1:12" ht="16.5" thickBot="1" x14ac:dyDescent="0.3">
      <c r="A66" s="113" t="s">
        <v>63</v>
      </c>
      <c r="B66" s="114"/>
      <c r="C66" s="63"/>
      <c r="E66" s="38"/>
      <c r="F66" s="38"/>
      <c r="H66" s="264">
        <v>0</v>
      </c>
      <c r="I66" s="265" t="s">
        <v>206</v>
      </c>
      <c r="J66" s="24"/>
      <c r="K66" s="24"/>
      <c r="L66" s="275"/>
    </row>
    <row r="67" spans="1:12" x14ac:dyDescent="0.25">
      <c r="A67" s="59" t="s">
        <v>64</v>
      </c>
      <c r="B67" s="18"/>
      <c r="C67" s="115">
        <f>D59</f>
        <v>813400</v>
      </c>
      <c r="E67" s="38"/>
      <c r="F67" s="38"/>
      <c r="H67" s="264">
        <v>0</v>
      </c>
      <c r="I67" s="265" t="s">
        <v>198</v>
      </c>
      <c r="J67" s="24"/>
      <c r="K67" s="24"/>
      <c r="L67" s="275"/>
    </row>
    <row r="68" spans="1:12" ht="16.5" thickBot="1" x14ac:dyDescent="0.3">
      <c r="A68" s="59" t="s">
        <v>65</v>
      </c>
      <c r="B68" s="18"/>
      <c r="C68" s="250">
        <v>0.1</v>
      </c>
      <c r="D68" s="336"/>
      <c r="E68" s="38"/>
      <c r="F68" s="38"/>
      <c r="H68" s="264">
        <v>0</v>
      </c>
      <c r="I68" s="265" t="s">
        <v>201</v>
      </c>
      <c r="J68" s="24"/>
      <c r="K68" s="24"/>
      <c r="L68" s="275"/>
    </row>
    <row r="69" spans="1:12" ht="16.5" thickBot="1" x14ac:dyDescent="0.3">
      <c r="A69" s="19" t="s">
        <v>66</v>
      </c>
      <c r="B69" s="20"/>
      <c r="C69" s="117">
        <f>IFERROR(C67/C68,0)</f>
        <v>8134000</v>
      </c>
      <c r="E69" s="38"/>
      <c r="F69" s="38"/>
      <c r="H69" s="264">
        <v>0</v>
      </c>
      <c r="I69" s="265" t="s">
        <v>205</v>
      </c>
      <c r="J69" s="24"/>
      <c r="K69" s="24"/>
      <c r="L69" s="275"/>
    </row>
    <row r="70" spans="1:12" ht="16.5" thickBot="1" x14ac:dyDescent="0.3">
      <c r="A70" s="655" t="s">
        <v>559</v>
      </c>
      <c r="B70" s="36"/>
      <c r="C70" s="119">
        <f>C69-C25</f>
        <v>914000</v>
      </c>
      <c r="E70" s="38"/>
      <c r="F70" s="38"/>
      <c r="H70" s="264">
        <v>0</v>
      </c>
      <c r="I70" s="265" t="s">
        <v>207</v>
      </c>
      <c r="J70" s="24"/>
      <c r="K70" s="24"/>
      <c r="L70" s="275"/>
    </row>
    <row r="71" spans="1:12" ht="16.5" thickBot="1" x14ac:dyDescent="0.3">
      <c r="A71" s="101"/>
      <c r="B71" s="101"/>
      <c r="C71" s="101"/>
      <c r="E71" s="38"/>
      <c r="F71" s="38"/>
      <c r="H71" s="264">
        <v>0</v>
      </c>
      <c r="I71" s="265" t="s">
        <v>458</v>
      </c>
      <c r="J71" s="24"/>
      <c r="K71" s="24"/>
      <c r="L71" s="275"/>
    </row>
    <row r="72" spans="1:12" ht="16.5" thickBot="1" x14ac:dyDescent="0.3">
      <c r="A72" s="79" t="s">
        <v>96</v>
      </c>
      <c r="B72" s="51"/>
      <c r="C72" s="51"/>
      <c r="D72" s="80"/>
      <c r="E72" s="38"/>
      <c r="F72" s="120"/>
      <c r="H72" s="264">
        <v>0</v>
      </c>
      <c r="I72" s="265" t="s">
        <v>458</v>
      </c>
      <c r="J72" s="24"/>
      <c r="K72" s="24"/>
      <c r="L72" s="275"/>
    </row>
    <row r="73" spans="1:12" x14ac:dyDescent="0.25">
      <c r="A73" s="429" t="s">
        <v>425</v>
      </c>
      <c r="B73" s="122"/>
      <c r="C73" s="128" t="s">
        <v>96</v>
      </c>
      <c r="D73" s="476">
        <v>0.03</v>
      </c>
      <c r="E73" s="38"/>
      <c r="F73" s="120"/>
      <c r="H73" s="273">
        <f>SUM(H74:H79)</f>
        <v>0</v>
      </c>
      <c r="I73" s="274" t="s">
        <v>208</v>
      </c>
      <c r="J73" s="128"/>
      <c r="K73" s="128"/>
      <c r="L73" s="267"/>
    </row>
    <row r="74" spans="1:12" ht="16.5" thickBot="1" x14ac:dyDescent="0.3">
      <c r="A74" s="81" t="s">
        <v>438</v>
      </c>
      <c r="B74" s="31"/>
      <c r="C74" s="36" t="s">
        <v>96</v>
      </c>
      <c r="D74" s="248">
        <v>0.03</v>
      </c>
      <c r="E74" s="120"/>
      <c r="F74" s="120"/>
      <c r="H74" s="264">
        <v>0</v>
      </c>
      <c r="I74" s="265" t="s">
        <v>188</v>
      </c>
      <c r="J74" s="24"/>
      <c r="K74" s="24"/>
      <c r="L74" s="275"/>
    </row>
    <row r="75" spans="1:12" ht="16.5" thickBot="1" x14ac:dyDescent="0.3">
      <c r="E75" s="120"/>
      <c r="F75" s="120"/>
      <c r="H75" s="264">
        <v>0</v>
      </c>
      <c r="I75" s="265" t="s">
        <v>184</v>
      </c>
      <c r="J75" s="24"/>
      <c r="K75" s="24"/>
      <c r="L75" s="275"/>
    </row>
    <row r="76" spans="1:12" ht="16.5" thickBot="1" x14ac:dyDescent="0.3">
      <c r="A76" s="79" t="s">
        <v>412</v>
      </c>
      <c r="B76" s="51"/>
      <c r="C76" s="51"/>
      <c r="D76" s="53" t="s">
        <v>85</v>
      </c>
      <c r="E76" s="120"/>
      <c r="F76" s="120"/>
      <c r="H76" s="264">
        <v>0</v>
      </c>
      <c r="I76" s="265" t="s">
        <v>186</v>
      </c>
      <c r="J76" s="24"/>
      <c r="K76" s="24"/>
      <c r="L76" s="275"/>
    </row>
    <row r="77" spans="1:12" x14ac:dyDescent="0.25">
      <c r="A77" s="327" t="s">
        <v>411</v>
      </c>
      <c r="B77" s="122"/>
      <c r="C77" s="128"/>
      <c r="D77" s="476">
        <v>0.08</v>
      </c>
      <c r="E77" s="120"/>
      <c r="F77" s="120"/>
      <c r="H77" s="394">
        <v>0</v>
      </c>
      <c r="I77" s="46" t="s">
        <v>494</v>
      </c>
      <c r="J77" s="24"/>
      <c r="K77" s="24"/>
      <c r="L77" s="275"/>
    </row>
    <row r="78" spans="1:12" ht="16.5" thickBot="1" x14ac:dyDescent="0.3">
      <c r="A78" s="35" t="s">
        <v>410</v>
      </c>
      <c r="B78" s="31"/>
      <c r="C78" s="31"/>
      <c r="D78" s="248">
        <v>0.05</v>
      </c>
      <c r="E78" s="120"/>
      <c r="F78" s="120"/>
      <c r="H78" s="264">
        <v>0</v>
      </c>
      <c r="I78" s="265" t="s">
        <v>458</v>
      </c>
      <c r="J78" s="24"/>
      <c r="K78" s="24"/>
      <c r="L78" s="275"/>
    </row>
    <row r="79" spans="1:12" ht="16.5" thickBot="1" x14ac:dyDescent="0.3">
      <c r="A79" s="101"/>
      <c r="B79" s="101"/>
      <c r="C79" s="101"/>
      <c r="E79" s="120"/>
      <c r="F79" s="120"/>
      <c r="H79" s="264">
        <v>0</v>
      </c>
      <c r="I79" s="265" t="s">
        <v>458</v>
      </c>
      <c r="J79" s="24"/>
      <c r="K79" s="24"/>
      <c r="L79" s="275"/>
    </row>
    <row r="80" spans="1:12" ht="16.5" thickBot="1" x14ac:dyDescent="0.3">
      <c r="A80" s="199" t="s">
        <v>67</v>
      </c>
      <c r="B80" s="51"/>
      <c r="C80" s="45" t="s">
        <v>202</v>
      </c>
      <c r="E80" s="120"/>
      <c r="F80" s="120"/>
      <c r="H80" s="273">
        <f>SUM(H81:H88)</f>
        <v>500000</v>
      </c>
      <c r="I80" s="274" t="s">
        <v>399</v>
      </c>
      <c r="J80" s="128"/>
      <c r="K80" s="128"/>
      <c r="L80" s="267"/>
    </row>
    <row r="81" spans="1:12" ht="16.5" thickBot="1" x14ac:dyDescent="0.3">
      <c r="A81" s="64" t="s">
        <v>414</v>
      </c>
      <c r="B81" s="65"/>
      <c r="C81" s="66"/>
      <c r="E81" s="120"/>
      <c r="F81" s="120"/>
      <c r="H81" s="264">
        <v>0</v>
      </c>
      <c r="I81" s="265" t="s">
        <v>238</v>
      </c>
      <c r="J81" s="24"/>
      <c r="K81" s="24"/>
      <c r="L81" s="275"/>
    </row>
    <row r="82" spans="1:12" x14ac:dyDescent="0.25">
      <c r="A82" s="335" t="s">
        <v>413</v>
      </c>
      <c r="B82" s="65"/>
      <c r="C82" s="249">
        <v>0.6</v>
      </c>
      <c r="E82" s="120"/>
      <c r="F82" s="120"/>
      <c r="H82" s="264">
        <v>500000</v>
      </c>
      <c r="I82" s="265" t="s">
        <v>181</v>
      </c>
      <c r="J82" s="24"/>
      <c r="K82" s="24"/>
      <c r="L82" s="275"/>
    </row>
    <row r="83" spans="1:12" x14ac:dyDescent="0.25">
      <c r="A83" s="467" t="s">
        <v>437</v>
      </c>
      <c r="B83" s="468"/>
      <c r="C83" s="469">
        <f>C82*C27</f>
        <v>4182000</v>
      </c>
      <c r="D83" s="261"/>
      <c r="E83" s="120"/>
      <c r="F83" s="120"/>
      <c r="H83" s="396">
        <v>0</v>
      </c>
      <c r="I83" s="265" t="s">
        <v>492</v>
      </c>
      <c r="J83" s="24"/>
      <c r="K83" s="24"/>
      <c r="L83" s="275"/>
    </row>
    <row r="84" spans="1:12" x14ac:dyDescent="0.25">
      <c r="A84" s="17" t="s">
        <v>68</v>
      </c>
      <c r="B84" s="18"/>
      <c r="C84" s="250">
        <v>0.05</v>
      </c>
      <c r="E84" s="120"/>
      <c r="F84" s="120"/>
      <c r="H84" s="264">
        <v>0</v>
      </c>
      <c r="I84" s="265" t="s">
        <v>178</v>
      </c>
      <c r="J84" s="24"/>
      <c r="K84" s="24"/>
      <c r="L84" s="275"/>
    </row>
    <row r="85" spans="1:12" ht="16.5" thickBot="1" x14ac:dyDescent="0.3">
      <c r="A85" s="35" t="s">
        <v>69</v>
      </c>
      <c r="B85" s="31"/>
      <c r="C85" s="251">
        <v>30</v>
      </c>
      <c r="E85" s="120"/>
      <c r="F85" s="120"/>
      <c r="H85" s="396">
        <v>0</v>
      </c>
      <c r="I85" s="265" t="s">
        <v>180</v>
      </c>
      <c r="J85" s="24"/>
      <c r="K85" s="24"/>
      <c r="L85" s="275"/>
    </row>
    <row r="86" spans="1:12" ht="16.5" thickBot="1" x14ac:dyDescent="0.3">
      <c r="A86" s="68" t="s">
        <v>415</v>
      </c>
      <c r="B86" s="31"/>
      <c r="C86" s="69"/>
      <c r="E86" s="120"/>
      <c r="F86" s="120"/>
      <c r="H86" s="264">
        <v>0</v>
      </c>
      <c r="I86" s="265" t="s">
        <v>209</v>
      </c>
      <c r="J86" s="24"/>
      <c r="K86" s="24"/>
      <c r="L86" s="275"/>
    </row>
    <row r="87" spans="1:12" x14ac:dyDescent="0.25">
      <c r="A87" s="438" t="s">
        <v>401</v>
      </c>
      <c r="B87" s="122"/>
      <c r="C87" s="437">
        <f>H80</f>
        <v>500000</v>
      </c>
      <c r="D87" s="11" t="s">
        <v>524</v>
      </c>
      <c r="E87" s="120"/>
      <c r="F87" s="120"/>
      <c r="H87" s="264">
        <v>0</v>
      </c>
      <c r="I87" s="265" t="s">
        <v>458</v>
      </c>
      <c r="J87" s="24"/>
      <c r="K87" s="24"/>
      <c r="L87" s="275"/>
    </row>
    <row r="88" spans="1:12" ht="16.5" thickBot="1" x14ac:dyDescent="0.3">
      <c r="A88" s="72" t="s">
        <v>413</v>
      </c>
      <c r="B88" s="18"/>
      <c r="C88" s="338">
        <v>0</v>
      </c>
      <c r="D88" s="336"/>
      <c r="E88" s="120"/>
      <c r="F88" s="120"/>
      <c r="H88" s="264">
        <v>0</v>
      </c>
      <c r="I88" s="265" t="s">
        <v>458</v>
      </c>
      <c r="J88" s="24"/>
      <c r="K88" s="24"/>
      <c r="L88" s="275"/>
    </row>
    <row r="89" spans="1:12" x14ac:dyDescent="0.25">
      <c r="A89" s="17" t="s">
        <v>68</v>
      </c>
      <c r="B89" s="18"/>
      <c r="C89" s="250">
        <v>3.5000000000000003E-2</v>
      </c>
      <c r="E89" s="120"/>
      <c r="F89" s="120"/>
      <c r="H89" s="273">
        <f>SUM(H90:H91)</f>
        <v>0</v>
      </c>
      <c r="I89" s="274" t="s">
        <v>377</v>
      </c>
      <c r="J89" s="128"/>
      <c r="K89" s="128"/>
      <c r="L89" s="267"/>
    </row>
    <row r="90" spans="1:12" ht="16.5" thickBot="1" x14ac:dyDescent="0.3">
      <c r="A90" s="35" t="s">
        <v>69</v>
      </c>
      <c r="B90" s="31"/>
      <c r="C90" s="251">
        <v>30</v>
      </c>
      <c r="E90" s="120"/>
      <c r="F90" s="120"/>
      <c r="H90" s="264">
        <v>0</v>
      </c>
      <c r="I90" s="265" t="s">
        <v>379</v>
      </c>
      <c r="J90" s="24"/>
      <c r="K90" s="24"/>
      <c r="L90" s="275"/>
    </row>
    <row r="91" spans="1:12" ht="16.5" thickBot="1" x14ac:dyDescent="0.3">
      <c r="E91" s="120"/>
      <c r="F91" s="120"/>
      <c r="H91" s="268">
        <v>0</v>
      </c>
      <c r="I91" s="269" t="s">
        <v>382</v>
      </c>
      <c r="J91" s="36"/>
      <c r="K91" s="36"/>
      <c r="L91" s="277"/>
    </row>
    <row r="92" spans="1:12" ht="16.5" thickBot="1" x14ac:dyDescent="0.3">
      <c r="A92" s="199" t="s">
        <v>439</v>
      </c>
      <c r="B92" s="51"/>
      <c r="C92" s="51"/>
      <c r="D92" s="51"/>
      <c r="E92" s="80"/>
      <c r="F92" s="120"/>
    </row>
    <row r="93" spans="1:12" ht="16.5" thickBot="1" x14ac:dyDescent="0.3">
      <c r="A93" s="121" t="s">
        <v>414</v>
      </c>
      <c r="B93" s="122"/>
      <c r="C93" s="122"/>
      <c r="D93" s="123"/>
      <c r="E93" s="124"/>
      <c r="F93" s="120"/>
      <c r="H93" s="70" t="s">
        <v>443</v>
      </c>
      <c r="I93" s="71"/>
      <c r="J93" s="71"/>
      <c r="K93" s="71"/>
      <c r="L93" s="341" t="s">
        <v>407</v>
      </c>
    </row>
    <row r="94" spans="1:12" x14ac:dyDescent="0.25">
      <c r="A94" s="17" t="s">
        <v>538</v>
      </c>
      <c r="B94" s="18"/>
      <c r="C94" s="18"/>
      <c r="D94" s="38"/>
      <c r="E94" s="111">
        <f>IF(C69&gt;C45,C45,C69)</f>
        <v>6970000</v>
      </c>
      <c r="F94" s="120"/>
      <c r="H94" s="72" t="s">
        <v>77</v>
      </c>
      <c r="I94" s="24"/>
      <c r="J94" s="24"/>
      <c r="K94" s="24"/>
      <c r="L94" s="252">
        <v>25000</v>
      </c>
    </row>
    <row r="95" spans="1:12" x14ac:dyDescent="0.25">
      <c r="A95" s="72" t="s">
        <v>518</v>
      </c>
      <c r="B95" s="18"/>
      <c r="C95" s="18"/>
      <c r="D95" s="365">
        <f>C82</f>
        <v>0.6</v>
      </c>
      <c r="E95" s="111">
        <f>C83</f>
        <v>4182000</v>
      </c>
      <c r="H95" s="72" t="s">
        <v>78</v>
      </c>
      <c r="I95" s="24"/>
      <c r="J95" s="24"/>
      <c r="K95" s="24"/>
      <c r="L95" s="252">
        <v>5000</v>
      </c>
    </row>
    <row r="96" spans="1:12" x14ac:dyDescent="0.25">
      <c r="A96" s="17" t="s">
        <v>515</v>
      </c>
      <c r="B96" s="18"/>
      <c r="C96" s="18"/>
      <c r="D96" s="38"/>
      <c r="E96" s="116">
        <f>C84</f>
        <v>0.05</v>
      </c>
      <c r="H96" s="72" t="s">
        <v>442</v>
      </c>
      <c r="I96" s="24"/>
      <c r="J96" s="24"/>
      <c r="K96" s="24"/>
      <c r="L96" s="252">
        <v>0</v>
      </c>
    </row>
    <row r="97" spans="1:34" x14ac:dyDescent="0.25">
      <c r="A97" s="17" t="s">
        <v>516</v>
      </c>
      <c r="B97" s="18"/>
      <c r="C97" s="18"/>
      <c r="D97" s="38"/>
      <c r="E97" s="34">
        <f>C85</f>
        <v>30</v>
      </c>
      <c r="H97" s="72" t="s">
        <v>79</v>
      </c>
      <c r="I97" s="24"/>
      <c r="J97" s="24"/>
      <c r="K97" s="24"/>
      <c r="L97" s="250">
        <v>0.05</v>
      </c>
    </row>
    <row r="98" spans="1:34" ht="16.5" thickBot="1" x14ac:dyDescent="0.3">
      <c r="A98" s="125" t="s">
        <v>519</v>
      </c>
      <c r="B98" s="30"/>
      <c r="C98" s="30"/>
      <c r="D98" s="126"/>
      <c r="E98" s="127">
        <f>IFERROR(PMT(E96/12,E97*12,E95)*12,0)</f>
        <v>-269398.56329241185</v>
      </c>
      <c r="F98" s="336"/>
      <c r="H98" s="73" t="s">
        <v>424</v>
      </c>
      <c r="I98" s="36"/>
      <c r="J98" s="36"/>
      <c r="K98" s="36"/>
      <c r="L98" s="248">
        <v>0.05</v>
      </c>
    </row>
    <row r="99" spans="1:34" ht="16.5" thickBot="1" x14ac:dyDescent="0.3">
      <c r="A99" s="68" t="s">
        <v>522</v>
      </c>
      <c r="B99" s="122"/>
      <c r="C99" s="128"/>
      <c r="D99" s="129"/>
      <c r="E99" s="130"/>
    </row>
    <row r="100" spans="1:34" x14ac:dyDescent="0.25">
      <c r="A100" s="335" t="s">
        <v>520</v>
      </c>
      <c r="B100" s="430"/>
      <c r="C100" s="430"/>
      <c r="D100" s="39"/>
      <c r="E100" s="431">
        <f>C87</f>
        <v>500000</v>
      </c>
    </row>
    <row r="101" spans="1:34" x14ac:dyDescent="0.25">
      <c r="A101" s="17" t="s">
        <v>515</v>
      </c>
      <c r="B101" s="18"/>
      <c r="C101" s="18"/>
      <c r="D101" s="38"/>
      <c r="E101" s="116">
        <f>C89</f>
        <v>3.5000000000000003E-2</v>
      </c>
    </row>
    <row r="102" spans="1:34" x14ac:dyDescent="0.25">
      <c r="A102" s="17" t="s">
        <v>516</v>
      </c>
      <c r="B102" s="18"/>
      <c r="C102" s="18"/>
      <c r="D102" s="38"/>
      <c r="E102" s="34">
        <f>C90</f>
        <v>30</v>
      </c>
    </row>
    <row r="103" spans="1:34" x14ac:dyDescent="0.25">
      <c r="A103" s="17" t="s">
        <v>519</v>
      </c>
      <c r="B103" s="18"/>
      <c r="C103" s="18"/>
      <c r="D103" s="38"/>
      <c r="E103" s="131">
        <f>IFERROR(PMT(E101/12,E102*12,E100)*12,0)</f>
        <v>-26942.681268529464</v>
      </c>
      <c r="F103" s="336"/>
    </row>
    <row r="104" spans="1:34" x14ac:dyDescent="0.25">
      <c r="A104" s="49" t="s">
        <v>71</v>
      </c>
      <c r="B104" s="24"/>
      <c r="C104" s="24"/>
      <c r="D104" s="39"/>
      <c r="E104" s="132">
        <f>E95+E100</f>
        <v>4682000</v>
      </c>
      <c r="F104" s="336"/>
    </row>
    <row r="105" spans="1:34" ht="16.5" thickBot="1" x14ac:dyDescent="0.3">
      <c r="A105" s="17" t="s">
        <v>539</v>
      </c>
      <c r="B105" s="24"/>
      <c r="C105" s="24"/>
      <c r="D105" s="39"/>
      <c r="E105" s="132">
        <f>E98+E103</f>
        <v>-296341.2445609413</v>
      </c>
    </row>
    <row r="106" spans="1:34" ht="16.5" thickBot="1" x14ac:dyDescent="0.3">
      <c r="A106" s="102" t="s">
        <v>72</v>
      </c>
      <c r="B106" s="114"/>
      <c r="C106" s="114"/>
      <c r="D106" s="104"/>
      <c r="E106" s="63"/>
    </row>
    <row r="107" spans="1:34" x14ac:dyDescent="0.25">
      <c r="A107" s="17" t="s">
        <v>449</v>
      </c>
      <c r="B107" s="18"/>
      <c r="C107" s="18"/>
      <c r="D107" s="38"/>
      <c r="E107" s="111">
        <f>C27</f>
        <v>6970000</v>
      </c>
      <c r="F107" s="336"/>
    </row>
    <row r="108" spans="1:34" ht="16.5" thickBot="1" x14ac:dyDescent="0.3">
      <c r="A108" s="135" t="s">
        <v>74</v>
      </c>
      <c r="B108" s="136"/>
      <c r="C108" s="136"/>
      <c r="D108" s="137"/>
      <c r="E108" s="138">
        <f>E107-E104</f>
        <v>2288000</v>
      </c>
      <c r="F108" s="336"/>
    </row>
    <row r="110" spans="1:34" ht="16.5" thickBot="1" x14ac:dyDescent="0.3">
      <c r="S110" s="39"/>
    </row>
    <row r="111" spans="1:34" ht="16.5" thickBot="1" x14ac:dyDescent="0.3">
      <c r="A111" s="79" t="s">
        <v>95</v>
      </c>
      <c r="B111" s="51"/>
      <c r="C111" s="51"/>
      <c r="D111" s="51"/>
      <c r="E111" s="355" t="s">
        <v>85</v>
      </c>
      <c r="F111" s="356" t="s">
        <v>86</v>
      </c>
      <c r="G111" s="355" t="s">
        <v>87</v>
      </c>
      <c r="H111" s="356" t="s">
        <v>88</v>
      </c>
      <c r="I111" s="355" t="s">
        <v>89</v>
      </c>
      <c r="J111" s="356" t="s">
        <v>90</v>
      </c>
      <c r="K111" s="355" t="s">
        <v>91</v>
      </c>
      <c r="L111" s="356" t="s">
        <v>92</v>
      </c>
      <c r="M111" s="355" t="s">
        <v>93</v>
      </c>
      <c r="N111" s="355" t="s">
        <v>94</v>
      </c>
      <c r="O111" s="357" t="s">
        <v>239</v>
      </c>
      <c r="P111" s="358" t="s">
        <v>240</v>
      </c>
      <c r="Q111" s="358" t="s">
        <v>241</v>
      </c>
      <c r="R111" s="340" t="s">
        <v>242</v>
      </c>
      <c r="S111" s="358" t="s">
        <v>243</v>
      </c>
      <c r="T111" s="340" t="s">
        <v>244</v>
      </c>
      <c r="U111" s="358" t="s">
        <v>245</v>
      </c>
      <c r="V111" s="340" t="s">
        <v>246</v>
      </c>
      <c r="W111" s="358" t="s">
        <v>247</v>
      </c>
      <c r="X111" s="340" t="s">
        <v>248</v>
      </c>
      <c r="Y111" s="358" t="s">
        <v>249</v>
      </c>
      <c r="Z111" s="340" t="s">
        <v>250</v>
      </c>
      <c r="AA111" s="358" t="s">
        <v>251</v>
      </c>
      <c r="AB111" s="340" t="s">
        <v>252</v>
      </c>
      <c r="AC111" s="358" t="s">
        <v>253</v>
      </c>
      <c r="AD111" s="340" t="s">
        <v>254</v>
      </c>
      <c r="AE111" s="358" t="s">
        <v>255</v>
      </c>
      <c r="AF111" s="340" t="s">
        <v>256</v>
      </c>
      <c r="AG111" s="358" t="s">
        <v>257</v>
      </c>
      <c r="AH111" s="359" t="s">
        <v>258</v>
      </c>
    </row>
    <row r="112" spans="1:34" x14ac:dyDescent="0.25">
      <c r="A112" s="90" t="s">
        <v>425</v>
      </c>
      <c r="B112" s="18"/>
      <c r="C112" s="345" t="s">
        <v>96</v>
      </c>
      <c r="D112" s="25">
        <f>D73</f>
        <v>0.03</v>
      </c>
      <c r="E112" s="203">
        <f>D52</f>
        <v>1120000</v>
      </c>
      <c r="F112" s="98">
        <f t="shared" ref="F112:AH113" si="0">E112*(1+$D$112)</f>
        <v>1153600</v>
      </c>
      <c r="G112" s="203">
        <f t="shared" si="0"/>
        <v>1188208</v>
      </c>
      <c r="H112" s="98">
        <f t="shared" si="0"/>
        <v>1223854.24</v>
      </c>
      <c r="I112" s="203">
        <f t="shared" si="0"/>
        <v>1260569.8672</v>
      </c>
      <c r="J112" s="98">
        <f t="shared" si="0"/>
        <v>1298386.963216</v>
      </c>
      <c r="K112" s="203">
        <f t="shared" si="0"/>
        <v>1337338.5721124799</v>
      </c>
      <c r="L112" s="98">
        <f t="shared" si="0"/>
        <v>1377458.7292758543</v>
      </c>
      <c r="M112" s="203">
        <f t="shared" si="0"/>
        <v>1418782.4911541301</v>
      </c>
      <c r="N112" s="203">
        <f t="shared" si="0"/>
        <v>1461345.965888754</v>
      </c>
      <c r="O112" s="284">
        <f t="shared" si="0"/>
        <v>1505186.3448654166</v>
      </c>
      <c r="P112" s="203">
        <f t="shared" si="0"/>
        <v>1550341.9352113791</v>
      </c>
      <c r="Q112" s="203">
        <f t="shared" si="0"/>
        <v>1596852.1932677205</v>
      </c>
      <c r="R112" s="98">
        <f t="shared" si="0"/>
        <v>1644757.7590657522</v>
      </c>
      <c r="S112" s="287">
        <f t="shared" si="0"/>
        <v>1694100.4918377248</v>
      </c>
      <c r="T112" s="98">
        <f t="shared" si="0"/>
        <v>1744923.5065928565</v>
      </c>
      <c r="U112" s="287">
        <f t="shared" si="0"/>
        <v>1797271.2117906422</v>
      </c>
      <c r="V112" s="98">
        <f t="shared" si="0"/>
        <v>1851189.3481443615</v>
      </c>
      <c r="W112" s="203">
        <f t="shared" si="0"/>
        <v>1906725.0285886924</v>
      </c>
      <c r="X112" s="98">
        <f t="shared" si="0"/>
        <v>1963926.7794463532</v>
      </c>
      <c r="Y112" s="203">
        <f t="shared" si="0"/>
        <v>2022844.5828297439</v>
      </c>
      <c r="Z112" s="98">
        <f t="shared" si="0"/>
        <v>2083529.9203146363</v>
      </c>
      <c r="AA112" s="203">
        <f t="shared" si="0"/>
        <v>2146035.8179240753</v>
      </c>
      <c r="AB112" s="98">
        <f t="shared" si="0"/>
        <v>2210416.8924617977</v>
      </c>
      <c r="AC112" s="203">
        <f t="shared" si="0"/>
        <v>2276729.3992356518</v>
      </c>
      <c r="AD112" s="98">
        <f t="shared" si="0"/>
        <v>2345031.2812127215</v>
      </c>
      <c r="AE112" s="203">
        <f t="shared" si="0"/>
        <v>2415382.219649103</v>
      </c>
      <c r="AF112" s="98">
        <f t="shared" si="0"/>
        <v>2487843.6862385762</v>
      </c>
      <c r="AG112" s="203">
        <f t="shared" si="0"/>
        <v>2562478.9968257337</v>
      </c>
      <c r="AH112" s="217">
        <f t="shared" si="0"/>
        <v>2639353.3667305056</v>
      </c>
    </row>
    <row r="113" spans="1:34" x14ac:dyDescent="0.25">
      <c r="A113" s="17" t="s">
        <v>421</v>
      </c>
      <c r="B113" s="24"/>
      <c r="C113" s="24"/>
      <c r="D113" s="278"/>
      <c r="E113" s="352">
        <f>D53</f>
        <v>56000</v>
      </c>
      <c r="F113" s="98">
        <f t="shared" si="0"/>
        <v>57680</v>
      </c>
      <c r="G113" s="203">
        <f t="shared" si="0"/>
        <v>59410.400000000001</v>
      </c>
      <c r="H113" s="98">
        <f t="shared" si="0"/>
        <v>61192.712</v>
      </c>
      <c r="I113" s="203">
        <f t="shared" si="0"/>
        <v>63028.49336</v>
      </c>
      <c r="J113" s="98">
        <f t="shared" si="0"/>
        <v>64919.3481608</v>
      </c>
      <c r="K113" s="203">
        <f t="shared" si="0"/>
        <v>66866.928605624009</v>
      </c>
      <c r="L113" s="98">
        <f t="shared" si="0"/>
        <v>68872.936463792736</v>
      </c>
      <c r="M113" s="203">
        <f t="shared" si="0"/>
        <v>70939.124557706513</v>
      </c>
      <c r="N113" s="203">
        <f t="shared" si="0"/>
        <v>73067.298294437715</v>
      </c>
      <c r="O113" s="284">
        <f t="shared" si="0"/>
        <v>75259.317243270852</v>
      </c>
      <c r="P113" s="283">
        <f t="shared" si="0"/>
        <v>77517.09676056898</v>
      </c>
      <c r="Q113" s="203">
        <f t="shared" si="0"/>
        <v>79842.609663386058</v>
      </c>
      <c r="R113" s="98">
        <f t="shared" si="0"/>
        <v>82237.887953287645</v>
      </c>
      <c r="S113" s="203">
        <f t="shared" si="0"/>
        <v>84705.024591886278</v>
      </c>
      <c r="T113" s="284">
        <f t="shared" si="0"/>
        <v>87246.175329642865</v>
      </c>
      <c r="U113" s="203">
        <f t="shared" si="0"/>
        <v>89863.56058953215</v>
      </c>
      <c r="V113" s="98">
        <f t="shared" si="0"/>
        <v>92559.467407218122</v>
      </c>
      <c r="W113" s="203">
        <f t="shared" si="0"/>
        <v>95336.251429434662</v>
      </c>
      <c r="X113" s="98">
        <f t="shared" si="0"/>
        <v>98196.33897231771</v>
      </c>
      <c r="Y113" s="203">
        <f t="shared" si="0"/>
        <v>101142.22914148725</v>
      </c>
      <c r="Z113" s="98">
        <f t="shared" si="0"/>
        <v>104176.49601573187</v>
      </c>
      <c r="AA113" s="203">
        <f t="shared" si="0"/>
        <v>107301.79089620383</v>
      </c>
      <c r="AB113" s="98">
        <f t="shared" si="0"/>
        <v>110520.84462308996</v>
      </c>
      <c r="AC113" s="203">
        <f t="shared" si="0"/>
        <v>113836.46996178266</v>
      </c>
      <c r="AD113" s="98">
        <f t="shared" si="0"/>
        <v>117251.56406063614</v>
      </c>
      <c r="AE113" s="203">
        <f t="shared" si="0"/>
        <v>120769.11098245523</v>
      </c>
      <c r="AF113" s="98">
        <f t="shared" si="0"/>
        <v>124392.18431192888</v>
      </c>
      <c r="AG113" s="203">
        <f t="shared" si="0"/>
        <v>128123.94984128675</v>
      </c>
      <c r="AH113" s="217">
        <f t="shared" si="0"/>
        <v>131967.66833652536</v>
      </c>
    </row>
    <row r="114" spans="1:34" ht="16.5" thickBot="1" x14ac:dyDescent="0.3">
      <c r="A114" s="29" t="s">
        <v>444</v>
      </c>
      <c r="B114" s="30"/>
      <c r="C114" s="83"/>
      <c r="D114" s="279"/>
      <c r="E114" s="232">
        <f>E112+E113</f>
        <v>1176000</v>
      </c>
      <c r="F114" s="231">
        <f>F112+F113</f>
        <v>1211280</v>
      </c>
      <c r="G114" s="232">
        <f>G112+G113</f>
        <v>1247618.3999999999</v>
      </c>
      <c r="H114" s="231">
        <f>H112+H113</f>
        <v>1285046.952</v>
      </c>
      <c r="I114" s="232">
        <f>I112+I113</f>
        <v>1323598.3605599999</v>
      </c>
      <c r="J114" s="231">
        <f t="shared" ref="J114:AH114" si="1">J112+J113</f>
        <v>1363306.3113768001</v>
      </c>
      <c r="K114" s="232">
        <f t="shared" si="1"/>
        <v>1404205.500718104</v>
      </c>
      <c r="L114" s="231">
        <f t="shared" si="1"/>
        <v>1446331.6657396471</v>
      </c>
      <c r="M114" s="232">
        <f t="shared" si="1"/>
        <v>1489721.6157118366</v>
      </c>
      <c r="N114" s="232">
        <f t="shared" si="1"/>
        <v>1534413.2641831918</v>
      </c>
      <c r="O114" s="285">
        <f t="shared" si="1"/>
        <v>1580445.6621086875</v>
      </c>
      <c r="P114" s="232">
        <f t="shared" si="1"/>
        <v>1627859.031971948</v>
      </c>
      <c r="Q114" s="232">
        <f t="shared" si="1"/>
        <v>1676694.8029311066</v>
      </c>
      <c r="R114" s="231">
        <f t="shared" si="1"/>
        <v>1726995.6470190398</v>
      </c>
      <c r="S114" s="232">
        <f t="shared" si="1"/>
        <v>1778805.516429611</v>
      </c>
      <c r="T114" s="231">
        <f t="shared" si="1"/>
        <v>1832169.6819224993</v>
      </c>
      <c r="U114" s="232">
        <f t="shared" si="1"/>
        <v>1887134.7723801744</v>
      </c>
      <c r="V114" s="231">
        <f t="shared" si="1"/>
        <v>1943748.8155515797</v>
      </c>
      <c r="W114" s="232">
        <f t="shared" si="1"/>
        <v>2002061.2800181271</v>
      </c>
      <c r="X114" s="231">
        <f t="shared" si="1"/>
        <v>2062123.118418671</v>
      </c>
      <c r="Y114" s="232">
        <f t="shared" si="1"/>
        <v>2123986.8119712309</v>
      </c>
      <c r="Z114" s="231">
        <f t="shared" si="1"/>
        <v>2187706.4163303683</v>
      </c>
      <c r="AA114" s="232">
        <f t="shared" si="1"/>
        <v>2253337.6088202791</v>
      </c>
      <c r="AB114" s="231">
        <f t="shared" si="1"/>
        <v>2320937.7370848875</v>
      </c>
      <c r="AC114" s="232">
        <f t="shared" si="1"/>
        <v>2390565.8691974343</v>
      </c>
      <c r="AD114" s="231">
        <f t="shared" si="1"/>
        <v>2462282.8452733578</v>
      </c>
      <c r="AE114" s="232">
        <f t="shared" si="1"/>
        <v>2536151.3306315583</v>
      </c>
      <c r="AF114" s="231">
        <f t="shared" si="1"/>
        <v>2612235.8705505049</v>
      </c>
      <c r="AG114" s="232">
        <f t="shared" si="1"/>
        <v>2690602.9466670202</v>
      </c>
      <c r="AH114" s="245">
        <f t="shared" si="1"/>
        <v>2771321.0350670312</v>
      </c>
    </row>
    <row r="115" spans="1:34" x14ac:dyDescent="0.25">
      <c r="A115" s="17" t="s">
        <v>54</v>
      </c>
      <c r="B115" s="18"/>
      <c r="C115" s="24"/>
      <c r="D115" s="280">
        <f>C55</f>
        <v>7.4999999999999997E-2</v>
      </c>
      <c r="E115" s="203">
        <f t="shared" ref="E115:AH115" si="2">$D$115*E114</f>
        <v>88200</v>
      </c>
      <c r="F115" s="98">
        <f t="shared" si="2"/>
        <v>90846</v>
      </c>
      <c r="G115" s="203">
        <f t="shared" si="2"/>
        <v>93571.37999999999</v>
      </c>
      <c r="H115" s="98">
        <f t="shared" si="2"/>
        <v>96378.521399999998</v>
      </c>
      <c r="I115" s="203">
        <f t="shared" si="2"/>
        <v>99269.877041999993</v>
      </c>
      <c r="J115" s="98">
        <f t="shared" si="2"/>
        <v>102247.97335326001</v>
      </c>
      <c r="K115" s="203">
        <f t="shared" si="2"/>
        <v>105315.41255385779</v>
      </c>
      <c r="L115" s="98">
        <f t="shared" si="2"/>
        <v>108474.87493047352</v>
      </c>
      <c r="M115" s="203">
        <f t="shared" si="2"/>
        <v>111729.12117838774</v>
      </c>
      <c r="N115" s="203">
        <f t="shared" si="2"/>
        <v>115080.99481373938</v>
      </c>
      <c r="O115" s="284">
        <f t="shared" si="2"/>
        <v>118533.42465815155</v>
      </c>
      <c r="P115" s="203">
        <f t="shared" si="2"/>
        <v>122089.4273978961</v>
      </c>
      <c r="Q115" s="203">
        <f t="shared" si="2"/>
        <v>125752.11021983299</v>
      </c>
      <c r="R115" s="98">
        <f t="shared" si="2"/>
        <v>129524.67352642799</v>
      </c>
      <c r="S115" s="203">
        <f t="shared" si="2"/>
        <v>133410.41373222083</v>
      </c>
      <c r="T115" s="98">
        <f t="shared" si="2"/>
        <v>137412.72614418744</v>
      </c>
      <c r="U115" s="203">
        <f t="shared" si="2"/>
        <v>141535.10792851308</v>
      </c>
      <c r="V115" s="98">
        <f t="shared" si="2"/>
        <v>145781.16116636846</v>
      </c>
      <c r="W115" s="203">
        <f t="shared" si="2"/>
        <v>150154.59600135952</v>
      </c>
      <c r="X115" s="98">
        <f t="shared" si="2"/>
        <v>154659.23388140032</v>
      </c>
      <c r="Y115" s="203">
        <f t="shared" si="2"/>
        <v>159299.01089784232</v>
      </c>
      <c r="Z115" s="98">
        <f t="shared" si="2"/>
        <v>164077.98122477761</v>
      </c>
      <c r="AA115" s="203">
        <f t="shared" si="2"/>
        <v>169000.32066152093</v>
      </c>
      <c r="AB115" s="98">
        <f t="shared" si="2"/>
        <v>174070.33028136657</v>
      </c>
      <c r="AC115" s="203">
        <f t="shared" si="2"/>
        <v>179292.44018980756</v>
      </c>
      <c r="AD115" s="98">
        <f t="shared" si="2"/>
        <v>184671.21339550184</v>
      </c>
      <c r="AE115" s="203">
        <f t="shared" si="2"/>
        <v>190211.34979736686</v>
      </c>
      <c r="AF115" s="98">
        <f t="shared" si="2"/>
        <v>195917.69029128787</v>
      </c>
      <c r="AG115" s="203">
        <f t="shared" si="2"/>
        <v>201795.2210000265</v>
      </c>
      <c r="AH115" s="217">
        <f t="shared" si="2"/>
        <v>207849.07763002734</v>
      </c>
    </row>
    <row r="116" spans="1:34" x14ac:dyDescent="0.25">
      <c r="A116" s="17" t="s">
        <v>55</v>
      </c>
      <c r="B116" s="18"/>
      <c r="C116" s="24"/>
      <c r="D116" s="280">
        <f>C56</f>
        <v>2.5000000000000001E-2</v>
      </c>
      <c r="E116" s="352">
        <f t="shared" ref="E116:AH116" si="3">$D$116*E114</f>
        <v>29400</v>
      </c>
      <c r="F116" s="353">
        <f t="shared" si="3"/>
        <v>30282</v>
      </c>
      <c r="G116" s="352">
        <f t="shared" si="3"/>
        <v>31190.46</v>
      </c>
      <c r="H116" s="353">
        <f t="shared" si="3"/>
        <v>32126.173800000004</v>
      </c>
      <c r="I116" s="352">
        <f t="shared" si="3"/>
        <v>33089.959014</v>
      </c>
      <c r="J116" s="353">
        <f t="shared" si="3"/>
        <v>34082.65778442</v>
      </c>
      <c r="K116" s="352">
        <f t="shared" si="3"/>
        <v>35105.1375179526</v>
      </c>
      <c r="L116" s="353">
        <f t="shared" si="3"/>
        <v>36158.291643491182</v>
      </c>
      <c r="M116" s="352">
        <f t="shared" si="3"/>
        <v>37243.04039279592</v>
      </c>
      <c r="N116" s="352">
        <f t="shared" si="3"/>
        <v>38360.331604579798</v>
      </c>
      <c r="O116" s="354">
        <f t="shared" si="3"/>
        <v>39511.141552717192</v>
      </c>
      <c r="P116" s="352">
        <f t="shared" si="3"/>
        <v>40696.4757992987</v>
      </c>
      <c r="Q116" s="352">
        <f t="shared" si="3"/>
        <v>41917.370073277671</v>
      </c>
      <c r="R116" s="353">
        <f t="shared" si="3"/>
        <v>43174.891175475997</v>
      </c>
      <c r="S116" s="352">
        <f t="shared" si="3"/>
        <v>44470.137910740275</v>
      </c>
      <c r="T116" s="353">
        <f t="shared" si="3"/>
        <v>45804.242048062486</v>
      </c>
      <c r="U116" s="352">
        <f t="shared" si="3"/>
        <v>47178.369309504364</v>
      </c>
      <c r="V116" s="353">
        <f t="shared" si="3"/>
        <v>48593.720388789494</v>
      </c>
      <c r="W116" s="352">
        <f t="shared" si="3"/>
        <v>50051.532000453182</v>
      </c>
      <c r="X116" s="353">
        <f t="shared" si="3"/>
        <v>51553.077960466777</v>
      </c>
      <c r="Y116" s="352">
        <f t="shared" si="3"/>
        <v>53099.670299280777</v>
      </c>
      <c r="Z116" s="353">
        <f t="shared" si="3"/>
        <v>54692.660408259209</v>
      </c>
      <c r="AA116" s="352">
        <f t="shared" si="3"/>
        <v>56333.440220506978</v>
      </c>
      <c r="AB116" s="353">
        <f t="shared" si="3"/>
        <v>58023.443427122191</v>
      </c>
      <c r="AC116" s="352">
        <f t="shared" si="3"/>
        <v>59764.146729935863</v>
      </c>
      <c r="AD116" s="353">
        <f t="shared" si="3"/>
        <v>61557.071131833945</v>
      </c>
      <c r="AE116" s="352">
        <f t="shared" si="3"/>
        <v>63403.783265788959</v>
      </c>
      <c r="AF116" s="353">
        <f t="shared" si="3"/>
        <v>65305.896763762627</v>
      </c>
      <c r="AG116" s="352">
        <f t="shared" si="3"/>
        <v>67265.073666675511</v>
      </c>
      <c r="AH116" s="317">
        <f t="shared" si="3"/>
        <v>69283.025876675776</v>
      </c>
    </row>
    <row r="117" spans="1:34" ht="16.5" thickBot="1" x14ac:dyDescent="0.3">
      <c r="A117" s="29" t="s">
        <v>99</v>
      </c>
      <c r="B117" s="30"/>
      <c r="C117" s="83"/>
      <c r="D117" s="279"/>
      <c r="E117" s="232">
        <f>E114-E115-E116</f>
        <v>1058400</v>
      </c>
      <c r="F117" s="231">
        <f>F114-F115-F116</f>
        <v>1090152</v>
      </c>
      <c r="G117" s="232">
        <f>G114-G115-G116</f>
        <v>1122856.56</v>
      </c>
      <c r="H117" s="231">
        <f>H114-H115-H116</f>
        <v>1156542.2568000001</v>
      </c>
      <c r="I117" s="232">
        <f>I114-I115-I116</f>
        <v>1191238.5245040001</v>
      </c>
      <c r="J117" s="231">
        <f t="shared" ref="J117:AH117" si="4">J114-J115-J116</f>
        <v>1226975.68023912</v>
      </c>
      <c r="K117" s="232">
        <f t="shared" si="4"/>
        <v>1263784.9506462936</v>
      </c>
      <c r="L117" s="231">
        <f t="shared" si="4"/>
        <v>1301698.4991656824</v>
      </c>
      <c r="M117" s="232">
        <f t="shared" si="4"/>
        <v>1340749.4541406531</v>
      </c>
      <c r="N117" s="232">
        <f t="shared" si="4"/>
        <v>1380971.9377648728</v>
      </c>
      <c r="O117" s="285">
        <f t="shared" si="4"/>
        <v>1422401.0958978187</v>
      </c>
      <c r="P117" s="232">
        <f t="shared" si="4"/>
        <v>1465073.1287747533</v>
      </c>
      <c r="Q117" s="232">
        <f t="shared" si="4"/>
        <v>1509025.3226379959</v>
      </c>
      <c r="R117" s="231">
        <f t="shared" si="4"/>
        <v>1554296.082317136</v>
      </c>
      <c r="S117" s="232">
        <f t="shared" si="4"/>
        <v>1600924.9647866499</v>
      </c>
      <c r="T117" s="231">
        <f t="shared" si="4"/>
        <v>1648952.7137302496</v>
      </c>
      <c r="U117" s="232">
        <f t="shared" si="4"/>
        <v>1698421.295142157</v>
      </c>
      <c r="V117" s="231">
        <f t="shared" si="4"/>
        <v>1749373.9339964218</v>
      </c>
      <c r="W117" s="232">
        <f t="shared" si="4"/>
        <v>1801855.1520163142</v>
      </c>
      <c r="X117" s="231">
        <f t="shared" si="4"/>
        <v>1855910.806576804</v>
      </c>
      <c r="Y117" s="232">
        <f t="shared" si="4"/>
        <v>1911588.130774108</v>
      </c>
      <c r="Z117" s="231">
        <f t="shared" si="4"/>
        <v>1968935.7746973315</v>
      </c>
      <c r="AA117" s="232">
        <f t="shared" si="4"/>
        <v>2028003.8479382512</v>
      </c>
      <c r="AB117" s="231">
        <f t="shared" si="4"/>
        <v>2088843.9633763987</v>
      </c>
      <c r="AC117" s="232">
        <f t="shared" si="4"/>
        <v>2151509.2822776907</v>
      </c>
      <c r="AD117" s="231">
        <f t="shared" si="4"/>
        <v>2216054.560746022</v>
      </c>
      <c r="AE117" s="232">
        <f t="shared" si="4"/>
        <v>2282536.1975684026</v>
      </c>
      <c r="AF117" s="231">
        <f t="shared" si="4"/>
        <v>2351012.2834954546</v>
      </c>
      <c r="AG117" s="232">
        <f t="shared" si="4"/>
        <v>2421542.6520003183</v>
      </c>
      <c r="AH117" s="245">
        <f t="shared" si="4"/>
        <v>2494188.9315603282</v>
      </c>
    </row>
    <row r="118" spans="1:34" x14ac:dyDescent="0.25">
      <c r="A118" s="17" t="s">
        <v>57</v>
      </c>
      <c r="B118" s="18"/>
      <c r="C118" s="345" t="s">
        <v>96</v>
      </c>
      <c r="D118" s="25">
        <f>D74</f>
        <v>0.03</v>
      </c>
      <c r="E118" s="352">
        <f>D58</f>
        <v>245000</v>
      </c>
      <c r="F118" s="353">
        <f t="shared" ref="F118:AH118" si="5">E118*(1+$D$118)</f>
        <v>252350</v>
      </c>
      <c r="G118" s="352">
        <f t="shared" si="5"/>
        <v>259920.5</v>
      </c>
      <c r="H118" s="353">
        <f t="shared" si="5"/>
        <v>267718.11499999999</v>
      </c>
      <c r="I118" s="352">
        <f t="shared" si="5"/>
        <v>275749.65844999999</v>
      </c>
      <c r="J118" s="353">
        <f t="shared" si="5"/>
        <v>284022.14820350002</v>
      </c>
      <c r="K118" s="352">
        <f t="shared" si="5"/>
        <v>292542.81264960504</v>
      </c>
      <c r="L118" s="353">
        <f t="shared" si="5"/>
        <v>301319.09702909319</v>
      </c>
      <c r="M118" s="352">
        <f t="shared" si="5"/>
        <v>310358.669939966</v>
      </c>
      <c r="N118" s="352">
        <f t="shared" si="5"/>
        <v>319669.43003816501</v>
      </c>
      <c r="O118" s="354">
        <f t="shared" si="5"/>
        <v>329259.51293930999</v>
      </c>
      <c r="P118" s="352">
        <f t="shared" si="5"/>
        <v>339137.29832748929</v>
      </c>
      <c r="Q118" s="352">
        <f t="shared" si="5"/>
        <v>349311.417277314</v>
      </c>
      <c r="R118" s="353">
        <f t="shared" si="5"/>
        <v>359790.75979563344</v>
      </c>
      <c r="S118" s="352">
        <f t="shared" si="5"/>
        <v>370584.48258950247</v>
      </c>
      <c r="T118" s="353">
        <f t="shared" si="5"/>
        <v>381702.01706718758</v>
      </c>
      <c r="U118" s="352">
        <f t="shared" si="5"/>
        <v>393153.07757920324</v>
      </c>
      <c r="V118" s="353">
        <f t="shared" si="5"/>
        <v>404947.66990657937</v>
      </c>
      <c r="W118" s="352">
        <f t="shared" si="5"/>
        <v>417096.10000377678</v>
      </c>
      <c r="X118" s="353">
        <f t="shared" si="5"/>
        <v>429608.98300389008</v>
      </c>
      <c r="Y118" s="352">
        <f t="shared" si="5"/>
        <v>442497.25249400683</v>
      </c>
      <c r="Z118" s="353">
        <f t="shared" si="5"/>
        <v>455772.17006882705</v>
      </c>
      <c r="AA118" s="352">
        <f t="shared" si="5"/>
        <v>469445.33517089189</v>
      </c>
      <c r="AB118" s="353">
        <f t="shared" si="5"/>
        <v>483528.69522601867</v>
      </c>
      <c r="AC118" s="352">
        <f t="shared" si="5"/>
        <v>498034.55608279922</v>
      </c>
      <c r="AD118" s="353">
        <f t="shared" si="5"/>
        <v>512975.59276528319</v>
      </c>
      <c r="AE118" s="352">
        <f t="shared" si="5"/>
        <v>528364.86054824165</v>
      </c>
      <c r="AF118" s="353">
        <f t="shared" si="5"/>
        <v>544215.80636468891</v>
      </c>
      <c r="AG118" s="352">
        <f t="shared" si="5"/>
        <v>560542.28055562964</v>
      </c>
      <c r="AH118" s="317">
        <f t="shared" si="5"/>
        <v>577358.54897229851</v>
      </c>
    </row>
    <row r="119" spans="1:34" x14ac:dyDescent="0.25">
      <c r="A119" s="17" t="s">
        <v>100</v>
      </c>
      <c r="B119" s="24"/>
      <c r="C119" s="24"/>
      <c r="D119" s="39"/>
      <c r="E119" s="149">
        <f>$L$12*$C$69*I15</f>
        <v>0</v>
      </c>
      <c r="F119" s="200">
        <f>$L$12*$C$69*(1+$D$112)*I16</f>
        <v>0</v>
      </c>
      <c r="G119" s="149">
        <f>$L$12*$C$69*(1+$D$112)^2*I17</f>
        <v>0</v>
      </c>
      <c r="H119" s="200">
        <f>$L$12*$C$69*(1+$D$112)^3*I18</f>
        <v>0</v>
      </c>
      <c r="I119" s="149">
        <f>$L$12*$C$69*(1+$D$112)^4*I19</f>
        <v>0</v>
      </c>
      <c r="J119" s="200">
        <f>$L$12*$C$69*(1+$D$112)^5*I20</f>
        <v>0</v>
      </c>
      <c r="K119" s="149">
        <f>$L$12*$C$69*(1+$D$112)^6*I21</f>
        <v>0</v>
      </c>
      <c r="L119" s="200">
        <f>$L$12*$C$69*(1+$D$112)^7*I22</f>
        <v>0</v>
      </c>
      <c r="M119" s="149">
        <f>$L$12*$C$69*(1+$D$112)^8*I23</f>
        <v>0</v>
      </c>
      <c r="N119" s="149">
        <f>$L$12*$C$69*(1+$D$112)^9*I24</f>
        <v>0</v>
      </c>
      <c r="O119" s="149">
        <f>$L$12*$C$69*(1+$D$112)^10*I25</f>
        <v>0</v>
      </c>
      <c r="P119" s="149">
        <f>$L$12*$C$69*(1+$D$112)^11*I26</f>
        <v>0</v>
      </c>
      <c r="Q119" s="149">
        <f>$L$12*$C$69*(1+$D$112)^12*I27</f>
        <v>0</v>
      </c>
      <c r="R119" s="149">
        <f>$L$12*$C$69*(1+$D$112)^13*I28</f>
        <v>0</v>
      </c>
      <c r="S119" s="149">
        <f>$L$12*$C$69*(1+$D$112)^14*I29</f>
        <v>0</v>
      </c>
      <c r="T119" s="149">
        <f>$L$12*$C$69*(1+$D$112)^15*I30</f>
        <v>0</v>
      </c>
      <c r="U119" s="149">
        <f>$L$12*$C$69*(1+$D$112)^16*I31</f>
        <v>0</v>
      </c>
      <c r="V119" s="149">
        <f>$L$12*$C$69*(1+$D$112)^17*I32</f>
        <v>0</v>
      </c>
      <c r="W119" s="149">
        <f>$L$12*$C$69*(1+$D$112)^18*I33</f>
        <v>0</v>
      </c>
      <c r="X119" s="149">
        <f>$L$12*$C$69*(1+$D$112)^19*I34</f>
        <v>0</v>
      </c>
      <c r="Y119" s="149">
        <f>$L$12*$C$69*(1+$D$112)^20*I35</f>
        <v>0</v>
      </c>
      <c r="Z119" s="149">
        <f>$L$12*$C$69*(1+$D$112)^21*I36</f>
        <v>0</v>
      </c>
      <c r="AA119" s="149">
        <f>$L$12*$C$69*(1+$D$112)^22*I37</f>
        <v>0</v>
      </c>
      <c r="AB119" s="149">
        <f>$L$12*$C$69*(1+$D$112)^23*I38</f>
        <v>0</v>
      </c>
      <c r="AC119" s="149">
        <f>$L$12*$C$69*(1+$D$112)^24*I39</f>
        <v>0</v>
      </c>
      <c r="AD119" s="149">
        <f>$L$12*$C$69*(1+$D$112)^25*I40</f>
        <v>0</v>
      </c>
      <c r="AE119" s="149">
        <f>$L$12*$C$69*(1+$D$112)^26*I41</f>
        <v>0</v>
      </c>
      <c r="AF119" s="149">
        <f>$L$12*$C$69*(1+$D$112)^27*I42</f>
        <v>0</v>
      </c>
      <c r="AG119" s="149">
        <f>$L$12*$C$69*(1+$D$112)^28*I43</f>
        <v>0</v>
      </c>
      <c r="AH119" s="205">
        <f>$L$12*$C$69*(1+$D$112)^29*I44</f>
        <v>0</v>
      </c>
    </row>
    <row r="120" spans="1:34" x14ac:dyDescent="0.25">
      <c r="A120" s="17" t="s">
        <v>133</v>
      </c>
      <c r="B120" s="24"/>
      <c r="C120" s="24"/>
      <c r="D120" s="39"/>
      <c r="E120" s="149">
        <f>$D$49*$C$48*$L$13*J15</f>
        <v>0</v>
      </c>
      <c r="F120" s="149">
        <f>$D$49*$C$48*$L$13*(1+$D$118)*J16</f>
        <v>0</v>
      </c>
      <c r="G120" s="149">
        <f>$D$49*$C$48*$L$13*(1+$D$118)^2*J17</f>
        <v>0</v>
      </c>
      <c r="H120" s="149">
        <f>$D$49*$C$48*$L$13*(1+$D$118)^3*J18</f>
        <v>0</v>
      </c>
      <c r="I120" s="149">
        <f>$D$49*$C$48*$L$13*(1+$D$118)^4*J19</f>
        <v>0</v>
      </c>
      <c r="J120" s="149">
        <f>$D$49*$C$48*$L$13*(1+$D$118)^5*J20</f>
        <v>0</v>
      </c>
      <c r="K120" s="149">
        <f>$D$49*$C$48*$L$13*(1+$D$118)^6*J21</f>
        <v>0</v>
      </c>
      <c r="L120" s="149">
        <f>$D$49*$C$48*$L$13*(1+$D$118)^7*J22</f>
        <v>0</v>
      </c>
      <c r="M120" s="149">
        <f>$D$49*$C$48*$L$13*(1+$D$118)^8*J23</f>
        <v>0</v>
      </c>
      <c r="N120" s="149">
        <f>$D$49*$C$48*$L$13*(1+$D$118)^9*J24</f>
        <v>0</v>
      </c>
      <c r="O120" s="149">
        <f>$D$49*$C$48*$L$13*(1+$D$118)^10*J25</f>
        <v>0</v>
      </c>
      <c r="P120" s="149">
        <f>$D$49*$C$48*$L$13*(1+$D$118)^11*J26</f>
        <v>0</v>
      </c>
      <c r="Q120" s="149">
        <f>$D$49*$C$48*$L$13*(1+$D$118)^12*J27</f>
        <v>0</v>
      </c>
      <c r="R120" s="149">
        <f>$D$49*$C$48*$L$13*(1+$D$118)^13*J28</f>
        <v>0</v>
      </c>
      <c r="S120" s="149">
        <f>$D$49*$C$48*$L$13*(1+$D$118)^14*J29</f>
        <v>0</v>
      </c>
      <c r="T120" s="149">
        <f>$D$49*$C$48*$L$13*(1+$D$118)^15*J30</f>
        <v>0</v>
      </c>
      <c r="U120" s="149">
        <f>$D$49*$C$48*$L$13*(1+$D$118)^16*J31</f>
        <v>0</v>
      </c>
      <c r="V120" s="149">
        <f>$D$49*$C$48*$L$13*(1+$D$118)^17*J32</f>
        <v>0</v>
      </c>
      <c r="W120" s="149">
        <f>$D$49*$C$48*$L$13*(1+$D$118)^18*J33</f>
        <v>0</v>
      </c>
      <c r="X120" s="149">
        <f>$D$49*$C$48*$L$13*(1+$D$118)^19*J34</f>
        <v>0</v>
      </c>
      <c r="Y120" s="149">
        <f>$D$49*$C$48*$L$13*(1+$D$118)^20*J35</f>
        <v>0</v>
      </c>
      <c r="Z120" s="149">
        <f>$D$49*$C$48*$L$13*(1+$D$118)^21*J36</f>
        <v>0</v>
      </c>
      <c r="AA120" s="149">
        <f>$D$49*$C$48*$L$13*(1+$D$118)^22*J37</f>
        <v>0</v>
      </c>
      <c r="AB120" s="149">
        <f>$D$49*$C$48*$L$13*(1+$D$118)^23*J38</f>
        <v>0</v>
      </c>
      <c r="AC120" s="149">
        <f>$D$49*$C$48*$L$13*(1+$D$118)^24*J39</f>
        <v>0</v>
      </c>
      <c r="AD120" s="149">
        <f>$D$49*$C$48*$L$13*(1+$D$118)^25*J40</f>
        <v>0</v>
      </c>
      <c r="AE120" s="149">
        <f>$D$49*$C$48*$L$13*(1+$D$118)^26*J41</f>
        <v>0</v>
      </c>
      <c r="AF120" s="149">
        <f>$D$49*$C$48*$L$13*(1+$D$118)^27*J42</f>
        <v>0</v>
      </c>
      <c r="AG120" s="149">
        <f>$D$49*$C$48*$L$13*(1+$D$118)^28*J43</f>
        <v>0</v>
      </c>
      <c r="AH120" s="205">
        <f>$D$49*$C$48*$L$13*(1+$D$118)^29*J44</f>
        <v>0</v>
      </c>
    </row>
    <row r="121" spans="1:34" x14ac:dyDescent="0.25">
      <c r="A121" s="17" t="s">
        <v>447</v>
      </c>
      <c r="B121" s="24"/>
      <c r="C121" s="24"/>
      <c r="D121" s="39"/>
      <c r="E121" s="149">
        <f t="shared" ref="E121:AH121" si="6">-$L$95</f>
        <v>-5000</v>
      </c>
      <c r="F121" s="149">
        <f t="shared" si="6"/>
        <v>-5000</v>
      </c>
      <c r="G121" s="149">
        <f t="shared" si="6"/>
        <v>-5000</v>
      </c>
      <c r="H121" s="149">
        <f t="shared" si="6"/>
        <v>-5000</v>
      </c>
      <c r="I121" s="149">
        <f t="shared" si="6"/>
        <v>-5000</v>
      </c>
      <c r="J121" s="149">
        <f t="shared" si="6"/>
        <v>-5000</v>
      </c>
      <c r="K121" s="149">
        <f t="shared" si="6"/>
        <v>-5000</v>
      </c>
      <c r="L121" s="149">
        <f t="shared" si="6"/>
        <v>-5000</v>
      </c>
      <c r="M121" s="149">
        <f t="shared" si="6"/>
        <v>-5000</v>
      </c>
      <c r="N121" s="149">
        <f t="shared" si="6"/>
        <v>-5000</v>
      </c>
      <c r="O121" s="149">
        <f t="shared" si="6"/>
        <v>-5000</v>
      </c>
      <c r="P121" s="149">
        <f t="shared" si="6"/>
        <v>-5000</v>
      </c>
      <c r="Q121" s="149">
        <f t="shared" si="6"/>
        <v>-5000</v>
      </c>
      <c r="R121" s="149">
        <f t="shared" si="6"/>
        <v>-5000</v>
      </c>
      <c r="S121" s="149">
        <f t="shared" si="6"/>
        <v>-5000</v>
      </c>
      <c r="T121" s="149">
        <f t="shared" si="6"/>
        <v>-5000</v>
      </c>
      <c r="U121" s="149">
        <f t="shared" si="6"/>
        <v>-5000</v>
      </c>
      <c r="V121" s="149">
        <f t="shared" si="6"/>
        <v>-5000</v>
      </c>
      <c r="W121" s="149">
        <f t="shared" si="6"/>
        <v>-5000</v>
      </c>
      <c r="X121" s="149">
        <f t="shared" si="6"/>
        <v>-5000</v>
      </c>
      <c r="Y121" s="149">
        <f t="shared" si="6"/>
        <v>-5000</v>
      </c>
      <c r="Z121" s="149">
        <f t="shared" si="6"/>
        <v>-5000</v>
      </c>
      <c r="AA121" s="149">
        <f t="shared" si="6"/>
        <v>-5000</v>
      </c>
      <c r="AB121" s="149">
        <f t="shared" si="6"/>
        <v>-5000</v>
      </c>
      <c r="AC121" s="149">
        <f t="shared" si="6"/>
        <v>-5000</v>
      </c>
      <c r="AD121" s="149">
        <f t="shared" si="6"/>
        <v>-5000</v>
      </c>
      <c r="AE121" s="149">
        <f t="shared" si="6"/>
        <v>-5000</v>
      </c>
      <c r="AF121" s="149">
        <f t="shared" si="6"/>
        <v>-5000</v>
      </c>
      <c r="AG121" s="149">
        <f t="shared" si="6"/>
        <v>-5000</v>
      </c>
      <c r="AH121" s="205">
        <f t="shared" si="6"/>
        <v>-5000</v>
      </c>
    </row>
    <row r="122" spans="1:34" x14ac:dyDescent="0.25">
      <c r="A122" s="17" t="s">
        <v>446</v>
      </c>
      <c r="B122" s="24"/>
      <c r="C122" s="24"/>
      <c r="D122" s="39"/>
      <c r="E122" s="149">
        <f t="shared" ref="E122:AH122" si="7">-$L$96</f>
        <v>0</v>
      </c>
      <c r="F122" s="149">
        <f t="shared" si="7"/>
        <v>0</v>
      </c>
      <c r="G122" s="149">
        <f t="shared" si="7"/>
        <v>0</v>
      </c>
      <c r="H122" s="149">
        <f t="shared" si="7"/>
        <v>0</v>
      </c>
      <c r="I122" s="149">
        <f t="shared" si="7"/>
        <v>0</v>
      </c>
      <c r="J122" s="149">
        <f t="shared" si="7"/>
        <v>0</v>
      </c>
      <c r="K122" s="149">
        <f t="shared" si="7"/>
        <v>0</v>
      </c>
      <c r="L122" s="149">
        <f t="shared" si="7"/>
        <v>0</v>
      </c>
      <c r="M122" s="149">
        <f t="shared" si="7"/>
        <v>0</v>
      </c>
      <c r="N122" s="149">
        <f t="shared" si="7"/>
        <v>0</v>
      </c>
      <c r="O122" s="149">
        <f t="shared" si="7"/>
        <v>0</v>
      </c>
      <c r="P122" s="149">
        <f t="shared" si="7"/>
        <v>0</v>
      </c>
      <c r="Q122" s="149">
        <f t="shared" si="7"/>
        <v>0</v>
      </c>
      <c r="R122" s="149">
        <f t="shared" si="7"/>
        <v>0</v>
      </c>
      <c r="S122" s="149">
        <f t="shared" si="7"/>
        <v>0</v>
      </c>
      <c r="T122" s="149">
        <f t="shared" si="7"/>
        <v>0</v>
      </c>
      <c r="U122" s="149">
        <f t="shared" si="7"/>
        <v>0</v>
      </c>
      <c r="V122" s="149">
        <f t="shared" si="7"/>
        <v>0</v>
      </c>
      <c r="W122" s="149">
        <f t="shared" si="7"/>
        <v>0</v>
      </c>
      <c r="X122" s="149">
        <f t="shared" si="7"/>
        <v>0</v>
      </c>
      <c r="Y122" s="149">
        <f t="shared" si="7"/>
        <v>0</v>
      </c>
      <c r="Z122" s="149">
        <f t="shared" si="7"/>
        <v>0</v>
      </c>
      <c r="AA122" s="149">
        <f t="shared" si="7"/>
        <v>0</v>
      </c>
      <c r="AB122" s="149">
        <f t="shared" si="7"/>
        <v>0</v>
      </c>
      <c r="AC122" s="149">
        <f t="shared" si="7"/>
        <v>0</v>
      </c>
      <c r="AD122" s="149">
        <f t="shared" si="7"/>
        <v>0</v>
      </c>
      <c r="AE122" s="149">
        <f t="shared" si="7"/>
        <v>0</v>
      </c>
      <c r="AF122" s="149">
        <f t="shared" si="7"/>
        <v>0</v>
      </c>
      <c r="AG122" s="149">
        <f t="shared" si="7"/>
        <v>0</v>
      </c>
      <c r="AH122" s="205">
        <f t="shared" si="7"/>
        <v>0</v>
      </c>
    </row>
    <row r="123" spans="1:34" x14ac:dyDescent="0.25">
      <c r="A123" s="17" t="s">
        <v>445</v>
      </c>
      <c r="B123" s="24"/>
      <c r="C123" s="24"/>
      <c r="D123" s="39"/>
      <c r="E123" s="149">
        <f>K15+L15</f>
        <v>0</v>
      </c>
      <c r="F123" s="200">
        <f>K16+L16</f>
        <v>0</v>
      </c>
      <c r="G123" s="149">
        <f>K17+L17</f>
        <v>0</v>
      </c>
      <c r="H123" s="200">
        <f>K18+L18</f>
        <v>0</v>
      </c>
      <c r="I123" s="149">
        <f>K19+L19</f>
        <v>0</v>
      </c>
      <c r="J123" s="200">
        <f>K20+L20</f>
        <v>0</v>
      </c>
      <c r="K123" s="149">
        <f>K21+L21</f>
        <v>0</v>
      </c>
      <c r="L123" s="200">
        <f>K22+L22</f>
        <v>0</v>
      </c>
      <c r="M123" s="149">
        <f>K23+L23</f>
        <v>0</v>
      </c>
      <c r="N123" s="149">
        <f>K24+L24</f>
        <v>0</v>
      </c>
      <c r="O123" s="149">
        <f>K25+L25</f>
        <v>0</v>
      </c>
      <c r="P123" s="149">
        <f>K26+L26</f>
        <v>0</v>
      </c>
      <c r="Q123" s="149">
        <f>K27+L27</f>
        <v>0</v>
      </c>
      <c r="R123" s="149">
        <f>K28+L28</f>
        <v>0</v>
      </c>
      <c r="S123" s="200">
        <f>K29+L29</f>
        <v>0</v>
      </c>
      <c r="T123" s="149">
        <f>K30+L30</f>
        <v>0</v>
      </c>
      <c r="U123" s="200">
        <f>K31+L31</f>
        <v>0</v>
      </c>
      <c r="V123" s="149">
        <f>K32+L32</f>
        <v>0</v>
      </c>
      <c r="W123" s="200">
        <f>K33+L33</f>
        <v>0</v>
      </c>
      <c r="X123" s="149">
        <f>K34+L34</f>
        <v>0</v>
      </c>
      <c r="Y123" s="200">
        <f>K35+L35</f>
        <v>0</v>
      </c>
      <c r="Z123" s="149">
        <f>K36+L36</f>
        <v>0</v>
      </c>
      <c r="AA123" s="200">
        <f>K37+L37</f>
        <v>0</v>
      </c>
      <c r="AB123" s="149">
        <f>K38+L38</f>
        <v>0</v>
      </c>
      <c r="AC123" s="200">
        <f>K39+L39</f>
        <v>0</v>
      </c>
      <c r="AD123" s="149">
        <f>K40+L40</f>
        <v>0</v>
      </c>
      <c r="AE123" s="200">
        <f>K41+L41</f>
        <v>0</v>
      </c>
      <c r="AF123" s="149">
        <f>K42+L42</f>
        <v>0</v>
      </c>
      <c r="AG123" s="200">
        <f>K43+L43</f>
        <v>0</v>
      </c>
      <c r="AH123" s="205">
        <f>K44+L44</f>
        <v>0</v>
      </c>
    </row>
    <row r="124" spans="1:34" ht="16.5" thickBot="1" x14ac:dyDescent="0.3">
      <c r="A124" s="29" t="s">
        <v>64</v>
      </c>
      <c r="B124" s="30"/>
      <c r="C124" s="83"/>
      <c r="D124" s="126"/>
      <c r="E124" s="232">
        <f>E117-E118+E119+E120+E121+E122+E123</f>
        <v>808400</v>
      </c>
      <c r="F124" s="232">
        <f t="shared" ref="F124:AH124" si="8">F117-F118+F119+F120+F121+F122+F123</f>
        <v>832802</v>
      </c>
      <c r="G124" s="232">
        <f t="shared" si="8"/>
        <v>857936.06</v>
      </c>
      <c r="H124" s="232">
        <f t="shared" si="8"/>
        <v>883824.1418000001</v>
      </c>
      <c r="I124" s="232">
        <f t="shared" si="8"/>
        <v>910488.8660540001</v>
      </c>
      <c r="J124" s="232">
        <f t="shared" si="8"/>
        <v>937953.53203561995</v>
      </c>
      <c r="K124" s="232">
        <f t="shared" si="8"/>
        <v>966242.13799668849</v>
      </c>
      <c r="L124" s="232">
        <f t="shared" si="8"/>
        <v>995379.40213658917</v>
      </c>
      <c r="M124" s="232">
        <f t="shared" si="8"/>
        <v>1025390.7842006872</v>
      </c>
      <c r="N124" s="232">
        <f t="shared" si="8"/>
        <v>1056302.5077267077</v>
      </c>
      <c r="O124" s="232">
        <f t="shared" si="8"/>
        <v>1088141.5829585087</v>
      </c>
      <c r="P124" s="232">
        <f t="shared" si="8"/>
        <v>1120935.830447264</v>
      </c>
      <c r="Q124" s="232">
        <f t="shared" si="8"/>
        <v>1154713.9053606819</v>
      </c>
      <c r="R124" s="232">
        <f t="shared" si="8"/>
        <v>1189505.3225215026</v>
      </c>
      <c r="S124" s="232">
        <f t="shared" si="8"/>
        <v>1225340.4821971473</v>
      </c>
      <c r="T124" s="232">
        <f t="shared" si="8"/>
        <v>1262250.6966630621</v>
      </c>
      <c r="U124" s="232">
        <f t="shared" si="8"/>
        <v>1300268.2175629537</v>
      </c>
      <c r="V124" s="232">
        <f t="shared" si="8"/>
        <v>1339426.2640898423</v>
      </c>
      <c r="W124" s="232">
        <f t="shared" si="8"/>
        <v>1379759.0520125374</v>
      </c>
      <c r="X124" s="232">
        <f t="shared" si="8"/>
        <v>1421301.8235729139</v>
      </c>
      <c r="Y124" s="232">
        <f t="shared" si="8"/>
        <v>1464090.8782801011</v>
      </c>
      <c r="Z124" s="232">
        <f t="shared" si="8"/>
        <v>1508163.6046285045</v>
      </c>
      <c r="AA124" s="232">
        <f t="shared" si="8"/>
        <v>1553558.5127673594</v>
      </c>
      <c r="AB124" s="232">
        <f t="shared" si="8"/>
        <v>1600315.2681503799</v>
      </c>
      <c r="AC124" s="232">
        <f t="shared" si="8"/>
        <v>1648474.7261948916</v>
      </c>
      <c r="AD124" s="232">
        <f t="shared" si="8"/>
        <v>1698078.9679807387</v>
      </c>
      <c r="AE124" s="232">
        <f t="shared" si="8"/>
        <v>1749171.3370201611</v>
      </c>
      <c r="AF124" s="232">
        <f t="shared" si="8"/>
        <v>1801796.4771307656</v>
      </c>
      <c r="AG124" s="232">
        <f t="shared" si="8"/>
        <v>1856000.3714446886</v>
      </c>
      <c r="AH124" s="204">
        <f t="shared" si="8"/>
        <v>1911830.3825880298</v>
      </c>
    </row>
    <row r="125" spans="1:34" x14ac:dyDescent="0.25">
      <c r="A125" s="17"/>
      <c r="B125" s="18"/>
      <c r="C125" s="24"/>
      <c r="D125" s="38"/>
      <c r="E125" s="281"/>
      <c r="F125" s="98"/>
      <c r="G125" s="203"/>
      <c r="H125" s="98"/>
      <c r="I125" s="203"/>
      <c r="J125" s="98"/>
      <c r="K125" s="203"/>
      <c r="L125" s="98"/>
      <c r="M125" s="203"/>
      <c r="N125" s="203"/>
      <c r="O125" s="39"/>
      <c r="P125" s="159"/>
      <c r="Q125" s="159"/>
      <c r="R125" s="39"/>
      <c r="S125" s="159"/>
      <c r="T125" s="39"/>
      <c r="U125" s="159"/>
      <c r="V125" s="39"/>
      <c r="W125" s="159"/>
      <c r="X125" s="39"/>
      <c r="Y125" s="159"/>
      <c r="Z125" s="39"/>
      <c r="AA125" s="159"/>
      <c r="AB125" s="39"/>
      <c r="AC125" s="159"/>
      <c r="AD125" s="39"/>
      <c r="AE125" s="159"/>
      <c r="AF125" s="39"/>
      <c r="AG125" s="159"/>
      <c r="AH125" s="26"/>
    </row>
    <row r="126" spans="1:34" x14ac:dyDescent="0.25">
      <c r="A126" s="17" t="s">
        <v>101</v>
      </c>
      <c r="B126" s="18"/>
      <c r="C126" s="18"/>
      <c r="D126" s="38"/>
      <c r="E126" s="352">
        <f>-$E$105+(IF($L$102&gt;=1,$L$104,0))+(IF($L$109&gt;=1,#REF!,0))</f>
        <v>296341.2445609413</v>
      </c>
      <c r="F126" s="352">
        <f>-$E$105+(IF($L$102&gt;=2,$L$104,0))+(IF($L$109&gt;=2,#REF!,0))</f>
        <v>296341.2445609413</v>
      </c>
      <c r="G126" s="352">
        <f>-$E$105+(IF($L$102&gt;=3,$L$104,0))+(IF($L$109&gt;=3,#REF!,0))</f>
        <v>296341.2445609413</v>
      </c>
      <c r="H126" s="352">
        <f>-$E$105+(IF($L$102&gt;=4,$L$104,0))+(IF($L$109&gt;=4,#REF!,0))</f>
        <v>296341.2445609413</v>
      </c>
      <c r="I126" s="352">
        <f>-$E$105+(IF($L$102&gt;=5,$L$104,0))+(IF($L$109&gt;=5,#REF!,0))</f>
        <v>296341.2445609413</v>
      </c>
      <c r="J126" s="352">
        <f>-$E$105+(IF($L$102&gt;=6,$L$104,0))+(IF($L$109&gt;=6,#REF!,0))</f>
        <v>296341.2445609413</v>
      </c>
      <c r="K126" s="352">
        <f>-$E$105+(IF($L$102&gt;=7,$L$104,0))+(IF($L$109&gt;=7,#REF!,0))</f>
        <v>296341.2445609413</v>
      </c>
      <c r="L126" s="352">
        <f>-$E$105+(IF($L$102&gt;=8,$L$104,0))+(IF($L$109&gt;=8,#REF!,0))</f>
        <v>296341.2445609413</v>
      </c>
      <c r="M126" s="352">
        <f>-$E$105+(IF($L$102&gt;=9,$L$104,0))+(IF($L$109&gt;=9,#REF!,0))</f>
        <v>296341.2445609413</v>
      </c>
      <c r="N126" s="352">
        <f>-$E$105+(IF($L$102&gt;=10,$L$104,0))+(IF($L$109&gt;=10,#REF!,0))</f>
        <v>296341.2445609413</v>
      </c>
      <c r="O126" s="352">
        <f>-$E$105+(IF($L$102&gt;=11,$L$104,0))+(IF($L$109&gt;=11,#REF!,0))</f>
        <v>296341.2445609413</v>
      </c>
      <c r="P126" s="352">
        <f>-$E$105+(IF($L$102&gt;=12,$L$104,0))+(IF($L$109&gt;=12,#REF!,0))</f>
        <v>296341.2445609413</v>
      </c>
      <c r="Q126" s="352">
        <f>-$E$105+(IF($L$102&gt;=13,$L$104,0))+(IF($L$109&gt;=13,#REF!,0))</f>
        <v>296341.2445609413</v>
      </c>
      <c r="R126" s="352">
        <f>-$E$105+(IF($L$102&gt;=14,$L$104,0))+(IF($L$109&gt;=14,#REF!,0))</f>
        <v>296341.2445609413</v>
      </c>
      <c r="S126" s="352">
        <f>-$E$105+(IF($L$102&gt;=15,$L$104,0))+(IF($L$109&gt;=15,#REF!,0))</f>
        <v>296341.2445609413</v>
      </c>
      <c r="T126" s="352">
        <f>-$E$105+(IF($L$102&gt;=16,$L$104,0))+(IF($L$109&gt;=16,#REF!,0))</f>
        <v>296341.2445609413</v>
      </c>
      <c r="U126" s="352">
        <f>-$E$105+(IF($L$102&gt;=17,$L$104,0))+(IF($L$109&gt;=17,#REF!,0))</f>
        <v>296341.2445609413</v>
      </c>
      <c r="V126" s="352">
        <f>-$E$105+(IF($L$102&gt;=18,$L$104,0))+(IF($L$109&gt;=18,#REF!,0))</f>
        <v>296341.2445609413</v>
      </c>
      <c r="W126" s="352">
        <f>-$E$105+(IF($L$102&gt;=19,$L$104,0))+(IF($L$109&gt;=19,#REF!,0))</f>
        <v>296341.2445609413</v>
      </c>
      <c r="X126" s="352">
        <f>-$E$105+(IF($L$102&gt;=20,$L$104,0))+(IF($L$109&gt;=20,#REF!,0))</f>
        <v>296341.2445609413</v>
      </c>
      <c r="Y126" s="352">
        <f>-$E$105+(IF($L$102&gt;=21,$L$104,0))+(IF($L$109&gt;=21,#REF!,0))</f>
        <v>296341.2445609413</v>
      </c>
      <c r="Z126" s="352">
        <f>-$E$105+(IF($L$102&gt;=22,$L$104,0))+(IF($L$109&gt;=22,#REF!,0))</f>
        <v>296341.2445609413</v>
      </c>
      <c r="AA126" s="352">
        <f>-$E$105+(IF($L$102&gt;=23,$L$104,0))+(IF($L$109&gt;=23,#REF!,0))</f>
        <v>296341.2445609413</v>
      </c>
      <c r="AB126" s="352">
        <f>-$E$105+(IF($L$102&gt;=24,$L$104,0))+(IF($L$109&gt;=24,#REF!,0))</f>
        <v>296341.2445609413</v>
      </c>
      <c r="AC126" s="352">
        <f>-$E$105+(IF($L$102&gt;=25,$L$104,0))+(IF($L$109&gt;=25,#REF!,0))</f>
        <v>296341.2445609413</v>
      </c>
      <c r="AD126" s="352">
        <f>-$E$105+(IF($L$102&gt;=26,$L$104,0))+(IF($L$109&gt;=26,#REF!,0))</f>
        <v>296341.2445609413</v>
      </c>
      <c r="AE126" s="352">
        <f>-$E$105+(IF($L$102&gt;=27,$L$104,0))+(IF($L$109&gt;=27,#REF!,0))</f>
        <v>296341.2445609413</v>
      </c>
      <c r="AF126" s="352">
        <f>-$E$105+(IF($L$102&gt;=28,$L$104,0))+(IF($L$109&gt;=28,#REF!,0))</f>
        <v>296341.2445609413</v>
      </c>
      <c r="AG126" s="352">
        <f>-$E$105+(IF($L$102&gt;=29,$L$104,0))+(IF($L$109&gt;=29,#REF!,0))</f>
        <v>296341.2445609413</v>
      </c>
      <c r="AH126" s="317">
        <f>-$E$105+(IF($L$102&gt;=30,$L$104,0))+(IF($L$109&gt;=30,#REF!,0))</f>
        <v>296341.2445609413</v>
      </c>
    </row>
    <row r="127" spans="1:34" ht="16.5" thickBot="1" x14ac:dyDescent="0.3">
      <c r="A127" s="29" t="s">
        <v>436</v>
      </c>
      <c r="B127" s="30"/>
      <c r="C127" s="30"/>
      <c r="D127" s="126"/>
      <c r="E127" s="232">
        <f t="shared" ref="E127:AH127" si="9">E124-E126</f>
        <v>512058.7554390587</v>
      </c>
      <c r="F127" s="231">
        <f t="shared" si="9"/>
        <v>536460.75543905864</v>
      </c>
      <c r="G127" s="232">
        <f t="shared" si="9"/>
        <v>561594.8154390587</v>
      </c>
      <c r="H127" s="231">
        <f t="shared" si="9"/>
        <v>587482.89723905874</v>
      </c>
      <c r="I127" s="232">
        <f t="shared" si="9"/>
        <v>614147.62149305874</v>
      </c>
      <c r="J127" s="231">
        <f t="shared" si="9"/>
        <v>641612.2874746786</v>
      </c>
      <c r="K127" s="232">
        <f t="shared" si="9"/>
        <v>669900.89343574713</v>
      </c>
      <c r="L127" s="231">
        <f t="shared" si="9"/>
        <v>699038.15757564781</v>
      </c>
      <c r="M127" s="232">
        <f t="shared" si="9"/>
        <v>729049.53963974584</v>
      </c>
      <c r="N127" s="232">
        <f t="shared" si="9"/>
        <v>759961.26316576637</v>
      </c>
      <c r="O127" s="231">
        <f t="shared" si="9"/>
        <v>791800.33839756739</v>
      </c>
      <c r="P127" s="232">
        <f t="shared" si="9"/>
        <v>824594.58588632266</v>
      </c>
      <c r="Q127" s="232">
        <f t="shared" si="9"/>
        <v>858372.66079974058</v>
      </c>
      <c r="R127" s="231">
        <f t="shared" si="9"/>
        <v>893164.07796056126</v>
      </c>
      <c r="S127" s="232">
        <f t="shared" si="9"/>
        <v>928999.23763620597</v>
      </c>
      <c r="T127" s="231">
        <f t="shared" si="9"/>
        <v>965909.45210212073</v>
      </c>
      <c r="U127" s="232">
        <f t="shared" si="9"/>
        <v>1003926.9730020124</v>
      </c>
      <c r="V127" s="231">
        <f t="shared" si="9"/>
        <v>1043085.019528901</v>
      </c>
      <c r="W127" s="232">
        <f t="shared" si="9"/>
        <v>1083417.807451596</v>
      </c>
      <c r="X127" s="231">
        <f t="shared" si="9"/>
        <v>1124960.5790119725</v>
      </c>
      <c r="Y127" s="232">
        <f t="shared" si="9"/>
        <v>1167749.6337191598</v>
      </c>
      <c r="Z127" s="231">
        <f t="shared" si="9"/>
        <v>1211822.3600675631</v>
      </c>
      <c r="AA127" s="232">
        <f t="shared" si="9"/>
        <v>1257217.268206418</v>
      </c>
      <c r="AB127" s="231">
        <f t="shared" si="9"/>
        <v>1303974.0235894385</v>
      </c>
      <c r="AC127" s="232">
        <f t="shared" si="9"/>
        <v>1352133.4816339503</v>
      </c>
      <c r="AD127" s="231">
        <f t="shared" si="9"/>
        <v>1401737.7234197974</v>
      </c>
      <c r="AE127" s="232">
        <f t="shared" si="9"/>
        <v>1452830.0924592197</v>
      </c>
      <c r="AF127" s="231">
        <f t="shared" si="9"/>
        <v>1505455.2325698242</v>
      </c>
      <c r="AG127" s="232">
        <f t="shared" si="9"/>
        <v>1559659.1268837473</v>
      </c>
      <c r="AH127" s="245">
        <f t="shared" si="9"/>
        <v>1615489.1380270885</v>
      </c>
    </row>
    <row r="128" spans="1:34" x14ac:dyDescent="0.25">
      <c r="A128" s="90"/>
      <c r="B128" s="18"/>
      <c r="C128" s="18"/>
      <c r="D128" s="38"/>
      <c r="E128" s="206"/>
      <c r="F128" s="133"/>
      <c r="G128" s="206"/>
      <c r="H128" s="133"/>
      <c r="I128" s="206"/>
      <c r="J128" s="133"/>
      <c r="K128" s="206"/>
      <c r="L128" s="133"/>
      <c r="M128" s="206"/>
      <c r="N128" s="206"/>
      <c r="O128" s="39"/>
      <c r="P128" s="159"/>
      <c r="Q128" s="159"/>
      <c r="R128" s="39"/>
      <c r="S128" s="159"/>
      <c r="T128" s="39"/>
      <c r="U128" s="159"/>
      <c r="V128" s="39"/>
      <c r="W128" s="159"/>
      <c r="X128" s="39"/>
      <c r="Y128" s="159"/>
      <c r="Z128" s="39"/>
      <c r="AA128" s="159"/>
      <c r="AB128" s="39"/>
      <c r="AC128" s="159"/>
      <c r="AD128" s="39"/>
      <c r="AE128" s="159"/>
      <c r="AF128" s="39"/>
      <c r="AG128" s="159"/>
      <c r="AH128" s="26"/>
    </row>
    <row r="129" spans="1:35" x14ac:dyDescent="0.25">
      <c r="A129" s="17" t="s">
        <v>6</v>
      </c>
      <c r="B129" s="18"/>
      <c r="C129" s="18"/>
      <c r="D129" s="38"/>
      <c r="E129" s="207">
        <f t="shared" ref="E129:AH129" si="10">IFERROR(E124/$E$107,0)</f>
        <v>0.11598278335724534</v>
      </c>
      <c r="F129" s="209">
        <f t="shared" si="10"/>
        <v>0.11948378766140602</v>
      </c>
      <c r="G129" s="207">
        <f t="shared" si="10"/>
        <v>0.12308982209469155</v>
      </c>
      <c r="H129" s="209">
        <f t="shared" si="10"/>
        <v>0.12680403756097564</v>
      </c>
      <c r="I129" s="207">
        <f t="shared" si="10"/>
        <v>0.13062967949124821</v>
      </c>
      <c r="J129" s="209">
        <f t="shared" si="10"/>
        <v>0.13457009067942896</v>
      </c>
      <c r="K129" s="207">
        <f t="shared" si="10"/>
        <v>0.13862871420325518</v>
      </c>
      <c r="L129" s="209">
        <f t="shared" si="10"/>
        <v>0.14280909643279616</v>
      </c>
      <c r="M129" s="207">
        <f t="shared" si="10"/>
        <v>0.14711489012922341</v>
      </c>
      <c r="N129" s="207">
        <f t="shared" si="10"/>
        <v>0.15154985763654344</v>
      </c>
      <c r="O129" s="209">
        <f t="shared" si="10"/>
        <v>0.15611787416908304</v>
      </c>
      <c r="P129" s="207">
        <f t="shared" si="10"/>
        <v>0.16082293119759886</v>
      </c>
      <c r="Q129" s="207">
        <f t="shared" si="10"/>
        <v>0.16566913993697016</v>
      </c>
      <c r="R129" s="209">
        <f t="shared" si="10"/>
        <v>0.1706607349385226</v>
      </c>
      <c r="S129" s="207">
        <f t="shared" si="10"/>
        <v>0.17580207779012158</v>
      </c>
      <c r="T129" s="209">
        <f t="shared" si="10"/>
        <v>0.18109766092726859</v>
      </c>
      <c r="U129" s="207">
        <f t="shared" si="10"/>
        <v>0.18655211155852994</v>
      </c>
      <c r="V129" s="209">
        <f t="shared" si="10"/>
        <v>0.19217019570872917</v>
      </c>
      <c r="W129" s="207">
        <f t="shared" si="10"/>
        <v>0.19795682238343434</v>
      </c>
      <c r="X129" s="209">
        <f t="shared" si="10"/>
        <v>0.20391704785838075</v>
      </c>
      <c r="Y129" s="207">
        <f t="shared" si="10"/>
        <v>0.21005608009757548</v>
      </c>
      <c r="Z129" s="209">
        <f t="shared" si="10"/>
        <v>0.21637928330394612</v>
      </c>
      <c r="AA129" s="207">
        <f t="shared" si="10"/>
        <v>0.22289218260650781</v>
      </c>
      <c r="AB129" s="209">
        <f t="shared" si="10"/>
        <v>0.22960046888814634</v>
      </c>
      <c r="AC129" s="207">
        <f t="shared" si="10"/>
        <v>0.23651000375823408</v>
      </c>
      <c r="AD129" s="209">
        <f t="shared" si="10"/>
        <v>0.24362682467442451</v>
      </c>
      <c r="AE129" s="207">
        <f t="shared" si="10"/>
        <v>0.25095715021810061</v>
      </c>
      <c r="AF129" s="209">
        <f t="shared" si="10"/>
        <v>0.25850738552808689</v>
      </c>
      <c r="AG129" s="207">
        <f t="shared" si="10"/>
        <v>0.26628412789737282</v>
      </c>
      <c r="AH129" s="282">
        <f t="shared" si="10"/>
        <v>0.27429417253773741</v>
      </c>
    </row>
    <row r="130" spans="1:35" ht="16.5" thickBot="1" x14ac:dyDescent="0.3">
      <c r="A130" s="135" t="s">
        <v>451</v>
      </c>
      <c r="B130" s="136"/>
      <c r="C130" s="349" t="s">
        <v>19</v>
      </c>
      <c r="D130" s="350">
        <f>D5</f>
        <v>0.1</v>
      </c>
      <c r="E130" s="225">
        <f t="shared" ref="E130:AH130" si="11">IFERROR(E127/$E$108,0)</f>
        <v>0.2238019036009872</v>
      </c>
      <c r="F130" s="225">
        <f t="shared" si="11"/>
        <v>0.23446711339119697</v>
      </c>
      <c r="G130" s="225">
        <f t="shared" si="11"/>
        <v>0.24545227947511306</v>
      </c>
      <c r="H130" s="225">
        <f t="shared" si="11"/>
        <v>0.25676700054154666</v>
      </c>
      <c r="I130" s="225">
        <f t="shared" si="11"/>
        <v>0.26842116323997323</v>
      </c>
      <c r="J130" s="225">
        <f t="shared" si="11"/>
        <v>0.28042495081935254</v>
      </c>
      <c r="K130" s="225">
        <f t="shared" si="11"/>
        <v>0.29278885202611327</v>
      </c>
      <c r="L130" s="225">
        <f t="shared" si="11"/>
        <v>0.30552367026907684</v>
      </c>
      <c r="M130" s="225">
        <f t="shared" si="11"/>
        <v>0.31864053305932949</v>
      </c>
      <c r="N130" s="225">
        <f t="shared" si="11"/>
        <v>0.33215090173328948</v>
      </c>
      <c r="O130" s="286">
        <f t="shared" si="11"/>
        <v>0.34606658146746827</v>
      </c>
      <c r="P130" s="225">
        <f t="shared" si="11"/>
        <v>0.3603997315936725</v>
      </c>
      <c r="Q130" s="225">
        <f t="shared" si="11"/>
        <v>0.37516287622366284</v>
      </c>
      <c r="R130" s="286">
        <f t="shared" si="11"/>
        <v>0.39036891519255301</v>
      </c>
      <c r="S130" s="225">
        <f t="shared" si="11"/>
        <v>0.40603113533050961</v>
      </c>
      <c r="T130" s="286">
        <f t="shared" si="11"/>
        <v>0.4221632220726052</v>
      </c>
      <c r="U130" s="225">
        <f t="shared" si="11"/>
        <v>0.43877927141696343</v>
      </c>
      <c r="V130" s="286">
        <f t="shared" si="11"/>
        <v>0.45589380224165255</v>
      </c>
      <c r="W130" s="225">
        <f t="shared" si="11"/>
        <v>0.47352176899108217</v>
      </c>
      <c r="X130" s="286">
        <f t="shared" si="11"/>
        <v>0.49167857474299498</v>
      </c>
      <c r="Y130" s="225">
        <f t="shared" si="11"/>
        <v>0.51038008466746487</v>
      </c>
      <c r="Z130" s="286">
        <f t="shared" si="11"/>
        <v>0.5296426398896692</v>
      </c>
      <c r="AA130" s="225">
        <f t="shared" si="11"/>
        <v>0.54948307176853939</v>
      </c>
      <c r="AB130" s="286">
        <f t="shared" si="11"/>
        <v>0.56991871660377558</v>
      </c>
      <c r="AC130" s="225">
        <f t="shared" si="11"/>
        <v>0.59096743078406921</v>
      </c>
      <c r="AD130" s="286">
        <f t="shared" si="11"/>
        <v>0.61264760638977156</v>
      </c>
      <c r="AE130" s="225">
        <f t="shared" si="11"/>
        <v>0.63497818726364497</v>
      </c>
      <c r="AF130" s="286">
        <f t="shared" si="11"/>
        <v>0.6579786855637344</v>
      </c>
      <c r="AG130" s="225">
        <f t="shared" si="11"/>
        <v>0.68166919881282662</v>
      </c>
      <c r="AH130" s="216">
        <f t="shared" si="11"/>
        <v>0.70607042745939186</v>
      </c>
    </row>
    <row r="131" spans="1:35" ht="16.5" thickBot="1" x14ac:dyDescent="0.3">
      <c r="A131" s="38"/>
      <c r="B131" s="38"/>
      <c r="C131" s="38"/>
      <c r="D131" s="38"/>
      <c r="E131" s="38"/>
      <c r="F131" s="38"/>
      <c r="G131" s="38"/>
      <c r="H131" s="38"/>
      <c r="I131" s="38"/>
      <c r="J131" s="38"/>
      <c r="K131" s="38"/>
      <c r="L131" s="38"/>
      <c r="M131" s="38"/>
      <c r="N131" s="38"/>
    </row>
    <row r="132" spans="1:35" ht="16.5" thickBot="1" x14ac:dyDescent="0.3">
      <c r="A132" s="79" t="s">
        <v>448</v>
      </c>
      <c r="B132" s="51"/>
      <c r="C132" s="51"/>
      <c r="D132" s="360" t="s">
        <v>104</v>
      </c>
      <c r="E132" s="360" t="s">
        <v>85</v>
      </c>
      <c r="F132" s="360" t="s">
        <v>86</v>
      </c>
      <c r="G132" s="360" t="s">
        <v>87</v>
      </c>
      <c r="H132" s="360" t="s">
        <v>88</v>
      </c>
      <c r="I132" s="360" t="s">
        <v>89</v>
      </c>
      <c r="J132" s="360" t="s">
        <v>90</v>
      </c>
      <c r="K132" s="360" t="s">
        <v>91</v>
      </c>
      <c r="L132" s="360" t="s">
        <v>92</v>
      </c>
      <c r="M132" s="360" t="s">
        <v>93</v>
      </c>
      <c r="N132" s="356" t="s">
        <v>94</v>
      </c>
      <c r="O132" s="357" t="s">
        <v>239</v>
      </c>
      <c r="P132" s="358" t="s">
        <v>240</v>
      </c>
      <c r="Q132" s="358" t="s">
        <v>241</v>
      </c>
      <c r="R132" s="340" t="s">
        <v>242</v>
      </c>
      <c r="S132" s="358" t="s">
        <v>243</v>
      </c>
      <c r="T132" s="340" t="s">
        <v>244</v>
      </c>
      <c r="U132" s="358" t="s">
        <v>245</v>
      </c>
      <c r="V132" s="340" t="s">
        <v>246</v>
      </c>
      <c r="W132" s="358" t="s">
        <v>247</v>
      </c>
      <c r="X132" s="340" t="s">
        <v>248</v>
      </c>
      <c r="Y132" s="358" t="s">
        <v>249</v>
      </c>
      <c r="Z132" s="340" t="s">
        <v>250</v>
      </c>
      <c r="AA132" s="358" t="s">
        <v>251</v>
      </c>
      <c r="AB132" s="340" t="s">
        <v>252</v>
      </c>
      <c r="AC132" s="358" t="s">
        <v>253</v>
      </c>
      <c r="AD132" s="340" t="s">
        <v>254</v>
      </c>
      <c r="AE132" s="358" t="s">
        <v>255</v>
      </c>
      <c r="AF132" s="340" t="s">
        <v>256</v>
      </c>
      <c r="AG132" s="358" t="s">
        <v>257</v>
      </c>
      <c r="AH132" s="359" t="s">
        <v>258</v>
      </c>
    </row>
    <row r="133" spans="1:35" x14ac:dyDescent="0.25">
      <c r="A133" s="17" t="s">
        <v>105</v>
      </c>
      <c r="B133" s="18"/>
      <c r="C133" s="24"/>
      <c r="D133" s="342">
        <f>D77</f>
        <v>0.08</v>
      </c>
      <c r="E133" s="336"/>
      <c r="F133" s="477"/>
      <c r="G133" s="143"/>
      <c r="H133" s="143"/>
      <c r="I133" s="142"/>
      <c r="J133" s="144"/>
      <c r="K133" s="144"/>
      <c r="L133" s="144"/>
      <c r="M133" s="144"/>
      <c r="N133" s="98">
        <f>IFERROR(IF($C$11=10,N124/$D$133,0),0)</f>
        <v>13203781.346583847</v>
      </c>
      <c r="O133" s="203"/>
      <c r="P133" s="98"/>
      <c r="Q133" s="203"/>
      <c r="R133" s="98"/>
      <c r="S133" s="203">
        <f>IFERROR(IF($C$11=15,S124/$D$133,0),0)</f>
        <v>0</v>
      </c>
      <c r="T133" s="98"/>
      <c r="U133" s="149"/>
      <c r="V133" s="200"/>
      <c r="W133" s="149"/>
      <c r="X133" s="98">
        <f>IFERROR(IF($C$11=20,X124/$D$133,0),0)</f>
        <v>0</v>
      </c>
      <c r="Y133" s="149"/>
      <c r="Z133" s="200"/>
      <c r="AA133" s="149"/>
      <c r="AB133" s="200"/>
      <c r="AC133" s="203">
        <f>IFERROR(IF($C$11=25,AC124/$D$133,0),0)</f>
        <v>0</v>
      </c>
      <c r="AD133" s="200"/>
      <c r="AE133" s="149"/>
      <c r="AF133" s="200"/>
      <c r="AG133" s="149"/>
      <c r="AH133" s="217">
        <f>IFERROR(IF($C$11=30,AH124/$D$133,0),0)</f>
        <v>0</v>
      </c>
    </row>
    <row r="134" spans="1:35" ht="18" x14ac:dyDescent="0.4">
      <c r="A134" s="17" t="s">
        <v>106</v>
      </c>
      <c r="B134" s="18"/>
      <c r="C134" s="18"/>
      <c r="D134" s="343">
        <f>D78</f>
        <v>0.05</v>
      </c>
      <c r="E134" s="336"/>
      <c r="F134" s="211"/>
      <c r="G134" s="143"/>
      <c r="H134" s="143"/>
      <c r="I134" s="142"/>
      <c r="J134" s="145"/>
      <c r="K134" s="145"/>
      <c r="L134" s="145"/>
      <c r="M134" s="145"/>
      <c r="N134" s="353">
        <f>N133*(1-$D$134)</f>
        <v>12543592.279254654</v>
      </c>
      <c r="O134" s="352"/>
      <c r="P134" s="353"/>
      <c r="Q134" s="352"/>
      <c r="R134" s="353"/>
      <c r="S134" s="352">
        <f>S133*(1-$D$134)</f>
        <v>0</v>
      </c>
      <c r="T134" s="200"/>
      <c r="U134" s="149"/>
      <c r="V134" s="200"/>
      <c r="W134" s="149"/>
      <c r="X134" s="353">
        <f>X133*(1-$D$134)</f>
        <v>0</v>
      </c>
      <c r="Y134" s="149"/>
      <c r="Z134" s="200"/>
      <c r="AA134" s="149"/>
      <c r="AB134" s="200"/>
      <c r="AC134" s="352">
        <f>AC133*(1-$D$134)</f>
        <v>0</v>
      </c>
      <c r="AD134" s="200"/>
      <c r="AE134" s="149"/>
      <c r="AF134" s="200"/>
      <c r="AG134" s="149"/>
      <c r="AH134" s="317">
        <f>AH133*(1-$D$134)</f>
        <v>0</v>
      </c>
    </row>
    <row r="135" spans="1:35" x14ac:dyDescent="0.25">
      <c r="A135" s="17" t="s">
        <v>107</v>
      </c>
      <c r="B135" s="24"/>
      <c r="C135" s="24"/>
      <c r="D135" s="142"/>
      <c r="E135" s="142"/>
      <c r="F135" s="142"/>
      <c r="G135" s="142"/>
      <c r="H135" s="142"/>
      <c r="I135" s="142"/>
      <c r="J135" s="142"/>
      <c r="K135" s="142"/>
      <c r="L135" s="142"/>
      <c r="M135" s="142"/>
      <c r="N135" s="200">
        <f>IF($C$11=10,-AA180,0)</f>
        <v>-3788859.5137062012</v>
      </c>
      <c r="O135" s="149"/>
      <c r="P135" s="200"/>
      <c r="Q135" s="149"/>
      <c r="R135" s="200"/>
      <c r="S135" s="149">
        <f>IF($C$11=15,-AA185,0)</f>
        <v>0</v>
      </c>
      <c r="T135" s="200"/>
      <c r="U135" s="149"/>
      <c r="V135" s="200"/>
      <c r="W135" s="149"/>
      <c r="X135" s="200">
        <f>IF($C$11=20,-AA190,0)</f>
        <v>0</v>
      </c>
      <c r="Y135" s="149"/>
      <c r="Z135" s="200"/>
      <c r="AA135" s="149"/>
      <c r="AB135" s="200"/>
      <c r="AC135" s="149">
        <f>IF($C$11=25,-AA195,0)</f>
        <v>0</v>
      </c>
      <c r="AD135" s="200"/>
      <c r="AE135" s="149"/>
      <c r="AF135" s="200"/>
      <c r="AG135" s="149"/>
      <c r="AH135" s="316">
        <f>V200</f>
        <v>-2.8148861019872129E-10</v>
      </c>
    </row>
    <row r="136" spans="1:35" ht="16.5" thickBot="1" x14ac:dyDescent="0.3">
      <c r="A136" s="125" t="s">
        <v>108</v>
      </c>
      <c r="B136" s="83"/>
      <c r="C136" s="83"/>
      <c r="D136" s="146"/>
      <c r="E136" s="147"/>
      <c r="F136" s="147"/>
      <c r="G136" s="147"/>
      <c r="H136" s="147"/>
      <c r="I136" s="147"/>
      <c r="J136" s="147"/>
      <c r="K136" s="147"/>
      <c r="L136" s="147"/>
      <c r="M136" s="147"/>
      <c r="N136" s="231">
        <f>N134+N135</f>
        <v>8754732.7655484527</v>
      </c>
      <c r="O136" s="442"/>
      <c r="P136" s="443"/>
      <c r="Q136" s="442"/>
      <c r="R136" s="443"/>
      <c r="S136" s="232">
        <f>S134+S135</f>
        <v>0</v>
      </c>
      <c r="T136" s="443"/>
      <c r="U136" s="442"/>
      <c r="V136" s="443"/>
      <c r="W136" s="442"/>
      <c r="X136" s="231">
        <f>X134+X135</f>
        <v>0</v>
      </c>
      <c r="Y136" s="442"/>
      <c r="Z136" s="443"/>
      <c r="AA136" s="442"/>
      <c r="AB136" s="443"/>
      <c r="AC136" s="232">
        <f>AC134+AC135</f>
        <v>0</v>
      </c>
      <c r="AD136" s="443"/>
      <c r="AE136" s="442"/>
      <c r="AF136" s="443"/>
      <c r="AG136" s="442"/>
      <c r="AH136" s="245">
        <f>AH134+AH135</f>
        <v>-2.8148861019872129E-10</v>
      </c>
    </row>
    <row r="137" spans="1:35" ht="16.5" thickBot="1" x14ac:dyDescent="0.3"/>
    <row r="138" spans="1:35" ht="16.5" thickBot="1" x14ac:dyDescent="0.3">
      <c r="A138" s="79" t="s">
        <v>433</v>
      </c>
      <c r="B138" s="44"/>
      <c r="C138" s="44"/>
      <c r="D138" s="360" t="s">
        <v>104</v>
      </c>
      <c r="E138" s="355" t="s">
        <v>85</v>
      </c>
      <c r="F138" s="355" t="s">
        <v>86</v>
      </c>
      <c r="G138" s="355" t="s">
        <v>87</v>
      </c>
      <c r="H138" s="355" t="s">
        <v>88</v>
      </c>
      <c r="I138" s="355" t="s">
        <v>89</v>
      </c>
      <c r="J138" s="355" t="s">
        <v>90</v>
      </c>
      <c r="K138" s="355" t="s">
        <v>91</v>
      </c>
      <c r="L138" s="355" t="s">
        <v>92</v>
      </c>
      <c r="M138" s="355" t="s">
        <v>93</v>
      </c>
      <c r="N138" s="356" t="s">
        <v>94</v>
      </c>
      <c r="O138" s="357" t="s">
        <v>239</v>
      </c>
      <c r="P138" s="358" t="s">
        <v>240</v>
      </c>
      <c r="Q138" s="358" t="s">
        <v>241</v>
      </c>
      <c r="R138" s="340" t="s">
        <v>242</v>
      </c>
      <c r="S138" s="358" t="s">
        <v>243</v>
      </c>
      <c r="T138" s="340" t="s">
        <v>244</v>
      </c>
      <c r="U138" s="358" t="s">
        <v>245</v>
      </c>
      <c r="V138" s="340" t="s">
        <v>246</v>
      </c>
      <c r="W138" s="358" t="s">
        <v>247</v>
      </c>
      <c r="X138" s="340" t="s">
        <v>248</v>
      </c>
      <c r="Y138" s="358" t="s">
        <v>249</v>
      </c>
      <c r="Z138" s="340" t="s">
        <v>250</v>
      </c>
      <c r="AA138" s="358" t="s">
        <v>251</v>
      </c>
      <c r="AB138" s="340" t="s">
        <v>252</v>
      </c>
      <c r="AC138" s="358" t="s">
        <v>253</v>
      </c>
      <c r="AD138" s="340" t="s">
        <v>254</v>
      </c>
      <c r="AE138" s="358" t="s">
        <v>255</v>
      </c>
      <c r="AF138" s="340" t="s">
        <v>256</v>
      </c>
      <c r="AG138" s="358" t="s">
        <v>257</v>
      </c>
      <c r="AH138" s="359" t="s">
        <v>258</v>
      </c>
    </row>
    <row r="139" spans="1:35" x14ac:dyDescent="0.25">
      <c r="A139" s="17" t="s">
        <v>449</v>
      </c>
      <c r="B139" s="24"/>
      <c r="C139" s="24"/>
      <c r="D139" s="161">
        <f>-C27</f>
        <v>-6970000</v>
      </c>
      <c r="E139" s="149"/>
      <c r="F139" s="149"/>
      <c r="G139" s="149"/>
      <c r="H139" s="149"/>
      <c r="I139" s="149"/>
      <c r="J139" s="149"/>
      <c r="K139" s="149"/>
      <c r="L139" s="149"/>
      <c r="M139" s="149"/>
      <c r="N139" s="200"/>
      <c r="O139" s="149"/>
      <c r="P139" s="200"/>
      <c r="Q139" s="149"/>
      <c r="R139" s="200"/>
      <c r="S139" s="149"/>
      <c r="T139" s="200"/>
      <c r="U139" s="149"/>
      <c r="V139" s="200"/>
      <c r="W139" s="149"/>
      <c r="X139" s="200"/>
      <c r="Y139" s="149"/>
      <c r="Z139" s="200"/>
      <c r="AA139" s="149"/>
      <c r="AB139" s="200"/>
      <c r="AC139" s="149"/>
      <c r="AD139" s="200"/>
      <c r="AE139" s="149"/>
      <c r="AF139" s="200"/>
      <c r="AG139" s="149"/>
      <c r="AH139" s="134"/>
    </row>
    <row r="140" spans="1:35" x14ac:dyDescent="0.25">
      <c r="A140" s="17" t="s">
        <v>110</v>
      </c>
      <c r="B140" s="24"/>
      <c r="C140" s="24"/>
      <c r="D140" s="161"/>
      <c r="E140" s="149">
        <f t="shared" ref="E140:AH140" si="12">E124</f>
        <v>808400</v>
      </c>
      <c r="F140" s="149">
        <f t="shared" si="12"/>
        <v>832802</v>
      </c>
      <c r="G140" s="149">
        <f t="shared" si="12"/>
        <v>857936.06</v>
      </c>
      <c r="H140" s="149">
        <f t="shared" si="12"/>
        <v>883824.1418000001</v>
      </c>
      <c r="I140" s="149">
        <f t="shared" si="12"/>
        <v>910488.8660540001</v>
      </c>
      <c r="J140" s="149">
        <f t="shared" si="12"/>
        <v>937953.53203561995</v>
      </c>
      <c r="K140" s="149">
        <f t="shared" si="12"/>
        <v>966242.13799668849</v>
      </c>
      <c r="L140" s="149">
        <f t="shared" si="12"/>
        <v>995379.40213658917</v>
      </c>
      <c r="M140" s="149">
        <f t="shared" si="12"/>
        <v>1025390.7842006872</v>
      </c>
      <c r="N140" s="200">
        <f t="shared" si="12"/>
        <v>1056302.5077267077</v>
      </c>
      <c r="O140" s="149">
        <f t="shared" si="12"/>
        <v>1088141.5829585087</v>
      </c>
      <c r="P140" s="200">
        <f t="shared" si="12"/>
        <v>1120935.830447264</v>
      </c>
      <c r="Q140" s="149">
        <f t="shared" si="12"/>
        <v>1154713.9053606819</v>
      </c>
      <c r="R140" s="200">
        <f t="shared" si="12"/>
        <v>1189505.3225215026</v>
      </c>
      <c r="S140" s="149">
        <f t="shared" si="12"/>
        <v>1225340.4821971473</v>
      </c>
      <c r="T140" s="200">
        <f t="shared" si="12"/>
        <v>1262250.6966630621</v>
      </c>
      <c r="U140" s="149">
        <f t="shared" si="12"/>
        <v>1300268.2175629537</v>
      </c>
      <c r="V140" s="200">
        <f t="shared" si="12"/>
        <v>1339426.2640898423</v>
      </c>
      <c r="W140" s="149">
        <f t="shared" si="12"/>
        <v>1379759.0520125374</v>
      </c>
      <c r="X140" s="200">
        <f t="shared" si="12"/>
        <v>1421301.8235729139</v>
      </c>
      <c r="Y140" s="149">
        <f t="shared" si="12"/>
        <v>1464090.8782801011</v>
      </c>
      <c r="Z140" s="200">
        <f t="shared" si="12"/>
        <v>1508163.6046285045</v>
      </c>
      <c r="AA140" s="149">
        <f t="shared" si="12"/>
        <v>1553558.5127673594</v>
      </c>
      <c r="AB140" s="200">
        <f t="shared" si="12"/>
        <v>1600315.2681503799</v>
      </c>
      <c r="AC140" s="149">
        <f t="shared" si="12"/>
        <v>1648474.7261948916</v>
      </c>
      <c r="AD140" s="200">
        <f t="shared" si="12"/>
        <v>1698078.9679807387</v>
      </c>
      <c r="AE140" s="149">
        <f t="shared" si="12"/>
        <v>1749171.3370201611</v>
      </c>
      <c r="AF140" s="200">
        <f t="shared" si="12"/>
        <v>1801796.4771307656</v>
      </c>
      <c r="AG140" s="149">
        <f t="shared" si="12"/>
        <v>1856000.3714446886</v>
      </c>
      <c r="AH140" s="134">
        <f t="shared" si="12"/>
        <v>1911830.3825880298</v>
      </c>
    </row>
    <row r="141" spans="1:35" x14ac:dyDescent="0.25">
      <c r="A141" s="17" t="s">
        <v>111</v>
      </c>
      <c r="B141" s="24"/>
      <c r="C141" s="24"/>
      <c r="D141" s="161"/>
      <c r="E141" s="149"/>
      <c r="F141" s="149"/>
      <c r="G141" s="149"/>
      <c r="H141" s="149"/>
      <c r="I141" s="149"/>
      <c r="J141" s="149"/>
      <c r="K141" s="149"/>
      <c r="L141" s="149"/>
      <c r="M141" s="149"/>
      <c r="N141" s="200">
        <f>N134</f>
        <v>12543592.279254654</v>
      </c>
      <c r="O141" s="149"/>
      <c r="P141" s="200"/>
      <c r="Q141" s="149"/>
      <c r="R141" s="200"/>
      <c r="S141" s="149">
        <f>S134</f>
        <v>0</v>
      </c>
      <c r="T141" s="200"/>
      <c r="U141" s="149"/>
      <c r="V141" s="200"/>
      <c r="W141" s="149"/>
      <c r="X141" s="200">
        <f>X134</f>
        <v>0</v>
      </c>
      <c r="Y141" s="149"/>
      <c r="Z141" s="200"/>
      <c r="AA141" s="149"/>
      <c r="AB141" s="200"/>
      <c r="AC141" s="149">
        <f>AC134</f>
        <v>0</v>
      </c>
      <c r="AD141" s="200"/>
      <c r="AE141" s="149"/>
      <c r="AF141" s="200"/>
      <c r="AG141" s="149"/>
      <c r="AH141" s="134">
        <f>AH134</f>
        <v>0</v>
      </c>
    </row>
    <row r="142" spans="1:35" ht="16.5" thickBot="1" x14ac:dyDescent="0.3">
      <c r="A142" s="125" t="s">
        <v>3</v>
      </c>
      <c r="B142" s="83"/>
      <c r="C142" s="83"/>
      <c r="D142" s="441">
        <f>SUM(D139:D141)</f>
        <v>-6970000</v>
      </c>
      <c r="E142" s="442">
        <f>SUM(E139:E141)</f>
        <v>808400</v>
      </c>
      <c r="F142" s="442">
        <f t="shared" ref="F142:AH142" si="13">SUM(F139:F141)</f>
        <v>832802</v>
      </c>
      <c r="G142" s="442">
        <f t="shared" si="13"/>
        <v>857936.06</v>
      </c>
      <c r="H142" s="442">
        <f t="shared" si="13"/>
        <v>883824.1418000001</v>
      </c>
      <c r="I142" s="442">
        <f t="shared" si="13"/>
        <v>910488.8660540001</v>
      </c>
      <c r="J142" s="442">
        <f t="shared" si="13"/>
        <v>937953.53203561995</v>
      </c>
      <c r="K142" s="442">
        <f t="shared" si="13"/>
        <v>966242.13799668849</v>
      </c>
      <c r="L142" s="442">
        <f t="shared" si="13"/>
        <v>995379.40213658917</v>
      </c>
      <c r="M142" s="442">
        <f t="shared" si="13"/>
        <v>1025390.7842006872</v>
      </c>
      <c r="N142" s="443">
        <f t="shared" si="13"/>
        <v>13599894.786981363</v>
      </c>
      <c r="O142" s="442">
        <f t="shared" si="13"/>
        <v>1088141.5829585087</v>
      </c>
      <c r="P142" s="443">
        <f t="shared" si="13"/>
        <v>1120935.830447264</v>
      </c>
      <c r="Q142" s="442">
        <f t="shared" si="13"/>
        <v>1154713.9053606819</v>
      </c>
      <c r="R142" s="443">
        <f t="shared" si="13"/>
        <v>1189505.3225215026</v>
      </c>
      <c r="S142" s="442">
        <f t="shared" si="13"/>
        <v>1225340.4821971473</v>
      </c>
      <c r="T142" s="443">
        <f t="shared" si="13"/>
        <v>1262250.6966630621</v>
      </c>
      <c r="U142" s="442">
        <f t="shared" si="13"/>
        <v>1300268.2175629537</v>
      </c>
      <c r="V142" s="443">
        <f t="shared" si="13"/>
        <v>1339426.2640898423</v>
      </c>
      <c r="W142" s="442">
        <f t="shared" si="13"/>
        <v>1379759.0520125374</v>
      </c>
      <c r="X142" s="443">
        <f t="shared" si="13"/>
        <v>1421301.8235729139</v>
      </c>
      <c r="Y142" s="442">
        <f t="shared" si="13"/>
        <v>1464090.8782801011</v>
      </c>
      <c r="Z142" s="443">
        <f t="shared" si="13"/>
        <v>1508163.6046285045</v>
      </c>
      <c r="AA142" s="442">
        <f t="shared" si="13"/>
        <v>1553558.5127673594</v>
      </c>
      <c r="AB142" s="443">
        <f t="shared" si="13"/>
        <v>1600315.2681503799</v>
      </c>
      <c r="AC142" s="442">
        <f t="shared" si="13"/>
        <v>1648474.7261948916</v>
      </c>
      <c r="AD142" s="443">
        <f t="shared" si="13"/>
        <v>1698078.9679807387</v>
      </c>
      <c r="AE142" s="442">
        <f t="shared" si="13"/>
        <v>1749171.3370201611</v>
      </c>
      <c r="AF142" s="443">
        <f t="shared" si="13"/>
        <v>1801796.4771307656</v>
      </c>
      <c r="AG142" s="442">
        <f t="shared" si="13"/>
        <v>1856000.3714446886</v>
      </c>
      <c r="AH142" s="444">
        <f t="shared" si="13"/>
        <v>1911830.3825880298</v>
      </c>
    </row>
    <row r="143" spans="1:35" ht="16.5" thickBot="1" x14ac:dyDescent="0.3">
      <c r="A143" s="19" t="s">
        <v>112</v>
      </c>
      <c r="B143" s="71"/>
      <c r="C143" s="346" t="s">
        <v>19</v>
      </c>
      <c r="D143" s="347">
        <f>D6</f>
        <v>0.12</v>
      </c>
      <c r="E143" s="151"/>
      <c r="F143" s="151"/>
      <c r="G143" s="151"/>
      <c r="H143" s="151"/>
      <c r="I143" s="151"/>
      <c r="J143" s="151"/>
      <c r="K143" s="151"/>
      <c r="L143" s="151"/>
      <c r="M143" s="151"/>
      <c r="N143" s="294">
        <f>IFERROR(IF($C$11=10,IRR(D142:N142),0),0)</f>
        <v>0.16492270867505421</v>
      </c>
      <c r="O143" s="295"/>
      <c r="P143" s="276"/>
      <c r="Q143" s="151"/>
      <c r="R143" s="276"/>
      <c r="S143" s="293">
        <f>IFERROR(IF($C$11=15,IRR(D142:S142),0),0)</f>
        <v>0</v>
      </c>
      <c r="T143" s="296"/>
      <c r="U143" s="151"/>
      <c r="V143" s="276"/>
      <c r="W143" s="151"/>
      <c r="X143" s="292">
        <f>IFERROR(IF($C$11=20,IRR(D142:X142),0),0)</f>
        <v>0</v>
      </c>
      <c r="Y143" s="295"/>
      <c r="Z143" s="276"/>
      <c r="AA143" s="151"/>
      <c r="AB143" s="276"/>
      <c r="AC143" s="293">
        <f>IFERROR(IF($C$11=25,IRR(D142:AC142),0),0)</f>
        <v>0</v>
      </c>
      <c r="AD143" s="296"/>
      <c r="AE143" s="151"/>
      <c r="AF143" s="276"/>
      <c r="AG143" s="151"/>
      <c r="AH143" s="152">
        <f>IFERROR(IF($C$11=30,IRR(D142:AH142),0),0)</f>
        <v>0</v>
      </c>
      <c r="AI143" s="262"/>
    </row>
    <row r="144" spans="1:35" ht="16.5" thickBot="1" x14ac:dyDescent="0.3">
      <c r="A144" s="19" t="s">
        <v>113</v>
      </c>
      <c r="B144" s="114"/>
      <c r="C144" s="346" t="s">
        <v>19</v>
      </c>
      <c r="D144" s="348">
        <f>D6</f>
        <v>0.12</v>
      </c>
      <c r="E144" s="153"/>
      <c r="F144" s="478"/>
      <c r="G144" s="478"/>
      <c r="H144" s="478"/>
      <c r="I144" s="478"/>
      <c r="J144" s="478"/>
      <c r="K144" s="478"/>
      <c r="L144" s="478"/>
      <c r="M144" s="478"/>
      <c r="N144" s="445">
        <f>IF($C$11=10,(NPV(D6,E142:N142))+D142,0)</f>
        <v>2167535.0726277623</v>
      </c>
      <c r="O144" s="446"/>
      <c r="P144" s="447"/>
      <c r="Q144" s="446"/>
      <c r="R144" s="447"/>
      <c r="S144" s="448">
        <f>IF($C$11=15,(NPV(D6,E142:S142))+D142,0)</f>
        <v>0</v>
      </c>
      <c r="T144" s="447"/>
      <c r="U144" s="446"/>
      <c r="V144" s="447"/>
      <c r="W144" s="446"/>
      <c r="X144" s="449">
        <f>IF($C$11=20,(NPV(D6,E142:X142))+D142,0)</f>
        <v>0</v>
      </c>
      <c r="Y144" s="446"/>
      <c r="Z144" s="447"/>
      <c r="AA144" s="446"/>
      <c r="AB144" s="447"/>
      <c r="AC144" s="448">
        <f>IF($C$11=25,(NPV(D6,E142:AC142))+D142,0)</f>
        <v>0</v>
      </c>
      <c r="AD144" s="447"/>
      <c r="AE144" s="446"/>
      <c r="AF144" s="447"/>
      <c r="AG144" s="446"/>
      <c r="AH144" s="450">
        <f>IF($C$11=30,(NPV(D6,E142:AH142))+D142,0)</f>
        <v>0</v>
      </c>
      <c r="AI144" s="157"/>
    </row>
    <row r="145" spans="1:35" ht="16.5" thickBot="1" x14ac:dyDescent="0.3">
      <c r="A145" s="154"/>
      <c r="B145" s="38"/>
      <c r="C145" s="38"/>
      <c r="D145" s="38"/>
      <c r="E145" s="38"/>
      <c r="F145" s="38"/>
      <c r="G145" s="38"/>
      <c r="H145" s="38"/>
      <c r="I145" s="38"/>
      <c r="J145" s="38"/>
      <c r="K145" s="38"/>
      <c r="L145" s="38"/>
      <c r="M145" s="38"/>
      <c r="N145" s="155"/>
    </row>
    <row r="146" spans="1:35" ht="16.5" thickBot="1" x14ac:dyDescent="0.3">
      <c r="A146" s="79" t="s">
        <v>434</v>
      </c>
      <c r="B146" s="51"/>
      <c r="C146" s="51"/>
      <c r="D146" s="360" t="s">
        <v>104</v>
      </c>
      <c r="E146" s="360" t="s">
        <v>85</v>
      </c>
      <c r="F146" s="360" t="s">
        <v>86</v>
      </c>
      <c r="G146" s="360" t="s">
        <v>87</v>
      </c>
      <c r="H146" s="360" t="s">
        <v>88</v>
      </c>
      <c r="I146" s="360" t="s">
        <v>89</v>
      </c>
      <c r="J146" s="360" t="s">
        <v>90</v>
      </c>
      <c r="K146" s="360" t="s">
        <v>91</v>
      </c>
      <c r="L146" s="360" t="s">
        <v>92</v>
      </c>
      <c r="M146" s="360" t="s">
        <v>93</v>
      </c>
      <c r="N146" s="356" t="s">
        <v>94</v>
      </c>
      <c r="O146" s="358" t="s">
        <v>239</v>
      </c>
      <c r="P146" s="340" t="s">
        <v>240</v>
      </c>
      <c r="Q146" s="358" t="s">
        <v>241</v>
      </c>
      <c r="R146" s="340" t="s">
        <v>242</v>
      </c>
      <c r="S146" s="358" t="s">
        <v>243</v>
      </c>
      <c r="T146" s="340" t="s">
        <v>244</v>
      </c>
      <c r="U146" s="358" t="s">
        <v>245</v>
      </c>
      <c r="V146" s="340" t="s">
        <v>246</v>
      </c>
      <c r="W146" s="358" t="s">
        <v>247</v>
      </c>
      <c r="X146" s="340" t="s">
        <v>248</v>
      </c>
      <c r="Y146" s="358" t="s">
        <v>249</v>
      </c>
      <c r="Z146" s="340" t="s">
        <v>250</v>
      </c>
      <c r="AA146" s="358" t="s">
        <v>251</v>
      </c>
      <c r="AB146" s="340" t="s">
        <v>252</v>
      </c>
      <c r="AC146" s="358" t="s">
        <v>253</v>
      </c>
      <c r="AD146" s="340" t="s">
        <v>254</v>
      </c>
      <c r="AE146" s="358" t="s">
        <v>255</v>
      </c>
      <c r="AF146" s="340" t="s">
        <v>256</v>
      </c>
      <c r="AG146" s="358" t="s">
        <v>257</v>
      </c>
      <c r="AH146" s="359" t="s">
        <v>258</v>
      </c>
    </row>
    <row r="147" spans="1:35" x14ac:dyDescent="0.25">
      <c r="A147" s="17" t="s">
        <v>450</v>
      </c>
      <c r="B147" s="18"/>
      <c r="C147" s="18"/>
      <c r="D147" s="158">
        <f>-E108</f>
        <v>-2288000</v>
      </c>
      <c r="E147" s="161"/>
      <c r="F147" s="158"/>
      <c r="G147" s="158"/>
      <c r="H147" s="158"/>
      <c r="I147" s="158"/>
      <c r="J147" s="158"/>
      <c r="K147" s="158"/>
      <c r="L147" s="158"/>
      <c r="M147" s="158"/>
      <c r="N147" s="98"/>
      <c r="O147" s="149"/>
      <c r="P147" s="200"/>
      <c r="Q147" s="149"/>
      <c r="R147" s="200"/>
      <c r="S147" s="149"/>
      <c r="T147" s="200"/>
      <c r="U147" s="149"/>
      <c r="V147" s="200"/>
      <c r="W147" s="149"/>
      <c r="X147" s="200"/>
      <c r="Y147" s="149"/>
      <c r="Z147" s="200"/>
      <c r="AA147" s="149"/>
      <c r="AB147" s="200"/>
      <c r="AC147" s="149"/>
      <c r="AD147" s="200"/>
      <c r="AE147" s="149"/>
      <c r="AF147" s="200"/>
      <c r="AG147" s="149"/>
      <c r="AH147" s="134"/>
    </row>
    <row r="148" spans="1:35" x14ac:dyDescent="0.25">
      <c r="A148" s="17" t="s">
        <v>436</v>
      </c>
      <c r="B148" s="18"/>
      <c r="C148" s="18"/>
      <c r="D148" s="158"/>
      <c r="E148" s="158">
        <f t="shared" ref="E148:AH148" si="14">E127</f>
        <v>512058.7554390587</v>
      </c>
      <c r="F148" s="158">
        <f t="shared" si="14"/>
        <v>536460.75543905864</v>
      </c>
      <c r="G148" s="158">
        <f t="shared" si="14"/>
        <v>561594.8154390587</v>
      </c>
      <c r="H148" s="158">
        <f t="shared" si="14"/>
        <v>587482.89723905874</v>
      </c>
      <c r="I148" s="158">
        <f t="shared" si="14"/>
        <v>614147.62149305874</v>
      </c>
      <c r="J148" s="158">
        <f t="shared" si="14"/>
        <v>641612.2874746786</v>
      </c>
      <c r="K148" s="158">
        <f t="shared" si="14"/>
        <v>669900.89343574713</v>
      </c>
      <c r="L148" s="158">
        <f t="shared" si="14"/>
        <v>699038.15757564781</v>
      </c>
      <c r="M148" s="158">
        <f t="shared" si="14"/>
        <v>729049.53963974584</v>
      </c>
      <c r="N148" s="98">
        <f t="shared" si="14"/>
        <v>759961.26316576637</v>
      </c>
      <c r="O148" s="203">
        <f t="shared" si="14"/>
        <v>791800.33839756739</v>
      </c>
      <c r="P148" s="98">
        <f t="shared" si="14"/>
        <v>824594.58588632266</v>
      </c>
      <c r="Q148" s="203">
        <f t="shared" si="14"/>
        <v>858372.66079974058</v>
      </c>
      <c r="R148" s="98">
        <f t="shared" si="14"/>
        <v>893164.07796056126</v>
      </c>
      <c r="S148" s="203">
        <f t="shared" si="14"/>
        <v>928999.23763620597</v>
      </c>
      <c r="T148" s="98">
        <f t="shared" si="14"/>
        <v>965909.45210212073</v>
      </c>
      <c r="U148" s="203">
        <f t="shared" si="14"/>
        <v>1003926.9730020124</v>
      </c>
      <c r="V148" s="98">
        <f t="shared" si="14"/>
        <v>1043085.019528901</v>
      </c>
      <c r="W148" s="203">
        <f t="shared" si="14"/>
        <v>1083417.807451596</v>
      </c>
      <c r="X148" s="98">
        <f t="shared" si="14"/>
        <v>1124960.5790119725</v>
      </c>
      <c r="Y148" s="203">
        <f t="shared" si="14"/>
        <v>1167749.6337191598</v>
      </c>
      <c r="Z148" s="98">
        <f t="shared" si="14"/>
        <v>1211822.3600675631</v>
      </c>
      <c r="AA148" s="203">
        <f t="shared" si="14"/>
        <v>1257217.268206418</v>
      </c>
      <c r="AB148" s="98">
        <f t="shared" si="14"/>
        <v>1303974.0235894385</v>
      </c>
      <c r="AC148" s="203">
        <f t="shared" si="14"/>
        <v>1352133.4816339503</v>
      </c>
      <c r="AD148" s="98">
        <f t="shared" si="14"/>
        <v>1401737.7234197974</v>
      </c>
      <c r="AE148" s="203">
        <f t="shared" si="14"/>
        <v>1452830.0924592197</v>
      </c>
      <c r="AF148" s="98">
        <f t="shared" si="14"/>
        <v>1505455.2325698242</v>
      </c>
      <c r="AG148" s="203">
        <f t="shared" si="14"/>
        <v>1559659.1268837473</v>
      </c>
      <c r="AH148" s="217">
        <f t="shared" si="14"/>
        <v>1615489.1380270885</v>
      </c>
    </row>
    <row r="149" spans="1:35" x14ac:dyDescent="0.25">
      <c r="A149" s="17" t="s">
        <v>108</v>
      </c>
      <c r="B149" s="18"/>
      <c r="C149" s="18"/>
      <c r="D149" s="158"/>
      <c r="E149" s="452"/>
      <c r="F149" s="452"/>
      <c r="G149" s="452"/>
      <c r="H149" s="452"/>
      <c r="I149" s="452"/>
      <c r="J149" s="452"/>
      <c r="K149" s="452"/>
      <c r="L149" s="452"/>
      <c r="M149" s="452"/>
      <c r="N149" s="453">
        <f>N136</f>
        <v>8754732.7655484527</v>
      </c>
      <c r="O149" s="149"/>
      <c r="P149" s="200"/>
      <c r="Q149" s="149"/>
      <c r="R149" s="200"/>
      <c r="S149" s="149">
        <f>S136</f>
        <v>0</v>
      </c>
      <c r="T149" s="200"/>
      <c r="U149" s="149"/>
      <c r="V149" s="200"/>
      <c r="W149" s="149"/>
      <c r="X149" s="200">
        <f>X136</f>
        <v>0</v>
      </c>
      <c r="Y149" s="149"/>
      <c r="Z149" s="200"/>
      <c r="AA149" s="149"/>
      <c r="AB149" s="200"/>
      <c r="AC149" s="149">
        <f>AC136</f>
        <v>0</v>
      </c>
      <c r="AD149" s="200"/>
      <c r="AE149" s="149"/>
      <c r="AF149" s="200"/>
      <c r="AG149" s="149"/>
      <c r="AH149" s="134">
        <f>AH136</f>
        <v>-2.8148861019872129E-10</v>
      </c>
    </row>
    <row r="150" spans="1:35" ht="16.5" thickBot="1" x14ac:dyDescent="0.3">
      <c r="A150" s="125" t="s">
        <v>3</v>
      </c>
      <c r="B150" s="30"/>
      <c r="C150" s="30"/>
      <c r="D150" s="451">
        <f t="shared" ref="D150:AH150" si="15">SUM(D147:D149)</f>
        <v>-2288000</v>
      </c>
      <c r="E150" s="451">
        <f t="shared" si="15"/>
        <v>512058.7554390587</v>
      </c>
      <c r="F150" s="451">
        <f t="shared" si="15"/>
        <v>536460.75543905864</v>
      </c>
      <c r="G150" s="451">
        <f t="shared" si="15"/>
        <v>561594.8154390587</v>
      </c>
      <c r="H150" s="451">
        <f t="shared" si="15"/>
        <v>587482.89723905874</v>
      </c>
      <c r="I150" s="451">
        <f t="shared" si="15"/>
        <v>614147.62149305874</v>
      </c>
      <c r="J150" s="451">
        <f t="shared" si="15"/>
        <v>641612.2874746786</v>
      </c>
      <c r="K150" s="451">
        <f t="shared" si="15"/>
        <v>669900.89343574713</v>
      </c>
      <c r="L150" s="451">
        <f t="shared" si="15"/>
        <v>699038.15757564781</v>
      </c>
      <c r="M150" s="451">
        <f t="shared" si="15"/>
        <v>729049.53963974584</v>
      </c>
      <c r="N150" s="454">
        <f t="shared" si="15"/>
        <v>9514694.0287142191</v>
      </c>
      <c r="O150" s="162">
        <f t="shared" si="15"/>
        <v>791800.33839756739</v>
      </c>
      <c r="P150" s="454">
        <f t="shared" si="15"/>
        <v>824594.58588632266</v>
      </c>
      <c r="Q150" s="162">
        <f t="shared" si="15"/>
        <v>858372.66079974058</v>
      </c>
      <c r="R150" s="454">
        <f t="shared" si="15"/>
        <v>893164.07796056126</v>
      </c>
      <c r="S150" s="162">
        <f t="shared" si="15"/>
        <v>928999.23763620597</v>
      </c>
      <c r="T150" s="454">
        <f t="shared" si="15"/>
        <v>965909.45210212073</v>
      </c>
      <c r="U150" s="162">
        <f t="shared" si="15"/>
        <v>1003926.9730020124</v>
      </c>
      <c r="V150" s="454">
        <f t="shared" si="15"/>
        <v>1043085.019528901</v>
      </c>
      <c r="W150" s="162">
        <f t="shared" si="15"/>
        <v>1083417.807451596</v>
      </c>
      <c r="X150" s="454">
        <f t="shared" si="15"/>
        <v>1124960.5790119725</v>
      </c>
      <c r="Y150" s="162">
        <f t="shared" si="15"/>
        <v>1167749.6337191598</v>
      </c>
      <c r="Z150" s="454">
        <f t="shared" si="15"/>
        <v>1211822.3600675631</v>
      </c>
      <c r="AA150" s="162">
        <f t="shared" si="15"/>
        <v>1257217.268206418</v>
      </c>
      <c r="AB150" s="454">
        <f t="shared" si="15"/>
        <v>1303974.0235894385</v>
      </c>
      <c r="AC150" s="162">
        <f t="shared" si="15"/>
        <v>1352133.4816339503</v>
      </c>
      <c r="AD150" s="454">
        <f t="shared" si="15"/>
        <v>1401737.7234197974</v>
      </c>
      <c r="AE150" s="162">
        <f t="shared" si="15"/>
        <v>1452830.0924592197</v>
      </c>
      <c r="AF150" s="454">
        <f t="shared" si="15"/>
        <v>1505455.2325698242</v>
      </c>
      <c r="AG150" s="162">
        <f t="shared" si="15"/>
        <v>1559659.1268837473</v>
      </c>
      <c r="AH150" s="455">
        <f t="shared" si="15"/>
        <v>1615489.1380270883</v>
      </c>
    </row>
    <row r="151" spans="1:35" ht="16.5" thickBot="1" x14ac:dyDescent="0.3">
      <c r="A151" s="49" t="s">
        <v>116</v>
      </c>
      <c r="B151" s="139"/>
      <c r="C151" s="346" t="s">
        <v>19</v>
      </c>
      <c r="D151" s="208">
        <f>D7</f>
        <v>0.25</v>
      </c>
      <c r="E151" s="156"/>
      <c r="F151" s="156"/>
      <c r="G151" s="156"/>
      <c r="H151" s="156"/>
      <c r="I151" s="156"/>
      <c r="J151" s="156"/>
      <c r="K151" s="156"/>
      <c r="L151" s="156"/>
      <c r="M151" s="156"/>
      <c r="N151" s="292">
        <f>IFERROR(IF($C$11=10,IRR(D150:N150),0),0)</f>
        <v>0.31385323192470871</v>
      </c>
      <c r="O151" s="299"/>
      <c r="P151" s="141"/>
      <c r="Q151" s="291"/>
      <c r="R151" s="141"/>
      <c r="S151" s="293">
        <f>IFERROR(IF($C$11=15,IRR(D150:S150),0),0)</f>
        <v>0</v>
      </c>
      <c r="T151" s="300"/>
      <c r="U151" s="291"/>
      <c r="V151" s="141"/>
      <c r="W151" s="291"/>
      <c r="X151" s="292">
        <f>IFERROR(IF($C$11=20,IRR(D150:X150),0),0)</f>
        <v>0</v>
      </c>
      <c r="Y151" s="299"/>
      <c r="Z151" s="141"/>
      <c r="AA151" s="291"/>
      <c r="AB151" s="141"/>
      <c r="AC151" s="293">
        <f>IFERROR(IF($C$11=25,IRR(D150:AC150),0),0)</f>
        <v>0</v>
      </c>
      <c r="AD151" s="300"/>
      <c r="AE151" s="291"/>
      <c r="AF151" s="141"/>
      <c r="AG151" s="291"/>
      <c r="AH151" s="152">
        <f>IFERROR(IF($C$11=30,IRR(D150:AH150),0),0)</f>
        <v>0</v>
      </c>
      <c r="AI151" s="262"/>
    </row>
    <row r="152" spans="1:35" ht="16.5" thickBot="1" x14ac:dyDescent="0.3">
      <c r="A152" s="19" t="s">
        <v>117</v>
      </c>
      <c r="B152" s="71"/>
      <c r="C152" s="346" t="s">
        <v>19</v>
      </c>
      <c r="D152" s="347">
        <f>D7</f>
        <v>0.25</v>
      </c>
      <c r="E152" s="150"/>
      <c r="F152" s="150"/>
      <c r="G152" s="150"/>
      <c r="H152" s="150"/>
      <c r="I152" s="150"/>
      <c r="J152" s="150"/>
      <c r="K152" s="150"/>
      <c r="L152" s="150"/>
      <c r="M152" s="150"/>
      <c r="N152" s="449">
        <f>IF($C$11=10,(NPV(D7,E150:N150))+D150,0)</f>
        <v>739841.53853995586</v>
      </c>
      <c r="O152" s="195"/>
      <c r="P152" s="306"/>
      <c r="Q152" s="195"/>
      <c r="R152" s="306"/>
      <c r="S152" s="456">
        <f>IF($C$11=15,(NPV(D7,E150:S150))+D150,0)</f>
        <v>0</v>
      </c>
      <c r="T152" s="306"/>
      <c r="U152" s="195"/>
      <c r="V152" s="306"/>
      <c r="W152" s="195"/>
      <c r="X152" s="445">
        <f>IF($C$11=20,(NPV(D7,E150:X150))+D150,0)</f>
        <v>0</v>
      </c>
      <c r="Y152" s="195"/>
      <c r="Z152" s="306"/>
      <c r="AA152" s="195"/>
      <c r="AB152" s="306"/>
      <c r="AC152" s="456">
        <f>IF($C$11=25,(NPV(D7,E150:AC150))+D150,0)</f>
        <v>0</v>
      </c>
      <c r="AD152" s="306"/>
      <c r="AE152" s="195"/>
      <c r="AF152" s="306"/>
      <c r="AG152" s="195"/>
      <c r="AH152" s="457">
        <f>IF($C$11=30,(NPV(D7,E150:AH150))+D150,0)</f>
        <v>0</v>
      </c>
      <c r="AI152" s="157"/>
    </row>
    <row r="153" spans="1:35" ht="16.5" thickBot="1" x14ac:dyDescent="0.3">
      <c r="A153" s="154"/>
      <c r="N153" s="157"/>
    </row>
    <row r="154" spans="1:35" ht="16.5" thickBot="1" x14ac:dyDescent="0.3">
      <c r="A154" s="79" t="s">
        <v>435</v>
      </c>
      <c r="B154" s="51"/>
      <c r="C154" s="51"/>
      <c r="D154" s="360" t="s">
        <v>104</v>
      </c>
      <c r="E154" s="355" t="s">
        <v>85</v>
      </c>
      <c r="F154" s="355" t="s">
        <v>86</v>
      </c>
      <c r="G154" s="355" t="s">
        <v>87</v>
      </c>
      <c r="H154" s="355" t="s">
        <v>88</v>
      </c>
      <c r="I154" s="355" t="s">
        <v>89</v>
      </c>
      <c r="J154" s="355" t="s">
        <v>90</v>
      </c>
      <c r="K154" s="355" t="s">
        <v>91</v>
      </c>
      <c r="L154" s="355" t="s">
        <v>92</v>
      </c>
      <c r="M154" s="361" t="s">
        <v>93</v>
      </c>
      <c r="N154" s="356" t="s">
        <v>94</v>
      </c>
      <c r="O154" s="358" t="s">
        <v>239</v>
      </c>
      <c r="P154" s="340" t="s">
        <v>240</v>
      </c>
      <c r="Q154" s="358" t="s">
        <v>241</v>
      </c>
      <c r="R154" s="340" t="s">
        <v>242</v>
      </c>
      <c r="S154" s="358" t="s">
        <v>243</v>
      </c>
      <c r="T154" s="340" t="s">
        <v>244</v>
      </c>
      <c r="U154" s="358" t="s">
        <v>245</v>
      </c>
      <c r="V154" s="340" t="s">
        <v>246</v>
      </c>
      <c r="W154" s="358" t="s">
        <v>247</v>
      </c>
      <c r="X154" s="340" t="s">
        <v>248</v>
      </c>
      <c r="Y154" s="358" t="s">
        <v>249</v>
      </c>
      <c r="Z154" s="340" t="s">
        <v>250</v>
      </c>
      <c r="AA154" s="358" t="s">
        <v>251</v>
      </c>
      <c r="AB154" s="340" t="s">
        <v>252</v>
      </c>
      <c r="AC154" s="358" t="s">
        <v>253</v>
      </c>
      <c r="AD154" s="340" t="s">
        <v>254</v>
      </c>
      <c r="AE154" s="358" t="s">
        <v>255</v>
      </c>
      <c r="AF154" s="340" t="s">
        <v>256</v>
      </c>
      <c r="AG154" s="358" t="s">
        <v>257</v>
      </c>
      <c r="AH154" s="359" t="s">
        <v>258</v>
      </c>
    </row>
    <row r="155" spans="1:35" x14ac:dyDescent="0.25">
      <c r="A155" s="17" t="s">
        <v>452</v>
      </c>
      <c r="B155" s="18"/>
      <c r="C155" s="18"/>
      <c r="D155" s="158">
        <f>-E100</f>
        <v>-500000</v>
      </c>
      <c r="E155" s="243"/>
      <c r="F155" s="203"/>
      <c r="G155" s="203"/>
      <c r="H155" s="203"/>
      <c r="I155" s="203"/>
      <c r="J155" s="203"/>
      <c r="K155" s="203"/>
      <c r="L155" s="203"/>
      <c r="M155" s="203"/>
      <c r="N155" s="98"/>
      <c r="O155" s="149"/>
      <c r="P155" s="200"/>
      <c r="Q155" s="149"/>
      <c r="R155" s="200"/>
      <c r="S155" s="149"/>
      <c r="T155" s="200"/>
      <c r="U155" s="149"/>
      <c r="V155" s="200"/>
      <c r="W155" s="149"/>
      <c r="X155" s="200"/>
      <c r="Y155" s="149"/>
      <c r="Z155" s="200"/>
      <c r="AA155" s="149"/>
      <c r="AB155" s="200"/>
      <c r="AC155" s="149"/>
      <c r="AD155" s="200"/>
      <c r="AE155" s="149"/>
      <c r="AF155" s="200"/>
      <c r="AG155" s="149"/>
      <c r="AH155" s="134"/>
    </row>
    <row r="156" spans="1:35" x14ac:dyDescent="0.25">
      <c r="A156" s="72" t="s">
        <v>77</v>
      </c>
      <c r="B156" s="18"/>
      <c r="C156" s="18"/>
      <c r="D156" s="158">
        <f>-L94</f>
        <v>-25000</v>
      </c>
      <c r="E156" s="458"/>
      <c r="F156" s="203"/>
      <c r="G156" s="203"/>
      <c r="H156" s="203"/>
      <c r="I156" s="203"/>
      <c r="J156" s="203"/>
      <c r="K156" s="203"/>
      <c r="L156" s="203"/>
      <c r="M156" s="203"/>
      <c r="N156" s="98"/>
      <c r="O156" s="149"/>
      <c r="P156" s="200"/>
      <c r="Q156" s="149"/>
      <c r="R156" s="200"/>
      <c r="S156" s="149"/>
      <c r="T156" s="200"/>
      <c r="U156" s="149"/>
      <c r="V156" s="200"/>
      <c r="W156" s="149"/>
      <c r="X156" s="200"/>
      <c r="Y156" s="149"/>
      <c r="Z156" s="200"/>
      <c r="AA156" s="149"/>
      <c r="AB156" s="200"/>
      <c r="AC156" s="149"/>
      <c r="AD156" s="200"/>
      <c r="AE156" s="149"/>
      <c r="AF156" s="200"/>
      <c r="AG156" s="149"/>
      <c r="AH156" s="134"/>
    </row>
    <row r="157" spans="1:35" x14ac:dyDescent="0.25">
      <c r="A157" s="72" t="s">
        <v>453</v>
      </c>
      <c r="B157" s="18"/>
      <c r="C157" s="18"/>
      <c r="D157" s="158">
        <f>D155+D156</f>
        <v>-525000</v>
      </c>
      <c r="E157" s="458"/>
      <c r="F157" s="203"/>
      <c r="G157" s="203"/>
      <c r="H157" s="203"/>
      <c r="I157" s="203"/>
      <c r="J157" s="203"/>
      <c r="K157" s="203"/>
      <c r="L157" s="203"/>
      <c r="M157" s="203"/>
      <c r="N157" s="98"/>
      <c r="O157" s="149"/>
      <c r="P157" s="200"/>
      <c r="Q157" s="149"/>
      <c r="R157" s="200"/>
      <c r="S157" s="149"/>
      <c r="T157" s="200"/>
      <c r="U157" s="149"/>
      <c r="V157" s="200"/>
      <c r="W157" s="149"/>
      <c r="X157" s="200"/>
      <c r="Y157" s="149"/>
      <c r="Z157" s="200"/>
      <c r="AA157" s="149"/>
      <c r="AB157" s="200"/>
      <c r="AC157" s="149"/>
      <c r="AD157" s="200"/>
      <c r="AE157" s="149"/>
      <c r="AF157" s="200"/>
      <c r="AG157" s="149"/>
      <c r="AH157" s="134"/>
    </row>
    <row r="158" spans="1:35" x14ac:dyDescent="0.25">
      <c r="A158" s="17" t="s">
        <v>454</v>
      </c>
      <c r="B158" s="18"/>
      <c r="C158" s="18"/>
      <c r="D158" s="158"/>
      <c r="E158" s="203">
        <f t="shared" ref="E158:AH158" si="16">-$E$103</f>
        <v>26942.681268529464</v>
      </c>
      <c r="F158" s="203">
        <f t="shared" si="16"/>
        <v>26942.681268529464</v>
      </c>
      <c r="G158" s="203">
        <f t="shared" si="16"/>
        <v>26942.681268529464</v>
      </c>
      <c r="H158" s="203">
        <f t="shared" si="16"/>
        <v>26942.681268529464</v>
      </c>
      <c r="I158" s="203">
        <f t="shared" si="16"/>
        <v>26942.681268529464</v>
      </c>
      <c r="J158" s="203">
        <f t="shared" si="16"/>
        <v>26942.681268529464</v>
      </c>
      <c r="K158" s="203">
        <f t="shared" si="16"/>
        <v>26942.681268529464</v>
      </c>
      <c r="L158" s="203">
        <f t="shared" si="16"/>
        <v>26942.681268529464</v>
      </c>
      <c r="M158" s="203">
        <f t="shared" si="16"/>
        <v>26942.681268529464</v>
      </c>
      <c r="N158" s="98">
        <f t="shared" si="16"/>
        <v>26942.681268529464</v>
      </c>
      <c r="O158" s="203">
        <f t="shared" si="16"/>
        <v>26942.681268529464</v>
      </c>
      <c r="P158" s="98">
        <f t="shared" si="16"/>
        <v>26942.681268529464</v>
      </c>
      <c r="Q158" s="203">
        <f t="shared" si="16"/>
        <v>26942.681268529464</v>
      </c>
      <c r="R158" s="98">
        <f t="shared" si="16"/>
        <v>26942.681268529464</v>
      </c>
      <c r="S158" s="203">
        <f t="shared" si="16"/>
        <v>26942.681268529464</v>
      </c>
      <c r="T158" s="98">
        <f t="shared" si="16"/>
        <v>26942.681268529464</v>
      </c>
      <c r="U158" s="203">
        <f t="shared" si="16"/>
        <v>26942.681268529464</v>
      </c>
      <c r="V158" s="98">
        <f t="shared" si="16"/>
        <v>26942.681268529464</v>
      </c>
      <c r="W158" s="203">
        <f t="shared" si="16"/>
        <v>26942.681268529464</v>
      </c>
      <c r="X158" s="98">
        <f t="shared" si="16"/>
        <v>26942.681268529464</v>
      </c>
      <c r="Y158" s="203">
        <f t="shared" si="16"/>
        <v>26942.681268529464</v>
      </c>
      <c r="Z158" s="98">
        <f t="shared" si="16"/>
        <v>26942.681268529464</v>
      </c>
      <c r="AA158" s="203">
        <f t="shared" si="16"/>
        <v>26942.681268529464</v>
      </c>
      <c r="AB158" s="98">
        <f t="shared" si="16"/>
        <v>26942.681268529464</v>
      </c>
      <c r="AC158" s="203">
        <f t="shared" si="16"/>
        <v>26942.681268529464</v>
      </c>
      <c r="AD158" s="98">
        <f t="shared" si="16"/>
        <v>26942.681268529464</v>
      </c>
      <c r="AE158" s="203">
        <f t="shared" si="16"/>
        <v>26942.681268529464</v>
      </c>
      <c r="AF158" s="98">
        <f t="shared" si="16"/>
        <v>26942.681268529464</v>
      </c>
      <c r="AG158" s="203">
        <f t="shared" si="16"/>
        <v>26942.681268529464</v>
      </c>
      <c r="AH158" s="217">
        <f t="shared" si="16"/>
        <v>26942.681268529464</v>
      </c>
    </row>
    <row r="159" spans="1:35" x14ac:dyDescent="0.25">
      <c r="A159" s="17" t="s">
        <v>455</v>
      </c>
      <c r="B159" s="18"/>
      <c r="C159" s="18"/>
      <c r="D159" s="158"/>
      <c r="E159" s="352">
        <f t="shared" ref="E159:AH159" si="17">$L$95</f>
        <v>5000</v>
      </c>
      <c r="F159" s="352">
        <f t="shared" si="17"/>
        <v>5000</v>
      </c>
      <c r="G159" s="352">
        <f t="shared" si="17"/>
        <v>5000</v>
      </c>
      <c r="H159" s="352">
        <f t="shared" si="17"/>
        <v>5000</v>
      </c>
      <c r="I159" s="352">
        <f t="shared" si="17"/>
        <v>5000</v>
      </c>
      <c r="J159" s="352">
        <f t="shared" si="17"/>
        <v>5000</v>
      </c>
      <c r="K159" s="352">
        <f t="shared" si="17"/>
        <v>5000</v>
      </c>
      <c r="L159" s="352">
        <f t="shared" si="17"/>
        <v>5000</v>
      </c>
      <c r="M159" s="352">
        <f t="shared" si="17"/>
        <v>5000</v>
      </c>
      <c r="N159" s="352">
        <f t="shared" si="17"/>
        <v>5000</v>
      </c>
      <c r="O159" s="352">
        <f t="shared" si="17"/>
        <v>5000</v>
      </c>
      <c r="P159" s="352">
        <f t="shared" si="17"/>
        <v>5000</v>
      </c>
      <c r="Q159" s="352">
        <f t="shared" si="17"/>
        <v>5000</v>
      </c>
      <c r="R159" s="352">
        <f t="shared" si="17"/>
        <v>5000</v>
      </c>
      <c r="S159" s="352">
        <f t="shared" si="17"/>
        <v>5000</v>
      </c>
      <c r="T159" s="352">
        <f t="shared" si="17"/>
        <v>5000</v>
      </c>
      <c r="U159" s="352">
        <f t="shared" si="17"/>
        <v>5000</v>
      </c>
      <c r="V159" s="352">
        <f t="shared" si="17"/>
        <v>5000</v>
      </c>
      <c r="W159" s="352">
        <f t="shared" si="17"/>
        <v>5000</v>
      </c>
      <c r="X159" s="352">
        <f t="shared" si="17"/>
        <v>5000</v>
      </c>
      <c r="Y159" s="352">
        <f t="shared" si="17"/>
        <v>5000</v>
      </c>
      <c r="Z159" s="352">
        <f t="shared" si="17"/>
        <v>5000</v>
      </c>
      <c r="AA159" s="352">
        <f t="shared" si="17"/>
        <v>5000</v>
      </c>
      <c r="AB159" s="352">
        <f t="shared" si="17"/>
        <v>5000</v>
      </c>
      <c r="AC159" s="352">
        <f t="shared" si="17"/>
        <v>5000</v>
      </c>
      <c r="AD159" s="352">
        <f t="shared" si="17"/>
        <v>5000</v>
      </c>
      <c r="AE159" s="352">
        <f t="shared" si="17"/>
        <v>5000</v>
      </c>
      <c r="AF159" s="352">
        <f t="shared" si="17"/>
        <v>5000</v>
      </c>
      <c r="AG159" s="352">
        <f t="shared" si="17"/>
        <v>5000</v>
      </c>
      <c r="AH159" s="459">
        <f t="shared" si="17"/>
        <v>5000</v>
      </c>
    </row>
    <row r="160" spans="1:35" x14ac:dyDescent="0.25">
      <c r="A160" s="17" t="s">
        <v>456</v>
      </c>
      <c r="B160" s="18"/>
      <c r="C160" s="18"/>
      <c r="D160" s="158"/>
      <c r="E160" s="352">
        <f t="shared" ref="E160:AH160" si="18">$L$96</f>
        <v>0</v>
      </c>
      <c r="F160" s="352">
        <f t="shared" si="18"/>
        <v>0</v>
      </c>
      <c r="G160" s="352">
        <f t="shared" si="18"/>
        <v>0</v>
      </c>
      <c r="H160" s="352">
        <f t="shared" si="18"/>
        <v>0</v>
      </c>
      <c r="I160" s="352">
        <f t="shared" si="18"/>
        <v>0</v>
      </c>
      <c r="J160" s="352">
        <f t="shared" si="18"/>
        <v>0</v>
      </c>
      <c r="K160" s="352">
        <f t="shared" si="18"/>
        <v>0</v>
      </c>
      <c r="L160" s="352">
        <f t="shared" si="18"/>
        <v>0</v>
      </c>
      <c r="M160" s="352">
        <f t="shared" si="18"/>
        <v>0</v>
      </c>
      <c r="N160" s="352">
        <f t="shared" si="18"/>
        <v>0</v>
      </c>
      <c r="O160" s="352">
        <f t="shared" si="18"/>
        <v>0</v>
      </c>
      <c r="P160" s="352">
        <f t="shared" si="18"/>
        <v>0</v>
      </c>
      <c r="Q160" s="352">
        <f t="shared" si="18"/>
        <v>0</v>
      </c>
      <c r="R160" s="352">
        <f t="shared" si="18"/>
        <v>0</v>
      </c>
      <c r="S160" s="352">
        <f t="shared" si="18"/>
        <v>0</v>
      </c>
      <c r="T160" s="352">
        <f t="shared" si="18"/>
        <v>0</v>
      </c>
      <c r="U160" s="352">
        <f t="shared" si="18"/>
        <v>0</v>
      </c>
      <c r="V160" s="352">
        <f t="shared" si="18"/>
        <v>0</v>
      </c>
      <c r="W160" s="352">
        <f t="shared" si="18"/>
        <v>0</v>
      </c>
      <c r="X160" s="352">
        <f t="shared" si="18"/>
        <v>0</v>
      </c>
      <c r="Y160" s="352">
        <f t="shared" si="18"/>
        <v>0</v>
      </c>
      <c r="Z160" s="352">
        <f t="shared" si="18"/>
        <v>0</v>
      </c>
      <c r="AA160" s="352">
        <f t="shared" si="18"/>
        <v>0</v>
      </c>
      <c r="AB160" s="352">
        <f t="shared" si="18"/>
        <v>0</v>
      </c>
      <c r="AC160" s="352">
        <f t="shared" si="18"/>
        <v>0</v>
      </c>
      <c r="AD160" s="352">
        <f t="shared" si="18"/>
        <v>0</v>
      </c>
      <c r="AE160" s="352">
        <f t="shared" si="18"/>
        <v>0</v>
      </c>
      <c r="AF160" s="352">
        <f t="shared" si="18"/>
        <v>0</v>
      </c>
      <c r="AG160" s="352">
        <f t="shared" si="18"/>
        <v>0</v>
      </c>
      <c r="AH160" s="459">
        <f t="shared" si="18"/>
        <v>0</v>
      </c>
    </row>
    <row r="161" spans="1:35" x14ac:dyDescent="0.25">
      <c r="A161" s="17" t="s">
        <v>121</v>
      </c>
      <c r="B161" s="24"/>
      <c r="C161" s="24"/>
      <c r="D161" s="161"/>
      <c r="E161" s="149"/>
      <c r="F161" s="149"/>
      <c r="G161" s="149"/>
      <c r="H161" s="149"/>
      <c r="I161" s="149"/>
      <c r="J161" s="149"/>
      <c r="K161" s="149"/>
      <c r="L161" s="149"/>
      <c r="M161" s="149"/>
      <c r="N161" s="200">
        <f>N149*$L$97</f>
        <v>437736.63827742264</v>
      </c>
      <c r="O161" s="149"/>
      <c r="P161" s="200"/>
      <c r="Q161" s="149"/>
      <c r="R161" s="200"/>
      <c r="S161" s="149">
        <f>S149*$L$97</f>
        <v>0</v>
      </c>
      <c r="T161" s="200"/>
      <c r="U161" s="149"/>
      <c r="V161" s="200"/>
      <c r="W161" s="149"/>
      <c r="X161" s="200">
        <f>X149*$L$97</f>
        <v>0</v>
      </c>
      <c r="Y161" s="149"/>
      <c r="Z161" s="200"/>
      <c r="AA161" s="149"/>
      <c r="AB161" s="200"/>
      <c r="AC161" s="149">
        <f>AC149*$L$97</f>
        <v>0</v>
      </c>
      <c r="AD161" s="200"/>
      <c r="AE161" s="149"/>
      <c r="AF161" s="200"/>
      <c r="AG161" s="149"/>
      <c r="AH161" s="134">
        <f>AH149*$L$97</f>
        <v>-1.4074430509936066E-11</v>
      </c>
    </row>
    <row r="162" spans="1:35" x14ac:dyDescent="0.25">
      <c r="A162" s="17" t="s">
        <v>122</v>
      </c>
      <c r="B162" s="24"/>
      <c r="C162" s="24"/>
      <c r="D162" s="161"/>
      <c r="E162" s="149"/>
      <c r="F162" s="149"/>
      <c r="G162" s="149"/>
      <c r="H162" s="149"/>
      <c r="I162" s="149"/>
      <c r="J162" s="149"/>
      <c r="K162" s="149"/>
      <c r="L162" s="149"/>
      <c r="M162" s="149"/>
      <c r="N162" s="200">
        <f>IF($C$11=10,V180,0)</f>
        <v>387134.37665158213</v>
      </c>
      <c r="O162" s="149"/>
      <c r="P162" s="201"/>
      <c r="Q162" s="149"/>
      <c r="R162" s="200"/>
      <c r="S162" s="149">
        <f>IF($C$11=15,V185,0)</f>
        <v>0</v>
      </c>
      <c r="T162" s="200"/>
      <c r="U162" s="149"/>
      <c r="V162" s="200"/>
      <c r="W162" s="149"/>
      <c r="X162" s="200">
        <f>IF($C$11=20,V190,0)</f>
        <v>0</v>
      </c>
      <c r="Y162" s="149"/>
      <c r="Z162" s="200"/>
      <c r="AA162" s="149"/>
      <c r="AB162" s="200"/>
      <c r="AC162" s="149">
        <f>IF($C$11=25,V195,0)</f>
        <v>0</v>
      </c>
      <c r="AD162" s="200"/>
      <c r="AE162" s="149"/>
      <c r="AF162" s="200"/>
      <c r="AG162" s="149"/>
      <c r="AH162" s="134">
        <f>IF($C$11=30,V200,0)</f>
        <v>0</v>
      </c>
    </row>
    <row r="163" spans="1:35" ht="16.5" thickBot="1" x14ac:dyDescent="0.3">
      <c r="A163" s="125" t="s">
        <v>3</v>
      </c>
      <c r="B163" s="30"/>
      <c r="C163" s="30"/>
      <c r="D163" s="451">
        <f>D157</f>
        <v>-525000</v>
      </c>
      <c r="E163" s="162">
        <f>SUM(E158:E162)</f>
        <v>31942.681268529464</v>
      </c>
      <c r="F163" s="162">
        <f t="shared" ref="F163:AH163" si="19">SUM(F158:F162)</f>
        <v>31942.681268529464</v>
      </c>
      <c r="G163" s="162">
        <f t="shared" si="19"/>
        <v>31942.681268529464</v>
      </c>
      <c r="H163" s="162">
        <f t="shared" si="19"/>
        <v>31942.681268529464</v>
      </c>
      <c r="I163" s="162">
        <f t="shared" si="19"/>
        <v>31942.681268529464</v>
      </c>
      <c r="J163" s="162">
        <f t="shared" si="19"/>
        <v>31942.681268529464</v>
      </c>
      <c r="K163" s="162">
        <f t="shared" si="19"/>
        <v>31942.681268529464</v>
      </c>
      <c r="L163" s="162">
        <f t="shared" si="19"/>
        <v>31942.681268529464</v>
      </c>
      <c r="M163" s="162">
        <f t="shared" si="19"/>
        <v>31942.681268529464</v>
      </c>
      <c r="N163" s="162">
        <f t="shared" si="19"/>
        <v>856813.69619753421</v>
      </c>
      <c r="O163" s="162">
        <f t="shared" si="19"/>
        <v>31942.681268529464</v>
      </c>
      <c r="P163" s="162">
        <f t="shared" si="19"/>
        <v>31942.681268529464</v>
      </c>
      <c r="Q163" s="162">
        <f t="shared" si="19"/>
        <v>31942.681268529464</v>
      </c>
      <c r="R163" s="162">
        <f t="shared" si="19"/>
        <v>31942.681268529464</v>
      </c>
      <c r="S163" s="162">
        <f t="shared" si="19"/>
        <v>31942.681268529464</v>
      </c>
      <c r="T163" s="162">
        <f t="shared" si="19"/>
        <v>31942.681268529464</v>
      </c>
      <c r="U163" s="162">
        <f t="shared" si="19"/>
        <v>31942.681268529464</v>
      </c>
      <c r="V163" s="162">
        <f t="shared" si="19"/>
        <v>31942.681268529464</v>
      </c>
      <c r="W163" s="162">
        <f t="shared" si="19"/>
        <v>31942.681268529464</v>
      </c>
      <c r="X163" s="162">
        <f t="shared" si="19"/>
        <v>31942.681268529464</v>
      </c>
      <c r="Y163" s="162">
        <f t="shared" si="19"/>
        <v>31942.681268529464</v>
      </c>
      <c r="Z163" s="162">
        <f t="shared" si="19"/>
        <v>31942.681268529464</v>
      </c>
      <c r="AA163" s="162">
        <f t="shared" si="19"/>
        <v>31942.681268529464</v>
      </c>
      <c r="AB163" s="162">
        <f t="shared" si="19"/>
        <v>31942.681268529464</v>
      </c>
      <c r="AC163" s="162">
        <f t="shared" si="19"/>
        <v>31942.681268529464</v>
      </c>
      <c r="AD163" s="162">
        <f t="shared" si="19"/>
        <v>31942.681268529464</v>
      </c>
      <c r="AE163" s="162">
        <f t="shared" si="19"/>
        <v>31942.681268529464</v>
      </c>
      <c r="AF163" s="162">
        <f t="shared" si="19"/>
        <v>31942.681268529464</v>
      </c>
      <c r="AG163" s="162">
        <f t="shared" si="19"/>
        <v>31942.681268529464</v>
      </c>
      <c r="AH163" s="440">
        <f t="shared" si="19"/>
        <v>31942.68126852945</v>
      </c>
    </row>
    <row r="164" spans="1:35" ht="16.5" thickBot="1" x14ac:dyDescent="0.3">
      <c r="A164" s="19" t="s">
        <v>116</v>
      </c>
      <c r="B164" s="20"/>
      <c r="C164" s="346" t="s">
        <v>19</v>
      </c>
      <c r="D164" s="347">
        <f>D9</f>
        <v>0.05</v>
      </c>
      <c r="E164" s="163"/>
      <c r="F164" s="163"/>
      <c r="G164" s="163"/>
      <c r="H164" s="163"/>
      <c r="I164" s="163"/>
      <c r="J164" s="163"/>
      <c r="K164" s="163"/>
      <c r="L164" s="163"/>
      <c r="M164" s="163"/>
      <c r="N164" s="292">
        <f>IFERROR(IF($C$11=10,IRR(D163:N163),0),0)</f>
        <v>9.7171389918413675E-2</v>
      </c>
      <c r="O164" s="299"/>
      <c r="P164" s="141"/>
      <c r="Q164" s="291"/>
      <c r="R164" s="141"/>
      <c r="S164" s="293">
        <f>IFERROR(IF($C$11=15,IRR(D163:S163),0),0)</f>
        <v>0</v>
      </c>
      <c r="T164" s="300"/>
      <c r="U164" s="291"/>
      <c r="V164" s="141"/>
      <c r="W164" s="291"/>
      <c r="X164" s="292">
        <f>IFERROR(IF($C$11=20,IRR(D163:X163),0),0)</f>
        <v>0</v>
      </c>
      <c r="Y164" s="299"/>
      <c r="Z164" s="141"/>
      <c r="AA164" s="291"/>
      <c r="AB164" s="141"/>
      <c r="AC164" s="293">
        <f>IFERROR(IF($C$11=25,IRR(D163:AC163),0),0)</f>
        <v>0</v>
      </c>
      <c r="AD164" s="300"/>
      <c r="AE164" s="291"/>
      <c r="AF164" s="141"/>
      <c r="AG164" s="291"/>
      <c r="AH164" s="152">
        <f>IFERROR(IF($C$11=30,IRR(D163:AH163),0),0)</f>
        <v>0</v>
      </c>
      <c r="AI164" s="262"/>
    </row>
    <row r="165" spans="1:35" ht="16.5" thickBot="1" x14ac:dyDescent="0.3">
      <c r="A165" s="118" t="s">
        <v>117</v>
      </c>
      <c r="B165" s="31"/>
      <c r="C165" s="346" t="s">
        <v>19</v>
      </c>
      <c r="D165" s="351">
        <f>D9</f>
        <v>0.05</v>
      </c>
      <c r="E165" s="164"/>
      <c r="F165" s="164"/>
      <c r="G165" s="164"/>
      <c r="H165" s="164"/>
      <c r="I165" s="164"/>
      <c r="J165" s="164"/>
      <c r="K165" s="164"/>
      <c r="L165" s="164"/>
      <c r="M165" s="164"/>
      <c r="N165" s="445">
        <f>IF(C11=10,(NPV(L98,E163:N163))+D163,0)</f>
        <v>228052.16620955465</v>
      </c>
      <c r="O165" s="446"/>
      <c r="P165" s="447"/>
      <c r="Q165" s="446"/>
      <c r="R165" s="447"/>
      <c r="S165" s="448">
        <f>IF($C$11=15,(NPV(L98,E163:S163))+D163,0)</f>
        <v>0</v>
      </c>
      <c r="T165" s="447"/>
      <c r="U165" s="446"/>
      <c r="V165" s="447"/>
      <c r="W165" s="446"/>
      <c r="X165" s="449">
        <f>IF($C$11=20,(NPV(L98,E163:X163))+D163,0)</f>
        <v>0</v>
      </c>
      <c r="Y165" s="446"/>
      <c r="Z165" s="447"/>
      <c r="AA165" s="446"/>
      <c r="AB165" s="447"/>
      <c r="AC165" s="448">
        <f>IF($C$11=25,(NPV(L98,E163:AC163))+D163,0)</f>
        <v>0</v>
      </c>
      <c r="AD165" s="447"/>
      <c r="AE165" s="446"/>
      <c r="AF165" s="447"/>
      <c r="AG165" s="446"/>
      <c r="AH165" s="450">
        <f>IF($C$11=30,(NPV(L98,E163:AH163))+D163,0)</f>
        <v>0</v>
      </c>
      <c r="AI165" s="157"/>
    </row>
    <row r="166" spans="1:35" x14ac:dyDescent="0.25">
      <c r="D166" s="165"/>
    </row>
    <row r="167" spans="1:35" ht="16.5" thickBot="1" x14ac:dyDescent="0.3">
      <c r="A167" s="166" t="s">
        <v>123</v>
      </c>
      <c r="D167" s="165"/>
    </row>
    <row r="168" spans="1:35" ht="16.5" thickBot="1" x14ac:dyDescent="0.3">
      <c r="A168" s="50" t="s">
        <v>540</v>
      </c>
      <c r="B168" s="44"/>
      <c r="C168" s="44"/>
      <c r="D168" s="44"/>
      <c r="E168" s="45"/>
      <c r="F168" s="50" t="s">
        <v>541</v>
      </c>
      <c r="G168" s="44"/>
      <c r="H168" s="44"/>
      <c r="I168" s="44"/>
      <c r="J168" s="45"/>
      <c r="K168" s="50" t="s">
        <v>124</v>
      </c>
      <c r="L168" s="44"/>
      <c r="M168" s="44"/>
      <c r="N168" s="44"/>
      <c r="O168" s="45"/>
      <c r="P168" s="50" t="s">
        <v>235</v>
      </c>
      <c r="Q168" s="44"/>
      <c r="R168" s="44"/>
      <c r="S168" s="44"/>
      <c r="T168" s="45"/>
      <c r="U168" s="50" t="s">
        <v>236</v>
      </c>
      <c r="V168" s="44"/>
      <c r="W168" s="44"/>
      <c r="X168" s="44"/>
      <c r="Y168" s="45"/>
      <c r="Z168" s="50" t="s">
        <v>237</v>
      </c>
      <c r="AA168" s="44"/>
      <c r="AB168" s="44"/>
      <c r="AC168" s="44"/>
      <c r="AD168" s="45"/>
    </row>
    <row r="169" spans="1:35" x14ac:dyDescent="0.25">
      <c r="A169" s="167"/>
      <c r="B169" s="168"/>
      <c r="C169" s="168"/>
      <c r="D169" s="168"/>
      <c r="E169" s="169"/>
      <c r="F169" s="167"/>
      <c r="G169" s="168"/>
      <c r="H169" s="168"/>
      <c r="I169" s="168"/>
      <c r="J169" s="169"/>
      <c r="K169" s="167"/>
      <c r="L169" s="168"/>
      <c r="M169" s="168"/>
      <c r="N169" s="168"/>
      <c r="O169" s="170"/>
      <c r="P169" s="218"/>
      <c r="Q169" s="171"/>
      <c r="R169" s="171"/>
      <c r="S169" s="171"/>
      <c r="T169" s="172"/>
      <c r="U169" s="218"/>
      <c r="V169" s="171"/>
      <c r="W169" s="171"/>
      <c r="X169" s="171"/>
      <c r="Y169" s="172"/>
      <c r="Z169" s="218"/>
      <c r="AA169" s="171"/>
      <c r="AB169" s="171"/>
      <c r="AC169" s="171"/>
      <c r="AD169" s="172"/>
    </row>
    <row r="170" spans="1:35" ht="16.5" thickBot="1" x14ac:dyDescent="0.3">
      <c r="A170" s="173" t="s">
        <v>125</v>
      </c>
      <c r="B170" s="174" t="s">
        <v>126</v>
      </c>
      <c r="C170" s="175" t="s">
        <v>127</v>
      </c>
      <c r="D170" s="174" t="s">
        <v>128</v>
      </c>
      <c r="E170" s="176" t="s">
        <v>129</v>
      </c>
      <c r="F170" s="173" t="s">
        <v>125</v>
      </c>
      <c r="G170" s="174" t="s">
        <v>126</v>
      </c>
      <c r="H170" s="175" t="s">
        <v>127</v>
      </c>
      <c r="I170" s="174" t="s">
        <v>128</v>
      </c>
      <c r="J170" s="176" t="s">
        <v>129</v>
      </c>
      <c r="K170" s="173" t="s">
        <v>125</v>
      </c>
      <c r="L170" s="174" t="s">
        <v>126</v>
      </c>
      <c r="M170" s="175" t="s">
        <v>127</v>
      </c>
      <c r="N170" s="174" t="s">
        <v>128</v>
      </c>
      <c r="O170" s="176" t="s">
        <v>129</v>
      </c>
      <c r="P170" s="173" t="s">
        <v>130</v>
      </c>
      <c r="Q170" s="177" t="s">
        <v>126</v>
      </c>
      <c r="R170" s="178" t="s">
        <v>127</v>
      </c>
      <c r="S170" s="177" t="s">
        <v>128</v>
      </c>
      <c r="T170" s="179" t="s">
        <v>129</v>
      </c>
      <c r="U170" s="173" t="s">
        <v>130</v>
      </c>
      <c r="V170" s="177" t="s">
        <v>126</v>
      </c>
      <c r="W170" s="178" t="s">
        <v>127</v>
      </c>
      <c r="X170" s="177" t="s">
        <v>128</v>
      </c>
      <c r="Y170" s="179" t="s">
        <v>129</v>
      </c>
      <c r="Z170" s="173" t="s">
        <v>130</v>
      </c>
      <c r="AA170" s="177" t="s">
        <v>126</v>
      </c>
      <c r="AB170" s="178" t="s">
        <v>127</v>
      </c>
      <c r="AC170" s="177" t="s">
        <v>128</v>
      </c>
      <c r="AD170" s="179" t="s">
        <v>129</v>
      </c>
    </row>
    <row r="171" spans="1:35" x14ac:dyDescent="0.25">
      <c r="A171" s="72">
        <v>0</v>
      </c>
      <c r="B171" s="180">
        <f>E95</f>
        <v>4182000</v>
      </c>
      <c r="C171" s="39"/>
      <c r="D171" s="159"/>
      <c r="E171" s="26"/>
      <c r="F171" s="72">
        <v>0</v>
      </c>
      <c r="G171" s="180">
        <f>E100</f>
        <v>500000</v>
      </c>
      <c r="H171" s="39"/>
      <c r="I171" s="159"/>
      <c r="J171" s="26"/>
      <c r="K171" s="72">
        <v>0</v>
      </c>
      <c r="L171" s="180">
        <f>B171+G171</f>
        <v>4682000</v>
      </c>
      <c r="M171" s="39"/>
      <c r="N171" s="159"/>
      <c r="O171" s="26"/>
      <c r="P171" s="72">
        <v>1</v>
      </c>
      <c r="Q171" s="149">
        <f>B183</f>
        <v>4120300.2212483678</v>
      </c>
      <c r="R171" s="200">
        <f>SUM(C172:C183)</f>
        <v>269398.56329241191</v>
      </c>
      <c r="S171" s="259">
        <f>SUM(D172:D183)</f>
        <v>207698.78454077983</v>
      </c>
      <c r="T171" s="134">
        <f>SUM(E172:E183)</f>
        <v>61699.77875163198</v>
      </c>
      <c r="U171" s="72">
        <v>1</v>
      </c>
      <c r="V171" s="180">
        <f>G183</f>
        <v>490404.359989669</v>
      </c>
      <c r="W171" s="181">
        <f>SUM(H172:H183)</f>
        <v>26942.681268529468</v>
      </c>
      <c r="X171" s="182">
        <f>SUM(I172:I183)</f>
        <v>17347.041258198486</v>
      </c>
      <c r="Y171" s="132">
        <f>SUM(J172:J183)</f>
        <v>9595.6400103309825</v>
      </c>
      <c r="Z171" s="72">
        <v>1</v>
      </c>
      <c r="AA171" s="180">
        <f>Q171+V171</f>
        <v>4610704.581238037</v>
      </c>
      <c r="AB171" s="180">
        <f t="shared" ref="AB171:AD186" si="20">R171+W171</f>
        <v>296341.24456094136</v>
      </c>
      <c r="AC171" s="180">
        <f t="shared" si="20"/>
        <v>225045.82579897833</v>
      </c>
      <c r="AD171" s="212">
        <f t="shared" si="20"/>
        <v>71295.418761962967</v>
      </c>
    </row>
    <row r="172" spans="1:35" x14ac:dyDescent="0.25">
      <c r="A172" s="72">
        <v>1</v>
      </c>
      <c r="B172" s="183">
        <f t="shared" ref="B172:B235" si="21">B171-E172</f>
        <v>4176975.1197256325</v>
      </c>
      <c r="C172" s="184">
        <f>-'Retail &amp; Restaurant'!$E$98/12</f>
        <v>22449.880274367653</v>
      </c>
      <c r="D172" s="183">
        <f>'Retail &amp; Restaurant'!$E$96/12*B171</f>
        <v>17425</v>
      </c>
      <c r="E172" s="185">
        <f t="shared" ref="E172:E235" si="22">C172-D172</f>
        <v>5024.8802743676533</v>
      </c>
      <c r="F172" s="72">
        <v>1</v>
      </c>
      <c r="G172" s="180">
        <f t="shared" ref="G172:G235" si="23">G171-J172</f>
        <v>499213.10989428923</v>
      </c>
      <c r="H172" s="186">
        <f>-'Retail &amp; Restaurant'!$E$103/12</f>
        <v>2245.2234390441222</v>
      </c>
      <c r="I172" s="149">
        <f>'Retail &amp; Restaurant'!$E$101/12*G171</f>
        <v>1458.3333333333335</v>
      </c>
      <c r="J172" s="187">
        <f t="shared" ref="J172:J235" si="24">H172-I172</f>
        <v>786.8901057107887</v>
      </c>
      <c r="K172" s="72">
        <v>1</v>
      </c>
      <c r="L172" s="180">
        <f t="shared" ref="L172:O235" si="25">G172+B172</f>
        <v>4676188.2296199221</v>
      </c>
      <c r="M172" s="181">
        <f t="shared" si="25"/>
        <v>24695.103713411776</v>
      </c>
      <c r="N172" s="180">
        <f t="shared" si="25"/>
        <v>18883.333333333332</v>
      </c>
      <c r="O172" s="132">
        <f t="shared" si="25"/>
        <v>5811.770380078442</v>
      </c>
      <c r="P172" s="72">
        <v>2</v>
      </c>
      <c r="Q172" s="149">
        <f>B195</f>
        <v>4055443.7647169195</v>
      </c>
      <c r="R172" s="200">
        <f>SUM(C184:C195)</f>
        <v>269398.56329241191</v>
      </c>
      <c r="S172" s="149">
        <f>SUM(D184:D195)</f>
        <v>204542.10676096333</v>
      </c>
      <c r="T172" s="134">
        <f>SUM(E184:E195)</f>
        <v>64856.456531448537</v>
      </c>
      <c r="U172" s="72">
        <v>2</v>
      </c>
      <c r="V172" s="180">
        <f>G195</f>
        <v>480467.4323026042</v>
      </c>
      <c r="W172" s="181">
        <f>SUM(H184:H195)</f>
        <v>26942.681268529468</v>
      </c>
      <c r="X172" s="180">
        <f>SUM(I184:I195)</f>
        <v>17005.753581464571</v>
      </c>
      <c r="Y172" s="132">
        <f>SUM(J184:J195)</f>
        <v>9936.9276870648937</v>
      </c>
      <c r="Z172" s="72">
        <v>2</v>
      </c>
      <c r="AA172" s="180">
        <f t="shared" ref="AA172:AD187" si="26">Q172+V172</f>
        <v>4535911.1970195239</v>
      </c>
      <c r="AB172" s="180">
        <f t="shared" si="20"/>
        <v>296341.24456094136</v>
      </c>
      <c r="AC172" s="180">
        <f t="shared" si="20"/>
        <v>221547.86034242791</v>
      </c>
      <c r="AD172" s="212">
        <f t="shared" si="20"/>
        <v>74793.384218513427</v>
      </c>
    </row>
    <row r="173" spans="1:35" x14ac:dyDescent="0.25">
      <c r="A173" s="72">
        <f t="shared" ref="A173:A236" si="27">A172+1</f>
        <v>2</v>
      </c>
      <c r="B173" s="183">
        <f t="shared" si="21"/>
        <v>4171929.3024501218</v>
      </c>
      <c r="C173" s="184">
        <f>-'Retail &amp; Restaurant'!$E$98/12</f>
        <v>22449.880274367653</v>
      </c>
      <c r="D173" s="183">
        <f>'Retail &amp; Restaurant'!$E$96/12*B172</f>
        <v>17404.062998856803</v>
      </c>
      <c r="E173" s="185">
        <f t="shared" si="22"/>
        <v>5045.8172755108499</v>
      </c>
      <c r="F173" s="72">
        <f t="shared" ref="F173:F236" si="28">F172+1</f>
        <v>2</v>
      </c>
      <c r="G173" s="180">
        <f t="shared" si="23"/>
        <v>498423.92469243676</v>
      </c>
      <c r="H173" s="186">
        <f>-'Retail &amp; Restaurant'!$E$103/12</f>
        <v>2245.2234390441222</v>
      </c>
      <c r="I173" s="149">
        <f>'Retail &amp; Restaurant'!$E$101/12*G172</f>
        <v>1456.0382371916769</v>
      </c>
      <c r="J173" s="187">
        <f t="shared" si="24"/>
        <v>789.18520185244529</v>
      </c>
      <c r="K173" s="72">
        <f t="shared" ref="K173:K236" si="29">K172+1</f>
        <v>2</v>
      </c>
      <c r="L173" s="180">
        <f t="shared" si="25"/>
        <v>4670353.2271425584</v>
      </c>
      <c r="M173" s="181">
        <f t="shared" si="25"/>
        <v>24695.103713411776</v>
      </c>
      <c r="N173" s="180">
        <f t="shared" si="25"/>
        <v>18860.101236048482</v>
      </c>
      <c r="O173" s="132">
        <f t="shared" si="25"/>
        <v>5835.0024773632949</v>
      </c>
      <c r="P173" s="72">
        <v>3</v>
      </c>
      <c r="Q173" s="149">
        <f>B207</f>
        <v>3987269.1287794379</v>
      </c>
      <c r="R173" s="200">
        <f>SUM(C196:C207)</f>
        <v>269398.56329241191</v>
      </c>
      <c r="S173" s="149">
        <f>SUM(D196:D207)</f>
        <v>201223.92735493032</v>
      </c>
      <c r="T173" s="134">
        <f>SUM(E196:E207)</f>
        <v>68174.635937481551</v>
      </c>
      <c r="U173" s="72">
        <v>3</v>
      </c>
      <c r="V173" s="180">
        <f>G207</f>
        <v>470177.07837606594</v>
      </c>
      <c r="W173" s="181">
        <f>SUM(H196:H207)</f>
        <v>26942.681268529468</v>
      </c>
      <c r="X173" s="180">
        <f>SUM(I196:I207)</f>
        <v>16652.327341991226</v>
      </c>
      <c r="Y173" s="132">
        <f>SUM(J196:J207)</f>
        <v>10290.353926538241</v>
      </c>
      <c r="Z173" s="72">
        <v>3</v>
      </c>
      <c r="AA173" s="180">
        <f t="shared" si="26"/>
        <v>4457446.2071555033</v>
      </c>
      <c r="AB173" s="180">
        <f t="shared" si="20"/>
        <v>296341.24456094136</v>
      </c>
      <c r="AC173" s="180">
        <f t="shared" si="20"/>
        <v>217876.25469692153</v>
      </c>
      <c r="AD173" s="212">
        <f t="shared" si="20"/>
        <v>78464.989864019793</v>
      </c>
    </row>
    <row r="174" spans="1:35" x14ac:dyDescent="0.25">
      <c r="A174" s="72">
        <f t="shared" si="27"/>
        <v>3</v>
      </c>
      <c r="B174" s="183">
        <f t="shared" si="21"/>
        <v>4166862.4609359629</v>
      </c>
      <c r="C174" s="184">
        <f>-'Retail &amp; Restaurant'!$E$98/12</f>
        <v>22449.880274367653</v>
      </c>
      <c r="D174" s="183">
        <f>'Retail &amp; Restaurant'!$E$96/12*B173</f>
        <v>17383.038760208841</v>
      </c>
      <c r="E174" s="185">
        <f t="shared" si="22"/>
        <v>5066.8415141588121</v>
      </c>
      <c r="F174" s="72">
        <f t="shared" si="28"/>
        <v>3</v>
      </c>
      <c r="G174" s="180">
        <f t="shared" si="23"/>
        <v>497632.43770041224</v>
      </c>
      <c r="H174" s="186">
        <f>-'Retail &amp; Restaurant'!$E$103/12</f>
        <v>2245.2234390441222</v>
      </c>
      <c r="I174" s="149">
        <f>'Retail &amp; Restaurant'!$E$101/12*G173</f>
        <v>1453.7364470196073</v>
      </c>
      <c r="J174" s="187">
        <f t="shared" si="24"/>
        <v>791.48699202451485</v>
      </c>
      <c r="K174" s="72">
        <f t="shared" si="29"/>
        <v>3</v>
      </c>
      <c r="L174" s="180">
        <f t="shared" si="25"/>
        <v>4664494.8986363746</v>
      </c>
      <c r="M174" s="181">
        <f t="shared" si="25"/>
        <v>24695.103713411776</v>
      </c>
      <c r="N174" s="180">
        <f t="shared" si="25"/>
        <v>18836.775207228449</v>
      </c>
      <c r="O174" s="132">
        <f t="shared" si="25"/>
        <v>5858.3285061833267</v>
      </c>
      <c r="P174" s="72">
        <v>4</v>
      </c>
      <c r="Q174" s="149">
        <f>B219</f>
        <v>3915606.5490799984</v>
      </c>
      <c r="R174" s="200">
        <f>SUM(C208:C219)</f>
        <v>269398.56329241191</v>
      </c>
      <c r="S174" s="149">
        <f>SUM(D208:D219)</f>
        <v>197735.98359297251</v>
      </c>
      <c r="T174" s="134">
        <f>SUM(E208:E219)</f>
        <v>71662.579699439331</v>
      </c>
      <c r="U174" s="72">
        <v>4</v>
      </c>
      <c r="V174" s="180">
        <f>G219</f>
        <v>459520.72791562515</v>
      </c>
      <c r="W174" s="181">
        <f>SUM(H208:H219)</f>
        <v>26942.681268529468</v>
      </c>
      <c r="X174" s="180">
        <f>SUM(I208:I219)</f>
        <v>16286.330808088656</v>
      </c>
      <c r="Y174" s="132">
        <f>SUM(J208:J219)</f>
        <v>10656.35046044081</v>
      </c>
      <c r="Z174" s="72">
        <v>4</v>
      </c>
      <c r="AA174" s="180">
        <f t="shared" si="26"/>
        <v>4375127.2769956235</v>
      </c>
      <c r="AB174" s="180">
        <f t="shared" si="20"/>
        <v>296341.24456094136</v>
      </c>
      <c r="AC174" s="180">
        <f t="shared" si="20"/>
        <v>214022.31440106116</v>
      </c>
      <c r="AD174" s="212">
        <f t="shared" si="20"/>
        <v>82318.930159880139</v>
      </c>
    </row>
    <row r="175" spans="1:35" x14ac:dyDescent="0.25">
      <c r="A175" s="72">
        <f t="shared" si="27"/>
        <v>4</v>
      </c>
      <c r="B175" s="183">
        <f t="shared" si="21"/>
        <v>4161774.5075821616</v>
      </c>
      <c r="C175" s="184">
        <f>-'Retail &amp; Restaurant'!$E$98/12</f>
        <v>22449.880274367653</v>
      </c>
      <c r="D175" s="183">
        <f>'Retail &amp; Restaurant'!$E$96/12*B174</f>
        <v>17361.926920566511</v>
      </c>
      <c r="E175" s="185">
        <f t="shared" si="22"/>
        <v>5087.9533538011419</v>
      </c>
      <c r="F175" s="72">
        <f t="shared" si="28"/>
        <v>4</v>
      </c>
      <c r="G175" s="180">
        <f t="shared" si="23"/>
        <v>496838.64220466098</v>
      </c>
      <c r="H175" s="186">
        <f>-'Retail &amp; Restaurant'!$E$103/12</f>
        <v>2245.2234390441222</v>
      </c>
      <c r="I175" s="149">
        <f>'Retail &amp; Restaurant'!$E$101/12*G174</f>
        <v>1451.427943292869</v>
      </c>
      <c r="J175" s="187">
        <f t="shared" si="24"/>
        <v>793.79549575125316</v>
      </c>
      <c r="K175" s="72">
        <f t="shared" si="29"/>
        <v>4</v>
      </c>
      <c r="L175" s="180">
        <f t="shared" si="25"/>
        <v>4658613.1497868225</v>
      </c>
      <c r="M175" s="181">
        <f t="shared" si="25"/>
        <v>24695.103713411776</v>
      </c>
      <c r="N175" s="180">
        <f t="shared" si="25"/>
        <v>18813.354863859382</v>
      </c>
      <c r="O175" s="132">
        <f t="shared" si="25"/>
        <v>5881.7488495523949</v>
      </c>
      <c r="P175" s="72">
        <v>5</v>
      </c>
      <c r="Q175" s="149">
        <f>B231</f>
        <v>3840277.5757960351</v>
      </c>
      <c r="R175" s="200">
        <f>SUM(C220:C231)</f>
        <v>269398.56329241191</v>
      </c>
      <c r="S175" s="149">
        <f>SUM(D220:D231)</f>
        <v>194069.59000844823</v>
      </c>
      <c r="T175" s="134">
        <f>SUM(E220:E231)</f>
        <v>75328.973283963598</v>
      </c>
      <c r="U175" s="72">
        <v>5</v>
      </c>
      <c r="V175" s="180">
        <f>G231</f>
        <v>448485.363539782</v>
      </c>
      <c r="W175" s="181">
        <f>SUM(H220:H231)</f>
        <v>26942.681268529468</v>
      </c>
      <c r="X175" s="180">
        <f>SUM(I220:I231)</f>
        <v>15907.316892686389</v>
      </c>
      <c r="Y175" s="132">
        <f>SUM(J220:J231)</f>
        <v>11035.364375843079</v>
      </c>
      <c r="Z175" s="72">
        <v>5</v>
      </c>
      <c r="AA175" s="180">
        <f t="shared" si="26"/>
        <v>4288762.9393358175</v>
      </c>
      <c r="AB175" s="180">
        <f t="shared" si="20"/>
        <v>296341.24456094136</v>
      </c>
      <c r="AC175" s="180">
        <f t="shared" si="20"/>
        <v>209976.90690113461</v>
      </c>
      <c r="AD175" s="212">
        <f t="shared" si="20"/>
        <v>86364.337659806682</v>
      </c>
    </row>
    <row r="176" spans="1:35" x14ac:dyDescent="0.25">
      <c r="A176" s="72">
        <f t="shared" si="27"/>
        <v>5</v>
      </c>
      <c r="B176" s="183">
        <f t="shared" si="21"/>
        <v>4156665.3544227197</v>
      </c>
      <c r="C176" s="184">
        <f>-'Retail &amp; Restaurant'!$E$98/12</f>
        <v>22449.880274367653</v>
      </c>
      <c r="D176" s="183">
        <f>'Retail &amp; Restaurant'!$E$96/12*B175</f>
        <v>17340.727114925674</v>
      </c>
      <c r="E176" s="185">
        <f t="shared" si="22"/>
        <v>5109.1531594419794</v>
      </c>
      <c r="F176" s="72">
        <f t="shared" si="28"/>
        <v>5</v>
      </c>
      <c r="G176" s="180">
        <f t="shared" si="23"/>
        <v>496042.53147204709</v>
      </c>
      <c r="H176" s="186">
        <f>-'Retail &amp; Restaurant'!$E$103/12</f>
        <v>2245.2234390441222</v>
      </c>
      <c r="I176" s="149">
        <f>'Retail &amp; Restaurant'!$E$101/12*G175</f>
        <v>1449.1127064302614</v>
      </c>
      <c r="J176" s="187">
        <f t="shared" si="24"/>
        <v>796.11073261386082</v>
      </c>
      <c r="K176" s="72">
        <f t="shared" si="29"/>
        <v>5</v>
      </c>
      <c r="L176" s="180">
        <f t="shared" si="25"/>
        <v>4652707.885894767</v>
      </c>
      <c r="M176" s="181">
        <f t="shared" si="25"/>
        <v>24695.103713411776</v>
      </c>
      <c r="N176" s="180">
        <f t="shared" si="25"/>
        <v>18789.839821355934</v>
      </c>
      <c r="O176" s="132">
        <f t="shared" si="25"/>
        <v>5905.2638920558402</v>
      </c>
      <c r="P176" s="72">
        <v>6</v>
      </c>
      <c r="Q176" s="149">
        <f>B243</f>
        <v>3761094.6292733815</v>
      </c>
      <c r="R176" s="200">
        <f>SUM(C232:C243)</f>
        <v>269398.56329241191</v>
      </c>
      <c r="S176" s="149">
        <f>SUM(D232:D243)</f>
        <v>190215.61676975829</v>
      </c>
      <c r="T176" s="134">
        <f>SUM(E232:E243)</f>
        <v>79182.946522653554</v>
      </c>
      <c r="U176" s="72">
        <v>6</v>
      </c>
      <c r="V176" s="180">
        <f>G243</f>
        <v>437057.50487844163</v>
      </c>
      <c r="W176" s="181">
        <f>SUM(H232:H243)</f>
        <v>26942.681268529468</v>
      </c>
      <c r="X176" s="180">
        <f>SUM(I232:I243)</f>
        <v>15514.822607189133</v>
      </c>
      <c r="Y176" s="132">
        <f>SUM(J232:J243)</f>
        <v>11427.858661340329</v>
      </c>
      <c r="Z176" s="72">
        <v>6</v>
      </c>
      <c r="AA176" s="180">
        <f t="shared" si="26"/>
        <v>4198152.1341518229</v>
      </c>
      <c r="AB176" s="180">
        <f t="shared" si="20"/>
        <v>296341.24456094136</v>
      </c>
      <c r="AC176" s="180">
        <f t="shared" si="20"/>
        <v>205730.43937694741</v>
      </c>
      <c r="AD176" s="212">
        <f t="shared" si="20"/>
        <v>90610.805183993885</v>
      </c>
    </row>
    <row r="177" spans="1:30" x14ac:dyDescent="0.25">
      <c r="A177" s="72">
        <f t="shared" si="27"/>
        <v>6</v>
      </c>
      <c r="B177" s="183">
        <f t="shared" si="21"/>
        <v>4151534.9131251136</v>
      </c>
      <c r="C177" s="184">
        <f>-'Retail &amp; Restaurant'!$E$98/12</f>
        <v>22449.880274367653</v>
      </c>
      <c r="D177" s="183">
        <f>'Retail &amp; Restaurant'!$E$96/12*B176</f>
        <v>17319.438976761332</v>
      </c>
      <c r="E177" s="185">
        <f t="shared" si="22"/>
        <v>5130.4412976063213</v>
      </c>
      <c r="F177" s="72">
        <f t="shared" si="28"/>
        <v>6</v>
      </c>
      <c r="G177" s="180">
        <f t="shared" si="23"/>
        <v>495244.09874979645</v>
      </c>
      <c r="H177" s="186">
        <f>-'Retail &amp; Restaurant'!$E$103/12</f>
        <v>2245.2234390441222</v>
      </c>
      <c r="I177" s="149">
        <f>'Retail &amp; Restaurant'!$E$101/12*G176</f>
        <v>1446.7907167934707</v>
      </c>
      <c r="J177" s="187">
        <f t="shared" si="24"/>
        <v>798.43272225065152</v>
      </c>
      <c r="K177" s="72">
        <f t="shared" si="29"/>
        <v>6</v>
      </c>
      <c r="L177" s="180">
        <f t="shared" si="25"/>
        <v>4646779.0118749104</v>
      </c>
      <c r="M177" s="181">
        <f t="shared" si="25"/>
        <v>24695.103713411776</v>
      </c>
      <c r="N177" s="180">
        <f t="shared" si="25"/>
        <v>18766.229693554804</v>
      </c>
      <c r="O177" s="132">
        <f t="shared" si="25"/>
        <v>5928.8740198569731</v>
      </c>
      <c r="P177" s="72">
        <v>7</v>
      </c>
      <c r="Q177" s="149">
        <f>B255</f>
        <v>3677860.5329267611</v>
      </c>
      <c r="R177" s="200">
        <f>SUM(C244:C255)</f>
        <v>269398.56329241191</v>
      </c>
      <c r="S177" s="149">
        <f>SUM(D244:D255)</f>
        <v>186164.46694579156</v>
      </c>
      <c r="T177" s="134">
        <f>SUM(E244:E255)</f>
        <v>83234.09634662031</v>
      </c>
      <c r="U177" s="72">
        <v>7</v>
      </c>
      <c r="V177" s="180">
        <f>G255</f>
        <v>425223.19210582023</v>
      </c>
      <c r="W177" s="181">
        <f>SUM(H244:H255)</f>
        <v>26942.681268529468</v>
      </c>
      <c r="X177" s="180">
        <f>SUM(I244:I255)</f>
        <v>15108.36849590804</v>
      </c>
      <c r="Y177" s="132">
        <f>SUM(J244:J255)</f>
        <v>11834.312772621424</v>
      </c>
      <c r="Z177" s="72">
        <v>7</v>
      </c>
      <c r="AA177" s="180">
        <f t="shared" si="26"/>
        <v>4103083.7250325815</v>
      </c>
      <c r="AB177" s="180">
        <f t="shared" si="20"/>
        <v>296341.24456094136</v>
      </c>
      <c r="AC177" s="180">
        <f t="shared" si="20"/>
        <v>201272.8354416996</v>
      </c>
      <c r="AD177" s="212">
        <f t="shared" si="20"/>
        <v>95068.40911924174</v>
      </c>
    </row>
    <row r="178" spans="1:30" x14ac:dyDescent="0.25">
      <c r="A178" s="72">
        <f t="shared" si="27"/>
        <v>7</v>
      </c>
      <c r="B178" s="183">
        <f t="shared" si="21"/>
        <v>4146383.0949887671</v>
      </c>
      <c r="C178" s="184">
        <f>-'Retail &amp; Restaurant'!$E$98/12</f>
        <v>22449.880274367653</v>
      </c>
      <c r="D178" s="183">
        <f>'Retail &amp; Restaurant'!$E$96/12*B177</f>
        <v>17298.062138021305</v>
      </c>
      <c r="E178" s="185">
        <f t="shared" si="22"/>
        <v>5151.8181363463482</v>
      </c>
      <c r="F178" s="72">
        <f t="shared" si="28"/>
        <v>7</v>
      </c>
      <c r="G178" s="180">
        <f t="shared" si="23"/>
        <v>494443.33726543922</v>
      </c>
      <c r="H178" s="186">
        <f>-'Retail &amp; Restaurant'!$E$103/12</f>
        <v>2245.2234390441222</v>
      </c>
      <c r="I178" s="149">
        <f>'Retail &amp; Restaurant'!$E$101/12*G177</f>
        <v>1444.4619546869064</v>
      </c>
      <c r="J178" s="187">
        <f t="shared" si="24"/>
        <v>800.76148435721575</v>
      </c>
      <c r="K178" s="72">
        <f t="shared" si="29"/>
        <v>7</v>
      </c>
      <c r="L178" s="180">
        <f t="shared" si="25"/>
        <v>4640826.4322542064</v>
      </c>
      <c r="M178" s="181">
        <f t="shared" si="25"/>
        <v>24695.103713411776</v>
      </c>
      <c r="N178" s="180">
        <f t="shared" si="25"/>
        <v>18742.524092708212</v>
      </c>
      <c r="O178" s="132">
        <f t="shared" si="25"/>
        <v>5952.5796207035637</v>
      </c>
      <c r="P178" s="72">
        <v>8</v>
      </c>
      <c r="Q178" s="149">
        <f>B267</f>
        <v>3590368.0222425773</v>
      </c>
      <c r="R178" s="200">
        <f>SUM(C256:C267)</f>
        <v>269398.56329241191</v>
      </c>
      <c r="S178" s="149">
        <f>SUM(D256:D267)</f>
        <v>181906.05260822742</v>
      </c>
      <c r="T178" s="134">
        <f>SUM(E256:E267)</f>
        <v>87492.510684184454</v>
      </c>
      <c r="U178" s="72">
        <v>8</v>
      </c>
      <c r="V178" s="180">
        <f>G267</f>
        <v>412967.968887667</v>
      </c>
      <c r="W178" s="181">
        <f>SUM(H256:H267)</f>
        <v>26942.681268529468</v>
      </c>
      <c r="X178" s="180">
        <f>SUM(I256:I267)</f>
        <v>14687.458050376319</v>
      </c>
      <c r="Y178" s="132">
        <f>SUM(J256:J267)</f>
        <v>12255.223218153147</v>
      </c>
      <c r="Z178" s="72">
        <v>8</v>
      </c>
      <c r="AA178" s="180">
        <f t="shared" si="26"/>
        <v>4003335.9911302445</v>
      </c>
      <c r="AB178" s="180">
        <f t="shared" si="20"/>
        <v>296341.24456094136</v>
      </c>
      <c r="AC178" s="180">
        <f t="shared" si="20"/>
        <v>196593.51065860374</v>
      </c>
      <c r="AD178" s="212">
        <f t="shared" si="20"/>
        <v>99747.733902337597</v>
      </c>
    </row>
    <row r="179" spans="1:30" x14ac:dyDescent="0.25">
      <c r="A179" s="72">
        <f t="shared" si="27"/>
        <v>8</v>
      </c>
      <c r="B179" s="183">
        <f t="shared" si="21"/>
        <v>4141209.8109435192</v>
      </c>
      <c r="C179" s="184">
        <f>-'Retail &amp; Restaurant'!$E$98/12</f>
        <v>22449.880274367653</v>
      </c>
      <c r="D179" s="183">
        <f>'Retail &amp; Restaurant'!$E$96/12*B178</f>
        <v>17276.596229119863</v>
      </c>
      <c r="E179" s="185">
        <f t="shared" si="22"/>
        <v>5173.2840452477903</v>
      </c>
      <c r="F179" s="72">
        <f t="shared" si="28"/>
        <v>8</v>
      </c>
      <c r="G179" s="180">
        <f t="shared" si="23"/>
        <v>493640.24022675265</v>
      </c>
      <c r="H179" s="186">
        <f>-'Retail &amp; Restaurant'!$E$103/12</f>
        <v>2245.2234390441222</v>
      </c>
      <c r="I179" s="149">
        <f>'Retail &amp; Restaurant'!$E$101/12*G178</f>
        <v>1442.1264003575311</v>
      </c>
      <c r="J179" s="187">
        <f t="shared" si="24"/>
        <v>803.09703868659108</v>
      </c>
      <c r="K179" s="72">
        <f t="shared" si="29"/>
        <v>8</v>
      </c>
      <c r="L179" s="180">
        <f t="shared" si="25"/>
        <v>4634850.0511702718</v>
      </c>
      <c r="M179" s="181">
        <f t="shared" si="25"/>
        <v>24695.103713411776</v>
      </c>
      <c r="N179" s="180">
        <f t="shared" si="25"/>
        <v>18718.722629477394</v>
      </c>
      <c r="O179" s="132">
        <f t="shared" si="25"/>
        <v>5976.3810839343814</v>
      </c>
      <c r="P179" s="72">
        <v>9</v>
      </c>
      <c r="Q179" s="149">
        <f>B279</f>
        <v>3498399.2286613523</v>
      </c>
      <c r="R179" s="200">
        <f>SUM(C268:C279)</f>
        <v>269398.56329241191</v>
      </c>
      <c r="S179" s="149">
        <f>SUM(D268:D279)</f>
        <v>177429.76971118673</v>
      </c>
      <c r="T179" s="134">
        <f>SUM(E268:E279)</f>
        <v>91968.793581225109</v>
      </c>
      <c r="U179" s="72">
        <v>9</v>
      </c>
      <c r="V179" s="180">
        <f>G279</f>
        <v>400276.86472197145</v>
      </c>
      <c r="W179" s="181">
        <f>SUM(H268:H279)</f>
        <v>26942.681268529468</v>
      </c>
      <c r="X179" s="180">
        <f>SUM(I268:I279)</f>
        <v>14251.577102833899</v>
      </c>
      <c r="Y179" s="132">
        <f>SUM(J268:J279)</f>
        <v>12691.104165695568</v>
      </c>
      <c r="Z179" s="72">
        <v>9</v>
      </c>
      <c r="AA179" s="180">
        <f t="shared" si="26"/>
        <v>3898676.0933833239</v>
      </c>
      <c r="AB179" s="180">
        <f t="shared" si="20"/>
        <v>296341.24456094136</v>
      </c>
      <c r="AC179" s="180">
        <f t="shared" si="20"/>
        <v>191681.34681402062</v>
      </c>
      <c r="AD179" s="212">
        <f t="shared" si="20"/>
        <v>104659.89774692067</v>
      </c>
    </row>
    <row r="180" spans="1:30" x14ac:dyDescent="0.25">
      <c r="A180" s="72">
        <f t="shared" si="27"/>
        <v>9</v>
      </c>
      <c r="B180" s="183">
        <f t="shared" si="21"/>
        <v>4136014.9715480828</v>
      </c>
      <c r="C180" s="184">
        <f>-'Retail &amp; Restaurant'!$E$98/12</f>
        <v>22449.880274367653</v>
      </c>
      <c r="D180" s="183">
        <f>'Retail &amp; Restaurant'!$E$96/12*B179</f>
        <v>17255.04087893133</v>
      </c>
      <c r="E180" s="185">
        <f t="shared" si="22"/>
        <v>5194.8393954363237</v>
      </c>
      <c r="F180" s="72">
        <f t="shared" si="28"/>
        <v>9</v>
      </c>
      <c r="G180" s="180">
        <f t="shared" si="23"/>
        <v>492834.80082170322</v>
      </c>
      <c r="H180" s="186">
        <f>-'Retail &amp; Restaurant'!$E$103/12</f>
        <v>2245.2234390441222</v>
      </c>
      <c r="I180" s="149">
        <f>'Retail &amp; Restaurant'!$E$101/12*G179</f>
        <v>1439.7840339946954</v>
      </c>
      <c r="J180" s="187">
        <f t="shared" si="24"/>
        <v>805.4394050494268</v>
      </c>
      <c r="K180" s="72">
        <f t="shared" si="29"/>
        <v>9</v>
      </c>
      <c r="L180" s="180">
        <f t="shared" si="25"/>
        <v>4628849.7723697862</v>
      </c>
      <c r="M180" s="181">
        <f t="shared" si="25"/>
        <v>24695.103713411776</v>
      </c>
      <c r="N180" s="180">
        <f t="shared" si="25"/>
        <v>18694.824912926026</v>
      </c>
      <c r="O180" s="132">
        <f t="shared" si="25"/>
        <v>6000.2788004857503</v>
      </c>
      <c r="P180" s="258">
        <v>10</v>
      </c>
      <c r="Q180" s="161">
        <f>B291</f>
        <v>3401725.1370546189</v>
      </c>
      <c r="R180" s="149">
        <f>SUM(C280:C291)</f>
        <v>269398.56329241191</v>
      </c>
      <c r="S180" s="161">
        <f>SUM(D280:D291)</f>
        <v>172724.47168567794</v>
      </c>
      <c r="T180" s="134">
        <f>SUM(E280:E291)</f>
        <v>96674.091606733913</v>
      </c>
      <c r="U180" s="72">
        <v>10</v>
      </c>
      <c r="V180" s="180">
        <f>G291</f>
        <v>387134.37665158213</v>
      </c>
      <c r="W180" s="260">
        <f>SUM(H280:H291)</f>
        <v>26942.681268529468</v>
      </c>
      <c r="X180" s="180">
        <f>SUM(I280:I291)</f>
        <v>13800.193198140192</v>
      </c>
      <c r="Y180" s="132">
        <f>SUM(J280:J291)</f>
        <v>13142.488070389274</v>
      </c>
      <c r="Z180" s="258">
        <v>10</v>
      </c>
      <c r="AA180" s="180">
        <f t="shared" si="26"/>
        <v>3788859.5137062012</v>
      </c>
      <c r="AB180" s="180">
        <f t="shared" si="20"/>
        <v>296341.24456094136</v>
      </c>
      <c r="AC180" s="180">
        <f t="shared" si="20"/>
        <v>186524.66488381813</v>
      </c>
      <c r="AD180" s="212">
        <f t="shared" si="20"/>
        <v>109816.57967712318</v>
      </c>
    </row>
    <row r="181" spans="1:30" x14ac:dyDescent="0.25">
      <c r="A181" s="72">
        <f t="shared" si="27"/>
        <v>10</v>
      </c>
      <c r="B181" s="183">
        <f t="shared" si="21"/>
        <v>4130798.4869884988</v>
      </c>
      <c r="C181" s="184">
        <f>-'Retail &amp; Restaurant'!$E$98/12</f>
        <v>22449.880274367653</v>
      </c>
      <c r="D181" s="183">
        <f>'Retail &amp; Restaurant'!$E$96/12*B180</f>
        <v>17233.395714783677</v>
      </c>
      <c r="E181" s="185">
        <f t="shared" si="22"/>
        <v>5216.4845595839761</v>
      </c>
      <c r="F181" s="72">
        <f t="shared" si="28"/>
        <v>10</v>
      </c>
      <c r="G181" s="180">
        <f t="shared" si="23"/>
        <v>492027.01221838908</v>
      </c>
      <c r="H181" s="186">
        <f>-'Retail &amp; Restaurant'!$E$103/12</f>
        <v>2245.2234390441222</v>
      </c>
      <c r="I181" s="149">
        <f>'Retail &amp; Restaurant'!$E$101/12*G180</f>
        <v>1437.4348357299677</v>
      </c>
      <c r="J181" s="187">
        <f t="shared" si="24"/>
        <v>807.78860331415444</v>
      </c>
      <c r="K181" s="72">
        <f t="shared" si="29"/>
        <v>10</v>
      </c>
      <c r="L181" s="180">
        <f t="shared" si="25"/>
        <v>4622825.4992068876</v>
      </c>
      <c r="M181" s="181">
        <f t="shared" si="25"/>
        <v>24695.103713411776</v>
      </c>
      <c r="N181" s="180">
        <f t="shared" si="25"/>
        <v>18670.830550513645</v>
      </c>
      <c r="O181" s="132">
        <f t="shared" si="25"/>
        <v>6024.273162898131</v>
      </c>
      <c r="P181" s="258">
        <v>11</v>
      </c>
      <c r="Q181" s="149">
        <f>B303</f>
        <v>3300105.0154452925</v>
      </c>
      <c r="R181" s="149">
        <f>SUM(C292:C303)</f>
        <v>269398.56329241191</v>
      </c>
      <c r="S181" s="161">
        <f>SUM(D292:D303)</f>
        <v>167778.44168308491</v>
      </c>
      <c r="T181" s="200">
        <f>SUM(E292:E303)</f>
        <v>101620.12160932695</v>
      </c>
      <c r="U181" s="258">
        <v>11</v>
      </c>
      <c r="V181" s="183">
        <f>G303</f>
        <v>373524.45032640029</v>
      </c>
      <c r="W181" s="184">
        <f>SUM(H292:H303)</f>
        <v>26942.681268529468</v>
      </c>
      <c r="X181" s="183">
        <f t="shared" ref="X181:Y181" si="30">SUM(I292:I303)</f>
        <v>13332.75494334768</v>
      </c>
      <c r="Y181" s="184">
        <f t="shared" si="30"/>
        <v>13609.926325181788</v>
      </c>
      <c r="Z181" s="72">
        <v>11</v>
      </c>
      <c r="AA181" s="180">
        <f t="shared" si="26"/>
        <v>3673629.4657716928</v>
      </c>
      <c r="AB181" s="180">
        <f t="shared" si="20"/>
        <v>296341.24456094136</v>
      </c>
      <c r="AC181" s="180">
        <f t="shared" si="20"/>
        <v>181111.19662643259</v>
      </c>
      <c r="AD181" s="212">
        <f t="shared" si="20"/>
        <v>115230.04793450874</v>
      </c>
    </row>
    <row r="182" spans="1:30" x14ac:dyDescent="0.25">
      <c r="A182" s="72">
        <f t="shared" si="27"/>
        <v>11</v>
      </c>
      <c r="B182" s="183">
        <f t="shared" si="21"/>
        <v>4125560.2670765831</v>
      </c>
      <c r="C182" s="184">
        <f>-'Retail &amp; Restaurant'!$E$98/12</f>
        <v>22449.880274367653</v>
      </c>
      <c r="D182" s="183">
        <f>'Retail &amp; Restaurant'!$E$96/12*B181</f>
        <v>17211.660362452079</v>
      </c>
      <c r="E182" s="185">
        <f t="shared" si="22"/>
        <v>5238.2199119155739</v>
      </c>
      <c r="F182" s="72">
        <f t="shared" si="28"/>
        <v>11</v>
      </c>
      <c r="G182" s="180">
        <f t="shared" si="23"/>
        <v>491216.86756498192</v>
      </c>
      <c r="H182" s="186">
        <f>-'Retail &amp; Restaurant'!$E$103/12</f>
        <v>2245.2234390441222</v>
      </c>
      <c r="I182" s="149">
        <f>'Retail &amp; Restaurant'!$E$101/12*G181</f>
        <v>1435.0787856369682</v>
      </c>
      <c r="J182" s="187">
        <f t="shared" si="24"/>
        <v>810.14465340715401</v>
      </c>
      <c r="K182" s="72">
        <f t="shared" si="29"/>
        <v>11</v>
      </c>
      <c r="L182" s="180">
        <f t="shared" si="25"/>
        <v>4616777.1346415654</v>
      </c>
      <c r="M182" s="181">
        <f t="shared" si="25"/>
        <v>24695.103713411776</v>
      </c>
      <c r="N182" s="180">
        <f t="shared" si="25"/>
        <v>18646.739148089047</v>
      </c>
      <c r="O182" s="132">
        <f t="shared" si="25"/>
        <v>6048.3645653227277</v>
      </c>
      <c r="P182" s="258">
        <v>12</v>
      </c>
      <c r="Q182" s="149">
        <f>B315</f>
        <v>3193285.8155514603</v>
      </c>
      <c r="R182" s="149">
        <f>SUM(C304:C315)</f>
        <v>269398.56329241191</v>
      </c>
      <c r="S182" s="161">
        <f t="shared" ref="S182:T182" si="31">SUM(D304:D315)</f>
        <v>162579.36339857924</v>
      </c>
      <c r="T182" s="200">
        <f t="shared" si="31"/>
        <v>106819.1998938326</v>
      </c>
      <c r="U182" s="258">
        <v>12</v>
      </c>
      <c r="V182" s="183">
        <f>G315</f>
        <v>359430.46039201267</v>
      </c>
      <c r="W182" s="184">
        <f>SUM(H304:H315)</f>
        <v>26942.681268529468</v>
      </c>
      <c r="X182" s="183">
        <f t="shared" ref="X182:Y182" si="32">SUM(I304:I315)</f>
        <v>12848.691334141815</v>
      </c>
      <c r="Y182" s="184">
        <f t="shared" si="32"/>
        <v>14093.989934387651</v>
      </c>
      <c r="Z182" s="72">
        <v>12</v>
      </c>
      <c r="AA182" s="180">
        <f t="shared" si="26"/>
        <v>3552716.275943473</v>
      </c>
      <c r="AB182" s="180">
        <f t="shared" si="20"/>
        <v>296341.24456094136</v>
      </c>
      <c r="AC182" s="180">
        <f t="shared" si="20"/>
        <v>175428.05473272107</v>
      </c>
      <c r="AD182" s="212">
        <f t="shared" si="20"/>
        <v>120913.18982822025</v>
      </c>
    </row>
    <row r="183" spans="1:30" x14ac:dyDescent="0.25">
      <c r="A183" s="72">
        <f t="shared" si="27"/>
        <v>12</v>
      </c>
      <c r="B183" s="183">
        <f t="shared" si="21"/>
        <v>4120300.2212483678</v>
      </c>
      <c r="C183" s="184">
        <f>-'Retail &amp; Restaurant'!$E$98/12</f>
        <v>22449.880274367653</v>
      </c>
      <c r="D183" s="183">
        <f>'Retail &amp; Restaurant'!$E$96/12*B182</f>
        <v>17189.834446152428</v>
      </c>
      <c r="E183" s="185">
        <f t="shared" si="22"/>
        <v>5260.0458282152249</v>
      </c>
      <c r="F183" s="72">
        <f t="shared" si="28"/>
        <v>12</v>
      </c>
      <c r="G183" s="180">
        <f t="shared" si="23"/>
        <v>490404.359989669</v>
      </c>
      <c r="H183" s="186">
        <f>-'Retail &amp; Restaurant'!$E$103/12</f>
        <v>2245.2234390441222</v>
      </c>
      <c r="I183" s="149">
        <f>'Retail &amp; Restaurant'!$E$101/12*G182</f>
        <v>1432.7158637311973</v>
      </c>
      <c r="J183" s="187">
        <f t="shared" si="24"/>
        <v>812.50757531292493</v>
      </c>
      <c r="K183" s="72">
        <f t="shared" si="29"/>
        <v>12</v>
      </c>
      <c r="L183" s="180">
        <f t="shared" si="25"/>
        <v>4610704.581238037</v>
      </c>
      <c r="M183" s="181">
        <f t="shared" si="25"/>
        <v>24695.103713411776</v>
      </c>
      <c r="N183" s="180">
        <f t="shared" si="25"/>
        <v>18622.550309883627</v>
      </c>
      <c r="O183" s="132">
        <f t="shared" si="25"/>
        <v>6072.5534035281498</v>
      </c>
      <c r="P183" s="258">
        <v>13</v>
      </c>
      <c r="Q183" s="149">
        <f>B327</f>
        <v>3081001.542660851</v>
      </c>
      <c r="R183" s="149">
        <f>SUM(C316:C327)</f>
        <v>269398.56329241191</v>
      </c>
      <c r="S183" s="161">
        <f t="shared" ref="S183:T183" si="33">SUM(D316:D327)</f>
        <v>157114.29040180251</v>
      </c>
      <c r="T183" s="200">
        <f t="shared" si="33"/>
        <v>112284.27289060931</v>
      </c>
      <c r="U183" s="258">
        <v>13</v>
      </c>
      <c r="V183" s="183">
        <f>G327</f>
        <v>344835.19018080767</v>
      </c>
      <c r="W183" s="184">
        <f>SUM(H316:H327)</f>
        <v>26942.681268529468</v>
      </c>
      <c r="X183" s="183">
        <f t="shared" ref="X183:Y183" si="34">SUM(I316:I327)</f>
        <v>12347.411057324467</v>
      </c>
      <c r="Y183" s="184">
        <f t="shared" si="34"/>
        <v>14595.270211204997</v>
      </c>
      <c r="Z183" s="72">
        <v>13</v>
      </c>
      <c r="AA183" s="180">
        <f t="shared" si="26"/>
        <v>3425836.7328416589</v>
      </c>
      <c r="AB183" s="180">
        <f t="shared" si="20"/>
        <v>296341.24456094136</v>
      </c>
      <c r="AC183" s="180">
        <f t="shared" si="20"/>
        <v>169461.70145912698</v>
      </c>
      <c r="AD183" s="212">
        <f t="shared" si="20"/>
        <v>126879.54310181431</v>
      </c>
    </row>
    <row r="184" spans="1:30" x14ac:dyDescent="0.25">
      <c r="A184" s="72">
        <f t="shared" si="27"/>
        <v>13</v>
      </c>
      <c r="B184" s="183">
        <f t="shared" si="21"/>
        <v>4115018.258562535</v>
      </c>
      <c r="C184" s="184">
        <f>-'Retail &amp; Restaurant'!$E$98/12</f>
        <v>22449.880274367653</v>
      </c>
      <c r="D184" s="183">
        <f>'Retail &amp; Restaurant'!$E$96/12*B183</f>
        <v>17167.917588534867</v>
      </c>
      <c r="E184" s="185">
        <f t="shared" si="22"/>
        <v>5281.9626858327865</v>
      </c>
      <c r="F184" s="72">
        <f t="shared" si="28"/>
        <v>13</v>
      </c>
      <c r="G184" s="180">
        <f t="shared" si="23"/>
        <v>489589.48260059475</v>
      </c>
      <c r="H184" s="186">
        <f>-'Retail &amp; Restaurant'!$E$103/12</f>
        <v>2245.2234390441222</v>
      </c>
      <c r="I184" s="149">
        <f>'Retail &amp; Restaurant'!$E$101/12*G183</f>
        <v>1430.3460499698681</v>
      </c>
      <c r="J184" s="187">
        <f t="shared" si="24"/>
        <v>814.8773890742541</v>
      </c>
      <c r="K184" s="72">
        <f t="shared" si="29"/>
        <v>13</v>
      </c>
      <c r="L184" s="180">
        <f t="shared" si="25"/>
        <v>4604607.7411631299</v>
      </c>
      <c r="M184" s="181">
        <f t="shared" si="25"/>
        <v>24695.103713411776</v>
      </c>
      <c r="N184" s="180">
        <f t="shared" si="25"/>
        <v>18598.263638504734</v>
      </c>
      <c r="O184" s="132">
        <f t="shared" si="25"/>
        <v>6096.8400749070406</v>
      </c>
      <c r="P184" s="258">
        <v>14</v>
      </c>
      <c r="Q184" s="149">
        <f>B339</f>
        <v>2962972.5932668876</v>
      </c>
      <c r="R184" s="149">
        <f>SUM(C328:C339)</f>
        <v>269398.56329241191</v>
      </c>
      <c r="S184" s="161">
        <f t="shared" ref="S184:T184" si="35">SUM(D328:D339)</f>
        <v>151369.61389844853</v>
      </c>
      <c r="T184" s="200">
        <f t="shared" si="35"/>
        <v>118028.94939396332</v>
      </c>
      <c r="U184" s="258">
        <v>14</v>
      </c>
      <c r="V184" s="183">
        <f>G339</f>
        <v>329720.810680767</v>
      </c>
      <c r="W184" s="184">
        <f>SUM(H328:H339)</f>
        <v>26942.681268529468</v>
      </c>
      <c r="X184" s="183">
        <f t="shared" ref="X184:Y184" si="36">SUM(I328:I339)</f>
        <v>11828.301768488815</v>
      </c>
      <c r="Y184" s="184">
        <f t="shared" si="36"/>
        <v>15114.379500040652</v>
      </c>
      <c r="Z184" s="72">
        <v>14</v>
      </c>
      <c r="AA184" s="180">
        <f t="shared" si="26"/>
        <v>3292693.4039476546</v>
      </c>
      <c r="AB184" s="180">
        <f t="shared" si="20"/>
        <v>296341.24456094136</v>
      </c>
      <c r="AC184" s="180">
        <f t="shared" si="20"/>
        <v>163197.91566693733</v>
      </c>
      <c r="AD184" s="212">
        <f t="shared" si="20"/>
        <v>133143.32889400396</v>
      </c>
    </row>
    <row r="185" spans="1:30" x14ac:dyDescent="0.25">
      <c r="A185" s="72">
        <f t="shared" si="27"/>
        <v>14</v>
      </c>
      <c r="B185" s="183">
        <f t="shared" si="21"/>
        <v>4109714.2876988444</v>
      </c>
      <c r="C185" s="184">
        <f>-'Retail &amp; Restaurant'!$E$98/12</f>
        <v>22449.880274367653</v>
      </c>
      <c r="D185" s="183">
        <f>'Retail &amp; Restaurant'!$E$96/12*B184</f>
        <v>17145.909410677228</v>
      </c>
      <c r="E185" s="185">
        <f t="shared" si="22"/>
        <v>5303.9708636904252</v>
      </c>
      <c r="F185" s="72">
        <f t="shared" si="28"/>
        <v>14</v>
      </c>
      <c r="G185" s="180">
        <f t="shared" si="23"/>
        <v>488772.22848580236</v>
      </c>
      <c r="H185" s="186">
        <f>-'Retail &amp; Restaurant'!$E$103/12</f>
        <v>2245.2234390441222</v>
      </c>
      <c r="I185" s="149">
        <f>'Retail &amp; Restaurant'!$E$101/12*G184</f>
        <v>1427.9693242517349</v>
      </c>
      <c r="J185" s="187">
        <f t="shared" si="24"/>
        <v>817.25411479238733</v>
      </c>
      <c r="K185" s="72">
        <f t="shared" si="29"/>
        <v>14</v>
      </c>
      <c r="L185" s="180">
        <f t="shared" si="25"/>
        <v>4598486.5161846466</v>
      </c>
      <c r="M185" s="181">
        <f t="shared" si="25"/>
        <v>24695.103713411776</v>
      </c>
      <c r="N185" s="180">
        <f t="shared" si="25"/>
        <v>18573.878734928963</v>
      </c>
      <c r="O185" s="132">
        <f t="shared" si="25"/>
        <v>6121.2249784828127</v>
      </c>
      <c r="P185" s="258">
        <v>15</v>
      </c>
      <c r="Q185" s="149">
        <f>B351</f>
        <v>2838905.0588169429</v>
      </c>
      <c r="R185" s="149">
        <f>SUM(C340:C351)</f>
        <v>269398.56329241191</v>
      </c>
      <c r="S185" s="161">
        <f t="shared" ref="S185:T185" si="37">SUM(D340:D351)</f>
        <v>145331.02884246633</v>
      </c>
      <c r="T185" s="200">
        <f t="shared" si="37"/>
        <v>124067.53444994548</v>
      </c>
      <c r="U185" s="258">
        <v>15</v>
      </c>
      <c r="V185" s="183">
        <f>G351</f>
        <v>314068.85875624081</v>
      </c>
      <c r="W185" s="184">
        <f>SUM(H340:H351)</f>
        <v>26942.681268529468</v>
      </c>
      <c r="X185" s="183">
        <f t="shared" ref="X185:Y185" si="38">SUM(I340:I351)</f>
        <v>11290.729344003326</v>
      </c>
      <c r="Y185" s="184">
        <f t="shared" si="38"/>
        <v>15651.95192452614</v>
      </c>
      <c r="Z185" s="72">
        <v>15</v>
      </c>
      <c r="AA185" s="180">
        <f t="shared" si="26"/>
        <v>3152973.9175731838</v>
      </c>
      <c r="AB185" s="180">
        <f t="shared" si="20"/>
        <v>296341.24456094136</v>
      </c>
      <c r="AC185" s="180">
        <f t="shared" si="20"/>
        <v>156621.75818646967</v>
      </c>
      <c r="AD185" s="212">
        <f t="shared" si="20"/>
        <v>139719.48637447163</v>
      </c>
    </row>
    <row r="186" spans="1:30" x14ac:dyDescent="0.25">
      <c r="A186" s="72">
        <f t="shared" si="27"/>
        <v>15</v>
      </c>
      <c r="B186" s="183">
        <f t="shared" si="21"/>
        <v>4104388.2169565554</v>
      </c>
      <c r="C186" s="184">
        <f>-'Retail &amp; Restaurant'!$E$98/12</f>
        <v>22449.880274367653</v>
      </c>
      <c r="D186" s="183">
        <f>'Retail &amp; Restaurant'!$E$96/12*B185</f>
        <v>17123.809532078518</v>
      </c>
      <c r="E186" s="185">
        <f t="shared" si="22"/>
        <v>5326.0707422891355</v>
      </c>
      <c r="F186" s="72">
        <f t="shared" si="28"/>
        <v>15</v>
      </c>
      <c r="G186" s="180">
        <f t="shared" si="23"/>
        <v>487952.59071317519</v>
      </c>
      <c r="H186" s="186">
        <f>-'Retail &amp; Restaurant'!$E$103/12</f>
        <v>2245.2234390441222</v>
      </c>
      <c r="I186" s="149">
        <f>'Retail &amp; Restaurant'!$E$101/12*G185</f>
        <v>1425.5856664169237</v>
      </c>
      <c r="J186" s="187">
        <f t="shared" si="24"/>
        <v>819.6377726271985</v>
      </c>
      <c r="K186" s="72">
        <f t="shared" si="29"/>
        <v>15</v>
      </c>
      <c r="L186" s="180">
        <f t="shared" si="25"/>
        <v>4592340.8076697309</v>
      </c>
      <c r="M186" s="181">
        <f t="shared" si="25"/>
        <v>24695.103713411776</v>
      </c>
      <c r="N186" s="180">
        <f t="shared" si="25"/>
        <v>18549.39519849544</v>
      </c>
      <c r="O186" s="132">
        <f t="shared" si="25"/>
        <v>6145.708514916334</v>
      </c>
      <c r="P186" s="258">
        <v>16</v>
      </c>
      <c r="Q186" s="149">
        <f>B363</f>
        <v>2708489.9938390306</v>
      </c>
      <c r="R186" s="149">
        <f>SUM(C352:C363)</f>
        <v>269398.56329241191</v>
      </c>
      <c r="S186" s="161">
        <f t="shared" ref="S186:T186" si="39">SUM(D352:D363)</f>
        <v>138983.49831449983</v>
      </c>
      <c r="T186" s="200">
        <f t="shared" si="39"/>
        <v>130415.06497791201</v>
      </c>
      <c r="U186" s="258">
        <v>16</v>
      </c>
      <c r="V186" s="183">
        <f>G363</f>
        <v>297860.21459410246</v>
      </c>
      <c r="W186" s="184">
        <f>SUM(H352:H363)</f>
        <v>26942.681268529468</v>
      </c>
      <c r="X186" s="183">
        <f t="shared" ref="X186:Y186" si="40">SUM(I352:I363)</f>
        <v>10734.037106391115</v>
      </c>
      <c r="Y186" s="184">
        <f t="shared" si="40"/>
        <v>16208.644162138351</v>
      </c>
      <c r="Z186" s="72">
        <v>16</v>
      </c>
      <c r="AA186" s="180">
        <f t="shared" si="26"/>
        <v>3006350.2084331331</v>
      </c>
      <c r="AB186" s="180">
        <f t="shared" si="20"/>
        <v>296341.24456094136</v>
      </c>
      <c r="AC186" s="180">
        <f t="shared" si="20"/>
        <v>149717.53542089096</v>
      </c>
      <c r="AD186" s="212">
        <f t="shared" si="20"/>
        <v>146623.70914005037</v>
      </c>
    </row>
    <row r="187" spans="1:30" x14ac:dyDescent="0.25">
      <c r="A187" s="72">
        <f t="shared" si="27"/>
        <v>16</v>
      </c>
      <c r="B187" s="183">
        <f t="shared" si="21"/>
        <v>4099039.95425284</v>
      </c>
      <c r="C187" s="184">
        <f>-'Retail &amp; Restaurant'!$E$98/12</f>
        <v>22449.880274367653</v>
      </c>
      <c r="D187" s="183">
        <f>'Retail &amp; Restaurant'!$E$96/12*B186</f>
        <v>17101.617570652314</v>
      </c>
      <c r="E187" s="185">
        <f t="shared" si="22"/>
        <v>5348.2627037153397</v>
      </c>
      <c r="F187" s="72">
        <f t="shared" si="28"/>
        <v>16</v>
      </c>
      <c r="G187" s="180">
        <f t="shared" si="23"/>
        <v>487130.56233037781</v>
      </c>
      <c r="H187" s="186">
        <f>-'Retail &amp; Restaurant'!$E$103/12</f>
        <v>2245.2234390441222</v>
      </c>
      <c r="I187" s="149">
        <f>'Retail &amp; Restaurant'!$E$101/12*G186</f>
        <v>1423.1950562467609</v>
      </c>
      <c r="J187" s="187">
        <f t="shared" si="24"/>
        <v>822.02838279736125</v>
      </c>
      <c r="K187" s="72">
        <f t="shared" si="29"/>
        <v>16</v>
      </c>
      <c r="L187" s="180">
        <f t="shared" si="25"/>
        <v>4586170.5165832182</v>
      </c>
      <c r="M187" s="181">
        <f t="shared" si="25"/>
        <v>24695.103713411776</v>
      </c>
      <c r="N187" s="180">
        <f t="shared" si="25"/>
        <v>18524.812626899075</v>
      </c>
      <c r="O187" s="132">
        <f t="shared" si="25"/>
        <v>6170.2910865127014</v>
      </c>
      <c r="P187" s="258">
        <v>17</v>
      </c>
      <c r="Q187" s="149">
        <f>B375</f>
        <v>2571402.646624479</v>
      </c>
      <c r="R187" s="149">
        <f>SUM(C364:C375)</f>
        <v>269398.56329241191</v>
      </c>
      <c r="S187" s="161">
        <f t="shared" ref="S187:T187" si="41">SUM(D364:D375)</f>
        <v>132311.21607786027</v>
      </c>
      <c r="T187" s="200">
        <f t="shared" si="41"/>
        <v>137087.34721455158</v>
      </c>
      <c r="U187" s="258">
        <v>17</v>
      </c>
      <c r="V187" s="183">
        <f>G375</f>
        <v>281075.07834773132</v>
      </c>
      <c r="W187" s="184">
        <f>SUM(H364:H375)</f>
        <v>26942.681268529468</v>
      </c>
      <c r="X187" s="183">
        <f t="shared" ref="X187:Y187" si="42">SUM(I364:I375)</f>
        <v>10157.545022158356</v>
      </c>
      <c r="Y187" s="184">
        <f t="shared" si="42"/>
        <v>16785.136246371112</v>
      </c>
      <c r="Z187" s="72">
        <v>17</v>
      </c>
      <c r="AA187" s="180">
        <f t="shared" si="26"/>
        <v>2852477.7249722104</v>
      </c>
      <c r="AB187" s="180">
        <f t="shared" si="26"/>
        <v>296341.24456094136</v>
      </c>
      <c r="AC187" s="180">
        <f t="shared" si="26"/>
        <v>142468.76110001863</v>
      </c>
      <c r="AD187" s="212">
        <f t="shared" si="26"/>
        <v>153872.4834609227</v>
      </c>
    </row>
    <row r="188" spans="1:30" x14ac:dyDescent="0.25">
      <c r="A188" s="72">
        <f t="shared" si="27"/>
        <v>17</v>
      </c>
      <c r="B188" s="183">
        <f t="shared" si="21"/>
        <v>4093669.4071211927</v>
      </c>
      <c r="C188" s="184">
        <f>-'Retail &amp; Restaurant'!$E$98/12</f>
        <v>22449.880274367653</v>
      </c>
      <c r="D188" s="183">
        <f>'Retail &amp; Restaurant'!$E$96/12*B187</f>
        <v>17079.333142720167</v>
      </c>
      <c r="E188" s="185">
        <f t="shared" si="22"/>
        <v>5370.5471316474868</v>
      </c>
      <c r="F188" s="72">
        <f t="shared" si="28"/>
        <v>17</v>
      </c>
      <c r="G188" s="180">
        <f t="shared" si="23"/>
        <v>486306.1363647973</v>
      </c>
      <c r="H188" s="186">
        <f>-'Retail &amp; Restaurant'!$E$103/12</f>
        <v>2245.2234390441222</v>
      </c>
      <c r="I188" s="149">
        <f>'Retail &amp; Restaurant'!$E$101/12*G187</f>
        <v>1420.797473463602</v>
      </c>
      <c r="J188" s="187">
        <f t="shared" si="24"/>
        <v>824.42596558052014</v>
      </c>
      <c r="K188" s="72">
        <f t="shared" si="29"/>
        <v>17</v>
      </c>
      <c r="L188" s="180">
        <f t="shared" si="25"/>
        <v>4579975.5434859898</v>
      </c>
      <c r="M188" s="181">
        <f t="shared" si="25"/>
        <v>24695.103713411776</v>
      </c>
      <c r="N188" s="180">
        <f t="shared" si="25"/>
        <v>18500.130616183767</v>
      </c>
      <c r="O188" s="132">
        <f t="shared" si="25"/>
        <v>6194.9730972280067</v>
      </c>
      <c r="P188" s="258">
        <v>18</v>
      </c>
      <c r="Q188" s="149">
        <f>B387</f>
        <v>2427301.6505508586</v>
      </c>
      <c r="R188" s="149">
        <f>SUM(C376:C387)</f>
        <v>269398.56329241191</v>
      </c>
      <c r="S188" s="161">
        <f t="shared" ref="S188:T188" si="43">SUM(D376:D387)</f>
        <v>125297.56721879166</v>
      </c>
      <c r="T188" s="200">
        <f t="shared" si="43"/>
        <v>144100.99607362019</v>
      </c>
      <c r="U188" s="258">
        <v>18</v>
      </c>
      <c r="V188" s="183">
        <f>G387</f>
        <v>263692.94595029391</v>
      </c>
      <c r="W188" s="184">
        <f>SUM(H376:H387)</f>
        <v>26942.681268529468</v>
      </c>
      <c r="X188" s="183">
        <f t="shared" ref="X188:Y188" si="44">SUM(I376:I387)</f>
        <v>9560.5488710919744</v>
      </c>
      <c r="Y188" s="184">
        <f t="shared" si="44"/>
        <v>17382.132397437494</v>
      </c>
      <c r="Z188" s="72">
        <v>18</v>
      </c>
      <c r="AA188" s="180">
        <f t="shared" ref="AA188:AD200" si="45">Q188+V188</f>
        <v>2690994.5965011525</v>
      </c>
      <c r="AB188" s="180">
        <f t="shared" si="45"/>
        <v>296341.24456094136</v>
      </c>
      <c r="AC188" s="180">
        <f t="shared" si="45"/>
        <v>134858.11608988364</v>
      </c>
      <c r="AD188" s="212">
        <f t="shared" si="45"/>
        <v>161483.12847105769</v>
      </c>
    </row>
    <row r="189" spans="1:30" x14ac:dyDescent="0.25">
      <c r="A189" s="72">
        <f t="shared" si="27"/>
        <v>18</v>
      </c>
      <c r="B189" s="183">
        <f t="shared" si="21"/>
        <v>4088276.4827098302</v>
      </c>
      <c r="C189" s="184">
        <f>-'Retail &amp; Restaurant'!$E$98/12</f>
        <v>22449.880274367653</v>
      </c>
      <c r="D189" s="183">
        <f>'Retail &amp; Restaurant'!$E$96/12*B188</f>
        <v>17056.955863004969</v>
      </c>
      <c r="E189" s="185">
        <f t="shared" si="22"/>
        <v>5392.9244113626846</v>
      </c>
      <c r="F189" s="72">
        <f t="shared" si="28"/>
        <v>18</v>
      </c>
      <c r="G189" s="180">
        <f t="shared" si="23"/>
        <v>485479.30582348385</v>
      </c>
      <c r="H189" s="186">
        <f>-'Retail &amp; Restaurant'!$E$103/12</f>
        <v>2245.2234390441222</v>
      </c>
      <c r="I189" s="149">
        <f>'Retail &amp; Restaurant'!$E$101/12*G188</f>
        <v>1418.3928977306589</v>
      </c>
      <c r="J189" s="187">
        <f t="shared" si="24"/>
        <v>826.8305413134633</v>
      </c>
      <c r="K189" s="72">
        <f t="shared" si="29"/>
        <v>18</v>
      </c>
      <c r="L189" s="180">
        <f t="shared" si="25"/>
        <v>4573755.7885333141</v>
      </c>
      <c r="M189" s="181">
        <f t="shared" si="25"/>
        <v>24695.103713411776</v>
      </c>
      <c r="N189" s="180">
        <f t="shared" si="25"/>
        <v>18475.348760735629</v>
      </c>
      <c r="O189" s="132">
        <f t="shared" si="25"/>
        <v>6219.7549526761477</v>
      </c>
      <c r="P189" s="258">
        <v>19</v>
      </c>
      <c r="Q189" s="149">
        <f>B399</f>
        <v>2275828.1740314644</v>
      </c>
      <c r="R189" s="149">
        <f>SUM(C388:C399)</f>
        <v>269398.56329241191</v>
      </c>
      <c r="S189" s="161">
        <f t="shared" ref="S189:T189" si="46">SUM(D388:D399)</f>
        <v>117925.0867730171</v>
      </c>
      <c r="T189" s="200">
        <f t="shared" si="46"/>
        <v>151473.47651939472</v>
      </c>
      <c r="U189" s="258">
        <v>19</v>
      </c>
      <c r="V189" s="183">
        <f>G399</f>
        <v>245692.58406777607</v>
      </c>
      <c r="W189" s="184">
        <f>SUM(H388:H399)</f>
        <v>26942.681268529468</v>
      </c>
      <c r="X189" s="183">
        <f t="shared" ref="X189:Y189" si="47">SUM(I388:I399)</f>
        <v>8942.3193860116862</v>
      </c>
      <c r="Y189" s="184">
        <f t="shared" si="47"/>
        <v>18000.361882517776</v>
      </c>
      <c r="Z189" s="72">
        <v>19</v>
      </c>
      <c r="AA189" s="180">
        <f t="shared" si="45"/>
        <v>2521520.7580992403</v>
      </c>
      <c r="AB189" s="180">
        <f t="shared" si="45"/>
        <v>296341.24456094136</v>
      </c>
      <c r="AC189" s="180">
        <f t="shared" si="45"/>
        <v>126867.40615902879</v>
      </c>
      <c r="AD189" s="212">
        <f t="shared" si="45"/>
        <v>169473.83840191251</v>
      </c>
    </row>
    <row r="190" spans="1:30" x14ac:dyDescent="0.25">
      <c r="A190" s="72">
        <f t="shared" si="27"/>
        <v>19</v>
      </c>
      <c r="B190" s="183">
        <f t="shared" si="21"/>
        <v>4082861.0877800868</v>
      </c>
      <c r="C190" s="184">
        <f>-'Retail &amp; Restaurant'!$E$98/12</f>
        <v>22449.880274367653</v>
      </c>
      <c r="D190" s="183">
        <f>'Retail &amp; Restaurant'!$E$96/12*B189</f>
        <v>17034.485344624292</v>
      </c>
      <c r="E190" s="185">
        <f t="shared" si="22"/>
        <v>5415.394929743361</v>
      </c>
      <c r="F190" s="72">
        <f t="shared" si="28"/>
        <v>19</v>
      </c>
      <c r="G190" s="180">
        <f t="shared" si="23"/>
        <v>484650.06369309156</v>
      </c>
      <c r="H190" s="186">
        <f>-'Retail &amp; Restaurant'!$E$103/12</f>
        <v>2245.2234390441222</v>
      </c>
      <c r="I190" s="149">
        <f>'Retail &amp; Restaurant'!$E$101/12*G189</f>
        <v>1415.9813086518279</v>
      </c>
      <c r="J190" s="187">
        <f t="shared" si="24"/>
        <v>829.24213039229426</v>
      </c>
      <c r="K190" s="72">
        <f t="shared" si="29"/>
        <v>19</v>
      </c>
      <c r="L190" s="180">
        <f t="shared" si="25"/>
        <v>4567511.1514731785</v>
      </c>
      <c r="M190" s="181">
        <f t="shared" si="25"/>
        <v>24695.103713411776</v>
      </c>
      <c r="N190" s="180">
        <f t="shared" si="25"/>
        <v>18450.466653276118</v>
      </c>
      <c r="O190" s="132">
        <f t="shared" si="25"/>
        <v>6244.6370601356557</v>
      </c>
      <c r="P190" s="258">
        <v>20</v>
      </c>
      <c r="Q190" s="149">
        <f>B411</f>
        <v>2116605.0269745938</v>
      </c>
      <c r="R190" s="149">
        <f>SUM(C400:C411)</f>
        <v>269398.56329241191</v>
      </c>
      <c r="S190" s="161">
        <f t="shared" ref="S190:T190" si="48">SUM(D400:D411)</f>
        <v>110175.41623554073</v>
      </c>
      <c r="T190" s="200">
        <f t="shared" si="48"/>
        <v>159223.14705687109</v>
      </c>
      <c r="U190" s="258">
        <v>20</v>
      </c>
      <c r="V190" s="183">
        <f>G411</f>
        <v>227052.00416117231</v>
      </c>
      <c r="W190" s="184">
        <f>SUM(H400:H411)</f>
        <v>26942.681268529468</v>
      </c>
      <c r="X190" s="183">
        <f t="shared" ref="X190:Y190" si="49">SUM(I400:I411)</f>
        <v>8302.1013619257337</v>
      </c>
      <c r="Y190" s="184">
        <f t="shared" si="49"/>
        <v>18640.579906603729</v>
      </c>
      <c r="Z190" s="258">
        <v>20</v>
      </c>
      <c r="AA190" s="180">
        <f t="shared" si="45"/>
        <v>2343657.0311357658</v>
      </c>
      <c r="AB190" s="180">
        <f t="shared" si="45"/>
        <v>296341.24456094136</v>
      </c>
      <c r="AC190" s="180">
        <f t="shared" si="45"/>
        <v>118477.51759746646</v>
      </c>
      <c r="AD190" s="212">
        <f t="shared" si="45"/>
        <v>177863.72696347482</v>
      </c>
    </row>
    <row r="191" spans="1:30" x14ac:dyDescent="0.25">
      <c r="A191" s="72">
        <f t="shared" si="27"/>
        <v>20</v>
      </c>
      <c r="B191" s="183">
        <f t="shared" si="21"/>
        <v>4077423.1287048031</v>
      </c>
      <c r="C191" s="184">
        <f>-'Retail &amp; Restaurant'!$E$98/12</f>
        <v>22449.880274367653</v>
      </c>
      <c r="D191" s="183">
        <f>'Retail &amp; Restaurant'!$E$96/12*B190</f>
        <v>17011.921199083696</v>
      </c>
      <c r="E191" s="185">
        <f t="shared" si="22"/>
        <v>5437.9590752839576</v>
      </c>
      <c r="F191" s="72">
        <f t="shared" si="28"/>
        <v>20</v>
      </c>
      <c r="G191" s="180">
        <f t="shared" si="23"/>
        <v>483818.40293981897</v>
      </c>
      <c r="H191" s="186">
        <f>-'Retail &amp; Restaurant'!$E$103/12</f>
        <v>2245.2234390441222</v>
      </c>
      <c r="I191" s="149">
        <f>'Retail &amp; Restaurant'!$E$101/12*G190</f>
        <v>1413.5626857715172</v>
      </c>
      <c r="J191" s="187">
        <f t="shared" si="24"/>
        <v>831.66075327260501</v>
      </c>
      <c r="K191" s="72">
        <f t="shared" si="29"/>
        <v>20</v>
      </c>
      <c r="L191" s="180">
        <f t="shared" si="25"/>
        <v>4561241.5316446219</v>
      </c>
      <c r="M191" s="181">
        <f t="shared" si="25"/>
        <v>24695.103713411776</v>
      </c>
      <c r="N191" s="180">
        <f t="shared" si="25"/>
        <v>18425.483884855214</v>
      </c>
      <c r="O191" s="132">
        <f t="shared" si="25"/>
        <v>6269.6198285565624</v>
      </c>
      <c r="P191" s="258">
        <v>21</v>
      </c>
      <c r="Q191" s="149">
        <f>B423</f>
        <v>1949235.7215275909</v>
      </c>
      <c r="R191" s="149">
        <f>SUM(C412:C423)</f>
        <v>269398.56329241191</v>
      </c>
      <c r="S191" s="161">
        <f t="shared" ref="S191:T191" si="50">SUM(D412:D423)</f>
        <v>102029.25784540892</v>
      </c>
      <c r="T191" s="200">
        <f t="shared" si="50"/>
        <v>167369.30544700296</v>
      </c>
      <c r="U191" s="258">
        <v>21</v>
      </c>
      <c r="V191" s="183">
        <f>G423</f>
        <v>207748.43562614481</v>
      </c>
      <c r="W191" s="184">
        <f>SUM(H412:H423)</f>
        <v>26942.681268529468</v>
      </c>
      <c r="X191" s="183">
        <f t="shared" ref="X191:Y191" si="51">SUM(I412:I423)</f>
        <v>7639.1127335019546</v>
      </c>
      <c r="Y191" s="184">
        <f t="shared" si="51"/>
        <v>19303.568535027513</v>
      </c>
      <c r="Z191" s="72">
        <v>21</v>
      </c>
      <c r="AA191" s="180">
        <f t="shared" si="45"/>
        <v>2156984.1571537359</v>
      </c>
      <c r="AB191" s="180">
        <f t="shared" si="45"/>
        <v>296341.24456094136</v>
      </c>
      <c r="AC191" s="180">
        <f t="shared" si="45"/>
        <v>109668.37057891088</v>
      </c>
      <c r="AD191" s="212">
        <f t="shared" si="45"/>
        <v>186672.87398203046</v>
      </c>
    </row>
    <row r="192" spans="1:30" x14ac:dyDescent="0.25">
      <c r="A192" s="72">
        <f t="shared" si="27"/>
        <v>21</v>
      </c>
      <c r="B192" s="183">
        <f t="shared" si="21"/>
        <v>4071962.5114667052</v>
      </c>
      <c r="C192" s="184">
        <f>-'Retail &amp; Restaurant'!$E$98/12</f>
        <v>22449.880274367653</v>
      </c>
      <c r="D192" s="183">
        <f>'Retail &amp; Restaurant'!$E$96/12*B191</f>
        <v>16989.263036270011</v>
      </c>
      <c r="E192" s="185">
        <f t="shared" si="22"/>
        <v>5460.6172380976423</v>
      </c>
      <c r="F192" s="72">
        <f t="shared" si="28"/>
        <v>21</v>
      </c>
      <c r="G192" s="180">
        <f t="shared" si="23"/>
        <v>482984.31650934933</v>
      </c>
      <c r="H192" s="186">
        <f>-'Retail &amp; Restaurant'!$E$103/12</f>
        <v>2245.2234390441222</v>
      </c>
      <c r="I192" s="149">
        <f>'Retail &amp; Restaurant'!$E$101/12*G191</f>
        <v>1411.137008574472</v>
      </c>
      <c r="J192" s="187">
        <f t="shared" si="24"/>
        <v>834.08643046965017</v>
      </c>
      <c r="K192" s="72">
        <f t="shared" si="29"/>
        <v>21</v>
      </c>
      <c r="L192" s="180">
        <f t="shared" si="25"/>
        <v>4554946.8279760545</v>
      </c>
      <c r="M192" s="181">
        <f t="shared" si="25"/>
        <v>24695.103713411776</v>
      </c>
      <c r="N192" s="180">
        <f t="shared" si="25"/>
        <v>18400.400044844482</v>
      </c>
      <c r="O192" s="132">
        <f t="shared" si="25"/>
        <v>6294.703668567292</v>
      </c>
      <c r="P192" s="258">
        <v>22</v>
      </c>
      <c r="Q192" s="149">
        <f>B435</f>
        <v>1773303.4847667718</v>
      </c>
      <c r="R192" s="149">
        <f>SUM(C424:C435)</f>
        <v>269398.56329241191</v>
      </c>
      <c r="S192" s="161">
        <f t="shared" ref="S192:T192" si="52">SUM(D424:D435)</f>
        <v>93466.326531592771</v>
      </c>
      <c r="T192" s="200">
        <f t="shared" si="52"/>
        <v>175932.2367608191</v>
      </c>
      <c r="U192" s="258">
        <v>22</v>
      </c>
      <c r="V192" s="183">
        <f>G435</f>
        <v>187758.29797734271</v>
      </c>
      <c r="W192" s="184">
        <f>SUM(H424:H435)</f>
        <v>26942.681268529468</v>
      </c>
      <c r="X192" s="183">
        <f t="shared" ref="X192:Y192" si="53">SUM(I424:I435)</f>
        <v>6952.5436197273166</v>
      </c>
      <c r="Y192" s="184">
        <f t="shared" si="53"/>
        <v>19990.137648802149</v>
      </c>
      <c r="Z192" s="72">
        <v>22</v>
      </c>
      <c r="AA192" s="180">
        <f t="shared" si="45"/>
        <v>1961061.7827441145</v>
      </c>
      <c r="AB192" s="180">
        <f t="shared" si="45"/>
        <v>296341.24456094136</v>
      </c>
      <c r="AC192" s="180">
        <f t="shared" si="45"/>
        <v>100418.87015132009</v>
      </c>
      <c r="AD192" s="212">
        <f t="shared" si="45"/>
        <v>195922.37440962123</v>
      </c>
    </row>
    <row r="193" spans="1:30" x14ac:dyDescent="0.25">
      <c r="A193" s="72">
        <f t="shared" si="27"/>
        <v>22</v>
      </c>
      <c r="B193" s="183">
        <f t="shared" si="21"/>
        <v>4066479.141656782</v>
      </c>
      <c r="C193" s="184">
        <f>-'Retail &amp; Restaurant'!$E$98/12</f>
        <v>22449.880274367653</v>
      </c>
      <c r="D193" s="183">
        <f>'Retail &amp; Restaurant'!$E$96/12*B192</f>
        <v>16966.510464444604</v>
      </c>
      <c r="E193" s="185">
        <f t="shared" si="22"/>
        <v>5483.3698099230496</v>
      </c>
      <c r="F193" s="72">
        <f t="shared" si="28"/>
        <v>22</v>
      </c>
      <c r="G193" s="180">
        <f t="shared" si="23"/>
        <v>482147.79732679081</v>
      </c>
      <c r="H193" s="186">
        <f>-'Retail &amp; Restaurant'!$E$103/12</f>
        <v>2245.2234390441222</v>
      </c>
      <c r="I193" s="149">
        <f>'Retail &amp; Restaurant'!$E$101/12*G192</f>
        <v>1408.7042564856022</v>
      </c>
      <c r="J193" s="187">
        <f t="shared" si="24"/>
        <v>836.51918255852001</v>
      </c>
      <c r="K193" s="72">
        <f t="shared" si="29"/>
        <v>22</v>
      </c>
      <c r="L193" s="180">
        <f t="shared" si="25"/>
        <v>4548626.9389835726</v>
      </c>
      <c r="M193" s="181">
        <f t="shared" si="25"/>
        <v>24695.103713411776</v>
      </c>
      <c r="N193" s="180">
        <f t="shared" si="25"/>
        <v>18375.214720930206</v>
      </c>
      <c r="O193" s="132">
        <f t="shared" si="25"/>
        <v>6319.8889924815694</v>
      </c>
      <c r="P193" s="258">
        <v>23</v>
      </c>
      <c r="Q193" s="149">
        <f>B447</f>
        <v>1588370.2208746902</v>
      </c>
      <c r="R193" s="149">
        <f>SUM(C436:C447)</f>
        <v>269398.56329241191</v>
      </c>
      <c r="S193" s="161">
        <f t="shared" ref="S193:T193" si="54">SUM(D436:D447)</f>
        <v>84465.299400330798</v>
      </c>
      <c r="T193" s="200">
        <f t="shared" si="54"/>
        <v>184933.26389208101</v>
      </c>
      <c r="U193" s="258">
        <v>23</v>
      </c>
      <c r="V193" s="183">
        <f>G447</f>
        <v>167057.17204340204</v>
      </c>
      <c r="W193" s="184">
        <f>SUM(H436:H447)</f>
        <v>26942.681268529468</v>
      </c>
      <c r="X193" s="183">
        <f t="shared" ref="X193:Y193" si="55">SUM(I436:I447)</f>
        <v>6241.5553345888966</v>
      </c>
      <c r="Y193" s="184">
        <f t="shared" si="55"/>
        <v>20701.125933940566</v>
      </c>
      <c r="Z193" s="72">
        <v>23</v>
      </c>
      <c r="AA193" s="180">
        <f t="shared" si="45"/>
        <v>1755427.3929180922</v>
      </c>
      <c r="AB193" s="180">
        <f t="shared" si="45"/>
        <v>296341.24456094136</v>
      </c>
      <c r="AC193" s="180">
        <f t="shared" si="45"/>
        <v>90706.854734919689</v>
      </c>
      <c r="AD193" s="212">
        <f t="shared" si="45"/>
        <v>205634.38982602156</v>
      </c>
    </row>
    <row r="194" spans="1:30" x14ac:dyDescent="0.25">
      <c r="A194" s="72">
        <f t="shared" si="27"/>
        <v>23</v>
      </c>
      <c r="B194" s="183">
        <f t="shared" si="21"/>
        <v>4060972.924472651</v>
      </c>
      <c r="C194" s="184">
        <f>-'Retail &amp; Restaurant'!$E$98/12</f>
        <v>22449.880274367653</v>
      </c>
      <c r="D194" s="183">
        <f>'Retail &amp; Restaurant'!$E$96/12*B193</f>
        <v>16943.663090236591</v>
      </c>
      <c r="E194" s="185">
        <f t="shared" si="22"/>
        <v>5506.2171841310628</v>
      </c>
      <c r="F194" s="72">
        <f t="shared" si="28"/>
        <v>23</v>
      </c>
      <c r="G194" s="180">
        <f t="shared" si="23"/>
        <v>481308.83829661651</v>
      </c>
      <c r="H194" s="186">
        <f>-'Retail &amp; Restaurant'!$E$103/12</f>
        <v>2245.2234390441222</v>
      </c>
      <c r="I194" s="149">
        <f>'Retail &amp; Restaurant'!$E$101/12*G193</f>
        <v>1406.2644088698066</v>
      </c>
      <c r="J194" s="187">
        <f t="shared" si="24"/>
        <v>838.95903017431556</v>
      </c>
      <c r="K194" s="72">
        <f t="shared" si="29"/>
        <v>23</v>
      </c>
      <c r="L194" s="180">
        <f t="shared" si="25"/>
        <v>4542281.7627692679</v>
      </c>
      <c r="M194" s="181">
        <f t="shared" si="25"/>
        <v>24695.103713411776</v>
      </c>
      <c r="N194" s="180">
        <f t="shared" si="25"/>
        <v>18349.927499106398</v>
      </c>
      <c r="O194" s="132">
        <f t="shared" si="25"/>
        <v>6345.1762143053784</v>
      </c>
      <c r="P194" s="258">
        <v>24</v>
      </c>
      <c r="Q194" s="149">
        <f>B459</f>
        <v>1393975.420220427</v>
      </c>
      <c r="R194" s="149">
        <f>SUM(C448:C459)</f>
        <v>269398.56329241191</v>
      </c>
      <c r="S194" s="161">
        <f t="shared" ref="S194:T194" si="56">SUM(D448:D459)</f>
        <v>75003.762638148517</v>
      </c>
      <c r="T194" s="200">
        <f t="shared" si="56"/>
        <v>194394.80065426332</v>
      </c>
      <c r="U194" s="258">
        <v>24</v>
      </c>
      <c r="V194" s="183">
        <f>G459</f>
        <v>145619.77013744038</v>
      </c>
      <c r="W194" s="184">
        <f>SUM(H448:H459)</f>
        <v>26942.681268529468</v>
      </c>
      <c r="X194" s="183">
        <f t="shared" ref="X194:Y194" si="57">SUM(I448:I459)</f>
        <v>5505.2793625678214</v>
      </c>
      <c r="Y194" s="184">
        <f t="shared" si="57"/>
        <v>21437.401905961648</v>
      </c>
      <c r="Z194" s="72">
        <v>24</v>
      </c>
      <c r="AA194" s="180">
        <f t="shared" si="45"/>
        <v>1539595.1903578674</v>
      </c>
      <c r="AB194" s="180">
        <f t="shared" si="45"/>
        <v>296341.24456094136</v>
      </c>
      <c r="AC194" s="180">
        <f t="shared" si="45"/>
        <v>80509.042000716334</v>
      </c>
      <c r="AD194" s="212">
        <f t="shared" si="45"/>
        <v>215832.20256022498</v>
      </c>
    </row>
    <row r="195" spans="1:30" x14ac:dyDescent="0.25">
      <c r="A195" s="72">
        <f t="shared" si="27"/>
        <v>24</v>
      </c>
      <c r="B195" s="183">
        <f t="shared" si="21"/>
        <v>4055443.7647169195</v>
      </c>
      <c r="C195" s="184">
        <f>-'Retail &amp; Restaurant'!$E$98/12</f>
        <v>22449.880274367653</v>
      </c>
      <c r="D195" s="183">
        <f>'Retail &amp; Restaurant'!$E$96/12*B194</f>
        <v>16920.720518636044</v>
      </c>
      <c r="E195" s="185">
        <f t="shared" si="22"/>
        <v>5529.159755731609</v>
      </c>
      <c r="F195" s="72">
        <f t="shared" si="28"/>
        <v>24</v>
      </c>
      <c r="G195" s="180">
        <f t="shared" si="23"/>
        <v>480467.4323026042</v>
      </c>
      <c r="H195" s="186">
        <f>-'Retail &amp; Restaurant'!$E$103/12</f>
        <v>2245.2234390441222</v>
      </c>
      <c r="I195" s="149">
        <f>'Retail &amp; Restaurant'!$E$101/12*G194</f>
        <v>1403.8174450317981</v>
      </c>
      <c r="J195" s="187">
        <f t="shared" si="24"/>
        <v>841.40599401232407</v>
      </c>
      <c r="K195" s="72">
        <f t="shared" si="29"/>
        <v>24</v>
      </c>
      <c r="L195" s="180">
        <f t="shared" si="25"/>
        <v>4535911.1970195239</v>
      </c>
      <c r="M195" s="181">
        <f t="shared" si="25"/>
        <v>24695.103713411776</v>
      </c>
      <c r="N195" s="180">
        <f t="shared" si="25"/>
        <v>18324.537963667841</v>
      </c>
      <c r="O195" s="132">
        <f t="shared" si="25"/>
        <v>6370.5657497439333</v>
      </c>
      <c r="P195" s="258">
        <v>25</v>
      </c>
      <c r="Q195" s="149">
        <f>B471</f>
        <v>1189635.0126263504</v>
      </c>
      <c r="R195" s="149">
        <f>SUM(C460:C471)</f>
        <v>269398.56329241191</v>
      </c>
      <c r="S195" s="161">
        <f t="shared" ref="S195:T195" si="58">SUM(D460:D471)</f>
        <v>65058.155698335235</v>
      </c>
      <c r="T195" s="200">
        <f t="shared" si="58"/>
        <v>204340.40759407656</v>
      </c>
      <c r="U195" s="258">
        <v>25</v>
      </c>
      <c r="V195" s="183">
        <f>G471</f>
        <v>123419.90516660552</v>
      </c>
      <c r="W195" s="184">
        <f>SUM(H460:H471)</f>
        <v>26942.681268529468</v>
      </c>
      <c r="X195" s="183">
        <f t="shared" ref="X195:Y195" si="59">SUM(I460:I471)</f>
        <v>4742.8162976946242</v>
      </c>
      <c r="Y195" s="184">
        <f t="shared" si="59"/>
        <v>22199.864970834838</v>
      </c>
      <c r="Z195" s="72">
        <v>25</v>
      </c>
      <c r="AA195" s="180">
        <f t="shared" si="45"/>
        <v>1313054.9177929559</v>
      </c>
      <c r="AB195" s="180">
        <f t="shared" si="45"/>
        <v>296341.24456094136</v>
      </c>
      <c r="AC195" s="180">
        <f t="shared" si="45"/>
        <v>69800.971996029853</v>
      </c>
      <c r="AD195" s="212">
        <f t="shared" si="45"/>
        <v>226540.2725649114</v>
      </c>
    </row>
    <row r="196" spans="1:30" x14ac:dyDescent="0.25">
      <c r="A196" s="72">
        <f t="shared" si="27"/>
        <v>25</v>
      </c>
      <c r="B196" s="183">
        <f t="shared" si="21"/>
        <v>4049891.5667955391</v>
      </c>
      <c r="C196" s="184">
        <f>-'Retail &amp; Restaurant'!$E$98/12</f>
        <v>22449.880274367653</v>
      </c>
      <c r="D196" s="183">
        <f>'Retail &amp; Restaurant'!$E$96/12*B195</f>
        <v>16897.682352987165</v>
      </c>
      <c r="E196" s="185">
        <f t="shared" si="22"/>
        <v>5552.197921380488</v>
      </c>
      <c r="F196" s="72">
        <f t="shared" si="28"/>
        <v>25</v>
      </c>
      <c r="G196" s="180">
        <f t="shared" si="23"/>
        <v>479623.57220777601</v>
      </c>
      <c r="H196" s="186">
        <f>-'Retail &amp; Restaurant'!$E$103/12</f>
        <v>2245.2234390441222</v>
      </c>
      <c r="I196" s="149">
        <f>'Retail &amp; Restaurant'!$E$101/12*G195</f>
        <v>1401.3633442159289</v>
      </c>
      <c r="J196" s="187">
        <f t="shared" si="24"/>
        <v>843.86009482819327</v>
      </c>
      <c r="K196" s="72">
        <f t="shared" si="29"/>
        <v>25</v>
      </c>
      <c r="L196" s="180">
        <f t="shared" si="25"/>
        <v>4529515.139003315</v>
      </c>
      <c r="M196" s="181">
        <f t="shared" si="25"/>
        <v>24695.103713411776</v>
      </c>
      <c r="N196" s="180">
        <f t="shared" si="25"/>
        <v>18299.045697203095</v>
      </c>
      <c r="O196" s="132">
        <f t="shared" si="25"/>
        <v>6396.0580162086808</v>
      </c>
      <c r="P196" s="258">
        <v>26</v>
      </c>
      <c r="Q196" s="149">
        <f>B483</f>
        <v>974840.16196583398</v>
      </c>
      <c r="R196" s="149">
        <f>SUM(C472:C483)</f>
        <v>269398.56329241191</v>
      </c>
      <c r="S196" s="161">
        <f t="shared" ref="S196:T196" si="60">SUM(D472:D483)</f>
        <v>54603.71263189536</v>
      </c>
      <c r="T196" s="200">
        <f t="shared" si="60"/>
        <v>214794.85066051647</v>
      </c>
      <c r="U196" s="258">
        <v>26</v>
      </c>
      <c r="V196" s="183">
        <f>G483</f>
        <v>100430.45864294608</v>
      </c>
      <c r="W196" s="184">
        <f>SUM(H472:H483)</f>
        <v>26942.681268529468</v>
      </c>
      <c r="X196" s="183">
        <f t="shared" ref="X196:Y196" si="61">SUM(I472:I483)</f>
        <v>3953.234744870043</v>
      </c>
      <c r="Y196" s="184">
        <f t="shared" si="61"/>
        <v>22989.446523659426</v>
      </c>
      <c r="Z196" s="72">
        <v>26</v>
      </c>
      <c r="AA196" s="180">
        <f t="shared" si="45"/>
        <v>1075270.6206087801</v>
      </c>
      <c r="AB196" s="180">
        <f t="shared" si="45"/>
        <v>296341.24456094136</v>
      </c>
      <c r="AC196" s="180">
        <f t="shared" si="45"/>
        <v>58556.947376765405</v>
      </c>
      <c r="AD196" s="212">
        <f t="shared" si="45"/>
        <v>237784.2971841759</v>
      </c>
    </row>
    <row r="197" spans="1:30" x14ac:dyDescent="0.25">
      <c r="A197" s="72">
        <f t="shared" si="27"/>
        <v>26</v>
      </c>
      <c r="B197" s="183">
        <f t="shared" si="21"/>
        <v>4044316.2347161528</v>
      </c>
      <c r="C197" s="184">
        <f>-'Retail &amp; Restaurant'!$E$98/12</f>
        <v>22449.880274367653</v>
      </c>
      <c r="D197" s="183">
        <f>'Retail &amp; Restaurant'!$E$96/12*B196</f>
        <v>16874.548194981413</v>
      </c>
      <c r="E197" s="185">
        <f t="shared" si="22"/>
        <v>5575.3320793862404</v>
      </c>
      <c r="F197" s="72">
        <f t="shared" si="28"/>
        <v>26</v>
      </c>
      <c r="G197" s="180">
        <f t="shared" si="23"/>
        <v>478777.25085433788</v>
      </c>
      <c r="H197" s="186">
        <f>-'Retail &amp; Restaurant'!$E$103/12</f>
        <v>2245.2234390441222</v>
      </c>
      <c r="I197" s="149">
        <f>'Retail &amp; Restaurant'!$E$101/12*G196</f>
        <v>1398.9020856060135</v>
      </c>
      <c r="J197" s="187">
        <f t="shared" si="24"/>
        <v>846.32135343810864</v>
      </c>
      <c r="K197" s="72">
        <f t="shared" si="29"/>
        <v>26</v>
      </c>
      <c r="L197" s="180">
        <f t="shared" si="25"/>
        <v>4523093.4855704904</v>
      </c>
      <c r="M197" s="181">
        <f t="shared" si="25"/>
        <v>24695.103713411776</v>
      </c>
      <c r="N197" s="180">
        <f t="shared" si="25"/>
        <v>18273.450280587425</v>
      </c>
      <c r="O197" s="132">
        <f t="shared" si="25"/>
        <v>6421.6534328243488</v>
      </c>
      <c r="P197" s="258">
        <v>27</v>
      </c>
      <c r="Q197" s="149">
        <f>B495</f>
        <v>749055.99909030215</v>
      </c>
      <c r="R197" s="149">
        <f>SUM(C484:C495)</f>
        <v>269398.56329241191</v>
      </c>
      <c r="S197" s="161">
        <f t="shared" ref="S197:T197" si="62">SUM(D484:D495)</f>
        <v>43614.400416879886</v>
      </c>
      <c r="T197" s="200">
        <f t="shared" si="62"/>
        <v>225784.162875532</v>
      </c>
      <c r="U197" s="258">
        <v>27</v>
      </c>
      <c r="V197" s="183">
        <f>G495</f>
        <v>76623.347556525754</v>
      </c>
      <c r="W197" s="184">
        <f>SUM(H484:H495)</f>
        <v>26942.681268529468</v>
      </c>
      <c r="X197" s="183">
        <f t="shared" ref="X197:Y197" si="63">SUM(I484:I495)</f>
        <v>3135.5701821091434</v>
      </c>
      <c r="Y197" s="184">
        <f t="shared" si="63"/>
        <v>23807.111086420322</v>
      </c>
      <c r="Z197" s="72">
        <v>27</v>
      </c>
      <c r="AA197" s="180">
        <f t="shared" si="45"/>
        <v>825679.34664682788</v>
      </c>
      <c r="AB197" s="180">
        <f t="shared" si="45"/>
        <v>296341.24456094136</v>
      </c>
      <c r="AC197" s="180">
        <f t="shared" si="45"/>
        <v>46749.970598989028</v>
      </c>
      <c r="AD197" s="212">
        <f t="shared" si="45"/>
        <v>249591.27396195231</v>
      </c>
    </row>
    <row r="198" spans="1:30" x14ac:dyDescent="0.25">
      <c r="A198" s="72">
        <f t="shared" si="27"/>
        <v>27</v>
      </c>
      <c r="B198" s="183">
        <f t="shared" si="21"/>
        <v>4038717.6720864358</v>
      </c>
      <c r="C198" s="184">
        <f>-'Retail &amp; Restaurant'!$E$98/12</f>
        <v>22449.880274367653</v>
      </c>
      <c r="D198" s="183">
        <f>'Retail &amp; Restaurant'!$E$96/12*B197</f>
        <v>16851.317644650637</v>
      </c>
      <c r="E198" s="185">
        <f t="shared" si="22"/>
        <v>5598.5626297170165</v>
      </c>
      <c r="F198" s="72">
        <f t="shared" si="28"/>
        <v>27</v>
      </c>
      <c r="G198" s="180">
        <f t="shared" si="23"/>
        <v>477928.46106361889</v>
      </c>
      <c r="H198" s="186">
        <f>-'Retail &amp; Restaurant'!$E$103/12</f>
        <v>2245.2234390441222</v>
      </c>
      <c r="I198" s="149">
        <f>'Retail &amp; Restaurant'!$E$101/12*G197</f>
        <v>1396.4336483251523</v>
      </c>
      <c r="J198" s="187">
        <f t="shared" si="24"/>
        <v>848.78979071896993</v>
      </c>
      <c r="K198" s="72">
        <f t="shared" si="29"/>
        <v>27</v>
      </c>
      <c r="L198" s="180">
        <f t="shared" si="25"/>
        <v>4516646.1331500551</v>
      </c>
      <c r="M198" s="181">
        <f t="shared" si="25"/>
        <v>24695.103713411776</v>
      </c>
      <c r="N198" s="180">
        <f t="shared" si="25"/>
        <v>18247.75129297579</v>
      </c>
      <c r="O198" s="132">
        <f t="shared" si="25"/>
        <v>6447.3524204359865</v>
      </c>
      <c r="P198" s="258">
        <v>28</v>
      </c>
      <c r="Q198" s="149">
        <f>B507</f>
        <v>511720.28993041976</v>
      </c>
      <c r="R198" s="149">
        <f>SUM(C496:C507)</f>
        <v>269398.56329241191</v>
      </c>
      <c r="S198" s="161">
        <f t="shared" ref="S198:T198" si="64">SUM(D496:D507)</f>
        <v>32062.854132529319</v>
      </c>
      <c r="T198" s="200">
        <f t="shared" si="64"/>
        <v>237335.70915988254</v>
      </c>
      <c r="U198" s="258">
        <v>28</v>
      </c>
      <c r="V198" s="183">
        <f>G507</f>
        <v>51969.490070315245</v>
      </c>
      <c r="W198" s="184">
        <f>SUM(H496:H507)</f>
        <v>26942.681268529468</v>
      </c>
      <c r="X198" s="183">
        <f t="shared" ref="X198:Y198" si="65">SUM(I496:I507)</f>
        <v>2288.8237823189397</v>
      </c>
      <c r="Y198" s="184">
        <f t="shared" si="65"/>
        <v>24653.857486210527</v>
      </c>
      <c r="Z198" s="72">
        <v>28</v>
      </c>
      <c r="AA198" s="180">
        <f t="shared" si="45"/>
        <v>563689.78000073496</v>
      </c>
      <c r="AB198" s="180">
        <f t="shared" si="45"/>
        <v>296341.24456094136</v>
      </c>
      <c r="AC198" s="180">
        <f t="shared" si="45"/>
        <v>34351.67791484826</v>
      </c>
      <c r="AD198" s="212">
        <f t="shared" si="45"/>
        <v>261989.56664609307</v>
      </c>
    </row>
    <row r="199" spans="1:30" x14ac:dyDescent="0.25">
      <c r="A199" s="72">
        <f t="shared" si="27"/>
        <v>28</v>
      </c>
      <c r="B199" s="183">
        <f t="shared" si="21"/>
        <v>4033095.7821124285</v>
      </c>
      <c r="C199" s="184">
        <f>-'Retail &amp; Restaurant'!$E$98/12</f>
        <v>22449.880274367653</v>
      </c>
      <c r="D199" s="183">
        <f>'Retail &amp; Restaurant'!$E$96/12*B198</f>
        <v>16827.99030036015</v>
      </c>
      <c r="E199" s="185">
        <f t="shared" si="22"/>
        <v>5621.889974007503</v>
      </c>
      <c r="F199" s="72">
        <f t="shared" si="28"/>
        <v>28</v>
      </c>
      <c r="G199" s="180">
        <f t="shared" si="23"/>
        <v>477077.19563601032</v>
      </c>
      <c r="H199" s="186">
        <f>-'Retail &amp; Restaurant'!$E$103/12</f>
        <v>2245.2234390441222</v>
      </c>
      <c r="I199" s="149">
        <f>'Retail &amp; Restaurant'!$E$101/12*G198</f>
        <v>1393.9580114355551</v>
      </c>
      <c r="J199" s="187">
        <f t="shared" si="24"/>
        <v>851.26542760856705</v>
      </c>
      <c r="K199" s="72">
        <f t="shared" si="29"/>
        <v>28</v>
      </c>
      <c r="L199" s="180">
        <f t="shared" si="25"/>
        <v>4510172.9777484387</v>
      </c>
      <c r="M199" s="181">
        <f t="shared" si="25"/>
        <v>24695.103713411776</v>
      </c>
      <c r="N199" s="180">
        <f t="shared" si="25"/>
        <v>18221.948311795706</v>
      </c>
      <c r="O199" s="132">
        <f t="shared" si="25"/>
        <v>6473.1554016160699</v>
      </c>
      <c r="P199" s="258">
        <v>29</v>
      </c>
      <c r="Q199" s="149">
        <f>B519</f>
        <v>262242.03545481054</v>
      </c>
      <c r="R199" s="149">
        <f>SUM(C508:C519)</f>
        <v>269398.56329241191</v>
      </c>
      <c r="S199" s="161">
        <f t="shared" ref="S199:T199" si="66">SUM(D508:D519)</f>
        <v>19920.308816802677</v>
      </c>
      <c r="T199" s="200">
        <f t="shared" si="66"/>
        <v>249478.25447560914</v>
      </c>
      <c r="U199" s="258">
        <v>29</v>
      </c>
      <c r="V199" s="183">
        <f>G519</f>
        <v>26438.769994956001</v>
      </c>
      <c r="W199" s="184">
        <f>SUM(H508:H519)</f>
        <v>26942.681268529468</v>
      </c>
      <c r="X199" s="183">
        <f t="shared" ref="X199:Y199" si="67">SUM(I508:I519)</f>
        <v>1411.9611931702282</v>
      </c>
      <c r="Y199" s="184">
        <f t="shared" si="67"/>
        <v>25530.720075359237</v>
      </c>
      <c r="Z199" s="72">
        <v>29</v>
      </c>
      <c r="AA199" s="180">
        <f t="shared" si="45"/>
        <v>288680.80544976651</v>
      </c>
      <c r="AB199" s="180">
        <f t="shared" si="45"/>
        <v>296341.24456094136</v>
      </c>
      <c r="AC199" s="180">
        <f t="shared" si="45"/>
        <v>21332.270009972905</v>
      </c>
      <c r="AD199" s="212">
        <f t="shared" si="45"/>
        <v>275008.97455096839</v>
      </c>
    </row>
    <row r="200" spans="1:30" ht="16.5" thickBot="1" x14ac:dyDescent="0.3">
      <c r="A200" s="72">
        <f t="shared" si="27"/>
        <v>29</v>
      </c>
      <c r="B200" s="183">
        <f t="shared" si="21"/>
        <v>4027450.4675968625</v>
      </c>
      <c r="C200" s="184">
        <f>-'Retail &amp; Restaurant'!$E$98/12</f>
        <v>22449.880274367653</v>
      </c>
      <c r="D200" s="183">
        <f>'Retail &amp; Restaurant'!$E$96/12*B199</f>
        <v>16804.565758801786</v>
      </c>
      <c r="E200" s="185">
        <f t="shared" si="22"/>
        <v>5645.3145155658676</v>
      </c>
      <c r="F200" s="72">
        <f t="shared" si="28"/>
        <v>29</v>
      </c>
      <c r="G200" s="180">
        <f t="shared" si="23"/>
        <v>476223.44735090458</v>
      </c>
      <c r="H200" s="186">
        <f>-'Retail &amp; Restaurant'!$E$103/12</f>
        <v>2245.2234390441222</v>
      </c>
      <c r="I200" s="149">
        <f>'Retail &amp; Restaurant'!$E$101/12*G199</f>
        <v>1391.4751539383635</v>
      </c>
      <c r="J200" s="187">
        <f t="shared" si="24"/>
        <v>853.74828510575867</v>
      </c>
      <c r="K200" s="72">
        <f t="shared" si="29"/>
        <v>29</v>
      </c>
      <c r="L200" s="180">
        <f t="shared" si="25"/>
        <v>4503673.9149477668</v>
      </c>
      <c r="M200" s="181">
        <f t="shared" si="25"/>
        <v>24695.103713411776</v>
      </c>
      <c r="N200" s="180">
        <f t="shared" si="25"/>
        <v>18196.040912740151</v>
      </c>
      <c r="O200" s="132">
        <f t="shared" si="25"/>
        <v>6499.0628006716261</v>
      </c>
      <c r="P200" s="307">
        <v>30</v>
      </c>
      <c r="Q200" s="195">
        <f>B531</f>
        <v>7.2104739956557751E-9</v>
      </c>
      <c r="R200" s="195">
        <f>SUM(C520:C531)</f>
        <v>269398.56329241191</v>
      </c>
      <c r="S200" s="308">
        <f t="shared" ref="S200:T200" si="68">SUM(D520:D531)</f>
        <v>7156.5278376085116</v>
      </c>
      <c r="T200" s="306">
        <f t="shared" si="68"/>
        <v>262242.03545480332</v>
      </c>
      <c r="U200" s="307">
        <v>30</v>
      </c>
      <c r="V200" s="191">
        <f>G531</f>
        <v>-2.8148861019872129E-10</v>
      </c>
      <c r="W200" s="309">
        <f>SUM(H520:H531)</f>
        <v>26942.681268529468</v>
      </c>
      <c r="X200" s="191">
        <f t="shared" ref="X200:Y200" si="69">SUM(I520:I531)</f>
        <v>503.9112735731822</v>
      </c>
      <c r="Y200" s="192">
        <f t="shared" si="69"/>
        <v>26438.769994956285</v>
      </c>
      <c r="Z200" s="307">
        <v>30</v>
      </c>
      <c r="AA200" s="188">
        <f t="shared" si="45"/>
        <v>6.9289853854570538E-9</v>
      </c>
      <c r="AB200" s="188">
        <f t="shared" si="45"/>
        <v>296341.24456094136</v>
      </c>
      <c r="AC200" s="188">
        <f t="shared" si="45"/>
        <v>7660.439111181694</v>
      </c>
      <c r="AD200" s="244">
        <f t="shared" si="45"/>
        <v>288680.80544975959</v>
      </c>
    </row>
    <row r="201" spans="1:30" x14ac:dyDescent="0.25">
      <c r="A201" s="72">
        <f t="shared" si="27"/>
        <v>30</v>
      </c>
      <c r="B201" s="183">
        <f t="shared" si="21"/>
        <v>4021781.6309374818</v>
      </c>
      <c r="C201" s="184">
        <f>-'Retail &amp; Restaurant'!$E$98/12</f>
        <v>22449.880274367653</v>
      </c>
      <c r="D201" s="183">
        <f>'Retail &amp; Restaurant'!$E$96/12*B200</f>
        <v>16781.043614986927</v>
      </c>
      <c r="E201" s="185">
        <f t="shared" si="22"/>
        <v>5668.8366593807259</v>
      </c>
      <c r="F201" s="72">
        <f t="shared" si="28"/>
        <v>30</v>
      </c>
      <c r="G201" s="180">
        <f t="shared" si="23"/>
        <v>475367.20896663395</v>
      </c>
      <c r="H201" s="186">
        <f>-'Retail &amp; Restaurant'!$E$103/12</f>
        <v>2245.2234390441222</v>
      </c>
      <c r="I201" s="149">
        <f>'Retail &amp; Restaurant'!$E$101/12*G200</f>
        <v>1388.9850547734718</v>
      </c>
      <c r="J201" s="187">
        <f t="shared" si="24"/>
        <v>856.23838427065039</v>
      </c>
      <c r="K201" s="72">
        <f t="shared" si="29"/>
        <v>30</v>
      </c>
      <c r="L201" s="180">
        <f t="shared" si="25"/>
        <v>4497148.8399041155</v>
      </c>
      <c r="M201" s="181">
        <f t="shared" si="25"/>
        <v>24695.103713411776</v>
      </c>
      <c r="N201" s="180">
        <f t="shared" si="25"/>
        <v>18170.028669760399</v>
      </c>
      <c r="O201" s="132">
        <f t="shared" si="25"/>
        <v>6525.0750436513763</v>
      </c>
    </row>
    <row r="202" spans="1:30" x14ac:dyDescent="0.25">
      <c r="A202" s="72">
        <f t="shared" si="27"/>
        <v>31</v>
      </c>
      <c r="B202" s="183">
        <f t="shared" si="21"/>
        <v>4016089.1741253538</v>
      </c>
      <c r="C202" s="184">
        <f>-'Retail &amp; Restaurant'!$E$98/12</f>
        <v>22449.880274367653</v>
      </c>
      <c r="D202" s="183">
        <f>'Retail &amp; Restaurant'!$E$96/12*B201</f>
        <v>16757.423462239509</v>
      </c>
      <c r="E202" s="185">
        <f t="shared" si="22"/>
        <v>5692.4568121281445</v>
      </c>
      <c r="F202" s="72">
        <f t="shared" si="28"/>
        <v>31</v>
      </c>
      <c r="G202" s="180">
        <f t="shared" si="23"/>
        <v>474508.47322040919</v>
      </c>
      <c r="H202" s="186">
        <f>-'Retail &amp; Restaurant'!$E$103/12</f>
        <v>2245.2234390441222</v>
      </c>
      <c r="I202" s="149">
        <f>'Retail &amp; Restaurant'!$E$101/12*G201</f>
        <v>1386.4876928193491</v>
      </c>
      <c r="J202" s="187">
        <f t="shared" si="24"/>
        <v>858.73574622477304</v>
      </c>
      <c r="K202" s="72">
        <f t="shared" si="29"/>
        <v>31</v>
      </c>
      <c r="L202" s="180">
        <f t="shared" si="25"/>
        <v>4490597.6473457627</v>
      </c>
      <c r="M202" s="181">
        <f t="shared" si="25"/>
        <v>24695.103713411776</v>
      </c>
      <c r="N202" s="180">
        <f t="shared" si="25"/>
        <v>18143.911155058857</v>
      </c>
      <c r="O202" s="132">
        <f t="shared" si="25"/>
        <v>6551.1925583529173</v>
      </c>
    </row>
    <row r="203" spans="1:30" x14ac:dyDescent="0.25">
      <c r="A203" s="72">
        <f t="shared" si="27"/>
        <v>32</v>
      </c>
      <c r="B203" s="183">
        <f t="shared" si="21"/>
        <v>4010372.9987431751</v>
      </c>
      <c r="C203" s="184">
        <f>-'Retail &amp; Restaurant'!$E$98/12</f>
        <v>22449.880274367653</v>
      </c>
      <c r="D203" s="183">
        <f>'Retail &amp; Restaurant'!$E$96/12*B202</f>
        <v>16733.704892188973</v>
      </c>
      <c r="E203" s="185">
        <f t="shared" si="22"/>
        <v>5716.1753821786806</v>
      </c>
      <c r="F203" s="72">
        <f t="shared" si="28"/>
        <v>32</v>
      </c>
      <c r="G203" s="180">
        <f t="shared" si="23"/>
        <v>473647.2328282579</v>
      </c>
      <c r="H203" s="186">
        <f>-'Retail &amp; Restaurant'!$E$103/12</f>
        <v>2245.2234390441222</v>
      </c>
      <c r="I203" s="149">
        <f>'Retail &amp; Restaurant'!$E$101/12*G202</f>
        <v>1383.9830468928601</v>
      </c>
      <c r="J203" s="187">
        <f t="shared" si="24"/>
        <v>861.24039215126209</v>
      </c>
      <c r="K203" s="72">
        <f t="shared" si="29"/>
        <v>32</v>
      </c>
      <c r="L203" s="180">
        <f t="shared" si="25"/>
        <v>4484020.2315714331</v>
      </c>
      <c r="M203" s="181">
        <f t="shared" si="25"/>
        <v>24695.103713411776</v>
      </c>
      <c r="N203" s="180">
        <f t="shared" si="25"/>
        <v>18117.687939081832</v>
      </c>
      <c r="O203" s="132">
        <f t="shared" si="25"/>
        <v>6577.4157743299429</v>
      </c>
    </row>
    <row r="204" spans="1:30" x14ac:dyDescent="0.25">
      <c r="A204" s="72">
        <f t="shared" si="27"/>
        <v>33</v>
      </c>
      <c r="B204" s="183">
        <f t="shared" si="21"/>
        <v>4004633.0059635704</v>
      </c>
      <c r="C204" s="184">
        <f>-'Retail &amp; Restaurant'!$E$98/12</f>
        <v>22449.880274367653</v>
      </c>
      <c r="D204" s="183">
        <f>'Retail &amp; Restaurant'!$E$96/12*B203</f>
        <v>16709.887494763228</v>
      </c>
      <c r="E204" s="185">
        <f t="shared" si="22"/>
        <v>5739.9927796044249</v>
      </c>
      <c r="F204" s="72">
        <f t="shared" si="28"/>
        <v>33</v>
      </c>
      <c r="G204" s="180">
        <f t="shared" si="23"/>
        <v>472783.48048496287</v>
      </c>
      <c r="H204" s="186">
        <f>-'Retail &amp; Restaurant'!$E$103/12</f>
        <v>2245.2234390441222</v>
      </c>
      <c r="I204" s="149">
        <f>'Retail &amp; Restaurant'!$E$101/12*G203</f>
        <v>1381.4710957490856</v>
      </c>
      <c r="J204" s="187">
        <f t="shared" si="24"/>
        <v>863.75234329503655</v>
      </c>
      <c r="K204" s="72">
        <f t="shared" si="29"/>
        <v>33</v>
      </c>
      <c r="L204" s="180">
        <f t="shared" si="25"/>
        <v>4477416.4864485329</v>
      </c>
      <c r="M204" s="181">
        <f t="shared" si="25"/>
        <v>24695.103713411776</v>
      </c>
      <c r="N204" s="180">
        <f t="shared" si="25"/>
        <v>18091.358590512315</v>
      </c>
      <c r="O204" s="132">
        <f t="shared" si="25"/>
        <v>6603.7451228994614</v>
      </c>
    </row>
    <row r="205" spans="1:30" x14ac:dyDescent="0.25">
      <c r="A205" s="72">
        <f t="shared" si="27"/>
        <v>34</v>
      </c>
      <c r="B205" s="183">
        <f t="shared" si="21"/>
        <v>3998869.0965473843</v>
      </c>
      <c r="C205" s="184">
        <f>-'Retail &amp; Restaurant'!$E$98/12</f>
        <v>22449.880274367653</v>
      </c>
      <c r="D205" s="183">
        <f>'Retail &amp; Restaurant'!$E$96/12*B204</f>
        <v>16685.970858181543</v>
      </c>
      <c r="E205" s="185">
        <f t="shared" si="22"/>
        <v>5763.9094161861103</v>
      </c>
      <c r="F205" s="72">
        <f t="shared" si="28"/>
        <v>34</v>
      </c>
      <c r="G205" s="180">
        <f t="shared" si="23"/>
        <v>471917.20886399987</v>
      </c>
      <c r="H205" s="186">
        <f>-'Retail &amp; Restaurant'!$E$103/12</f>
        <v>2245.2234390441222</v>
      </c>
      <c r="I205" s="149">
        <f>'Retail &amp; Restaurant'!$E$101/12*G204</f>
        <v>1378.9518180811417</v>
      </c>
      <c r="J205" s="187">
        <f t="shared" si="24"/>
        <v>866.27162096298048</v>
      </c>
      <c r="K205" s="72">
        <f t="shared" si="29"/>
        <v>34</v>
      </c>
      <c r="L205" s="180">
        <f t="shared" si="25"/>
        <v>4470786.3054113844</v>
      </c>
      <c r="M205" s="181">
        <f t="shared" si="25"/>
        <v>24695.103713411776</v>
      </c>
      <c r="N205" s="180">
        <f t="shared" si="25"/>
        <v>18064.922676262686</v>
      </c>
      <c r="O205" s="132">
        <f t="shared" si="25"/>
        <v>6630.181037149091</v>
      </c>
    </row>
    <row r="206" spans="1:30" x14ac:dyDescent="0.25">
      <c r="A206" s="72">
        <f t="shared" si="27"/>
        <v>35</v>
      </c>
      <c r="B206" s="183">
        <f t="shared" si="21"/>
        <v>3993081.170841964</v>
      </c>
      <c r="C206" s="184">
        <f>-'Retail &amp; Restaurant'!$E$98/12</f>
        <v>22449.880274367653</v>
      </c>
      <c r="D206" s="183">
        <f>'Retail &amp; Restaurant'!$E$96/12*B205</f>
        <v>16661.954568947433</v>
      </c>
      <c r="E206" s="185">
        <f t="shared" si="22"/>
        <v>5787.9257054202208</v>
      </c>
      <c r="F206" s="72">
        <f t="shared" si="28"/>
        <v>35</v>
      </c>
      <c r="G206" s="180">
        <f t="shared" si="23"/>
        <v>471048.41061747575</v>
      </c>
      <c r="H206" s="186">
        <f>-'Retail &amp; Restaurant'!$E$103/12</f>
        <v>2245.2234390441222</v>
      </c>
      <c r="I206" s="149">
        <f>'Retail &amp; Restaurant'!$E$101/12*G205</f>
        <v>1376.4251925199997</v>
      </c>
      <c r="J206" s="187">
        <f t="shared" si="24"/>
        <v>868.79824652412253</v>
      </c>
      <c r="K206" s="72">
        <f t="shared" si="29"/>
        <v>35</v>
      </c>
      <c r="L206" s="180">
        <f t="shared" si="25"/>
        <v>4464129.5814594394</v>
      </c>
      <c r="M206" s="181">
        <f t="shared" si="25"/>
        <v>24695.103713411776</v>
      </c>
      <c r="N206" s="180">
        <f t="shared" si="25"/>
        <v>18038.379761467433</v>
      </c>
      <c r="O206" s="132">
        <f t="shared" si="25"/>
        <v>6656.7239519443428</v>
      </c>
    </row>
    <row r="207" spans="1:30" x14ac:dyDescent="0.25">
      <c r="A207" s="72">
        <f t="shared" si="27"/>
        <v>36</v>
      </c>
      <c r="B207" s="183">
        <f t="shared" si="21"/>
        <v>3987269.1287794379</v>
      </c>
      <c r="C207" s="184">
        <f>-'Retail &amp; Restaurant'!$E$98/12</f>
        <v>22449.880274367653</v>
      </c>
      <c r="D207" s="183">
        <f>'Retail &amp; Restaurant'!$E$96/12*B206</f>
        <v>16637.838211841517</v>
      </c>
      <c r="E207" s="185">
        <f t="shared" si="22"/>
        <v>5812.0420625261359</v>
      </c>
      <c r="F207" s="72">
        <f t="shared" si="28"/>
        <v>36</v>
      </c>
      <c r="G207" s="180">
        <f t="shared" si="23"/>
        <v>470177.07837606594</v>
      </c>
      <c r="H207" s="186">
        <f>-'Retail &amp; Restaurant'!$E$103/12</f>
        <v>2245.2234390441222</v>
      </c>
      <c r="I207" s="149">
        <f>'Retail &amp; Restaurant'!$E$101/12*G206</f>
        <v>1373.8911976343043</v>
      </c>
      <c r="J207" s="187">
        <f t="shared" si="24"/>
        <v>871.33224140981793</v>
      </c>
      <c r="K207" s="72">
        <f t="shared" si="29"/>
        <v>36</v>
      </c>
      <c r="L207" s="180">
        <f t="shared" si="25"/>
        <v>4457446.2071555033</v>
      </c>
      <c r="M207" s="181">
        <f t="shared" si="25"/>
        <v>24695.103713411776</v>
      </c>
      <c r="N207" s="180">
        <f t="shared" si="25"/>
        <v>18011.729409475822</v>
      </c>
      <c r="O207" s="132">
        <f t="shared" si="25"/>
        <v>6683.3743039359542</v>
      </c>
    </row>
    <row r="208" spans="1:30" x14ac:dyDescent="0.25">
      <c r="A208" s="72">
        <f t="shared" si="27"/>
        <v>37</v>
      </c>
      <c r="B208" s="183">
        <f t="shared" si="21"/>
        <v>3981432.8698749845</v>
      </c>
      <c r="C208" s="184">
        <f>-'Retail &amp; Restaurant'!$E$98/12</f>
        <v>22449.880274367653</v>
      </c>
      <c r="D208" s="183">
        <f>'Retail &amp; Restaurant'!$E$96/12*B207</f>
        <v>16613.621369914323</v>
      </c>
      <c r="E208" s="185">
        <f t="shared" si="22"/>
        <v>5836.2589044533306</v>
      </c>
      <c r="F208" s="72">
        <f t="shared" si="28"/>
        <v>37</v>
      </c>
      <c r="G208" s="180">
        <f t="shared" si="23"/>
        <v>469303.204748952</v>
      </c>
      <c r="H208" s="186">
        <f>-'Retail &amp; Restaurant'!$E$103/12</f>
        <v>2245.2234390441222</v>
      </c>
      <c r="I208" s="149">
        <f>'Retail &amp; Restaurant'!$E$101/12*G207</f>
        <v>1371.3498119301923</v>
      </c>
      <c r="J208" s="187">
        <f t="shared" si="24"/>
        <v>873.87362711392984</v>
      </c>
      <c r="K208" s="72">
        <f t="shared" si="29"/>
        <v>37</v>
      </c>
      <c r="L208" s="180">
        <f t="shared" si="25"/>
        <v>4450736.0746239368</v>
      </c>
      <c r="M208" s="181">
        <f t="shared" si="25"/>
        <v>24695.103713411776</v>
      </c>
      <c r="N208" s="180">
        <f t="shared" si="25"/>
        <v>17984.971181844514</v>
      </c>
      <c r="O208" s="132">
        <f t="shared" si="25"/>
        <v>6710.1325315672602</v>
      </c>
    </row>
    <row r="209" spans="1:15" x14ac:dyDescent="0.25">
      <c r="A209" s="72">
        <f t="shared" si="27"/>
        <v>38</v>
      </c>
      <c r="B209" s="183">
        <f t="shared" si="21"/>
        <v>3975572.2932250961</v>
      </c>
      <c r="C209" s="184">
        <f>-'Retail &amp; Restaurant'!$E$98/12</f>
        <v>22449.880274367653</v>
      </c>
      <c r="D209" s="183">
        <f>'Retail &amp; Restaurant'!$E$96/12*B208</f>
        <v>16589.3036244791</v>
      </c>
      <c r="E209" s="185">
        <f t="shared" si="22"/>
        <v>5860.5766498885532</v>
      </c>
      <c r="F209" s="72">
        <f t="shared" si="28"/>
        <v>38</v>
      </c>
      <c r="G209" s="180">
        <f t="shared" si="23"/>
        <v>468426.78232375899</v>
      </c>
      <c r="H209" s="186">
        <f>-'Retail &amp; Restaurant'!$E$103/12</f>
        <v>2245.2234390441222</v>
      </c>
      <c r="I209" s="149">
        <f>'Retail &amp; Restaurant'!$E$101/12*G208</f>
        <v>1368.8010138511102</v>
      </c>
      <c r="J209" s="187">
        <f t="shared" si="24"/>
        <v>876.42242519301203</v>
      </c>
      <c r="K209" s="72">
        <f t="shared" si="29"/>
        <v>38</v>
      </c>
      <c r="L209" s="180">
        <f t="shared" si="25"/>
        <v>4443999.0755488547</v>
      </c>
      <c r="M209" s="181">
        <f t="shared" si="25"/>
        <v>24695.103713411776</v>
      </c>
      <c r="N209" s="180">
        <f t="shared" si="25"/>
        <v>17958.104638330209</v>
      </c>
      <c r="O209" s="132">
        <f t="shared" si="25"/>
        <v>6736.999075081565</v>
      </c>
    </row>
    <row r="210" spans="1:15" x14ac:dyDescent="0.25">
      <c r="A210" s="72">
        <f t="shared" si="27"/>
        <v>39</v>
      </c>
      <c r="B210" s="183">
        <f t="shared" si="21"/>
        <v>3969687.2975058332</v>
      </c>
      <c r="C210" s="184">
        <f>-'Retail &amp; Restaurant'!$E$98/12</f>
        <v>22449.880274367653</v>
      </c>
      <c r="D210" s="183">
        <f>'Retail &amp; Restaurant'!$E$96/12*B209</f>
        <v>16564.884555104567</v>
      </c>
      <c r="E210" s="185">
        <f t="shared" si="22"/>
        <v>5884.9957192630864</v>
      </c>
      <c r="F210" s="72">
        <f t="shared" si="28"/>
        <v>39</v>
      </c>
      <c r="G210" s="180">
        <f t="shared" si="23"/>
        <v>467547.80366649252</v>
      </c>
      <c r="H210" s="186">
        <f>-'Retail &amp; Restaurant'!$E$103/12</f>
        <v>2245.2234390441222</v>
      </c>
      <c r="I210" s="149">
        <f>'Retail &amp; Restaurant'!$E$101/12*G209</f>
        <v>1366.2447817776304</v>
      </c>
      <c r="J210" s="187">
        <f t="shared" si="24"/>
        <v>878.97865726649184</v>
      </c>
      <c r="K210" s="72">
        <f t="shared" si="29"/>
        <v>39</v>
      </c>
      <c r="L210" s="180">
        <f t="shared" si="25"/>
        <v>4437235.1011723261</v>
      </c>
      <c r="M210" s="181">
        <f t="shared" si="25"/>
        <v>24695.103713411776</v>
      </c>
      <c r="N210" s="180">
        <f t="shared" si="25"/>
        <v>17931.129336882197</v>
      </c>
      <c r="O210" s="132">
        <f t="shared" si="25"/>
        <v>6763.974376529578</v>
      </c>
    </row>
    <row r="211" spans="1:15" x14ac:dyDescent="0.25">
      <c r="A211" s="72">
        <f t="shared" si="27"/>
        <v>40</v>
      </c>
      <c r="B211" s="183">
        <f t="shared" si="21"/>
        <v>3963777.7809710731</v>
      </c>
      <c r="C211" s="184">
        <f>-'Retail &amp; Restaurant'!$E$98/12</f>
        <v>22449.880274367653</v>
      </c>
      <c r="D211" s="183">
        <f>'Retail &amp; Restaurant'!$E$96/12*B210</f>
        <v>16540.363739607637</v>
      </c>
      <c r="E211" s="185">
        <f t="shared" si="22"/>
        <v>5909.5165347600159</v>
      </c>
      <c r="F211" s="72">
        <f t="shared" si="28"/>
        <v>40</v>
      </c>
      <c r="G211" s="180">
        <f t="shared" si="23"/>
        <v>466666.26132147567</v>
      </c>
      <c r="H211" s="186">
        <f>-'Retail &amp; Restaurant'!$E$103/12</f>
        <v>2245.2234390441222</v>
      </c>
      <c r="I211" s="149">
        <f>'Retail &amp; Restaurant'!$E$101/12*G210</f>
        <v>1363.6810940272699</v>
      </c>
      <c r="J211" s="187">
        <f t="shared" si="24"/>
        <v>881.54234501685232</v>
      </c>
      <c r="K211" s="72">
        <f t="shared" si="29"/>
        <v>40</v>
      </c>
      <c r="L211" s="180">
        <f t="shared" si="25"/>
        <v>4430444.0422925483</v>
      </c>
      <c r="M211" s="181">
        <f t="shared" si="25"/>
        <v>24695.103713411776</v>
      </c>
      <c r="N211" s="180">
        <f t="shared" si="25"/>
        <v>17904.044833634907</v>
      </c>
      <c r="O211" s="132">
        <f t="shared" si="25"/>
        <v>6791.0588797768687</v>
      </c>
    </row>
    <row r="212" spans="1:15" x14ac:dyDescent="0.25">
      <c r="A212" s="72">
        <f t="shared" si="27"/>
        <v>41</v>
      </c>
      <c r="B212" s="183">
        <f t="shared" si="21"/>
        <v>3957843.6414507516</v>
      </c>
      <c r="C212" s="184">
        <f>-'Retail &amp; Restaurant'!$E$98/12</f>
        <v>22449.880274367653</v>
      </c>
      <c r="D212" s="183">
        <f>'Retail &amp; Restaurant'!$E$96/12*B211</f>
        <v>16515.740754046139</v>
      </c>
      <c r="E212" s="185">
        <f t="shared" si="22"/>
        <v>5934.1395203215143</v>
      </c>
      <c r="F212" s="72">
        <f t="shared" si="28"/>
        <v>41</v>
      </c>
      <c r="G212" s="180">
        <f t="shared" si="23"/>
        <v>465782.14781128586</v>
      </c>
      <c r="H212" s="186">
        <f>-'Retail &amp; Restaurant'!$E$103/12</f>
        <v>2245.2234390441222</v>
      </c>
      <c r="I212" s="149">
        <f>'Retail &amp; Restaurant'!$E$101/12*G211</f>
        <v>1361.1099288543041</v>
      </c>
      <c r="J212" s="187">
        <f t="shared" si="24"/>
        <v>884.11351018981804</v>
      </c>
      <c r="K212" s="72">
        <f t="shared" si="29"/>
        <v>41</v>
      </c>
      <c r="L212" s="180">
        <f t="shared" si="25"/>
        <v>4423625.7892620377</v>
      </c>
      <c r="M212" s="181">
        <f t="shared" si="25"/>
        <v>24695.103713411776</v>
      </c>
      <c r="N212" s="180">
        <f t="shared" si="25"/>
        <v>17876.850682900444</v>
      </c>
      <c r="O212" s="132">
        <f t="shared" si="25"/>
        <v>6818.2530305113323</v>
      </c>
    </row>
    <row r="213" spans="1:15" x14ac:dyDescent="0.25">
      <c r="A213" s="72">
        <f t="shared" si="27"/>
        <v>42</v>
      </c>
      <c r="B213" s="183">
        <f t="shared" si="21"/>
        <v>3951884.7763490952</v>
      </c>
      <c r="C213" s="184">
        <f>-'Retail &amp; Restaurant'!$E$98/12</f>
        <v>22449.880274367653</v>
      </c>
      <c r="D213" s="183">
        <f>'Retail &amp; Restaurant'!$E$96/12*B212</f>
        <v>16491.015172711464</v>
      </c>
      <c r="E213" s="185">
        <f t="shared" si="22"/>
        <v>5958.8651016561889</v>
      </c>
      <c r="F213" s="72">
        <f t="shared" si="28"/>
        <v>42</v>
      </c>
      <c r="G213" s="180">
        <f t="shared" si="23"/>
        <v>464895.4556366913</v>
      </c>
      <c r="H213" s="186">
        <f>-'Retail &amp; Restaurant'!$E$103/12</f>
        <v>2245.2234390441222</v>
      </c>
      <c r="I213" s="149">
        <f>'Retail &amp; Restaurant'!$E$101/12*G212</f>
        <v>1358.5312644495839</v>
      </c>
      <c r="J213" s="187">
        <f t="shared" si="24"/>
        <v>886.6921745945383</v>
      </c>
      <c r="K213" s="72">
        <f t="shared" si="29"/>
        <v>42</v>
      </c>
      <c r="L213" s="180">
        <f t="shared" si="25"/>
        <v>4416780.2319857869</v>
      </c>
      <c r="M213" s="181">
        <f t="shared" si="25"/>
        <v>24695.103713411776</v>
      </c>
      <c r="N213" s="180">
        <f t="shared" si="25"/>
        <v>17849.546437161047</v>
      </c>
      <c r="O213" s="132">
        <f t="shared" si="25"/>
        <v>6845.5572762507272</v>
      </c>
    </row>
    <row r="214" spans="1:15" x14ac:dyDescent="0.25">
      <c r="A214" s="72">
        <f t="shared" si="27"/>
        <v>43</v>
      </c>
      <c r="B214" s="183">
        <f t="shared" si="21"/>
        <v>3945901.0826428486</v>
      </c>
      <c r="C214" s="184">
        <f>-'Retail &amp; Restaurant'!$E$98/12</f>
        <v>22449.880274367653</v>
      </c>
      <c r="D214" s="183">
        <f>'Retail &amp; Restaurant'!$E$96/12*B213</f>
        <v>16466.186568121229</v>
      </c>
      <c r="E214" s="185">
        <f t="shared" si="22"/>
        <v>5983.693706246424</v>
      </c>
      <c r="F214" s="72">
        <f t="shared" si="28"/>
        <v>43</v>
      </c>
      <c r="G214" s="180">
        <f t="shared" si="23"/>
        <v>464006.17727658752</v>
      </c>
      <c r="H214" s="186">
        <f>-'Retail &amp; Restaurant'!$E$103/12</f>
        <v>2245.2234390441222</v>
      </c>
      <c r="I214" s="149">
        <f>'Retail &amp; Restaurant'!$E$101/12*G213</f>
        <v>1355.9450789403497</v>
      </c>
      <c r="J214" s="187">
        <f t="shared" si="24"/>
        <v>889.27836010377246</v>
      </c>
      <c r="K214" s="72">
        <f t="shared" si="29"/>
        <v>43</v>
      </c>
      <c r="L214" s="180">
        <f t="shared" si="25"/>
        <v>4409907.2599194357</v>
      </c>
      <c r="M214" s="181">
        <f t="shared" si="25"/>
        <v>24695.103713411776</v>
      </c>
      <c r="N214" s="180">
        <f t="shared" si="25"/>
        <v>17822.131647061578</v>
      </c>
      <c r="O214" s="132">
        <f t="shared" si="25"/>
        <v>6872.9720663501967</v>
      </c>
    </row>
    <row r="215" spans="1:15" x14ac:dyDescent="0.25">
      <c r="A215" s="72">
        <f t="shared" si="27"/>
        <v>44</v>
      </c>
      <c r="B215" s="183">
        <f t="shared" si="21"/>
        <v>3939892.4568794928</v>
      </c>
      <c r="C215" s="184">
        <f>-'Retail &amp; Restaurant'!$E$98/12</f>
        <v>22449.880274367653</v>
      </c>
      <c r="D215" s="183">
        <f>'Retail &amp; Restaurant'!$E$96/12*B214</f>
        <v>16441.25451101187</v>
      </c>
      <c r="E215" s="185">
        <f t="shared" si="22"/>
        <v>6008.6257633557834</v>
      </c>
      <c r="F215" s="72">
        <f t="shared" si="28"/>
        <v>44</v>
      </c>
      <c r="G215" s="180">
        <f t="shared" si="23"/>
        <v>463114.30518793344</v>
      </c>
      <c r="H215" s="186">
        <f>-'Retail &amp; Restaurant'!$E$103/12</f>
        <v>2245.2234390441222</v>
      </c>
      <c r="I215" s="149">
        <f>'Retail &amp; Restaurant'!$E$101/12*G214</f>
        <v>1353.3513503900469</v>
      </c>
      <c r="J215" s="187">
        <f t="shared" si="24"/>
        <v>891.87208865407524</v>
      </c>
      <c r="K215" s="72">
        <f t="shared" si="29"/>
        <v>44</v>
      </c>
      <c r="L215" s="180">
        <f t="shared" si="25"/>
        <v>4403006.762067426</v>
      </c>
      <c r="M215" s="181">
        <f t="shared" si="25"/>
        <v>24695.103713411776</v>
      </c>
      <c r="N215" s="180">
        <f t="shared" si="25"/>
        <v>17794.605861401917</v>
      </c>
      <c r="O215" s="132">
        <f t="shared" si="25"/>
        <v>6900.4978520098584</v>
      </c>
    </row>
    <row r="216" spans="1:15" x14ac:dyDescent="0.25">
      <c r="A216" s="72">
        <f t="shared" si="27"/>
        <v>45</v>
      </c>
      <c r="B216" s="183">
        <f t="shared" si="21"/>
        <v>3933858.7951754564</v>
      </c>
      <c r="C216" s="184">
        <f>-'Retail &amp; Restaurant'!$E$98/12</f>
        <v>22449.880274367653</v>
      </c>
      <c r="D216" s="183">
        <f>'Retail &amp; Restaurant'!$E$96/12*B215</f>
        <v>16416.218570331221</v>
      </c>
      <c r="E216" s="185">
        <f t="shared" si="22"/>
        <v>6033.6617040364326</v>
      </c>
      <c r="F216" s="72">
        <f t="shared" si="28"/>
        <v>45</v>
      </c>
      <c r="G216" s="180">
        <f t="shared" si="23"/>
        <v>462219.83180568746</v>
      </c>
      <c r="H216" s="186">
        <f>-'Retail &amp; Restaurant'!$E$103/12</f>
        <v>2245.2234390441222</v>
      </c>
      <c r="I216" s="149">
        <f>'Retail &amp; Restaurant'!$E$101/12*G215</f>
        <v>1350.7500567981392</v>
      </c>
      <c r="J216" s="187">
        <f t="shared" si="24"/>
        <v>894.47338224598298</v>
      </c>
      <c r="K216" s="72">
        <f t="shared" si="29"/>
        <v>45</v>
      </c>
      <c r="L216" s="180">
        <f t="shared" si="25"/>
        <v>4396078.6269811438</v>
      </c>
      <c r="M216" s="181">
        <f t="shared" si="25"/>
        <v>24695.103713411776</v>
      </c>
      <c r="N216" s="180">
        <f t="shared" si="25"/>
        <v>17766.968627129361</v>
      </c>
      <c r="O216" s="132">
        <f t="shared" si="25"/>
        <v>6928.1350862824156</v>
      </c>
    </row>
    <row r="217" spans="1:15" x14ac:dyDescent="0.25">
      <c r="A217" s="72">
        <f t="shared" si="27"/>
        <v>46</v>
      </c>
      <c r="B217" s="183">
        <f t="shared" si="21"/>
        <v>3927799.9932143199</v>
      </c>
      <c r="C217" s="184">
        <f>-'Retail &amp; Restaurant'!$E$98/12</f>
        <v>22449.880274367653</v>
      </c>
      <c r="D217" s="183">
        <f>'Retail &amp; Restaurant'!$E$96/12*B216</f>
        <v>16391.078313231068</v>
      </c>
      <c r="E217" s="185">
        <f t="shared" si="22"/>
        <v>6058.8019611365853</v>
      </c>
      <c r="F217" s="72">
        <f t="shared" si="28"/>
        <v>46</v>
      </c>
      <c r="G217" s="180">
        <f t="shared" si="23"/>
        <v>461322.74954274326</v>
      </c>
      <c r="H217" s="186">
        <f>-'Retail &amp; Restaurant'!$E$103/12</f>
        <v>2245.2234390441222</v>
      </c>
      <c r="I217" s="149">
        <f>'Retail &amp; Restaurant'!$E$101/12*G216</f>
        <v>1348.1411760999217</v>
      </c>
      <c r="J217" s="187">
        <f t="shared" si="24"/>
        <v>897.08226294420047</v>
      </c>
      <c r="K217" s="72">
        <f t="shared" si="29"/>
        <v>46</v>
      </c>
      <c r="L217" s="180">
        <f t="shared" si="25"/>
        <v>4389122.7427570634</v>
      </c>
      <c r="M217" s="181">
        <f t="shared" si="25"/>
        <v>24695.103713411776</v>
      </c>
      <c r="N217" s="180">
        <f t="shared" si="25"/>
        <v>17739.21948933099</v>
      </c>
      <c r="O217" s="132">
        <f t="shared" si="25"/>
        <v>6955.8842240807862</v>
      </c>
    </row>
    <row r="218" spans="1:15" x14ac:dyDescent="0.25">
      <c r="A218" s="72">
        <f t="shared" si="27"/>
        <v>47</v>
      </c>
      <c r="B218" s="183">
        <f t="shared" si="21"/>
        <v>3921715.9462450119</v>
      </c>
      <c r="C218" s="184">
        <f>-'Retail &amp; Restaurant'!$E$98/12</f>
        <v>22449.880274367653</v>
      </c>
      <c r="D218" s="183">
        <f>'Retail &amp; Restaurant'!$E$96/12*B217</f>
        <v>16365.833305059667</v>
      </c>
      <c r="E218" s="185">
        <f t="shared" si="22"/>
        <v>6084.0469693079867</v>
      </c>
      <c r="F218" s="72">
        <f t="shared" si="28"/>
        <v>47</v>
      </c>
      <c r="G218" s="180">
        <f t="shared" si="23"/>
        <v>460423.05078986549</v>
      </c>
      <c r="H218" s="186">
        <f>-'Retail &amp; Restaurant'!$E$103/12</f>
        <v>2245.2234390441222</v>
      </c>
      <c r="I218" s="149">
        <f>'Retail &amp; Restaurant'!$E$101/12*G217</f>
        <v>1345.5246861663345</v>
      </c>
      <c r="J218" s="187">
        <f t="shared" si="24"/>
        <v>899.69875287778768</v>
      </c>
      <c r="K218" s="72">
        <f t="shared" si="29"/>
        <v>47</v>
      </c>
      <c r="L218" s="180">
        <f t="shared" si="25"/>
        <v>4382138.9970348775</v>
      </c>
      <c r="M218" s="181">
        <f t="shared" si="25"/>
        <v>24695.103713411776</v>
      </c>
      <c r="N218" s="180">
        <f t="shared" si="25"/>
        <v>17711.357991226003</v>
      </c>
      <c r="O218" s="132">
        <f t="shared" si="25"/>
        <v>6983.7457221857749</v>
      </c>
    </row>
    <row r="219" spans="1:15" x14ac:dyDescent="0.25">
      <c r="A219" s="72">
        <f t="shared" si="27"/>
        <v>48</v>
      </c>
      <c r="B219" s="183">
        <f t="shared" si="21"/>
        <v>3915606.5490799984</v>
      </c>
      <c r="C219" s="184">
        <f>-'Retail &amp; Restaurant'!$E$98/12</f>
        <v>22449.880274367653</v>
      </c>
      <c r="D219" s="183">
        <f>'Retail &amp; Restaurant'!$E$96/12*B218</f>
        <v>16340.483109354216</v>
      </c>
      <c r="E219" s="185">
        <f t="shared" si="22"/>
        <v>6109.3971650134372</v>
      </c>
      <c r="F219" s="72">
        <f t="shared" si="28"/>
        <v>48</v>
      </c>
      <c r="G219" s="180">
        <f t="shared" si="23"/>
        <v>459520.72791562515</v>
      </c>
      <c r="H219" s="186">
        <f>-'Retail &amp; Restaurant'!$E$103/12</f>
        <v>2245.2234390441222</v>
      </c>
      <c r="I219" s="149">
        <f>'Retail &amp; Restaurant'!$E$101/12*G218</f>
        <v>1342.9005648037744</v>
      </c>
      <c r="J219" s="187">
        <f t="shared" si="24"/>
        <v>902.3228742403478</v>
      </c>
      <c r="K219" s="72">
        <f t="shared" si="29"/>
        <v>48</v>
      </c>
      <c r="L219" s="180">
        <f t="shared" si="25"/>
        <v>4375127.2769956235</v>
      </c>
      <c r="M219" s="181">
        <f t="shared" si="25"/>
        <v>24695.103713411776</v>
      </c>
      <c r="N219" s="180">
        <f t="shared" si="25"/>
        <v>17683.383674157991</v>
      </c>
      <c r="O219" s="132">
        <f t="shared" si="25"/>
        <v>7011.7200392537852</v>
      </c>
    </row>
    <row r="220" spans="1:15" x14ac:dyDescent="0.25">
      <c r="A220" s="72">
        <f t="shared" si="27"/>
        <v>49</v>
      </c>
      <c r="B220" s="183">
        <f t="shared" si="21"/>
        <v>3909471.6960934643</v>
      </c>
      <c r="C220" s="184">
        <f>-'Retail &amp; Restaurant'!$E$98/12</f>
        <v>22449.880274367653</v>
      </c>
      <c r="D220" s="183">
        <f>'Retail &amp; Restaurant'!$E$96/12*B219</f>
        <v>16315.027287833327</v>
      </c>
      <c r="E220" s="185">
        <f t="shared" si="22"/>
        <v>6134.8529865343262</v>
      </c>
      <c r="F220" s="72">
        <f t="shared" si="28"/>
        <v>49</v>
      </c>
      <c r="G220" s="180">
        <f t="shared" si="23"/>
        <v>458615.7732663349</v>
      </c>
      <c r="H220" s="186">
        <f>-'Retail &amp; Restaurant'!$E$103/12</f>
        <v>2245.2234390441222</v>
      </c>
      <c r="I220" s="149">
        <f>'Retail &amp; Restaurant'!$E$101/12*G219</f>
        <v>1340.2687897539067</v>
      </c>
      <c r="J220" s="187">
        <f t="shared" si="24"/>
        <v>904.95464929021546</v>
      </c>
      <c r="K220" s="72">
        <f t="shared" si="29"/>
        <v>49</v>
      </c>
      <c r="L220" s="180">
        <f t="shared" si="25"/>
        <v>4368087.4693597993</v>
      </c>
      <c r="M220" s="181">
        <f t="shared" si="25"/>
        <v>24695.103713411776</v>
      </c>
      <c r="N220" s="180">
        <f t="shared" si="25"/>
        <v>17655.296077587234</v>
      </c>
      <c r="O220" s="132">
        <f t="shared" si="25"/>
        <v>7039.8076358245416</v>
      </c>
    </row>
    <row r="221" spans="1:15" x14ac:dyDescent="0.25">
      <c r="A221" s="72">
        <f t="shared" si="27"/>
        <v>50</v>
      </c>
      <c r="B221" s="183">
        <f t="shared" si="21"/>
        <v>3903311.2812194861</v>
      </c>
      <c r="C221" s="184">
        <f>-'Retail &amp; Restaurant'!$E$98/12</f>
        <v>22449.880274367653</v>
      </c>
      <c r="D221" s="183">
        <f>'Retail &amp; Restaurant'!$E$96/12*B220</f>
        <v>16289.465400389434</v>
      </c>
      <c r="E221" s="185">
        <f t="shared" si="22"/>
        <v>6160.4148739782195</v>
      </c>
      <c r="F221" s="72">
        <f t="shared" si="28"/>
        <v>50</v>
      </c>
      <c r="G221" s="180">
        <f t="shared" si="23"/>
        <v>457708.17916598427</v>
      </c>
      <c r="H221" s="186">
        <f>-'Retail &amp; Restaurant'!$E$103/12</f>
        <v>2245.2234390441222</v>
      </c>
      <c r="I221" s="149">
        <f>'Retail &amp; Restaurant'!$E$101/12*G220</f>
        <v>1337.6293386934769</v>
      </c>
      <c r="J221" s="187">
        <f t="shared" si="24"/>
        <v>907.59410035064525</v>
      </c>
      <c r="K221" s="72">
        <f t="shared" si="29"/>
        <v>50</v>
      </c>
      <c r="L221" s="180">
        <f t="shared" si="25"/>
        <v>4361019.4603854707</v>
      </c>
      <c r="M221" s="181">
        <f t="shared" si="25"/>
        <v>24695.103713411776</v>
      </c>
      <c r="N221" s="180">
        <f t="shared" si="25"/>
        <v>17627.09473908291</v>
      </c>
      <c r="O221" s="132">
        <f t="shared" si="25"/>
        <v>7068.0089743288645</v>
      </c>
    </row>
    <row r="222" spans="1:15" x14ac:dyDescent="0.25">
      <c r="A222" s="72">
        <f t="shared" si="27"/>
        <v>51</v>
      </c>
      <c r="B222" s="183">
        <f t="shared" si="21"/>
        <v>3897125.1979501997</v>
      </c>
      <c r="C222" s="184">
        <f>-'Retail &amp; Restaurant'!$E$98/12</f>
        <v>22449.880274367653</v>
      </c>
      <c r="D222" s="183">
        <f>'Retail &amp; Restaurant'!$E$96/12*B221</f>
        <v>16263.797005081193</v>
      </c>
      <c r="E222" s="185">
        <f t="shared" si="22"/>
        <v>6186.0832692864606</v>
      </c>
      <c r="F222" s="72">
        <f t="shared" si="28"/>
        <v>51</v>
      </c>
      <c r="G222" s="180">
        <f t="shared" si="23"/>
        <v>456797.9379161743</v>
      </c>
      <c r="H222" s="186">
        <f>-'Retail &amp; Restaurant'!$E$103/12</f>
        <v>2245.2234390441222</v>
      </c>
      <c r="I222" s="149">
        <f>'Retail &amp; Restaurant'!$E$101/12*G221</f>
        <v>1334.9821892341208</v>
      </c>
      <c r="J222" s="187">
        <f t="shared" si="24"/>
        <v>910.24124981000136</v>
      </c>
      <c r="K222" s="72">
        <f t="shared" si="29"/>
        <v>51</v>
      </c>
      <c r="L222" s="180">
        <f t="shared" si="25"/>
        <v>4353923.1358663738</v>
      </c>
      <c r="M222" s="181">
        <f t="shared" si="25"/>
        <v>24695.103713411776</v>
      </c>
      <c r="N222" s="180">
        <f t="shared" si="25"/>
        <v>17598.779194315313</v>
      </c>
      <c r="O222" s="132">
        <f t="shared" si="25"/>
        <v>7096.3245190964617</v>
      </c>
    </row>
    <row r="223" spans="1:15" x14ac:dyDescent="0.25">
      <c r="A223" s="72">
        <f t="shared" si="27"/>
        <v>52</v>
      </c>
      <c r="B223" s="183">
        <f t="shared" si="21"/>
        <v>3890913.339333958</v>
      </c>
      <c r="C223" s="184">
        <f>-'Retail &amp; Restaurant'!$E$98/12</f>
        <v>22449.880274367653</v>
      </c>
      <c r="D223" s="183">
        <f>'Retail &amp; Restaurant'!$E$96/12*B222</f>
        <v>16238.021658125832</v>
      </c>
      <c r="E223" s="185">
        <f t="shared" si="22"/>
        <v>6211.8586162418214</v>
      </c>
      <c r="F223" s="72">
        <f t="shared" si="28"/>
        <v>52</v>
      </c>
      <c r="G223" s="180">
        <f t="shared" si="23"/>
        <v>455885.04179605236</v>
      </c>
      <c r="H223" s="186">
        <f>-'Retail &amp; Restaurant'!$E$103/12</f>
        <v>2245.2234390441222</v>
      </c>
      <c r="I223" s="149">
        <f>'Retail &amp; Restaurant'!$E$101/12*G222</f>
        <v>1332.3273189221752</v>
      </c>
      <c r="J223" s="187">
        <f t="shared" si="24"/>
        <v>912.89612012194698</v>
      </c>
      <c r="K223" s="72">
        <f t="shared" si="29"/>
        <v>52</v>
      </c>
      <c r="L223" s="180">
        <f t="shared" si="25"/>
        <v>4346798.3811300099</v>
      </c>
      <c r="M223" s="181">
        <f t="shared" si="25"/>
        <v>24695.103713411776</v>
      </c>
      <c r="N223" s="180">
        <f t="shared" si="25"/>
        <v>17570.348977048008</v>
      </c>
      <c r="O223" s="132">
        <f t="shared" si="25"/>
        <v>7124.7547363637686</v>
      </c>
    </row>
    <row r="224" spans="1:15" x14ac:dyDescent="0.25">
      <c r="A224" s="72">
        <f t="shared" si="27"/>
        <v>53</v>
      </c>
      <c r="B224" s="183">
        <f t="shared" si="21"/>
        <v>3884675.5979734818</v>
      </c>
      <c r="C224" s="184">
        <f>-'Retail &amp; Restaurant'!$E$98/12</f>
        <v>22449.880274367653</v>
      </c>
      <c r="D224" s="183">
        <f>'Retail &amp; Restaurant'!$E$96/12*B223</f>
        <v>16212.138913891491</v>
      </c>
      <c r="E224" s="185">
        <f t="shared" si="22"/>
        <v>6237.7413604761623</v>
      </c>
      <c r="F224" s="72">
        <f t="shared" si="28"/>
        <v>53</v>
      </c>
      <c r="G224" s="180">
        <f t="shared" si="23"/>
        <v>454969.4830622467</v>
      </c>
      <c r="H224" s="186">
        <f>-'Retail &amp; Restaurant'!$E$103/12</f>
        <v>2245.2234390441222</v>
      </c>
      <c r="I224" s="149">
        <f>'Retail &amp; Restaurant'!$E$101/12*G223</f>
        <v>1329.664705238486</v>
      </c>
      <c r="J224" s="187">
        <f t="shared" si="24"/>
        <v>915.55873380563617</v>
      </c>
      <c r="K224" s="72">
        <f t="shared" si="29"/>
        <v>53</v>
      </c>
      <c r="L224" s="180">
        <f t="shared" si="25"/>
        <v>4339645.0810357286</v>
      </c>
      <c r="M224" s="181">
        <f t="shared" si="25"/>
        <v>24695.103713411776</v>
      </c>
      <c r="N224" s="180">
        <f t="shared" si="25"/>
        <v>17541.803619129976</v>
      </c>
      <c r="O224" s="132">
        <f t="shared" si="25"/>
        <v>7153.300094281798</v>
      </c>
    </row>
    <row r="225" spans="1:15" x14ac:dyDescent="0.25">
      <c r="A225" s="72">
        <f t="shared" si="27"/>
        <v>54</v>
      </c>
      <c r="B225" s="183">
        <f t="shared" si="21"/>
        <v>3878411.8660240038</v>
      </c>
      <c r="C225" s="184">
        <f>-'Retail &amp; Restaurant'!$E$98/12</f>
        <v>22449.880274367653</v>
      </c>
      <c r="D225" s="183">
        <f>'Retail &amp; Restaurant'!$E$96/12*B224</f>
        <v>16186.148324889507</v>
      </c>
      <c r="E225" s="185">
        <f t="shared" si="22"/>
        <v>6263.7319494781459</v>
      </c>
      <c r="F225" s="72">
        <f t="shared" si="28"/>
        <v>54</v>
      </c>
      <c r="G225" s="180">
        <f t="shared" si="23"/>
        <v>454051.25394880079</v>
      </c>
      <c r="H225" s="186">
        <f>-'Retail &amp; Restaurant'!$E$103/12</f>
        <v>2245.2234390441222</v>
      </c>
      <c r="I225" s="149">
        <f>'Retail &amp; Restaurant'!$E$101/12*G224</f>
        <v>1326.9943255982196</v>
      </c>
      <c r="J225" s="187">
        <f t="shared" si="24"/>
        <v>918.22911344590261</v>
      </c>
      <c r="K225" s="72">
        <f t="shared" si="29"/>
        <v>54</v>
      </c>
      <c r="L225" s="180">
        <f t="shared" si="25"/>
        <v>4332463.1199728046</v>
      </c>
      <c r="M225" s="181">
        <f t="shared" si="25"/>
        <v>24695.103713411776</v>
      </c>
      <c r="N225" s="180">
        <f t="shared" si="25"/>
        <v>17513.142650487727</v>
      </c>
      <c r="O225" s="132">
        <f t="shared" si="25"/>
        <v>7181.9610629240487</v>
      </c>
    </row>
    <row r="226" spans="1:15" x14ac:dyDescent="0.25">
      <c r="A226" s="72">
        <f t="shared" si="27"/>
        <v>55</v>
      </c>
      <c r="B226" s="183">
        <f t="shared" si="21"/>
        <v>3872122.0351914028</v>
      </c>
      <c r="C226" s="184">
        <f>-'Retail &amp; Restaurant'!$E$98/12</f>
        <v>22449.880274367653</v>
      </c>
      <c r="D226" s="183">
        <f>'Retail &amp; Restaurant'!$E$96/12*B225</f>
        <v>16160.049441766683</v>
      </c>
      <c r="E226" s="185">
        <f t="shared" si="22"/>
        <v>6289.8308326009701</v>
      </c>
      <c r="F226" s="72">
        <f t="shared" si="28"/>
        <v>55</v>
      </c>
      <c r="G226" s="180">
        <f t="shared" si="23"/>
        <v>453130.34666710731</v>
      </c>
      <c r="H226" s="186">
        <f>-'Retail &amp; Restaurant'!$E$103/12</f>
        <v>2245.2234390441222</v>
      </c>
      <c r="I226" s="149">
        <f>'Retail &amp; Restaurant'!$E$101/12*G225</f>
        <v>1324.3161573506691</v>
      </c>
      <c r="J226" s="187">
        <f t="shared" si="24"/>
        <v>920.90728169345311</v>
      </c>
      <c r="K226" s="72">
        <f t="shared" si="29"/>
        <v>55</v>
      </c>
      <c r="L226" s="180">
        <f t="shared" si="25"/>
        <v>4325252.38185851</v>
      </c>
      <c r="M226" s="181">
        <f t="shared" si="25"/>
        <v>24695.103713411776</v>
      </c>
      <c r="N226" s="180">
        <f t="shared" si="25"/>
        <v>17484.365599117351</v>
      </c>
      <c r="O226" s="132">
        <f t="shared" si="25"/>
        <v>7210.7381142944232</v>
      </c>
    </row>
    <row r="227" spans="1:15" x14ac:dyDescent="0.25">
      <c r="A227" s="72">
        <f t="shared" si="27"/>
        <v>56</v>
      </c>
      <c r="B227" s="183">
        <f t="shared" si="21"/>
        <v>3865805.9967303327</v>
      </c>
      <c r="C227" s="184">
        <f>-'Retail &amp; Restaurant'!$E$98/12</f>
        <v>22449.880274367653</v>
      </c>
      <c r="D227" s="183">
        <f>'Retail &amp; Restaurant'!$E$96/12*B226</f>
        <v>16133.841813297511</v>
      </c>
      <c r="E227" s="185">
        <f t="shared" si="22"/>
        <v>6316.0384610701421</v>
      </c>
      <c r="F227" s="72">
        <f t="shared" si="28"/>
        <v>56</v>
      </c>
      <c r="G227" s="180">
        <f t="shared" si="23"/>
        <v>452206.75340584223</v>
      </c>
      <c r="H227" s="186">
        <f>-'Retail &amp; Restaurant'!$E$103/12</f>
        <v>2245.2234390441222</v>
      </c>
      <c r="I227" s="149">
        <f>'Retail &amp; Restaurant'!$E$101/12*G226</f>
        <v>1321.6301777790632</v>
      </c>
      <c r="J227" s="187">
        <f t="shared" si="24"/>
        <v>923.59326126505903</v>
      </c>
      <c r="K227" s="72">
        <f t="shared" si="29"/>
        <v>56</v>
      </c>
      <c r="L227" s="180">
        <f t="shared" si="25"/>
        <v>4318012.7501361752</v>
      </c>
      <c r="M227" s="181">
        <f t="shared" si="25"/>
        <v>24695.103713411776</v>
      </c>
      <c r="N227" s="180">
        <f t="shared" si="25"/>
        <v>17455.471991076574</v>
      </c>
      <c r="O227" s="132">
        <f t="shared" si="25"/>
        <v>7239.6317223352016</v>
      </c>
    </row>
    <row r="228" spans="1:15" x14ac:dyDescent="0.25">
      <c r="A228" s="72">
        <f t="shared" si="27"/>
        <v>57</v>
      </c>
      <c r="B228" s="183">
        <f t="shared" si="21"/>
        <v>3859463.6414423413</v>
      </c>
      <c r="C228" s="184">
        <f>-'Retail &amp; Restaurant'!$E$98/12</f>
        <v>22449.880274367653</v>
      </c>
      <c r="D228" s="183">
        <f>'Retail &amp; Restaurant'!$E$96/12*B227</f>
        <v>16107.524986376386</v>
      </c>
      <c r="E228" s="185">
        <f t="shared" si="22"/>
        <v>6342.3552879912677</v>
      </c>
      <c r="F228" s="72">
        <f t="shared" si="28"/>
        <v>57</v>
      </c>
      <c r="G228" s="180">
        <f t="shared" si="23"/>
        <v>451280.46633089846</v>
      </c>
      <c r="H228" s="186">
        <f>-'Retail &amp; Restaurant'!$E$103/12</f>
        <v>2245.2234390441222</v>
      </c>
      <c r="I228" s="149">
        <f>'Retail &amp; Restaurant'!$E$101/12*G227</f>
        <v>1318.9363641003733</v>
      </c>
      <c r="J228" s="187">
        <f t="shared" si="24"/>
        <v>926.28707494374885</v>
      </c>
      <c r="K228" s="72">
        <f t="shared" si="29"/>
        <v>57</v>
      </c>
      <c r="L228" s="180">
        <f t="shared" si="25"/>
        <v>4310744.1077732397</v>
      </c>
      <c r="M228" s="181">
        <f t="shared" si="25"/>
        <v>24695.103713411776</v>
      </c>
      <c r="N228" s="180">
        <f t="shared" si="25"/>
        <v>17426.461350476759</v>
      </c>
      <c r="O228" s="132">
        <f t="shared" si="25"/>
        <v>7268.6423629350165</v>
      </c>
    </row>
    <row r="229" spans="1:15" x14ac:dyDescent="0.25">
      <c r="A229" s="72">
        <f t="shared" si="27"/>
        <v>58</v>
      </c>
      <c r="B229" s="183">
        <f t="shared" si="21"/>
        <v>3853094.8596739834</v>
      </c>
      <c r="C229" s="184">
        <f>-'Retail &amp; Restaurant'!$E$98/12</f>
        <v>22449.880274367653</v>
      </c>
      <c r="D229" s="183">
        <f>'Retail &amp; Restaurant'!$E$96/12*B228</f>
        <v>16081.098506009756</v>
      </c>
      <c r="E229" s="185">
        <f t="shared" si="22"/>
        <v>6368.7817683578978</v>
      </c>
      <c r="F229" s="72">
        <f t="shared" si="28"/>
        <v>58</v>
      </c>
      <c r="G229" s="180">
        <f t="shared" si="23"/>
        <v>450351.47758531943</v>
      </c>
      <c r="H229" s="186">
        <f>-'Retail &amp; Restaurant'!$E$103/12</f>
        <v>2245.2234390441222</v>
      </c>
      <c r="I229" s="149">
        <f>'Retail &amp; Restaurant'!$E$101/12*G228</f>
        <v>1316.2346934651205</v>
      </c>
      <c r="J229" s="187">
        <f t="shared" si="24"/>
        <v>928.98874557900172</v>
      </c>
      <c r="K229" s="72">
        <f t="shared" si="29"/>
        <v>58</v>
      </c>
      <c r="L229" s="180">
        <f t="shared" si="25"/>
        <v>4303446.3372593028</v>
      </c>
      <c r="M229" s="181">
        <f t="shared" si="25"/>
        <v>24695.103713411776</v>
      </c>
      <c r="N229" s="180">
        <f t="shared" si="25"/>
        <v>17397.333199474877</v>
      </c>
      <c r="O229" s="132">
        <f t="shared" si="25"/>
        <v>7297.7705139368991</v>
      </c>
    </row>
    <row r="230" spans="1:15" x14ac:dyDescent="0.25">
      <c r="A230" s="72">
        <f t="shared" si="27"/>
        <v>59</v>
      </c>
      <c r="B230" s="183">
        <f t="shared" si="21"/>
        <v>3846699.5413149241</v>
      </c>
      <c r="C230" s="184">
        <f>-'Retail &amp; Restaurant'!$E$98/12</f>
        <v>22449.880274367653</v>
      </c>
      <c r="D230" s="183">
        <f>'Retail &amp; Restaurant'!$E$96/12*B229</f>
        <v>16054.561915308264</v>
      </c>
      <c r="E230" s="185">
        <f t="shared" si="22"/>
        <v>6395.318359059389</v>
      </c>
      <c r="F230" s="72">
        <f t="shared" si="28"/>
        <v>59</v>
      </c>
      <c r="G230" s="180">
        <f t="shared" si="23"/>
        <v>449419.77928923251</v>
      </c>
      <c r="H230" s="186">
        <f>-'Retail &amp; Restaurant'!$E$103/12</f>
        <v>2245.2234390441222</v>
      </c>
      <c r="I230" s="149">
        <f>'Retail &amp; Restaurant'!$E$101/12*G229</f>
        <v>1313.5251429571817</v>
      </c>
      <c r="J230" s="187">
        <f t="shared" si="24"/>
        <v>931.69829608694045</v>
      </c>
      <c r="K230" s="72">
        <f t="shared" si="29"/>
        <v>59</v>
      </c>
      <c r="L230" s="180">
        <f t="shared" si="25"/>
        <v>4296119.3206041567</v>
      </c>
      <c r="M230" s="181">
        <f t="shared" si="25"/>
        <v>24695.103713411776</v>
      </c>
      <c r="N230" s="180">
        <f t="shared" si="25"/>
        <v>17368.087058265446</v>
      </c>
      <c r="O230" s="132">
        <f t="shared" si="25"/>
        <v>7327.0166551463299</v>
      </c>
    </row>
    <row r="231" spans="1:15" x14ac:dyDescent="0.25">
      <c r="A231" s="72">
        <f t="shared" si="27"/>
        <v>60</v>
      </c>
      <c r="B231" s="183">
        <f t="shared" si="21"/>
        <v>3840277.5757960351</v>
      </c>
      <c r="C231" s="184">
        <f>-'Retail &amp; Restaurant'!$E$98/12</f>
        <v>22449.880274367653</v>
      </c>
      <c r="D231" s="183">
        <f>'Retail &amp; Restaurant'!$E$96/12*B230</f>
        <v>16027.914755478851</v>
      </c>
      <c r="E231" s="185">
        <f t="shared" si="22"/>
        <v>6421.9655188888028</v>
      </c>
      <c r="F231" s="72">
        <f t="shared" si="28"/>
        <v>60</v>
      </c>
      <c r="G231" s="180">
        <f t="shared" si="23"/>
        <v>448485.363539782</v>
      </c>
      <c r="H231" s="186">
        <f>-'Retail &amp; Restaurant'!$E$103/12</f>
        <v>2245.2234390441222</v>
      </c>
      <c r="I231" s="149">
        <f>'Retail &amp; Restaurant'!$E$101/12*G230</f>
        <v>1310.8076895935949</v>
      </c>
      <c r="J231" s="187">
        <f t="shared" si="24"/>
        <v>934.4157494505273</v>
      </c>
      <c r="K231" s="72">
        <f t="shared" si="29"/>
        <v>60</v>
      </c>
      <c r="L231" s="180">
        <f t="shared" si="25"/>
        <v>4288762.9393358175</v>
      </c>
      <c r="M231" s="181">
        <f t="shared" si="25"/>
        <v>24695.103713411776</v>
      </c>
      <c r="N231" s="180">
        <f t="shared" si="25"/>
        <v>17338.722445072446</v>
      </c>
      <c r="O231" s="132">
        <f t="shared" si="25"/>
        <v>7356.3812683393298</v>
      </c>
    </row>
    <row r="232" spans="1:15" x14ac:dyDescent="0.25">
      <c r="A232" s="72">
        <f t="shared" si="27"/>
        <v>61</v>
      </c>
      <c r="B232" s="183">
        <f t="shared" si="21"/>
        <v>3833828.8520874842</v>
      </c>
      <c r="C232" s="184">
        <f>-'Retail &amp; Restaurant'!$E$98/12</f>
        <v>22449.880274367653</v>
      </c>
      <c r="D232" s="183">
        <f>'Retail &amp; Restaurant'!$E$96/12*B231</f>
        <v>16001.156565816813</v>
      </c>
      <c r="E232" s="185">
        <f t="shared" si="22"/>
        <v>6448.7237085508405</v>
      </c>
      <c r="F232" s="72">
        <f t="shared" si="28"/>
        <v>61</v>
      </c>
      <c r="G232" s="180">
        <f t="shared" si="23"/>
        <v>447548.22241106222</v>
      </c>
      <c r="H232" s="186">
        <f>-'Retail &amp; Restaurant'!$E$103/12</f>
        <v>2245.2234390441222</v>
      </c>
      <c r="I232" s="149">
        <f>'Retail &amp; Restaurant'!$E$101/12*G231</f>
        <v>1308.0823103243642</v>
      </c>
      <c r="J232" s="187">
        <f t="shared" si="24"/>
        <v>937.14112871975794</v>
      </c>
      <c r="K232" s="72">
        <f t="shared" si="29"/>
        <v>61</v>
      </c>
      <c r="L232" s="180">
        <f t="shared" si="25"/>
        <v>4281377.0744985463</v>
      </c>
      <c r="M232" s="181">
        <f t="shared" si="25"/>
        <v>24695.103713411776</v>
      </c>
      <c r="N232" s="180">
        <f t="shared" si="25"/>
        <v>17309.238876141178</v>
      </c>
      <c r="O232" s="132">
        <f t="shared" si="25"/>
        <v>7385.8648372705984</v>
      </c>
    </row>
    <row r="233" spans="1:15" x14ac:dyDescent="0.25">
      <c r="A233" s="72">
        <f t="shared" si="27"/>
        <v>62</v>
      </c>
      <c r="B233" s="183">
        <f t="shared" si="21"/>
        <v>3827353.2586968145</v>
      </c>
      <c r="C233" s="184">
        <f>-'Retail &amp; Restaurant'!$E$98/12</f>
        <v>22449.880274367653</v>
      </c>
      <c r="D233" s="183">
        <f>'Retail &amp; Restaurant'!$E$96/12*B232</f>
        <v>15974.28688369785</v>
      </c>
      <c r="E233" s="185">
        <f t="shared" si="22"/>
        <v>6475.5933906698028</v>
      </c>
      <c r="F233" s="72">
        <f t="shared" si="28"/>
        <v>62</v>
      </c>
      <c r="G233" s="180">
        <f t="shared" si="23"/>
        <v>446608.34795405035</v>
      </c>
      <c r="H233" s="186">
        <f>-'Retail &amp; Restaurant'!$E$103/12</f>
        <v>2245.2234390441222</v>
      </c>
      <c r="I233" s="149">
        <f>'Retail &amp; Restaurant'!$E$101/12*G232</f>
        <v>1305.3489820322648</v>
      </c>
      <c r="J233" s="187">
        <f t="shared" si="24"/>
        <v>939.87445701185743</v>
      </c>
      <c r="K233" s="72">
        <f t="shared" si="29"/>
        <v>62</v>
      </c>
      <c r="L233" s="180">
        <f t="shared" si="25"/>
        <v>4273961.6066508647</v>
      </c>
      <c r="M233" s="181">
        <f t="shared" si="25"/>
        <v>24695.103713411776</v>
      </c>
      <c r="N233" s="180">
        <f t="shared" si="25"/>
        <v>17279.635865730117</v>
      </c>
      <c r="O233" s="132">
        <f t="shared" si="25"/>
        <v>7415.4678476816607</v>
      </c>
    </row>
    <row r="234" spans="1:15" x14ac:dyDescent="0.25">
      <c r="A234" s="72">
        <f t="shared" si="27"/>
        <v>63</v>
      </c>
      <c r="B234" s="183">
        <f t="shared" si="21"/>
        <v>3820850.6836670171</v>
      </c>
      <c r="C234" s="184">
        <f>-'Retail &amp; Restaurant'!$E$98/12</f>
        <v>22449.880274367653</v>
      </c>
      <c r="D234" s="183">
        <f>'Retail &amp; Restaurant'!$E$96/12*B233</f>
        <v>15947.30524457006</v>
      </c>
      <c r="E234" s="185">
        <f t="shared" si="22"/>
        <v>6502.5750297975937</v>
      </c>
      <c r="F234" s="72">
        <f t="shared" si="28"/>
        <v>63</v>
      </c>
      <c r="G234" s="180">
        <f t="shared" si="23"/>
        <v>445665.73219653888</v>
      </c>
      <c r="H234" s="186">
        <f>-'Retail &amp; Restaurant'!$E$103/12</f>
        <v>2245.2234390441222</v>
      </c>
      <c r="I234" s="149">
        <f>'Retail &amp; Restaurant'!$E$101/12*G233</f>
        <v>1302.6076815326469</v>
      </c>
      <c r="J234" s="187">
        <f t="shared" si="24"/>
        <v>942.61575751147529</v>
      </c>
      <c r="K234" s="72">
        <f t="shared" si="29"/>
        <v>63</v>
      </c>
      <c r="L234" s="180">
        <f t="shared" si="25"/>
        <v>4266516.4158635559</v>
      </c>
      <c r="M234" s="181">
        <f t="shared" si="25"/>
        <v>24695.103713411776</v>
      </c>
      <c r="N234" s="180">
        <f t="shared" si="25"/>
        <v>17249.912926102705</v>
      </c>
      <c r="O234" s="132">
        <f t="shared" si="25"/>
        <v>7445.1907873090695</v>
      </c>
    </row>
    <row r="235" spans="1:15" x14ac:dyDescent="0.25">
      <c r="A235" s="72">
        <f t="shared" si="27"/>
        <v>64</v>
      </c>
      <c r="B235" s="183">
        <f t="shared" si="21"/>
        <v>3814321.0145745953</v>
      </c>
      <c r="C235" s="184">
        <f>-'Retail &amp; Restaurant'!$E$98/12</f>
        <v>22449.880274367653</v>
      </c>
      <c r="D235" s="183">
        <f>'Retail &amp; Restaurant'!$E$96/12*B234</f>
        <v>15920.211181945904</v>
      </c>
      <c r="E235" s="185">
        <f t="shared" si="22"/>
        <v>6529.6690924217492</v>
      </c>
      <c r="F235" s="72">
        <f t="shared" si="28"/>
        <v>64</v>
      </c>
      <c r="G235" s="180">
        <f t="shared" si="23"/>
        <v>444720.367143068</v>
      </c>
      <c r="H235" s="186">
        <f>-'Retail &amp; Restaurant'!$E$103/12</f>
        <v>2245.2234390441222</v>
      </c>
      <c r="I235" s="149">
        <f>'Retail &amp; Restaurant'!$E$101/12*G234</f>
        <v>1299.8583855732384</v>
      </c>
      <c r="J235" s="187">
        <f t="shared" si="24"/>
        <v>945.36505347088382</v>
      </c>
      <c r="K235" s="72">
        <f t="shared" si="29"/>
        <v>64</v>
      </c>
      <c r="L235" s="180">
        <f t="shared" si="25"/>
        <v>4259041.3817176633</v>
      </c>
      <c r="M235" s="181">
        <f t="shared" si="25"/>
        <v>24695.103713411776</v>
      </c>
      <c r="N235" s="180">
        <f t="shared" si="25"/>
        <v>17220.069567519142</v>
      </c>
      <c r="O235" s="132">
        <f t="shared" ref="O235:O298" si="70">J235+E235</f>
        <v>7475.0341458926332</v>
      </c>
    </row>
    <row r="236" spans="1:15" x14ac:dyDescent="0.25">
      <c r="A236" s="72">
        <f t="shared" si="27"/>
        <v>65</v>
      </c>
      <c r="B236" s="183">
        <f t="shared" ref="B236:B299" si="71">B235-E236</f>
        <v>3807764.138527622</v>
      </c>
      <c r="C236" s="184">
        <f>-'Retail &amp; Restaurant'!$E$98/12</f>
        <v>22449.880274367653</v>
      </c>
      <c r="D236" s="183">
        <f>'Retail &amp; Restaurant'!$E$96/12*B235</f>
        <v>15893.004227394147</v>
      </c>
      <c r="E236" s="185">
        <f t="shared" ref="E236:E299" si="72">C236-D236</f>
        <v>6556.8760469735062</v>
      </c>
      <c r="F236" s="72">
        <f t="shared" si="28"/>
        <v>65</v>
      </c>
      <c r="G236" s="180">
        <f t="shared" ref="G236:G299" si="73">G235-J236</f>
        <v>443772.24477485783</v>
      </c>
      <c r="H236" s="186">
        <f>-'Retail &amp; Restaurant'!$E$103/12</f>
        <v>2245.2234390441222</v>
      </c>
      <c r="I236" s="149">
        <f>'Retail &amp; Restaurant'!$E$101/12*G235</f>
        <v>1297.1010708339484</v>
      </c>
      <c r="J236" s="187">
        <f t="shared" ref="J236:J299" si="74">H236-I236</f>
        <v>948.12236821017382</v>
      </c>
      <c r="K236" s="72">
        <f t="shared" si="29"/>
        <v>65</v>
      </c>
      <c r="L236" s="180">
        <f t="shared" ref="L236:O299" si="75">G236+B236</f>
        <v>4251536.38330248</v>
      </c>
      <c r="M236" s="181">
        <f t="shared" si="75"/>
        <v>24695.103713411776</v>
      </c>
      <c r="N236" s="180">
        <f t="shared" si="75"/>
        <v>17190.105298228096</v>
      </c>
      <c r="O236" s="132">
        <f t="shared" si="70"/>
        <v>7504.9984151836798</v>
      </c>
    </row>
    <row r="237" spans="1:15" x14ac:dyDescent="0.25">
      <c r="A237" s="72">
        <f t="shared" ref="A237:A300" si="76">A236+1</f>
        <v>66</v>
      </c>
      <c r="B237" s="183">
        <f t="shared" si="71"/>
        <v>3801179.9421637859</v>
      </c>
      <c r="C237" s="184">
        <f>-'Retail &amp; Restaurant'!$E$98/12</f>
        <v>22449.880274367653</v>
      </c>
      <c r="D237" s="183">
        <f>'Retail &amp; Restaurant'!$E$96/12*B236</f>
        <v>15865.683910531758</v>
      </c>
      <c r="E237" s="185">
        <f t="shared" si="72"/>
        <v>6584.1963638358957</v>
      </c>
      <c r="F237" s="72">
        <f t="shared" ref="F237:F300" si="77">F236+1</f>
        <v>66</v>
      </c>
      <c r="G237" s="180">
        <f t="shared" si="73"/>
        <v>442821.35704974039</v>
      </c>
      <c r="H237" s="186">
        <f>-'Retail &amp; Restaurant'!$E$103/12</f>
        <v>2245.2234390441222</v>
      </c>
      <c r="I237" s="149">
        <f>'Retail &amp; Restaurant'!$E$101/12*G236</f>
        <v>1294.3357139266686</v>
      </c>
      <c r="J237" s="187">
        <f t="shared" si="74"/>
        <v>950.88772511745356</v>
      </c>
      <c r="K237" s="72">
        <f t="shared" ref="K237:K300" si="78">K236+1</f>
        <v>66</v>
      </c>
      <c r="L237" s="180">
        <f t="shared" si="75"/>
        <v>4244001.2992135268</v>
      </c>
      <c r="M237" s="181">
        <f t="shared" si="75"/>
        <v>24695.103713411776</v>
      </c>
      <c r="N237" s="180">
        <f t="shared" si="75"/>
        <v>17160.019624458426</v>
      </c>
      <c r="O237" s="132">
        <f t="shared" si="70"/>
        <v>7535.0840889533492</v>
      </c>
    </row>
    <row r="238" spans="1:15" x14ac:dyDescent="0.25">
      <c r="A238" s="72">
        <f t="shared" si="76"/>
        <v>67</v>
      </c>
      <c r="B238" s="183">
        <f t="shared" si="71"/>
        <v>3794568.311648434</v>
      </c>
      <c r="C238" s="184">
        <f>-'Retail &amp; Restaurant'!$E$98/12</f>
        <v>22449.880274367653</v>
      </c>
      <c r="D238" s="183">
        <f>'Retail &amp; Restaurant'!$E$96/12*B237</f>
        <v>15838.249759015775</v>
      </c>
      <c r="E238" s="185">
        <f t="shared" si="72"/>
        <v>6611.6305153518788</v>
      </c>
      <c r="F238" s="72">
        <f t="shared" si="77"/>
        <v>67</v>
      </c>
      <c r="G238" s="180">
        <f t="shared" si="73"/>
        <v>441867.69590209133</v>
      </c>
      <c r="H238" s="186">
        <f>-'Retail &amp; Restaurant'!$E$103/12</f>
        <v>2245.2234390441222</v>
      </c>
      <c r="I238" s="149">
        <f>'Retail &amp; Restaurant'!$E$101/12*G237</f>
        <v>1291.5622913950763</v>
      </c>
      <c r="J238" s="187">
        <f t="shared" si="74"/>
        <v>953.66114764904592</v>
      </c>
      <c r="K238" s="72">
        <f t="shared" si="78"/>
        <v>67</v>
      </c>
      <c r="L238" s="180">
        <f t="shared" si="75"/>
        <v>4236436.0075505255</v>
      </c>
      <c r="M238" s="181">
        <f t="shared" si="75"/>
        <v>24695.103713411776</v>
      </c>
      <c r="N238" s="180">
        <f t="shared" si="75"/>
        <v>17129.812050410852</v>
      </c>
      <c r="O238" s="132">
        <f t="shared" si="70"/>
        <v>7565.2916630009249</v>
      </c>
    </row>
    <row r="239" spans="1:15" x14ac:dyDescent="0.25">
      <c r="A239" s="72">
        <f t="shared" si="76"/>
        <v>68</v>
      </c>
      <c r="B239" s="183">
        <f t="shared" si="71"/>
        <v>3787929.1326726014</v>
      </c>
      <c r="C239" s="184">
        <f>-'Retail &amp; Restaurant'!$E$98/12</f>
        <v>22449.880274367653</v>
      </c>
      <c r="D239" s="183">
        <f>'Retail &amp; Restaurant'!$E$96/12*B238</f>
        <v>15810.701298535141</v>
      </c>
      <c r="E239" s="185">
        <f t="shared" si="72"/>
        <v>6639.1789758325122</v>
      </c>
      <c r="F239" s="72">
        <f t="shared" si="77"/>
        <v>68</v>
      </c>
      <c r="G239" s="180">
        <f t="shared" si="73"/>
        <v>440911.25324276165</v>
      </c>
      <c r="H239" s="186">
        <f>-'Retail &amp; Restaurant'!$E$103/12</f>
        <v>2245.2234390441222</v>
      </c>
      <c r="I239" s="149">
        <f>'Retail &amp; Restaurant'!$E$101/12*G238</f>
        <v>1288.780779714433</v>
      </c>
      <c r="J239" s="187">
        <f t="shared" si="74"/>
        <v>956.44265932968915</v>
      </c>
      <c r="K239" s="72">
        <f t="shared" si="78"/>
        <v>68</v>
      </c>
      <c r="L239" s="180">
        <f t="shared" si="75"/>
        <v>4228840.3859153632</v>
      </c>
      <c r="M239" s="181">
        <f t="shared" si="75"/>
        <v>24695.103713411776</v>
      </c>
      <c r="N239" s="180">
        <f t="shared" si="75"/>
        <v>17099.482078249574</v>
      </c>
      <c r="O239" s="132">
        <f t="shared" si="70"/>
        <v>7595.6216351622015</v>
      </c>
    </row>
    <row r="240" spans="1:15" x14ac:dyDescent="0.25">
      <c r="A240" s="72">
        <f t="shared" si="76"/>
        <v>69</v>
      </c>
      <c r="B240" s="183">
        <f t="shared" si="71"/>
        <v>3781262.2904510363</v>
      </c>
      <c r="C240" s="184">
        <f>-'Retail &amp; Restaurant'!$E$98/12</f>
        <v>22449.880274367653</v>
      </c>
      <c r="D240" s="183">
        <f>'Retail &amp; Restaurant'!$E$96/12*B239</f>
        <v>15783.038052802505</v>
      </c>
      <c r="E240" s="185">
        <f t="shared" si="72"/>
        <v>6666.8422215651481</v>
      </c>
      <c r="F240" s="72">
        <f t="shared" si="77"/>
        <v>69</v>
      </c>
      <c r="G240" s="180">
        <f t="shared" si="73"/>
        <v>439952.02095900889</v>
      </c>
      <c r="H240" s="186">
        <f>-'Retail &amp; Restaurant'!$E$103/12</f>
        <v>2245.2234390441222</v>
      </c>
      <c r="I240" s="149">
        <f>'Retail &amp; Restaurant'!$E$101/12*G239</f>
        <v>1285.9911552913882</v>
      </c>
      <c r="J240" s="187">
        <f t="shared" si="74"/>
        <v>959.23228375273402</v>
      </c>
      <c r="K240" s="72">
        <f t="shared" si="78"/>
        <v>69</v>
      </c>
      <c r="L240" s="180">
        <f t="shared" si="75"/>
        <v>4221214.3114100453</v>
      </c>
      <c r="M240" s="181">
        <f t="shared" si="75"/>
        <v>24695.103713411776</v>
      </c>
      <c r="N240" s="180">
        <f t="shared" si="75"/>
        <v>17069.029208093893</v>
      </c>
      <c r="O240" s="132">
        <f t="shared" si="70"/>
        <v>7626.0745053178816</v>
      </c>
    </row>
    <row r="241" spans="1:15" x14ac:dyDescent="0.25">
      <c r="A241" s="72">
        <f t="shared" si="76"/>
        <v>70</v>
      </c>
      <c r="B241" s="183">
        <f t="shared" si="71"/>
        <v>3774567.6697202148</v>
      </c>
      <c r="C241" s="184">
        <f>-'Retail &amp; Restaurant'!$E$98/12</f>
        <v>22449.880274367653</v>
      </c>
      <c r="D241" s="183">
        <f>'Retail &amp; Restaurant'!$E$96/12*B240</f>
        <v>15755.259543545984</v>
      </c>
      <c r="E241" s="185">
        <f t="shared" si="72"/>
        <v>6694.620730821669</v>
      </c>
      <c r="F241" s="72">
        <f t="shared" si="77"/>
        <v>70</v>
      </c>
      <c r="G241" s="180">
        <f t="shared" si="73"/>
        <v>438989.99091442855</v>
      </c>
      <c r="H241" s="186">
        <f>-'Retail &amp; Restaurant'!$E$103/12</f>
        <v>2245.2234390441222</v>
      </c>
      <c r="I241" s="149">
        <f>'Retail &amp; Restaurant'!$E$101/12*G240</f>
        <v>1283.193394463776</v>
      </c>
      <c r="J241" s="187">
        <f t="shared" si="74"/>
        <v>962.03004458034616</v>
      </c>
      <c r="K241" s="72">
        <f t="shared" si="78"/>
        <v>70</v>
      </c>
      <c r="L241" s="180">
        <f t="shared" si="75"/>
        <v>4213557.6606346434</v>
      </c>
      <c r="M241" s="181">
        <f t="shared" si="75"/>
        <v>24695.103713411776</v>
      </c>
      <c r="N241" s="180">
        <f t="shared" si="75"/>
        <v>17038.452938009759</v>
      </c>
      <c r="O241" s="132">
        <f t="shared" si="70"/>
        <v>7656.6507754020149</v>
      </c>
    </row>
    <row r="242" spans="1:15" x14ac:dyDescent="0.25">
      <c r="A242" s="72">
        <f t="shared" si="76"/>
        <v>71</v>
      </c>
      <c r="B242" s="183">
        <f t="shared" si="71"/>
        <v>3767845.154736348</v>
      </c>
      <c r="C242" s="184">
        <f>-'Retail &amp; Restaurant'!$E$98/12</f>
        <v>22449.880274367653</v>
      </c>
      <c r="D242" s="183">
        <f>'Retail &amp; Restaurant'!$E$96/12*B241</f>
        <v>15727.365290500895</v>
      </c>
      <c r="E242" s="185">
        <f t="shared" si="72"/>
        <v>6722.5149838667585</v>
      </c>
      <c r="F242" s="72">
        <f t="shared" si="77"/>
        <v>71</v>
      </c>
      <c r="G242" s="180">
        <f t="shared" si="73"/>
        <v>438025.15494888485</v>
      </c>
      <c r="H242" s="186">
        <f>-'Retail &amp; Restaurant'!$E$103/12</f>
        <v>2245.2234390441222</v>
      </c>
      <c r="I242" s="149">
        <f>'Retail &amp; Restaurant'!$E$101/12*G241</f>
        <v>1280.3874735004167</v>
      </c>
      <c r="J242" s="187">
        <f t="shared" si="74"/>
        <v>964.83596554370547</v>
      </c>
      <c r="K242" s="72">
        <f t="shared" si="78"/>
        <v>71</v>
      </c>
      <c r="L242" s="180">
        <f t="shared" si="75"/>
        <v>4205870.309685233</v>
      </c>
      <c r="M242" s="181">
        <f t="shared" si="75"/>
        <v>24695.103713411776</v>
      </c>
      <c r="N242" s="180">
        <f t="shared" si="75"/>
        <v>17007.75276400131</v>
      </c>
      <c r="O242" s="132">
        <f t="shared" si="70"/>
        <v>7687.3509494104637</v>
      </c>
    </row>
    <row r="243" spans="1:15" x14ac:dyDescent="0.25">
      <c r="A243" s="72">
        <f t="shared" si="76"/>
        <v>72</v>
      </c>
      <c r="B243" s="183">
        <f t="shared" si="71"/>
        <v>3761094.6292733815</v>
      </c>
      <c r="C243" s="184">
        <f>-'Retail &amp; Restaurant'!$E$98/12</f>
        <v>22449.880274367653</v>
      </c>
      <c r="D243" s="183">
        <f>'Retail &amp; Restaurant'!$E$96/12*B242</f>
        <v>15699.35481140145</v>
      </c>
      <c r="E243" s="185">
        <f t="shared" si="72"/>
        <v>6750.5254629662031</v>
      </c>
      <c r="F243" s="72">
        <f t="shared" si="77"/>
        <v>72</v>
      </c>
      <c r="G243" s="180">
        <f t="shared" si="73"/>
        <v>437057.50487844163</v>
      </c>
      <c r="H243" s="186">
        <f>-'Retail &amp; Restaurant'!$E$103/12</f>
        <v>2245.2234390441222</v>
      </c>
      <c r="I243" s="149">
        <f>'Retail &amp; Restaurant'!$E$101/12*G242</f>
        <v>1277.5733686009141</v>
      </c>
      <c r="J243" s="187">
        <f t="shared" si="74"/>
        <v>967.65007044320805</v>
      </c>
      <c r="K243" s="72">
        <f t="shared" si="78"/>
        <v>72</v>
      </c>
      <c r="L243" s="180">
        <f t="shared" si="75"/>
        <v>4198152.1341518229</v>
      </c>
      <c r="M243" s="181">
        <f t="shared" si="75"/>
        <v>24695.103713411776</v>
      </c>
      <c r="N243" s="180">
        <f t="shared" si="75"/>
        <v>16976.928180002364</v>
      </c>
      <c r="O243" s="132">
        <f t="shared" si="70"/>
        <v>7718.1755334094114</v>
      </c>
    </row>
    <row r="244" spans="1:15" x14ac:dyDescent="0.25">
      <c r="A244" s="72">
        <f t="shared" si="76"/>
        <v>73</v>
      </c>
      <c r="B244" s="183">
        <f t="shared" si="71"/>
        <v>3754315.9766209861</v>
      </c>
      <c r="C244" s="184">
        <f>-'Retail &amp; Restaurant'!$E$98/12</f>
        <v>22449.880274367653</v>
      </c>
      <c r="D244" s="183">
        <f>'Retail &amp; Restaurant'!$E$96/12*B243</f>
        <v>15671.227621972423</v>
      </c>
      <c r="E244" s="185">
        <f t="shared" si="72"/>
        <v>6778.6526523952307</v>
      </c>
      <c r="F244" s="72">
        <f t="shared" si="77"/>
        <v>73</v>
      </c>
      <c r="G244" s="180">
        <f t="shared" si="73"/>
        <v>436087.03249529295</v>
      </c>
      <c r="H244" s="186">
        <f>-'Retail &amp; Restaurant'!$E$103/12</f>
        <v>2245.2234390441222</v>
      </c>
      <c r="I244" s="149">
        <f>'Retail &amp; Restaurant'!$E$101/12*G243</f>
        <v>1274.7510558954548</v>
      </c>
      <c r="J244" s="187">
        <f t="shared" si="74"/>
        <v>970.4723831486674</v>
      </c>
      <c r="K244" s="72">
        <f t="shared" si="78"/>
        <v>73</v>
      </c>
      <c r="L244" s="180">
        <f t="shared" si="75"/>
        <v>4190403.009116279</v>
      </c>
      <c r="M244" s="181">
        <f t="shared" si="75"/>
        <v>24695.103713411776</v>
      </c>
      <c r="N244" s="180">
        <f t="shared" si="75"/>
        <v>16945.978677867879</v>
      </c>
      <c r="O244" s="132">
        <f t="shared" si="70"/>
        <v>7749.1250355438979</v>
      </c>
    </row>
    <row r="245" spans="1:15" x14ac:dyDescent="0.25">
      <c r="A245" s="72">
        <f t="shared" si="76"/>
        <v>74</v>
      </c>
      <c r="B245" s="183">
        <f t="shared" si="71"/>
        <v>3747509.0795825394</v>
      </c>
      <c r="C245" s="184">
        <f>-'Retail &amp; Restaurant'!$E$98/12</f>
        <v>22449.880274367653</v>
      </c>
      <c r="D245" s="183">
        <f>'Retail &amp; Restaurant'!$E$96/12*B244</f>
        <v>15642.983235920776</v>
      </c>
      <c r="E245" s="185">
        <f t="shared" si="72"/>
        <v>6806.8970384468776</v>
      </c>
      <c r="F245" s="72">
        <f t="shared" si="77"/>
        <v>74</v>
      </c>
      <c r="G245" s="180">
        <f t="shared" si="73"/>
        <v>435113.72956769343</v>
      </c>
      <c r="H245" s="186">
        <f>-'Retail &amp; Restaurant'!$E$103/12</f>
        <v>2245.2234390441222</v>
      </c>
      <c r="I245" s="149">
        <f>'Retail &amp; Restaurant'!$E$101/12*G244</f>
        <v>1271.9205114446045</v>
      </c>
      <c r="J245" s="187">
        <f t="shared" si="74"/>
        <v>973.30292759951772</v>
      </c>
      <c r="K245" s="72">
        <f t="shared" si="78"/>
        <v>74</v>
      </c>
      <c r="L245" s="180">
        <f t="shared" si="75"/>
        <v>4182622.8091502329</v>
      </c>
      <c r="M245" s="181">
        <f t="shared" si="75"/>
        <v>24695.103713411776</v>
      </c>
      <c r="N245" s="180">
        <f t="shared" si="75"/>
        <v>16914.903747365381</v>
      </c>
      <c r="O245" s="132">
        <f t="shared" si="70"/>
        <v>7780.1999660463953</v>
      </c>
    </row>
    <row r="246" spans="1:15" x14ac:dyDescent="0.25">
      <c r="A246" s="72">
        <f t="shared" si="76"/>
        <v>75</v>
      </c>
      <c r="B246" s="183">
        <f t="shared" si="71"/>
        <v>3740673.8204730991</v>
      </c>
      <c r="C246" s="184">
        <f>-'Retail &amp; Restaurant'!$E$98/12</f>
        <v>22449.880274367653</v>
      </c>
      <c r="D246" s="183">
        <f>'Retail &amp; Restaurant'!$E$96/12*B245</f>
        <v>15614.621164927246</v>
      </c>
      <c r="E246" s="185">
        <f t="shared" si="72"/>
        <v>6835.259109440407</v>
      </c>
      <c r="F246" s="72">
        <f t="shared" si="77"/>
        <v>75</v>
      </c>
      <c r="G246" s="180">
        <f t="shared" si="73"/>
        <v>434137.58783988841</v>
      </c>
      <c r="H246" s="186">
        <f>-'Retail &amp; Restaurant'!$E$103/12</f>
        <v>2245.2234390441222</v>
      </c>
      <c r="I246" s="149">
        <f>'Retail &amp; Restaurant'!$E$101/12*G245</f>
        <v>1269.081711239106</v>
      </c>
      <c r="J246" s="187">
        <f t="shared" si="74"/>
        <v>976.14172780501622</v>
      </c>
      <c r="K246" s="72">
        <f t="shared" si="78"/>
        <v>75</v>
      </c>
      <c r="L246" s="180">
        <f t="shared" si="75"/>
        <v>4174811.4083129875</v>
      </c>
      <c r="M246" s="181">
        <f t="shared" si="75"/>
        <v>24695.103713411776</v>
      </c>
      <c r="N246" s="180">
        <f t="shared" si="75"/>
        <v>16883.702876166353</v>
      </c>
      <c r="O246" s="132">
        <f t="shared" si="70"/>
        <v>7811.4008372454227</v>
      </c>
    </row>
    <row r="247" spans="1:15" x14ac:dyDescent="0.25">
      <c r="A247" s="72">
        <f t="shared" si="76"/>
        <v>76</v>
      </c>
      <c r="B247" s="183">
        <f t="shared" si="71"/>
        <v>3733810.0811173692</v>
      </c>
      <c r="C247" s="184">
        <f>-'Retail &amp; Restaurant'!$E$98/12</f>
        <v>22449.880274367653</v>
      </c>
      <c r="D247" s="183">
        <f>'Retail &amp; Restaurant'!$E$96/12*B246</f>
        <v>15586.140918637913</v>
      </c>
      <c r="E247" s="185">
        <f t="shared" si="72"/>
        <v>6863.7393557297401</v>
      </c>
      <c r="F247" s="72">
        <f t="shared" si="77"/>
        <v>76</v>
      </c>
      <c r="G247" s="180">
        <f t="shared" si="73"/>
        <v>433158.59903204395</v>
      </c>
      <c r="H247" s="186">
        <f>-'Retail &amp; Restaurant'!$E$103/12</f>
        <v>2245.2234390441222</v>
      </c>
      <c r="I247" s="149">
        <f>'Retail &amp; Restaurant'!$E$101/12*G246</f>
        <v>1266.2346311996746</v>
      </c>
      <c r="J247" s="187">
        <f t="shared" si="74"/>
        <v>978.98880784444759</v>
      </c>
      <c r="K247" s="72">
        <f t="shared" si="78"/>
        <v>76</v>
      </c>
      <c r="L247" s="180">
        <f t="shared" si="75"/>
        <v>4166968.6801494132</v>
      </c>
      <c r="M247" s="181">
        <f t="shared" si="75"/>
        <v>24695.103713411776</v>
      </c>
      <c r="N247" s="180">
        <f t="shared" si="75"/>
        <v>16852.375549837587</v>
      </c>
      <c r="O247" s="132">
        <f t="shared" si="70"/>
        <v>7842.7281635741874</v>
      </c>
    </row>
    <row r="248" spans="1:15" x14ac:dyDescent="0.25">
      <c r="A248" s="72">
        <f t="shared" si="76"/>
        <v>77</v>
      </c>
      <c r="B248" s="183">
        <f t="shared" si="71"/>
        <v>3726917.7428476573</v>
      </c>
      <c r="C248" s="184">
        <f>-'Retail &amp; Restaurant'!$E$98/12</f>
        <v>22449.880274367653</v>
      </c>
      <c r="D248" s="183">
        <f>'Retail &amp; Restaurant'!$E$96/12*B247</f>
        <v>15557.542004655705</v>
      </c>
      <c r="E248" s="185">
        <f t="shared" si="72"/>
        <v>6892.3382697119487</v>
      </c>
      <c r="F248" s="72">
        <f t="shared" si="77"/>
        <v>77</v>
      </c>
      <c r="G248" s="180">
        <f t="shared" si="73"/>
        <v>432176.75484017661</v>
      </c>
      <c r="H248" s="186">
        <f>-'Retail &amp; Restaurant'!$E$103/12</f>
        <v>2245.2234390441222</v>
      </c>
      <c r="I248" s="149">
        <f>'Retail &amp; Restaurant'!$E$101/12*G247</f>
        <v>1263.3792471767949</v>
      </c>
      <c r="J248" s="187">
        <f t="shared" si="74"/>
        <v>981.84419186732725</v>
      </c>
      <c r="K248" s="72">
        <f t="shared" si="78"/>
        <v>77</v>
      </c>
      <c r="L248" s="180">
        <f t="shared" si="75"/>
        <v>4159094.4976878338</v>
      </c>
      <c r="M248" s="181">
        <f t="shared" si="75"/>
        <v>24695.103713411776</v>
      </c>
      <c r="N248" s="180">
        <f t="shared" si="75"/>
        <v>16820.9212518325</v>
      </c>
      <c r="O248" s="132">
        <f t="shared" si="70"/>
        <v>7874.1824615792757</v>
      </c>
    </row>
    <row r="249" spans="1:15" x14ac:dyDescent="0.25">
      <c r="A249" s="72">
        <f t="shared" si="76"/>
        <v>78</v>
      </c>
      <c r="B249" s="183">
        <f t="shared" si="71"/>
        <v>3719996.6865018215</v>
      </c>
      <c r="C249" s="184">
        <f>-'Retail &amp; Restaurant'!$E$98/12</f>
        <v>22449.880274367653</v>
      </c>
      <c r="D249" s="183">
        <f>'Retail &amp; Restaurant'!$E$96/12*B248</f>
        <v>15528.823928531905</v>
      </c>
      <c r="E249" s="185">
        <f t="shared" si="72"/>
        <v>6921.0563458357483</v>
      </c>
      <c r="F249" s="72">
        <f t="shared" si="77"/>
        <v>78</v>
      </c>
      <c r="G249" s="180">
        <f t="shared" si="73"/>
        <v>431192.046936083</v>
      </c>
      <c r="H249" s="186">
        <f>-'Retail &amp; Restaurant'!$E$103/12</f>
        <v>2245.2234390441222</v>
      </c>
      <c r="I249" s="149">
        <f>'Retail &amp; Restaurant'!$E$101/12*G248</f>
        <v>1260.5155349505151</v>
      </c>
      <c r="J249" s="187">
        <f t="shared" si="74"/>
        <v>984.70790409360711</v>
      </c>
      <c r="K249" s="72">
        <f t="shared" si="78"/>
        <v>78</v>
      </c>
      <c r="L249" s="180">
        <f t="shared" si="75"/>
        <v>4151188.7334379046</v>
      </c>
      <c r="M249" s="181">
        <f t="shared" si="75"/>
        <v>24695.103713411776</v>
      </c>
      <c r="N249" s="180">
        <f t="shared" si="75"/>
        <v>16789.339463482422</v>
      </c>
      <c r="O249" s="132">
        <f t="shared" si="70"/>
        <v>7905.7642499293552</v>
      </c>
    </row>
    <row r="250" spans="1:15" x14ac:dyDescent="0.25">
      <c r="A250" s="72">
        <f t="shared" si="76"/>
        <v>79</v>
      </c>
      <c r="B250" s="183">
        <f t="shared" si="71"/>
        <v>3713046.7924212115</v>
      </c>
      <c r="C250" s="184">
        <f>-'Retail &amp; Restaurant'!$E$98/12</f>
        <v>22449.880274367653</v>
      </c>
      <c r="D250" s="183">
        <f>'Retail &amp; Restaurant'!$E$96/12*B249</f>
        <v>15499.98619375759</v>
      </c>
      <c r="E250" s="185">
        <f t="shared" si="72"/>
        <v>6949.8940806100636</v>
      </c>
      <c r="F250" s="72">
        <f t="shared" si="77"/>
        <v>79</v>
      </c>
      <c r="G250" s="180">
        <f t="shared" si="73"/>
        <v>430204.46696726914</v>
      </c>
      <c r="H250" s="186">
        <f>-'Retail &amp; Restaurant'!$E$103/12</f>
        <v>2245.2234390441222</v>
      </c>
      <c r="I250" s="149">
        <f>'Retail &amp; Restaurant'!$E$101/12*G249</f>
        <v>1257.6434702302422</v>
      </c>
      <c r="J250" s="187">
        <f t="shared" si="74"/>
        <v>987.57996881387999</v>
      </c>
      <c r="K250" s="72">
        <f t="shared" si="78"/>
        <v>79</v>
      </c>
      <c r="L250" s="180">
        <f t="shared" si="75"/>
        <v>4143251.2593884808</v>
      </c>
      <c r="M250" s="181">
        <f t="shared" si="75"/>
        <v>24695.103713411776</v>
      </c>
      <c r="N250" s="180">
        <f t="shared" si="75"/>
        <v>16757.629663987831</v>
      </c>
      <c r="O250" s="132">
        <f t="shared" si="70"/>
        <v>7937.4740494239431</v>
      </c>
    </row>
    <row r="251" spans="1:15" x14ac:dyDescent="0.25">
      <c r="A251" s="72">
        <f t="shared" si="76"/>
        <v>80</v>
      </c>
      <c r="B251" s="183">
        <f t="shared" si="71"/>
        <v>3706067.9404485989</v>
      </c>
      <c r="C251" s="184">
        <f>-'Retail &amp; Restaurant'!$E$98/12</f>
        <v>22449.880274367653</v>
      </c>
      <c r="D251" s="183">
        <f>'Retail &amp; Restaurant'!$E$96/12*B250</f>
        <v>15471.028301755048</v>
      </c>
      <c r="E251" s="185">
        <f t="shared" si="72"/>
        <v>6978.8519726126051</v>
      </c>
      <c r="F251" s="72">
        <f t="shared" si="77"/>
        <v>80</v>
      </c>
      <c r="G251" s="180">
        <f t="shared" si="73"/>
        <v>429214.00655687955</v>
      </c>
      <c r="H251" s="186">
        <f>-'Retail &amp; Restaurant'!$E$103/12</f>
        <v>2245.2234390441222</v>
      </c>
      <c r="I251" s="149">
        <f>'Retail &amp; Restaurant'!$E$101/12*G250</f>
        <v>1254.763028654535</v>
      </c>
      <c r="J251" s="187">
        <f t="shared" si="74"/>
        <v>990.4604103895872</v>
      </c>
      <c r="K251" s="72">
        <f t="shared" si="78"/>
        <v>80</v>
      </c>
      <c r="L251" s="180">
        <f t="shared" si="75"/>
        <v>4135281.9470054787</v>
      </c>
      <c r="M251" s="181">
        <f t="shared" si="75"/>
        <v>24695.103713411776</v>
      </c>
      <c r="N251" s="180">
        <f t="shared" si="75"/>
        <v>16725.791330409582</v>
      </c>
      <c r="O251" s="132">
        <f t="shared" si="70"/>
        <v>7969.3123830021923</v>
      </c>
    </row>
    <row r="252" spans="1:15" x14ac:dyDescent="0.25">
      <c r="A252" s="72">
        <f t="shared" si="76"/>
        <v>81</v>
      </c>
      <c r="B252" s="183">
        <f t="shared" si="71"/>
        <v>3699060.0099261003</v>
      </c>
      <c r="C252" s="184">
        <f>-'Retail &amp; Restaurant'!$E$98/12</f>
        <v>22449.880274367653</v>
      </c>
      <c r="D252" s="183">
        <f>'Retail &amp; Restaurant'!$E$96/12*B251</f>
        <v>15441.949751869162</v>
      </c>
      <c r="E252" s="185">
        <f t="shared" si="72"/>
        <v>7007.930522498491</v>
      </c>
      <c r="F252" s="72">
        <f t="shared" si="77"/>
        <v>81</v>
      </c>
      <c r="G252" s="180">
        <f t="shared" si="73"/>
        <v>428220.65730362636</v>
      </c>
      <c r="H252" s="186">
        <f>-'Retail &amp; Restaurant'!$E$103/12</f>
        <v>2245.2234390441222</v>
      </c>
      <c r="I252" s="149">
        <f>'Retail &amp; Restaurant'!$E$101/12*G251</f>
        <v>1251.8741857908988</v>
      </c>
      <c r="J252" s="187">
        <f t="shared" si="74"/>
        <v>993.34925325322342</v>
      </c>
      <c r="K252" s="72">
        <f t="shared" si="78"/>
        <v>81</v>
      </c>
      <c r="L252" s="180">
        <f t="shared" si="75"/>
        <v>4127280.6672297264</v>
      </c>
      <c r="M252" s="181">
        <f t="shared" si="75"/>
        <v>24695.103713411776</v>
      </c>
      <c r="N252" s="180">
        <f t="shared" si="75"/>
        <v>16693.823937660061</v>
      </c>
      <c r="O252" s="132">
        <f t="shared" si="70"/>
        <v>8001.2797757517146</v>
      </c>
    </row>
    <row r="253" spans="1:15" x14ac:dyDescent="0.25">
      <c r="A253" s="72">
        <f t="shared" si="76"/>
        <v>82</v>
      </c>
      <c r="B253" s="183">
        <f t="shared" si="71"/>
        <v>3692022.8796930914</v>
      </c>
      <c r="C253" s="184">
        <f>-'Retail &amp; Restaurant'!$E$98/12</f>
        <v>22449.880274367653</v>
      </c>
      <c r="D253" s="183">
        <f>'Retail &amp; Restaurant'!$E$96/12*B252</f>
        <v>15412.750041358751</v>
      </c>
      <c r="E253" s="185">
        <f t="shared" si="72"/>
        <v>7037.130233008902</v>
      </c>
      <c r="F253" s="72">
        <f t="shared" si="77"/>
        <v>82</v>
      </c>
      <c r="G253" s="180">
        <f t="shared" si="73"/>
        <v>427224.4107817178</v>
      </c>
      <c r="H253" s="186">
        <f>-'Retail &amp; Restaurant'!$E$103/12</f>
        <v>2245.2234390441222</v>
      </c>
      <c r="I253" s="149">
        <f>'Retail &amp; Restaurant'!$E$101/12*G252</f>
        <v>1248.976917135577</v>
      </c>
      <c r="J253" s="187">
        <f t="shared" si="74"/>
        <v>996.24652190854522</v>
      </c>
      <c r="K253" s="72">
        <f t="shared" si="78"/>
        <v>82</v>
      </c>
      <c r="L253" s="180">
        <f t="shared" si="75"/>
        <v>4119247.2904748092</v>
      </c>
      <c r="M253" s="181">
        <f t="shared" si="75"/>
        <v>24695.103713411776</v>
      </c>
      <c r="N253" s="180">
        <f t="shared" si="75"/>
        <v>16661.726958494328</v>
      </c>
      <c r="O253" s="132">
        <f t="shared" si="70"/>
        <v>8033.3767549174472</v>
      </c>
    </row>
    <row r="254" spans="1:15" x14ac:dyDescent="0.25">
      <c r="A254" s="72">
        <f t="shared" si="76"/>
        <v>83</v>
      </c>
      <c r="B254" s="183">
        <f t="shared" si="71"/>
        <v>3684956.4280841118</v>
      </c>
      <c r="C254" s="184">
        <f>-'Retail &amp; Restaurant'!$E$98/12</f>
        <v>22449.880274367653</v>
      </c>
      <c r="D254" s="183">
        <f>'Retail &amp; Restaurant'!$E$96/12*B253</f>
        <v>15383.428665387881</v>
      </c>
      <c r="E254" s="185">
        <f t="shared" si="72"/>
        <v>7066.4516089797726</v>
      </c>
      <c r="F254" s="72">
        <f t="shared" si="77"/>
        <v>83</v>
      </c>
      <c r="G254" s="180">
        <f t="shared" si="73"/>
        <v>426225.25854078704</v>
      </c>
      <c r="H254" s="186">
        <f>-'Retail &amp; Restaurant'!$E$103/12</f>
        <v>2245.2234390441222</v>
      </c>
      <c r="I254" s="149">
        <f>'Retail &amp; Restaurant'!$E$101/12*G253</f>
        <v>1246.0711981133436</v>
      </c>
      <c r="J254" s="187">
        <f t="shared" si="74"/>
        <v>999.15224093077859</v>
      </c>
      <c r="K254" s="72">
        <f t="shared" si="78"/>
        <v>83</v>
      </c>
      <c r="L254" s="180">
        <f t="shared" si="75"/>
        <v>4111181.6866248986</v>
      </c>
      <c r="M254" s="181">
        <f t="shared" si="75"/>
        <v>24695.103713411776</v>
      </c>
      <c r="N254" s="180">
        <f t="shared" si="75"/>
        <v>16629.499863501223</v>
      </c>
      <c r="O254" s="132">
        <f t="shared" si="70"/>
        <v>8065.6038499105507</v>
      </c>
    </row>
    <row r="255" spans="1:15" x14ac:dyDescent="0.25">
      <c r="A255" s="72">
        <f t="shared" si="76"/>
        <v>84</v>
      </c>
      <c r="B255" s="183">
        <f t="shared" si="71"/>
        <v>3677860.5329267611</v>
      </c>
      <c r="C255" s="184">
        <f>-'Retail &amp; Restaurant'!$E$98/12</f>
        <v>22449.880274367653</v>
      </c>
      <c r="D255" s="183">
        <f>'Retail &amp; Restaurant'!$E$96/12*B254</f>
        <v>15353.985117017131</v>
      </c>
      <c r="E255" s="185">
        <f t="shared" si="72"/>
        <v>7095.8951573505219</v>
      </c>
      <c r="F255" s="72">
        <f t="shared" si="77"/>
        <v>84</v>
      </c>
      <c r="G255" s="180">
        <f t="shared" si="73"/>
        <v>425223.19210582023</v>
      </c>
      <c r="H255" s="186">
        <f>-'Retail &amp; Restaurant'!$E$103/12</f>
        <v>2245.2234390441222</v>
      </c>
      <c r="I255" s="149">
        <f>'Retail &amp; Restaurant'!$E$101/12*G254</f>
        <v>1243.1570040772956</v>
      </c>
      <c r="J255" s="187">
        <f t="shared" si="74"/>
        <v>1002.0664349668266</v>
      </c>
      <c r="K255" s="72">
        <f t="shared" si="78"/>
        <v>84</v>
      </c>
      <c r="L255" s="180">
        <f t="shared" si="75"/>
        <v>4103083.7250325815</v>
      </c>
      <c r="M255" s="181">
        <f t="shared" si="75"/>
        <v>24695.103713411776</v>
      </c>
      <c r="N255" s="180">
        <f t="shared" si="75"/>
        <v>16597.142121094428</v>
      </c>
      <c r="O255" s="132">
        <f t="shared" si="70"/>
        <v>8097.9615923173487</v>
      </c>
    </row>
    <row r="256" spans="1:15" x14ac:dyDescent="0.25">
      <c r="A256" s="72">
        <f t="shared" si="76"/>
        <v>85</v>
      </c>
      <c r="B256" s="183">
        <f t="shared" si="71"/>
        <v>3670735.0715395883</v>
      </c>
      <c r="C256" s="184">
        <f>-'Retail &amp; Restaurant'!$E$98/12</f>
        <v>22449.880274367653</v>
      </c>
      <c r="D256" s="183">
        <f>'Retail &amp; Restaurant'!$E$96/12*B255</f>
        <v>15324.418887194837</v>
      </c>
      <c r="E256" s="185">
        <f t="shared" si="72"/>
        <v>7125.4613871728161</v>
      </c>
      <c r="F256" s="72">
        <f t="shared" si="77"/>
        <v>85</v>
      </c>
      <c r="G256" s="180">
        <f t="shared" si="73"/>
        <v>424218.20297708473</v>
      </c>
      <c r="H256" s="186">
        <f>-'Retail &amp; Restaurant'!$E$103/12</f>
        <v>2245.2234390441222</v>
      </c>
      <c r="I256" s="149">
        <f>'Retail &amp; Restaurant'!$E$101/12*G255</f>
        <v>1240.2343103086423</v>
      </c>
      <c r="J256" s="187">
        <f t="shared" si="74"/>
        <v>1004.9891287354799</v>
      </c>
      <c r="K256" s="72">
        <f t="shared" si="78"/>
        <v>85</v>
      </c>
      <c r="L256" s="180">
        <f t="shared" si="75"/>
        <v>4094953.2745166728</v>
      </c>
      <c r="M256" s="181">
        <f t="shared" si="75"/>
        <v>24695.103713411776</v>
      </c>
      <c r="N256" s="180">
        <f t="shared" si="75"/>
        <v>16564.653197503481</v>
      </c>
      <c r="O256" s="132">
        <f t="shared" si="70"/>
        <v>8130.4505159082964</v>
      </c>
    </row>
    <row r="257" spans="1:15" x14ac:dyDescent="0.25">
      <c r="A257" s="72">
        <f t="shared" si="76"/>
        <v>86</v>
      </c>
      <c r="B257" s="183">
        <f t="shared" si="71"/>
        <v>3663579.9207299687</v>
      </c>
      <c r="C257" s="184">
        <f>-'Retail &amp; Restaurant'!$E$98/12</f>
        <v>22449.880274367653</v>
      </c>
      <c r="D257" s="183">
        <f>'Retail &amp; Restaurant'!$E$96/12*B256</f>
        <v>15294.729464748285</v>
      </c>
      <c r="E257" s="185">
        <f t="shared" si="72"/>
        <v>7155.1508096193684</v>
      </c>
      <c r="F257" s="72">
        <f t="shared" si="77"/>
        <v>86</v>
      </c>
      <c r="G257" s="180">
        <f t="shared" si="73"/>
        <v>423210.28263005713</v>
      </c>
      <c r="H257" s="186">
        <f>-'Retail &amp; Restaurant'!$E$103/12</f>
        <v>2245.2234390441222</v>
      </c>
      <c r="I257" s="149">
        <f>'Retail &amp; Restaurant'!$E$101/12*G256</f>
        <v>1237.3030920164972</v>
      </c>
      <c r="J257" s="187">
        <f t="shared" si="74"/>
        <v>1007.920347027625</v>
      </c>
      <c r="K257" s="72">
        <f t="shared" si="78"/>
        <v>86</v>
      </c>
      <c r="L257" s="180">
        <f t="shared" si="75"/>
        <v>4086790.2033600258</v>
      </c>
      <c r="M257" s="181">
        <f t="shared" si="75"/>
        <v>24695.103713411776</v>
      </c>
      <c r="N257" s="180">
        <f t="shared" si="75"/>
        <v>16532.032556764781</v>
      </c>
      <c r="O257" s="132">
        <f t="shared" si="70"/>
        <v>8163.0711566469936</v>
      </c>
    </row>
    <row r="258" spans="1:15" x14ac:dyDescent="0.25">
      <c r="A258" s="72">
        <f t="shared" si="76"/>
        <v>87</v>
      </c>
      <c r="B258" s="183">
        <f t="shared" si="71"/>
        <v>3656394.956791976</v>
      </c>
      <c r="C258" s="184">
        <f>-'Retail &amp; Restaurant'!$E$98/12</f>
        <v>22449.880274367653</v>
      </c>
      <c r="D258" s="183">
        <f>'Retail &amp; Restaurant'!$E$96/12*B257</f>
        <v>15264.916336374868</v>
      </c>
      <c r="E258" s="185">
        <f t="shared" si="72"/>
        <v>7184.9639379927848</v>
      </c>
      <c r="F258" s="72">
        <f t="shared" si="77"/>
        <v>87</v>
      </c>
      <c r="G258" s="180">
        <f t="shared" si="73"/>
        <v>422199.42251535068</v>
      </c>
      <c r="H258" s="186">
        <f>-'Retail &amp; Restaurant'!$E$103/12</f>
        <v>2245.2234390441222</v>
      </c>
      <c r="I258" s="149">
        <f>'Retail &amp; Restaurant'!$E$101/12*G257</f>
        <v>1234.3633243376667</v>
      </c>
      <c r="J258" s="187">
        <f t="shared" si="74"/>
        <v>1010.8601147064555</v>
      </c>
      <c r="K258" s="72">
        <f t="shared" si="78"/>
        <v>87</v>
      </c>
      <c r="L258" s="180">
        <f t="shared" si="75"/>
        <v>4078594.3793073269</v>
      </c>
      <c r="M258" s="181">
        <f t="shared" si="75"/>
        <v>24695.103713411776</v>
      </c>
      <c r="N258" s="180">
        <f t="shared" si="75"/>
        <v>16499.279660712535</v>
      </c>
      <c r="O258" s="132">
        <f t="shared" si="70"/>
        <v>8195.8240526992413</v>
      </c>
    </row>
    <row r="259" spans="1:15" x14ac:dyDescent="0.25">
      <c r="A259" s="72">
        <f t="shared" si="76"/>
        <v>88</v>
      </c>
      <c r="B259" s="183">
        <f t="shared" si="71"/>
        <v>3649180.0555042415</v>
      </c>
      <c r="C259" s="184">
        <f>-'Retail &amp; Restaurant'!$E$98/12</f>
        <v>22449.880274367653</v>
      </c>
      <c r="D259" s="183">
        <f>'Retail &amp; Restaurant'!$E$96/12*B258</f>
        <v>15234.978986633234</v>
      </c>
      <c r="E259" s="185">
        <f t="shared" si="72"/>
        <v>7214.9012877344194</v>
      </c>
      <c r="F259" s="72">
        <f t="shared" si="77"/>
        <v>88</v>
      </c>
      <c r="G259" s="180">
        <f t="shared" si="73"/>
        <v>421185.614058643</v>
      </c>
      <c r="H259" s="186">
        <f>-'Retail &amp; Restaurant'!$E$103/12</f>
        <v>2245.2234390441222</v>
      </c>
      <c r="I259" s="149">
        <f>'Retail &amp; Restaurant'!$E$101/12*G258</f>
        <v>1231.4149823364396</v>
      </c>
      <c r="J259" s="187">
        <f t="shared" si="74"/>
        <v>1013.8084567076826</v>
      </c>
      <c r="K259" s="72">
        <f t="shared" si="78"/>
        <v>88</v>
      </c>
      <c r="L259" s="180">
        <f t="shared" si="75"/>
        <v>4070365.6695628846</v>
      </c>
      <c r="M259" s="181">
        <f t="shared" si="75"/>
        <v>24695.103713411776</v>
      </c>
      <c r="N259" s="180">
        <f t="shared" si="75"/>
        <v>16466.393968969674</v>
      </c>
      <c r="O259" s="132">
        <f t="shared" si="70"/>
        <v>8228.7097444421015</v>
      </c>
    </row>
    <row r="260" spans="1:15" x14ac:dyDescent="0.25">
      <c r="A260" s="72">
        <f t="shared" si="76"/>
        <v>89</v>
      </c>
      <c r="B260" s="183">
        <f t="shared" si="71"/>
        <v>3641935.0921278084</v>
      </c>
      <c r="C260" s="184">
        <f>-'Retail &amp; Restaurant'!$E$98/12</f>
        <v>22449.880274367653</v>
      </c>
      <c r="D260" s="183">
        <f>'Retail &amp; Restaurant'!$E$96/12*B259</f>
        <v>15204.916897934339</v>
      </c>
      <c r="E260" s="185">
        <f t="shared" si="72"/>
        <v>7244.9633764333139</v>
      </c>
      <c r="F260" s="72">
        <f t="shared" si="77"/>
        <v>89</v>
      </c>
      <c r="G260" s="180">
        <f t="shared" si="73"/>
        <v>420168.84866060322</v>
      </c>
      <c r="H260" s="186">
        <f>-'Retail &amp; Restaurant'!$E$103/12</f>
        <v>2245.2234390441222</v>
      </c>
      <c r="I260" s="149">
        <f>'Retail &amp; Restaurant'!$E$101/12*G259</f>
        <v>1228.4580410043754</v>
      </c>
      <c r="J260" s="187">
        <f t="shared" si="74"/>
        <v>1016.7653980397467</v>
      </c>
      <c r="K260" s="72">
        <f t="shared" si="78"/>
        <v>89</v>
      </c>
      <c r="L260" s="180">
        <f t="shared" si="75"/>
        <v>4062103.9407884115</v>
      </c>
      <c r="M260" s="181">
        <f t="shared" si="75"/>
        <v>24695.103713411776</v>
      </c>
      <c r="N260" s="180">
        <f t="shared" si="75"/>
        <v>16433.374938938716</v>
      </c>
      <c r="O260" s="132">
        <f t="shared" si="70"/>
        <v>8261.7287744730602</v>
      </c>
    </row>
    <row r="261" spans="1:15" x14ac:dyDescent="0.25">
      <c r="A261" s="72">
        <f t="shared" si="76"/>
        <v>90</v>
      </c>
      <c r="B261" s="183">
        <f t="shared" si="71"/>
        <v>3634659.9414039734</v>
      </c>
      <c r="C261" s="184">
        <f>-'Retail &amp; Restaurant'!$E$98/12</f>
        <v>22449.880274367653</v>
      </c>
      <c r="D261" s="183">
        <f>'Retail &amp; Restaurant'!$E$96/12*B260</f>
        <v>15174.729550532535</v>
      </c>
      <c r="E261" s="185">
        <f t="shared" si="72"/>
        <v>7275.1507238351187</v>
      </c>
      <c r="F261" s="72">
        <f t="shared" si="77"/>
        <v>90</v>
      </c>
      <c r="G261" s="180">
        <f t="shared" si="73"/>
        <v>419149.11769681919</v>
      </c>
      <c r="H261" s="186">
        <f>-'Retail &amp; Restaurant'!$E$103/12</f>
        <v>2245.2234390441222</v>
      </c>
      <c r="I261" s="149">
        <f>'Retail &amp; Restaurant'!$E$101/12*G260</f>
        <v>1225.4924752600928</v>
      </c>
      <c r="J261" s="187">
        <f t="shared" si="74"/>
        <v>1019.7309637840294</v>
      </c>
      <c r="K261" s="72">
        <f t="shared" si="78"/>
        <v>90</v>
      </c>
      <c r="L261" s="180">
        <f t="shared" si="75"/>
        <v>4053809.0591007927</v>
      </c>
      <c r="M261" s="181">
        <f t="shared" si="75"/>
        <v>24695.103713411776</v>
      </c>
      <c r="N261" s="180">
        <f t="shared" si="75"/>
        <v>16400.222025792627</v>
      </c>
      <c r="O261" s="132">
        <f t="shared" si="70"/>
        <v>8294.8816876191486</v>
      </c>
    </row>
    <row r="262" spans="1:15" x14ac:dyDescent="0.25">
      <c r="A262" s="72">
        <f t="shared" si="76"/>
        <v>91</v>
      </c>
      <c r="B262" s="183">
        <f t="shared" si="71"/>
        <v>3627354.4775521224</v>
      </c>
      <c r="C262" s="184">
        <f>-'Retail &amp; Restaurant'!$E$98/12</f>
        <v>22449.880274367653</v>
      </c>
      <c r="D262" s="183">
        <f>'Retail &amp; Restaurant'!$E$96/12*B261</f>
        <v>15144.416422516555</v>
      </c>
      <c r="E262" s="185">
        <f t="shared" si="72"/>
        <v>7305.4638518510983</v>
      </c>
      <c r="F262" s="72">
        <f t="shared" si="77"/>
        <v>91</v>
      </c>
      <c r="G262" s="180">
        <f t="shared" si="73"/>
        <v>418126.41251772409</v>
      </c>
      <c r="H262" s="186">
        <f>-'Retail &amp; Restaurant'!$E$103/12</f>
        <v>2245.2234390441222</v>
      </c>
      <c r="I262" s="149">
        <f>'Retail &amp; Restaurant'!$E$101/12*G261</f>
        <v>1222.5182599490561</v>
      </c>
      <c r="J262" s="187">
        <f t="shared" si="74"/>
        <v>1022.7051790950661</v>
      </c>
      <c r="K262" s="72">
        <f t="shared" si="78"/>
        <v>91</v>
      </c>
      <c r="L262" s="180">
        <f t="shared" si="75"/>
        <v>4045480.8900698465</v>
      </c>
      <c r="M262" s="181">
        <f t="shared" si="75"/>
        <v>24695.103713411776</v>
      </c>
      <c r="N262" s="180">
        <f t="shared" si="75"/>
        <v>16366.934682465611</v>
      </c>
      <c r="O262" s="132">
        <f t="shared" si="70"/>
        <v>8328.1690309461646</v>
      </c>
    </row>
    <row r="263" spans="1:15" x14ac:dyDescent="0.25">
      <c r="A263" s="72">
        <f t="shared" si="76"/>
        <v>92</v>
      </c>
      <c r="B263" s="183">
        <f t="shared" si="71"/>
        <v>3620018.5742675555</v>
      </c>
      <c r="C263" s="184">
        <f>-'Retail &amp; Restaurant'!$E$98/12</f>
        <v>22449.880274367653</v>
      </c>
      <c r="D263" s="183">
        <f>'Retail &amp; Restaurant'!$E$96/12*B262</f>
        <v>15113.976989800511</v>
      </c>
      <c r="E263" s="185">
        <f t="shared" si="72"/>
        <v>7335.9032845671427</v>
      </c>
      <c r="F263" s="72">
        <f t="shared" si="77"/>
        <v>92</v>
      </c>
      <c r="G263" s="180">
        <f t="shared" si="73"/>
        <v>417100.72444852331</v>
      </c>
      <c r="H263" s="186">
        <f>-'Retail &amp; Restaurant'!$E$103/12</f>
        <v>2245.2234390441222</v>
      </c>
      <c r="I263" s="149">
        <f>'Retail &amp; Restaurant'!$E$101/12*G262</f>
        <v>1219.5353698433621</v>
      </c>
      <c r="J263" s="187">
        <f t="shared" si="74"/>
        <v>1025.6880692007601</v>
      </c>
      <c r="K263" s="72">
        <f t="shared" si="78"/>
        <v>92</v>
      </c>
      <c r="L263" s="180">
        <f t="shared" si="75"/>
        <v>4037119.298716079</v>
      </c>
      <c r="M263" s="181">
        <f t="shared" si="75"/>
        <v>24695.103713411776</v>
      </c>
      <c r="N263" s="180">
        <f t="shared" si="75"/>
        <v>16333.512359643873</v>
      </c>
      <c r="O263" s="132">
        <f t="shared" si="70"/>
        <v>8361.5913537679025</v>
      </c>
    </row>
    <row r="264" spans="1:15" x14ac:dyDescent="0.25">
      <c r="A264" s="72">
        <f t="shared" si="76"/>
        <v>93</v>
      </c>
      <c r="B264" s="183">
        <f t="shared" si="71"/>
        <v>3612652.1047193026</v>
      </c>
      <c r="C264" s="184">
        <f>-'Retail &amp; Restaurant'!$E$98/12</f>
        <v>22449.880274367653</v>
      </c>
      <c r="D264" s="183">
        <f>'Retail &amp; Restaurant'!$E$96/12*B263</f>
        <v>15083.410726114815</v>
      </c>
      <c r="E264" s="185">
        <f t="shared" si="72"/>
        <v>7366.4695482528386</v>
      </c>
      <c r="F264" s="72">
        <f t="shared" si="77"/>
        <v>93</v>
      </c>
      <c r="G264" s="180">
        <f t="shared" si="73"/>
        <v>416072.04478912073</v>
      </c>
      <c r="H264" s="186">
        <f>-'Retail &amp; Restaurant'!$E$103/12</f>
        <v>2245.2234390441222</v>
      </c>
      <c r="I264" s="149">
        <f>'Retail &amp; Restaurant'!$E$101/12*G263</f>
        <v>1216.5437796415263</v>
      </c>
      <c r="J264" s="187">
        <f t="shared" si="74"/>
        <v>1028.6796594025959</v>
      </c>
      <c r="K264" s="72">
        <f t="shared" si="78"/>
        <v>93</v>
      </c>
      <c r="L264" s="180">
        <f t="shared" si="75"/>
        <v>4028724.1495084232</v>
      </c>
      <c r="M264" s="181">
        <f t="shared" si="75"/>
        <v>24695.103713411776</v>
      </c>
      <c r="N264" s="180">
        <f t="shared" si="75"/>
        <v>16299.954505756341</v>
      </c>
      <c r="O264" s="132">
        <f t="shared" si="70"/>
        <v>8395.149207655435</v>
      </c>
    </row>
    <row r="265" spans="1:15" x14ac:dyDescent="0.25">
      <c r="A265" s="72">
        <f t="shared" si="76"/>
        <v>94</v>
      </c>
      <c r="B265" s="183">
        <f t="shared" si="71"/>
        <v>3605254.9415479321</v>
      </c>
      <c r="C265" s="184">
        <f>-'Retail &amp; Restaurant'!$E$98/12</f>
        <v>22449.880274367653</v>
      </c>
      <c r="D265" s="183">
        <f>'Retail &amp; Restaurant'!$E$96/12*B264</f>
        <v>15052.717102997094</v>
      </c>
      <c r="E265" s="185">
        <f t="shared" si="72"/>
        <v>7397.1631713705592</v>
      </c>
      <c r="F265" s="72">
        <f t="shared" si="77"/>
        <v>94</v>
      </c>
      <c r="G265" s="180">
        <f t="shared" si="73"/>
        <v>415040.36481404485</v>
      </c>
      <c r="H265" s="186">
        <f>-'Retail &amp; Restaurant'!$E$103/12</f>
        <v>2245.2234390441222</v>
      </c>
      <c r="I265" s="149">
        <f>'Retail &amp; Restaurant'!$E$101/12*G264</f>
        <v>1213.543463968269</v>
      </c>
      <c r="J265" s="187">
        <f t="shared" si="74"/>
        <v>1031.6799750758532</v>
      </c>
      <c r="K265" s="72">
        <f t="shared" si="78"/>
        <v>94</v>
      </c>
      <c r="L265" s="180">
        <f t="shared" si="75"/>
        <v>4020295.306361977</v>
      </c>
      <c r="M265" s="181">
        <f t="shared" si="75"/>
        <v>24695.103713411776</v>
      </c>
      <c r="N265" s="180">
        <f t="shared" si="75"/>
        <v>16266.260566965364</v>
      </c>
      <c r="O265" s="132">
        <f t="shared" si="70"/>
        <v>8428.843146446412</v>
      </c>
    </row>
    <row r="266" spans="1:15" x14ac:dyDescent="0.25">
      <c r="A266" s="72">
        <f t="shared" si="76"/>
        <v>95</v>
      </c>
      <c r="B266" s="183">
        <f t="shared" si="71"/>
        <v>3597826.9568633474</v>
      </c>
      <c r="C266" s="184">
        <f>-'Retail &amp; Restaurant'!$E$98/12</f>
        <v>22449.880274367653</v>
      </c>
      <c r="D266" s="183">
        <f>'Retail &amp; Restaurant'!$E$96/12*B265</f>
        <v>15021.895589783051</v>
      </c>
      <c r="E266" s="185">
        <f t="shared" si="72"/>
        <v>7427.9846845846023</v>
      </c>
      <c r="F266" s="72">
        <f t="shared" si="77"/>
        <v>95</v>
      </c>
      <c r="G266" s="180">
        <f t="shared" si="73"/>
        <v>414005.67577237502</v>
      </c>
      <c r="H266" s="186">
        <f>-'Retail &amp; Restaurant'!$E$103/12</f>
        <v>2245.2234390441222</v>
      </c>
      <c r="I266" s="149">
        <f>'Retail &amp; Restaurant'!$E$101/12*G265</f>
        <v>1210.5343973742974</v>
      </c>
      <c r="J266" s="187">
        <f t="shared" si="74"/>
        <v>1034.6890416698247</v>
      </c>
      <c r="K266" s="72">
        <f t="shared" si="78"/>
        <v>95</v>
      </c>
      <c r="L266" s="180">
        <f t="shared" si="75"/>
        <v>4011832.6326357224</v>
      </c>
      <c r="M266" s="181">
        <f t="shared" si="75"/>
        <v>24695.103713411776</v>
      </c>
      <c r="N266" s="180">
        <f t="shared" si="75"/>
        <v>16232.429987157349</v>
      </c>
      <c r="O266" s="132">
        <f t="shared" si="70"/>
        <v>8462.6737262544266</v>
      </c>
    </row>
    <row r="267" spans="1:15" x14ac:dyDescent="0.25">
      <c r="A267" s="72">
        <f t="shared" si="76"/>
        <v>96</v>
      </c>
      <c r="B267" s="183">
        <f t="shared" si="71"/>
        <v>3590368.0222425773</v>
      </c>
      <c r="C267" s="184">
        <f>-'Retail &amp; Restaurant'!$E$98/12</f>
        <v>22449.880274367653</v>
      </c>
      <c r="D267" s="183">
        <f>'Retail &amp; Restaurant'!$E$96/12*B266</f>
        <v>14990.94565359728</v>
      </c>
      <c r="E267" s="185">
        <f t="shared" si="72"/>
        <v>7458.9346207703729</v>
      </c>
      <c r="F267" s="72">
        <f t="shared" si="77"/>
        <v>96</v>
      </c>
      <c r="G267" s="180">
        <f t="shared" si="73"/>
        <v>412967.968887667</v>
      </c>
      <c r="H267" s="186">
        <f>-'Retail &amp; Restaurant'!$E$103/12</f>
        <v>2245.2234390441222</v>
      </c>
      <c r="I267" s="149">
        <f>'Retail &amp; Restaurant'!$E$101/12*G266</f>
        <v>1207.5165543360938</v>
      </c>
      <c r="J267" s="187">
        <f t="shared" si="74"/>
        <v>1037.7068847080284</v>
      </c>
      <c r="K267" s="72">
        <f t="shared" si="78"/>
        <v>96</v>
      </c>
      <c r="L267" s="180">
        <f t="shared" si="75"/>
        <v>4003335.9911302445</v>
      </c>
      <c r="M267" s="181">
        <f t="shared" si="75"/>
        <v>24695.103713411776</v>
      </c>
      <c r="N267" s="180">
        <f t="shared" si="75"/>
        <v>16198.462207933375</v>
      </c>
      <c r="O267" s="132">
        <f t="shared" si="70"/>
        <v>8496.6415054784011</v>
      </c>
    </row>
    <row r="268" spans="1:15" x14ac:dyDescent="0.25">
      <c r="A268" s="72">
        <f t="shared" si="76"/>
        <v>97</v>
      </c>
      <c r="B268" s="183">
        <f t="shared" si="71"/>
        <v>3582878.0087275538</v>
      </c>
      <c r="C268" s="184">
        <f>-'Retail &amp; Restaurant'!$E$98/12</f>
        <v>22449.880274367653</v>
      </c>
      <c r="D268" s="183">
        <f>'Retail &amp; Restaurant'!$E$96/12*B267</f>
        <v>14959.866759344071</v>
      </c>
      <c r="E268" s="185">
        <f t="shared" si="72"/>
        <v>7490.0135150235819</v>
      </c>
      <c r="F268" s="72">
        <f t="shared" si="77"/>
        <v>97</v>
      </c>
      <c r="G268" s="180">
        <f t="shared" si="73"/>
        <v>411927.23535787856</v>
      </c>
      <c r="H268" s="186">
        <f>-'Retail &amp; Restaurant'!$E$103/12</f>
        <v>2245.2234390441222</v>
      </c>
      <c r="I268" s="149">
        <f>'Retail &amp; Restaurant'!$E$101/12*G267</f>
        <v>1204.4899092556955</v>
      </c>
      <c r="J268" s="187">
        <f t="shared" si="74"/>
        <v>1040.7335297884267</v>
      </c>
      <c r="K268" s="72">
        <f t="shared" si="78"/>
        <v>97</v>
      </c>
      <c r="L268" s="180">
        <f t="shared" si="75"/>
        <v>3994805.2440854325</v>
      </c>
      <c r="M268" s="181">
        <f t="shared" si="75"/>
        <v>24695.103713411776</v>
      </c>
      <c r="N268" s="180">
        <f t="shared" si="75"/>
        <v>16164.356668599767</v>
      </c>
      <c r="O268" s="132">
        <f t="shared" si="70"/>
        <v>8530.7470448120093</v>
      </c>
    </row>
    <row r="269" spans="1:15" x14ac:dyDescent="0.25">
      <c r="A269" s="72">
        <f t="shared" si="76"/>
        <v>98</v>
      </c>
      <c r="B269" s="183">
        <f t="shared" si="71"/>
        <v>3575356.7868228843</v>
      </c>
      <c r="C269" s="184">
        <f>-'Retail &amp; Restaurant'!$E$98/12</f>
        <v>22449.880274367653</v>
      </c>
      <c r="D269" s="183">
        <f>'Retail &amp; Restaurant'!$E$96/12*B268</f>
        <v>14928.65836969814</v>
      </c>
      <c r="E269" s="185">
        <f t="shared" si="72"/>
        <v>7521.2219046695136</v>
      </c>
      <c r="F269" s="72">
        <f t="shared" si="77"/>
        <v>98</v>
      </c>
      <c r="G269" s="180">
        <f t="shared" si="73"/>
        <v>410883.46635529492</v>
      </c>
      <c r="H269" s="186">
        <f>-'Retail &amp; Restaurant'!$E$103/12</f>
        <v>2245.2234390441222</v>
      </c>
      <c r="I269" s="149">
        <f>'Retail &amp; Restaurant'!$E$101/12*G268</f>
        <v>1201.4544364604792</v>
      </c>
      <c r="J269" s="187">
        <f t="shared" si="74"/>
        <v>1043.769002583643</v>
      </c>
      <c r="K269" s="72">
        <f t="shared" si="78"/>
        <v>98</v>
      </c>
      <c r="L269" s="180">
        <f t="shared" si="75"/>
        <v>3986240.2531781793</v>
      </c>
      <c r="M269" s="181">
        <f t="shared" si="75"/>
        <v>24695.103713411776</v>
      </c>
      <c r="N269" s="180">
        <f t="shared" si="75"/>
        <v>16130.112806158619</v>
      </c>
      <c r="O269" s="132">
        <f t="shared" si="70"/>
        <v>8564.9909072531573</v>
      </c>
    </row>
    <row r="270" spans="1:15" x14ac:dyDescent="0.25">
      <c r="A270" s="72">
        <f t="shared" si="76"/>
        <v>99</v>
      </c>
      <c r="B270" s="183">
        <f t="shared" si="71"/>
        <v>3567804.2264936119</v>
      </c>
      <c r="C270" s="184">
        <f>-'Retail &amp; Restaurant'!$E$98/12</f>
        <v>22449.880274367653</v>
      </c>
      <c r="D270" s="183">
        <f>'Retail &amp; Restaurant'!$E$96/12*B269</f>
        <v>14897.319945095351</v>
      </c>
      <c r="E270" s="185">
        <f t="shared" si="72"/>
        <v>7552.5603292723026</v>
      </c>
      <c r="F270" s="72">
        <f t="shared" si="77"/>
        <v>99</v>
      </c>
      <c r="G270" s="180">
        <f t="shared" si="73"/>
        <v>409836.65302645374</v>
      </c>
      <c r="H270" s="186">
        <f>-'Retail &amp; Restaurant'!$E$103/12</f>
        <v>2245.2234390441222</v>
      </c>
      <c r="I270" s="149">
        <f>'Retail &amp; Restaurant'!$E$101/12*G269</f>
        <v>1198.4101102029435</v>
      </c>
      <c r="J270" s="187">
        <f t="shared" si="74"/>
        <v>1046.8133288411786</v>
      </c>
      <c r="K270" s="72">
        <f t="shared" si="78"/>
        <v>99</v>
      </c>
      <c r="L270" s="180">
        <f t="shared" si="75"/>
        <v>3977640.8795200656</v>
      </c>
      <c r="M270" s="181">
        <f t="shared" si="75"/>
        <v>24695.103713411776</v>
      </c>
      <c r="N270" s="180">
        <f t="shared" si="75"/>
        <v>16095.730055298294</v>
      </c>
      <c r="O270" s="132">
        <f t="shared" si="70"/>
        <v>8599.3736581134817</v>
      </c>
    </row>
    <row r="271" spans="1:15" x14ac:dyDescent="0.25">
      <c r="A271" s="72">
        <f t="shared" si="76"/>
        <v>100</v>
      </c>
      <c r="B271" s="183">
        <f t="shared" si="71"/>
        <v>3560220.1971629676</v>
      </c>
      <c r="C271" s="184">
        <f>-'Retail &amp; Restaurant'!$E$98/12</f>
        <v>22449.880274367653</v>
      </c>
      <c r="D271" s="183">
        <f>'Retail &amp; Restaurant'!$E$96/12*B270</f>
        <v>14865.850943723382</v>
      </c>
      <c r="E271" s="185">
        <f t="shared" si="72"/>
        <v>7584.0293306442709</v>
      </c>
      <c r="F271" s="72">
        <f t="shared" si="77"/>
        <v>100</v>
      </c>
      <c r="G271" s="180">
        <f t="shared" si="73"/>
        <v>408786.78649207012</v>
      </c>
      <c r="H271" s="186">
        <f>-'Retail &amp; Restaurant'!$E$103/12</f>
        <v>2245.2234390441222</v>
      </c>
      <c r="I271" s="149">
        <f>'Retail &amp; Restaurant'!$E$101/12*G270</f>
        <v>1195.35690466049</v>
      </c>
      <c r="J271" s="187">
        <f t="shared" si="74"/>
        <v>1049.8665343836321</v>
      </c>
      <c r="K271" s="72">
        <f t="shared" si="78"/>
        <v>100</v>
      </c>
      <c r="L271" s="180">
        <f t="shared" si="75"/>
        <v>3969006.9836550378</v>
      </c>
      <c r="M271" s="181">
        <f t="shared" si="75"/>
        <v>24695.103713411776</v>
      </c>
      <c r="N271" s="180">
        <f t="shared" si="75"/>
        <v>16061.207848383872</v>
      </c>
      <c r="O271" s="132">
        <f t="shared" si="70"/>
        <v>8633.8958650279037</v>
      </c>
    </row>
    <row r="272" spans="1:15" x14ac:dyDescent="0.25">
      <c r="A272" s="72">
        <f t="shared" si="76"/>
        <v>101</v>
      </c>
      <c r="B272" s="183">
        <f t="shared" si="71"/>
        <v>3552604.5677101123</v>
      </c>
      <c r="C272" s="184">
        <f>-'Retail &amp; Restaurant'!$E$98/12</f>
        <v>22449.880274367653</v>
      </c>
      <c r="D272" s="183">
        <f>'Retail &amp; Restaurant'!$E$96/12*B271</f>
        <v>14834.250821512365</v>
      </c>
      <c r="E272" s="185">
        <f t="shared" si="72"/>
        <v>7615.629452855288</v>
      </c>
      <c r="F272" s="72">
        <f t="shared" si="77"/>
        <v>101</v>
      </c>
      <c r="G272" s="180">
        <f t="shared" si="73"/>
        <v>407733.85784696118</v>
      </c>
      <c r="H272" s="186">
        <f>-'Retail &amp; Restaurant'!$E$103/12</f>
        <v>2245.2234390441222</v>
      </c>
      <c r="I272" s="149">
        <f>'Retail &amp; Restaurant'!$E$101/12*G271</f>
        <v>1192.2947939352046</v>
      </c>
      <c r="J272" s="187">
        <f t="shared" si="74"/>
        <v>1052.9286451089176</v>
      </c>
      <c r="K272" s="72">
        <f t="shared" si="78"/>
        <v>101</v>
      </c>
      <c r="L272" s="180">
        <f t="shared" si="75"/>
        <v>3960338.4255570737</v>
      </c>
      <c r="M272" s="181">
        <f t="shared" si="75"/>
        <v>24695.103713411776</v>
      </c>
      <c r="N272" s="180">
        <f t="shared" si="75"/>
        <v>16026.545615447571</v>
      </c>
      <c r="O272" s="132">
        <f t="shared" si="70"/>
        <v>8668.5580979642054</v>
      </c>
    </row>
    <row r="273" spans="1:15" x14ac:dyDescent="0.25">
      <c r="A273" s="72">
        <f t="shared" si="76"/>
        <v>102</v>
      </c>
      <c r="B273" s="183">
        <f t="shared" si="71"/>
        <v>3544957.2064678702</v>
      </c>
      <c r="C273" s="184">
        <f>-'Retail &amp; Restaurant'!$E$98/12</f>
        <v>22449.880274367653</v>
      </c>
      <c r="D273" s="183">
        <f>'Retail &amp; Restaurant'!$E$96/12*B272</f>
        <v>14802.519032125469</v>
      </c>
      <c r="E273" s="185">
        <f t="shared" si="72"/>
        <v>7647.3612422421847</v>
      </c>
      <c r="F273" s="72">
        <f t="shared" si="77"/>
        <v>102</v>
      </c>
      <c r="G273" s="180">
        <f t="shared" si="73"/>
        <v>406677.85815997072</v>
      </c>
      <c r="H273" s="186">
        <f>-'Retail &amp; Restaurant'!$E$103/12</f>
        <v>2245.2234390441222</v>
      </c>
      <c r="I273" s="149">
        <f>'Retail &amp; Restaurant'!$E$101/12*G272</f>
        <v>1189.2237520536369</v>
      </c>
      <c r="J273" s="187">
        <f t="shared" si="74"/>
        <v>1055.9996869904853</v>
      </c>
      <c r="K273" s="72">
        <f t="shared" si="78"/>
        <v>102</v>
      </c>
      <c r="L273" s="180">
        <f t="shared" si="75"/>
        <v>3951635.0646278411</v>
      </c>
      <c r="M273" s="181">
        <f t="shared" si="75"/>
        <v>24695.103713411776</v>
      </c>
      <c r="N273" s="180">
        <f t="shared" si="75"/>
        <v>15991.742784179105</v>
      </c>
      <c r="O273" s="132">
        <f t="shared" si="70"/>
        <v>8703.3609292326692</v>
      </c>
    </row>
    <row r="274" spans="1:15" x14ac:dyDescent="0.25">
      <c r="A274" s="72">
        <f t="shared" si="76"/>
        <v>103</v>
      </c>
      <c r="B274" s="183">
        <f t="shared" si="71"/>
        <v>3537277.9812204521</v>
      </c>
      <c r="C274" s="184">
        <f>-'Retail &amp; Restaurant'!$E$98/12</f>
        <v>22449.880274367653</v>
      </c>
      <c r="D274" s="183">
        <f>'Retail &amp; Restaurant'!$E$96/12*B273</f>
        <v>14770.655026949458</v>
      </c>
      <c r="E274" s="185">
        <f t="shared" si="72"/>
        <v>7679.2252474181951</v>
      </c>
      <c r="F274" s="72">
        <f t="shared" si="77"/>
        <v>103</v>
      </c>
      <c r="G274" s="180">
        <f t="shared" si="73"/>
        <v>405618.77847389318</v>
      </c>
      <c r="H274" s="186">
        <f>-'Retail &amp; Restaurant'!$E$103/12</f>
        <v>2245.2234390441222</v>
      </c>
      <c r="I274" s="149">
        <f>'Retail &amp; Restaurant'!$E$101/12*G273</f>
        <v>1186.1437529665814</v>
      </c>
      <c r="J274" s="187">
        <f t="shared" si="74"/>
        <v>1059.0796860775408</v>
      </c>
      <c r="K274" s="72">
        <f t="shared" si="78"/>
        <v>103</v>
      </c>
      <c r="L274" s="180">
        <f t="shared" si="75"/>
        <v>3942896.7596943453</v>
      </c>
      <c r="M274" s="181">
        <f t="shared" si="75"/>
        <v>24695.103713411776</v>
      </c>
      <c r="N274" s="180">
        <f t="shared" si="75"/>
        <v>15956.79877991604</v>
      </c>
      <c r="O274" s="132">
        <f t="shared" si="70"/>
        <v>8738.3049334957359</v>
      </c>
    </row>
    <row r="275" spans="1:15" x14ac:dyDescent="0.25">
      <c r="A275" s="72">
        <f t="shared" si="76"/>
        <v>104</v>
      </c>
      <c r="B275" s="183">
        <f t="shared" si="71"/>
        <v>3529566.7592011695</v>
      </c>
      <c r="C275" s="184">
        <f>-'Retail &amp; Restaurant'!$E$98/12</f>
        <v>22449.880274367653</v>
      </c>
      <c r="D275" s="183">
        <f>'Retail &amp; Restaurant'!$E$96/12*B274</f>
        <v>14738.658255085216</v>
      </c>
      <c r="E275" s="185">
        <f t="shared" si="72"/>
        <v>7711.222019282437</v>
      </c>
      <c r="F275" s="72">
        <f t="shared" si="77"/>
        <v>104</v>
      </c>
      <c r="G275" s="180">
        <f t="shared" si="73"/>
        <v>404556.60980539792</v>
      </c>
      <c r="H275" s="186">
        <f>-'Retail &amp; Restaurant'!$E$103/12</f>
        <v>2245.2234390441222</v>
      </c>
      <c r="I275" s="149">
        <f>'Retail &amp; Restaurant'!$E$101/12*G274</f>
        <v>1183.0547705488552</v>
      </c>
      <c r="J275" s="187">
        <f t="shared" si="74"/>
        <v>1062.168668495267</v>
      </c>
      <c r="K275" s="72">
        <f t="shared" si="78"/>
        <v>104</v>
      </c>
      <c r="L275" s="180">
        <f t="shared" si="75"/>
        <v>3934123.3690065676</v>
      </c>
      <c r="M275" s="181">
        <f t="shared" si="75"/>
        <v>24695.103713411776</v>
      </c>
      <c r="N275" s="180">
        <f t="shared" si="75"/>
        <v>15921.713025634072</v>
      </c>
      <c r="O275" s="132">
        <f t="shared" si="70"/>
        <v>8773.3906877777044</v>
      </c>
    </row>
    <row r="276" spans="1:15" x14ac:dyDescent="0.25">
      <c r="A276" s="72">
        <f t="shared" si="76"/>
        <v>105</v>
      </c>
      <c r="B276" s="183">
        <f t="shared" si="71"/>
        <v>3521823.40709014</v>
      </c>
      <c r="C276" s="184">
        <f>-'Retail &amp; Restaurant'!$E$98/12</f>
        <v>22449.880274367653</v>
      </c>
      <c r="D276" s="183">
        <f>'Retail &amp; Restaurant'!$E$96/12*B275</f>
        <v>14706.528163338206</v>
      </c>
      <c r="E276" s="185">
        <f t="shared" si="72"/>
        <v>7743.3521110294478</v>
      </c>
      <c r="F276" s="72">
        <f t="shared" si="77"/>
        <v>105</v>
      </c>
      <c r="G276" s="180">
        <f t="shared" si="73"/>
        <v>403491.3431449529</v>
      </c>
      <c r="H276" s="186">
        <f>-'Retail &amp; Restaurant'!$E$103/12</f>
        <v>2245.2234390441222</v>
      </c>
      <c r="I276" s="149">
        <f>'Retail &amp; Restaurant'!$E$101/12*G275</f>
        <v>1179.9567785990773</v>
      </c>
      <c r="J276" s="187">
        <f t="shared" si="74"/>
        <v>1065.2666604450449</v>
      </c>
      <c r="K276" s="72">
        <f t="shared" si="78"/>
        <v>105</v>
      </c>
      <c r="L276" s="180">
        <f t="shared" si="75"/>
        <v>3925314.7502350928</v>
      </c>
      <c r="M276" s="181">
        <f t="shared" si="75"/>
        <v>24695.103713411776</v>
      </c>
      <c r="N276" s="180">
        <f t="shared" si="75"/>
        <v>15886.484941937282</v>
      </c>
      <c r="O276" s="132">
        <f t="shared" si="70"/>
        <v>8808.618771474492</v>
      </c>
    </row>
    <row r="277" spans="1:15" x14ac:dyDescent="0.25">
      <c r="A277" s="72">
        <f t="shared" si="76"/>
        <v>106</v>
      </c>
      <c r="B277" s="183">
        <f t="shared" si="71"/>
        <v>3514047.7910119812</v>
      </c>
      <c r="C277" s="184">
        <f>-'Retail &amp; Restaurant'!$E$98/12</f>
        <v>22449.880274367653</v>
      </c>
      <c r="D277" s="183">
        <f>'Retail &amp; Restaurant'!$E$96/12*B276</f>
        <v>14674.264196208916</v>
      </c>
      <c r="E277" s="185">
        <f t="shared" si="72"/>
        <v>7775.6160781587369</v>
      </c>
      <c r="F277" s="72">
        <f t="shared" si="77"/>
        <v>106</v>
      </c>
      <c r="G277" s="180">
        <f t="shared" si="73"/>
        <v>402422.96945674822</v>
      </c>
      <c r="H277" s="186">
        <f>-'Retail &amp; Restaurant'!$E$103/12</f>
        <v>2245.2234390441222</v>
      </c>
      <c r="I277" s="149">
        <f>'Retail &amp; Restaurant'!$E$101/12*G276</f>
        <v>1176.849750839446</v>
      </c>
      <c r="J277" s="187">
        <f t="shared" si="74"/>
        <v>1068.3736882046762</v>
      </c>
      <c r="K277" s="72">
        <f t="shared" si="78"/>
        <v>106</v>
      </c>
      <c r="L277" s="180">
        <f t="shared" si="75"/>
        <v>3916470.7604687293</v>
      </c>
      <c r="M277" s="181">
        <f t="shared" si="75"/>
        <v>24695.103713411776</v>
      </c>
      <c r="N277" s="180">
        <f t="shared" si="75"/>
        <v>15851.113947048363</v>
      </c>
      <c r="O277" s="132">
        <f t="shared" si="70"/>
        <v>8843.9897663634129</v>
      </c>
    </row>
    <row r="278" spans="1:15" x14ac:dyDescent="0.25">
      <c r="A278" s="72">
        <f t="shared" si="76"/>
        <v>107</v>
      </c>
      <c r="B278" s="183">
        <f t="shared" si="71"/>
        <v>3506239.776533497</v>
      </c>
      <c r="C278" s="184">
        <f>-'Retail &amp; Restaurant'!$E$98/12</f>
        <v>22449.880274367653</v>
      </c>
      <c r="D278" s="183">
        <f>'Retail &amp; Restaurant'!$E$96/12*B277</f>
        <v>14641.865795883255</v>
      </c>
      <c r="E278" s="185">
        <f t="shared" si="72"/>
        <v>7808.0144784843978</v>
      </c>
      <c r="F278" s="72">
        <f t="shared" si="77"/>
        <v>107</v>
      </c>
      <c r="G278" s="180">
        <f t="shared" si="73"/>
        <v>401351.47967861959</v>
      </c>
      <c r="H278" s="186">
        <f>-'Retail &amp; Restaurant'!$E$103/12</f>
        <v>2245.2234390441222</v>
      </c>
      <c r="I278" s="149">
        <f>'Retail &amp; Restaurant'!$E$101/12*G277</f>
        <v>1173.7336609155157</v>
      </c>
      <c r="J278" s="187">
        <f t="shared" si="74"/>
        <v>1071.4897781286065</v>
      </c>
      <c r="K278" s="72">
        <f t="shared" si="78"/>
        <v>107</v>
      </c>
      <c r="L278" s="180">
        <f t="shared" si="75"/>
        <v>3907591.2562121167</v>
      </c>
      <c r="M278" s="181">
        <f t="shared" si="75"/>
        <v>24695.103713411776</v>
      </c>
      <c r="N278" s="180">
        <f t="shared" si="75"/>
        <v>15815.599456798771</v>
      </c>
      <c r="O278" s="132">
        <f t="shared" si="70"/>
        <v>8879.5042566130051</v>
      </c>
    </row>
    <row r="279" spans="1:15" x14ac:dyDescent="0.25">
      <c r="A279" s="72">
        <f t="shared" si="76"/>
        <v>108</v>
      </c>
      <c r="B279" s="183">
        <f t="shared" si="71"/>
        <v>3498399.2286613523</v>
      </c>
      <c r="C279" s="184">
        <f>-'Retail &amp; Restaurant'!$E$98/12</f>
        <v>22449.880274367653</v>
      </c>
      <c r="D279" s="183">
        <f>'Retail &amp; Restaurant'!$E$96/12*B278</f>
        <v>14609.332402222904</v>
      </c>
      <c r="E279" s="185">
        <f t="shared" si="72"/>
        <v>7840.5478721447489</v>
      </c>
      <c r="F279" s="72">
        <f t="shared" si="77"/>
        <v>108</v>
      </c>
      <c r="G279" s="180">
        <f t="shared" si="73"/>
        <v>400276.86472197145</v>
      </c>
      <c r="H279" s="186">
        <f>-'Retail &amp; Restaurant'!$E$103/12</f>
        <v>2245.2234390441222</v>
      </c>
      <c r="I279" s="149">
        <f>'Retail &amp; Restaurant'!$E$101/12*G278</f>
        <v>1170.6084823959739</v>
      </c>
      <c r="J279" s="187">
        <f t="shared" si="74"/>
        <v>1074.6149566481483</v>
      </c>
      <c r="K279" s="72">
        <f t="shared" si="78"/>
        <v>108</v>
      </c>
      <c r="L279" s="180">
        <f t="shared" si="75"/>
        <v>3898676.0933833239</v>
      </c>
      <c r="M279" s="181">
        <f t="shared" si="75"/>
        <v>24695.103713411776</v>
      </c>
      <c r="N279" s="180">
        <f t="shared" si="75"/>
        <v>15779.940884618878</v>
      </c>
      <c r="O279" s="132">
        <f t="shared" si="70"/>
        <v>8915.1628287928979</v>
      </c>
    </row>
    <row r="280" spans="1:15" x14ac:dyDescent="0.25">
      <c r="A280" s="72">
        <f t="shared" si="76"/>
        <v>109</v>
      </c>
      <c r="B280" s="183">
        <f t="shared" si="71"/>
        <v>3490526.0118397404</v>
      </c>
      <c r="C280" s="184">
        <f>-'Retail &amp; Restaurant'!$E$98/12</f>
        <v>22449.880274367653</v>
      </c>
      <c r="D280" s="183">
        <f>'Retail &amp; Restaurant'!$E$96/12*B279</f>
        <v>14576.663452755634</v>
      </c>
      <c r="E280" s="185">
        <f t="shared" si="72"/>
        <v>7873.216821612019</v>
      </c>
      <c r="F280" s="72">
        <f t="shared" si="77"/>
        <v>109</v>
      </c>
      <c r="G280" s="180">
        <f t="shared" si="73"/>
        <v>399199.11547169974</v>
      </c>
      <c r="H280" s="186">
        <f>-'Retail &amp; Restaurant'!$E$103/12</f>
        <v>2245.2234390441222</v>
      </c>
      <c r="I280" s="149">
        <f>'Retail &amp; Restaurant'!$E$101/12*G279</f>
        <v>1167.4741887724167</v>
      </c>
      <c r="J280" s="187">
        <f t="shared" si="74"/>
        <v>1077.7492502717055</v>
      </c>
      <c r="K280" s="72">
        <f t="shared" si="78"/>
        <v>109</v>
      </c>
      <c r="L280" s="180">
        <f t="shared" si="75"/>
        <v>3889725.1273114402</v>
      </c>
      <c r="M280" s="181">
        <f t="shared" si="75"/>
        <v>24695.103713411776</v>
      </c>
      <c r="N280" s="180">
        <f t="shared" si="75"/>
        <v>15744.13764152805</v>
      </c>
      <c r="O280" s="132">
        <f t="shared" si="70"/>
        <v>8950.966071883724</v>
      </c>
    </row>
    <row r="281" spans="1:15" x14ac:dyDescent="0.25">
      <c r="A281" s="72">
        <f t="shared" si="76"/>
        <v>110</v>
      </c>
      <c r="B281" s="183">
        <f t="shared" si="71"/>
        <v>3482619.9899480385</v>
      </c>
      <c r="C281" s="184">
        <f>-'Retail &amp; Restaurant'!$E$98/12</f>
        <v>22449.880274367653</v>
      </c>
      <c r="D281" s="183">
        <f>'Retail &amp; Restaurant'!$E$96/12*B280</f>
        <v>14543.858382665585</v>
      </c>
      <c r="E281" s="185">
        <f t="shared" si="72"/>
        <v>7906.0218917020684</v>
      </c>
      <c r="F281" s="72">
        <f t="shared" si="77"/>
        <v>110</v>
      </c>
      <c r="G281" s="180">
        <f t="shared" si="73"/>
        <v>398118.22278611473</v>
      </c>
      <c r="H281" s="186">
        <f>-'Retail &amp; Restaurant'!$E$103/12</f>
        <v>2245.2234390441222</v>
      </c>
      <c r="I281" s="149">
        <f>'Retail &amp; Restaurant'!$E$101/12*G280</f>
        <v>1164.3307534591243</v>
      </c>
      <c r="J281" s="187">
        <f t="shared" si="74"/>
        <v>1080.8926855849979</v>
      </c>
      <c r="K281" s="72">
        <f t="shared" si="78"/>
        <v>110</v>
      </c>
      <c r="L281" s="180">
        <f t="shared" si="75"/>
        <v>3880738.212734153</v>
      </c>
      <c r="M281" s="181">
        <f t="shared" si="75"/>
        <v>24695.103713411776</v>
      </c>
      <c r="N281" s="180">
        <f t="shared" si="75"/>
        <v>15708.189136124709</v>
      </c>
      <c r="O281" s="132">
        <f t="shared" si="70"/>
        <v>8986.914577287067</v>
      </c>
    </row>
    <row r="282" spans="1:15" x14ac:dyDescent="0.25">
      <c r="A282" s="72">
        <f t="shared" si="76"/>
        <v>111</v>
      </c>
      <c r="B282" s="183">
        <f t="shared" si="71"/>
        <v>3474681.0262984545</v>
      </c>
      <c r="C282" s="184">
        <f>-'Retail &amp; Restaurant'!$E$98/12</f>
        <v>22449.880274367653</v>
      </c>
      <c r="D282" s="183">
        <f>'Retail &amp; Restaurant'!$E$96/12*B281</f>
        <v>14510.916624783493</v>
      </c>
      <c r="E282" s="185">
        <f t="shared" si="72"/>
        <v>7938.9636495841605</v>
      </c>
      <c r="F282" s="72">
        <f t="shared" si="77"/>
        <v>111</v>
      </c>
      <c r="G282" s="180">
        <f t="shared" si="73"/>
        <v>397034.17749686341</v>
      </c>
      <c r="H282" s="186">
        <f>-'Retail &amp; Restaurant'!$E$103/12</f>
        <v>2245.2234390441222</v>
      </c>
      <c r="I282" s="149">
        <f>'Retail &amp; Restaurant'!$E$101/12*G281</f>
        <v>1161.1781497928346</v>
      </c>
      <c r="J282" s="187">
        <f t="shared" si="74"/>
        <v>1084.0452892512876</v>
      </c>
      <c r="K282" s="72">
        <f t="shared" si="78"/>
        <v>111</v>
      </c>
      <c r="L282" s="180">
        <f t="shared" si="75"/>
        <v>3871715.203795318</v>
      </c>
      <c r="M282" s="181">
        <f t="shared" si="75"/>
        <v>24695.103713411776</v>
      </c>
      <c r="N282" s="180">
        <f t="shared" si="75"/>
        <v>15672.094774576328</v>
      </c>
      <c r="O282" s="132">
        <f t="shared" si="70"/>
        <v>9023.0089388354481</v>
      </c>
    </row>
    <row r="283" spans="1:15" x14ac:dyDescent="0.25">
      <c r="A283" s="72">
        <f t="shared" si="76"/>
        <v>112</v>
      </c>
      <c r="B283" s="183">
        <f t="shared" si="71"/>
        <v>3466708.9836336635</v>
      </c>
      <c r="C283" s="184">
        <f>-'Retail &amp; Restaurant'!$E$98/12</f>
        <v>22449.880274367653</v>
      </c>
      <c r="D283" s="183">
        <f>'Retail &amp; Restaurant'!$E$96/12*B282</f>
        <v>14477.837609576893</v>
      </c>
      <c r="E283" s="185">
        <f t="shared" si="72"/>
        <v>7972.0426647907607</v>
      </c>
      <c r="F283" s="72">
        <f t="shared" si="77"/>
        <v>112</v>
      </c>
      <c r="G283" s="180">
        <f t="shared" si="73"/>
        <v>395946.9704088518</v>
      </c>
      <c r="H283" s="186">
        <f>-'Retail &amp; Restaurant'!$E$103/12</f>
        <v>2245.2234390441222</v>
      </c>
      <c r="I283" s="149">
        <f>'Retail &amp; Restaurant'!$E$101/12*G282</f>
        <v>1158.0163510325183</v>
      </c>
      <c r="J283" s="187">
        <f t="shared" si="74"/>
        <v>1087.2070880116039</v>
      </c>
      <c r="K283" s="72">
        <f t="shared" si="78"/>
        <v>112</v>
      </c>
      <c r="L283" s="180">
        <f t="shared" si="75"/>
        <v>3862655.9540425153</v>
      </c>
      <c r="M283" s="181">
        <f t="shared" si="75"/>
        <v>24695.103713411776</v>
      </c>
      <c r="N283" s="180">
        <f t="shared" si="75"/>
        <v>15635.853960609411</v>
      </c>
      <c r="O283" s="132">
        <f t="shared" si="70"/>
        <v>9059.249752802365</v>
      </c>
    </row>
    <row r="284" spans="1:15" x14ac:dyDescent="0.25">
      <c r="A284" s="72">
        <f t="shared" si="76"/>
        <v>113</v>
      </c>
      <c r="B284" s="183">
        <f t="shared" si="71"/>
        <v>3458703.7241244363</v>
      </c>
      <c r="C284" s="184">
        <f>-'Retail &amp; Restaurant'!$E$98/12</f>
        <v>22449.880274367653</v>
      </c>
      <c r="D284" s="183">
        <f>'Retail &amp; Restaurant'!$E$96/12*B283</f>
        <v>14444.620765140264</v>
      </c>
      <c r="E284" s="185">
        <f t="shared" si="72"/>
        <v>8005.2595092273896</v>
      </c>
      <c r="F284" s="72">
        <f t="shared" si="77"/>
        <v>113</v>
      </c>
      <c r="G284" s="180">
        <f t="shared" si="73"/>
        <v>394856.59230016684</v>
      </c>
      <c r="H284" s="186">
        <f>-'Retail &amp; Restaurant'!$E$103/12</f>
        <v>2245.2234390441222</v>
      </c>
      <c r="I284" s="149">
        <f>'Retail &amp; Restaurant'!$E$101/12*G283</f>
        <v>1154.8453303591511</v>
      </c>
      <c r="J284" s="187">
        <f t="shared" si="74"/>
        <v>1090.378108684971</v>
      </c>
      <c r="K284" s="72">
        <f t="shared" si="78"/>
        <v>113</v>
      </c>
      <c r="L284" s="180">
        <f t="shared" si="75"/>
        <v>3853560.3164246031</v>
      </c>
      <c r="M284" s="181">
        <f t="shared" si="75"/>
        <v>24695.103713411776</v>
      </c>
      <c r="N284" s="180">
        <f t="shared" si="75"/>
        <v>15599.466095499414</v>
      </c>
      <c r="O284" s="132">
        <f t="shared" si="70"/>
        <v>9095.6376179123599</v>
      </c>
    </row>
    <row r="285" spans="1:15" x14ac:dyDescent="0.25">
      <c r="A285" s="72">
        <f t="shared" si="76"/>
        <v>114</v>
      </c>
      <c r="B285" s="183">
        <f t="shared" si="71"/>
        <v>3450665.1093672537</v>
      </c>
      <c r="C285" s="184">
        <f>-'Retail &amp; Restaurant'!$E$98/12</f>
        <v>22449.880274367653</v>
      </c>
      <c r="D285" s="183">
        <f>'Retail &amp; Restaurant'!$E$96/12*B284</f>
        <v>14411.265517185151</v>
      </c>
      <c r="E285" s="185">
        <f t="shared" si="72"/>
        <v>8038.6147571825022</v>
      </c>
      <c r="F285" s="72">
        <f t="shared" si="77"/>
        <v>114</v>
      </c>
      <c r="G285" s="180">
        <f t="shared" si="73"/>
        <v>393763.03392199823</v>
      </c>
      <c r="H285" s="186">
        <f>-'Retail &amp; Restaurant'!$E$103/12</f>
        <v>2245.2234390441222</v>
      </c>
      <c r="I285" s="149">
        <f>'Retail &amp; Restaurant'!$E$101/12*G284</f>
        <v>1151.6650608754867</v>
      </c>
      <c r="J285" s="187">
        <f t="shared" si="74"/>
        <v>1093.5583781686355</v>
      </c>
      <c r="K285" s="72">
        <f t="shared" si="78"/>
        <v>114</v>
      </c>
      <c r="L285" s="180">
        <f t="shared" si="75"/>
        <v>3844428.1432892522</v>
      </c>
      <c r="M285" s="181">
        <f t="shared" si="75"/>
        <v>24695.103713411776</v>
      </c>
      <c r="N285" s="180">
        <f t="shared" si="75"/>
        <v>15562.930578060637</v>
      </c>
      <c r="O285" s="132">
        <f t="shared" si="70"/>
        <v>9132.1731353511386</v>
      </c>
    </row>
    <row r="286" spans="1:15" x14ac:dyDescent="0.25">
      <c r="A286" s="72">
        <f t="shared" si="76"/>
        <v>115</v>
      </c>
      <c r="B286" s="183">
        <f t="shared" si="71"/>
        <v>3442593.0003819163</v>
      </c>
      <c r="C286" s="184">
        <f>-'Retail &amp; Restaurant'!$E$98/12</f>
        <v>22449.880274367653</v>
      </c>
      <c r="D286" s="183">
        <f>'Retail &amp; Restaurant'!$E$96/12*B285</f>
        <v>14377.771289030223</v>
      </c>
      <c r="E286" s="185">
        <f t="shared" si="72"/>
        <v>8072.1089853374306</v>
      </c>
      <c r="F286" s="72">
        <f t="shared" si="77"/>
        <v>115</v>
      </c>
      <c r="G286" s="180">
        <f t="shared" si="73"/>
        <v>392666.28599855991</v>
      </c>
      <c r="H286" s="186">
        <f>-'Retail &amp; Restaurant'!$E$103/12</f>
        <v>2245.2234390441222</v>
      </c>
      <c r="I286" s="149">
        <f>'Retail &amp; Restaurant'!$E$101/12*G285</f>
        <v>1148.4755156058282</v>
      </c>
      <c r="J286" s="187">
        <f t="shared" si="74"/>
        <v>1096.747923438294</v>
      </c>
      <c r="K286" s="72">
        <f t="shared" si="78"/>
        <v>115</v>
      </c>
      <c r="L286" s="180">
        <f t="shared" si="75"/>
        <v>3835259.2863804763</v>
      </c>
      <c r="M286" s="181">
        <f t="shared" si="75"/>
        <v>24695.103713411776</v>
      </c>
      <c r="N286" s="180">
        <f t="shared" si="75"/>
        <v>15526.246804636052</v>
      </c>
      <c r="O286" s="132">
        <f t="shared" si="70"/>
        <v>9168.8569087757242</v>
      </c>
    </row>
    <row r="287" spans="1:15" x14ac:dyDescent="0.25">
      <c r="A287" s="72">
        <f t="shared" si="76"/>
        <v>116</v>
      </c>
      <c r="B287" s="183">
        <f t="shared" si="71"/>
        <v>3434487.2576091401</v>
      </c>
      <c r="C287" s="184">
        <f>-'Retail &amp; Restaurant'!$E$98/12</f>
        <v>22449.880274367653</v>
      </c>
      <c r="D287" s="183">
        <f>'Retail &amp; Restaurant'!$E$96/12*B286</f>
        <v>14344.137501591318</v>
      </c>
      <c r="E287" s="185">
        <f t="shared" si="72"/>
        <v>8105.7427727763352</v>
      </c>
      <c r="F287" s="72">
        <f t="shared" si="77"/>
        <v>116</v>
      </c>
      <c r="G287" s="180">
        <f t="shared" si="73"/>
        <v>391566.3392270116</v>
      </c>
      <c r="H287" s="186">
        <f>-'Retail &amp; Restaurant'!$E$103/12</f>
        <v>2245.2234390441222</v>
      </c>
      <c r="I287" s="149">
        <f>'Retail &amp; Restaurant'!$E$101/12*G286</f>
        <v>1145.2766674957998</v>
      </c>
      <c r="J287" s="187">
        <f t="shared" si="74"/>
        <v>1099.9467715483224</v>
      </c>
      <c r="K287" s="72">
        <f t="shared" si="78"/>
        <v>116</v>
      </c>
      <c r="L287" s="180">
        <f t="shared" si="75"/>
        <v>3826053.5968361516</v>
      </c>
      <c r="M287" s="181">
        <f t="shared" si="75"/>
        <v>24695.103713411776</v>
      </c>
      <c r="N287" s="180">
        <f t="shared" si="75"/>
        <v>15489.414169087118</v>
      </c>
      <c r="O287" s="132">
        <f t="shared" si="70"/>
        <v>9205.6895443246576</v>
      </c>
    </row>
    <row r="288" spans="1:15" x14ac:dyDescent="0.25">
      <c r="A288" s="72">
        <f t="shared" si="76"/>
        <v>117</v>
      </c>
      <c r="B288" s="183">
        <f t="shared" si="71"/>
        <v>3426347.740908144</v>
      </c>
      <c r="C288" s="184">
        <f>-'Retail &amp; Restaurant'!$E$98/12</f>
        <v>22449.880274367653</v>
      </c>
      <c r="D288" s="183">
        <f>'Retail &amp; Restaurant'!$E$96/12*B287</f>
        <v>14310.363573371416</v>
      </c>
      <c r="E288" s="185">
        <f t="shared" si="72"/>
        <v>8139.516700996237</v>
      </c>
      <c r="F288" s="72">
        <f t="shared" si="77"/>
        <v>117</v>
      </c>
      <c r="G288" s="180">
        <f t="shared" si="73"/>
        <v>390463.18427737959</v>
      </c>
      <c r="H288" s="186">
        <f>-'Retail &amp; Restaurant'!$E$103/12</f>
        <v>2245.2234390441222</v>
      </c>
      <c r="I288" s="149">
        <f>'Retail &amp; Restaurant'!$E$101/12*G287</f>
        <v>1142.0684894121173</v>
      </c>
      <c r="J288" s="187">
        <f t="shared" si="74"/>
        <v>1103.1549496320049</v>
      </c>
      <c r="K288" s="72">
        <f t="shared" si="78"/>
        <v>117</v>
      </c>
      <c r="L288" s="180">
        <f t="shared" si="75"/>
        <v>3816810.9251855235</v>
      </c>
      <c r="M288" s="181">
        <f t="shared" si="75"/>
        <v>24695.103713411776</v>
      </c>
      <c r="N288" s="180">
        <f t="shared" si="75"/>
        <v>15452.432062783533</v>
      </c>
      <c r="O288" s="132">
        <f t="shared" si="70"/>
        <v>9242.6716506282428</v>
      </c>
    </row>
    <row r="289" spans="1:15" x14ac:dyDescent="0.25">
      <c r="A289" s="72">
        <f t="shared" si="76"/>
        <v>118</v>
      </c>
      <c r="B289" s="183">
        <f t="shared" si="71"/>
        <v>3418174.3095542272</v>
      </c>
      <c r="C289" s="184">
        <f>-'Retail &amp; Restaurant'!$E$98/12</f>
        <v>22449.880274367653</v>
      </c>
      <c r="D289" s="183">
        <f>'Retail &amp; Restaurant'!$E$96/12*B288</f>
        <v>14276.448920450601</v>
      </c>
      <c r="E289" s="185">
        <f t="shared" si="72"/>
        <v>8173.4313539170525</v>
      </c>
      <c r="F289" s="72">
        <f t="shared" si="77"/>
        <v>118</v>
      </c>
      <c r="G289" s="180">
        <f t="shared" si="73"/>
        <v>389356.81179247785</v>
      </c>
      <c r="H289" s="186">
        <f>-'Retail &amp; Restaurant'!$E$103/12</f>
        <v>2245.2234390441222</v>
      </c>
      <c r="I289" s="149">
        <f>'Retail &amp; Restaurant'!$E$101/12*G288</f>
        <v>1138.8509541423573</v>
      </c>
      <c r="J289" s="187">
        <f t="shared" si="74"/>
        <v>1106.3724849017649</v>
      </c>
      <c r="K289" s="72">
        <f t="shared" si="78"/>
        <v>118</v>
      </c>
      <c r="L289" s="180">
        <f t="shared" si="75"/>
        <v>3807531.1213467051</v>
      </c>
      <c r="M289" s="181">
        <f t="shared" si="75"/>
        <v>24695.103713411776</v>
      </c>
      <c r="N289" s="180">
        <f t="shared" si="75"/>
        <v>15415.299874592958</v>
      </c>
      <c r="O289" s="132">
        <f t="shared" si="70"/>
        <v>9279.8038388188179</v>
      </c>
    </row>
    <row r="290" spans="1:15" x14ac:dyDescent="0.25">
      <c r="A290" s="72">
        <f t="shared" si="76"/>
        <v>119</v>
      </c>
      <c r="B290" s="183">
        <f t="shared" si="71"/>
        <v>3409966.8222363354</v>
      </c>
      <c r="C290" s="184">
        <f>-'Retail &amp; Restaurant'!$E$98/12</f>
        <v>22449.880274367653</v>
      </c>
      <c r="D290" s="183">
        <f>'Retail &amp; Restaurant'!$E$96/12*B289</f>
        <v>14242.392956475946</v>
      </c>
      <c r="E290" s="185">
        <f t="shared" si="72"/>
        <v>8207.4873178917078</v>
      </c>
      <c r="F290" s="72">
        <f t="shared" si="77"/>
        <v>119</v>
      </c>
      <c r="G290" s="180">
        <f t="shared" si="73"/>
        <v>388247.21238782845</v>
      </c>
      <c r="H290" s="186">
        <f>-'Retail &amp; Restaurant'!$E$103/12</f>
        <v>2245.2234390441222</v>
      </c>
      <c r="I290" s="149">
        <f>'Retail &amp; Restaurant'!$E$101/12*G289</f>
        <v>1135.624034394727</v>
      </c>
      <c r="J290" s="187">
        <f t="shared" si="74"/>
        <v>1109.5994046493952</v>
      </c>
      <c r="K290" s="72">
        <f t="shared" si="78"/>
        <v>119</v>
      </c>
      <c r="L290" s="180">
        <f t="shared" si="75"/>
        <v>3798214.034624164</v>
      </c>
      <c r="M290" s="181">
        <f t="shared" si="75"/>
        <v>24695.103713411776</v>
      </c>
      <c r="N290" s="180">
        <f t="shared" si="75"/>
        <v>15378.016990870672</v>
      </c>
      <c r="O290" s="132">
        <f t="shared" si="70"/>
        <v>9317.0867225411021</v>
      </c>
    </row>
    <row r="291" spans="1:15" x14ac:dyDescent="0.25">
      <c r="A291" s="72">
        <f t="shared" si="76"/>
        <v>120</v>
      </c>
      <c r="B291" s="183">
        <f t="shared" si="71"/>
        <v>3401725.1370546189</v>
      </c>
      <c r="C291" s="184">
        <f>-'Retail &amp; Restaurant'!$E$98/12</f>
        <v>22449.880274367653</v>
      </c>
      <c r="D291" s="183">
        <f>'Retail &amp; Restaurant'!$E$96/12*B290</f>
        <v>14208.195092651396</v>
      </c>
      <c r="E291" s="185">
        <f t="shared" si="72"/>
        <v>8241.6851817162569</v>
      </c>
      <c r="F291" s="72">
        <f t="shared" si="77"/>
        <v>120</v>
      </c>
      <c r="G291" s="180">
        <f t="shared" si="73"/>
        <v>387134.37665158213</v>
      </c>
      <c r="H291" s="186">
        <f>-'Retail &amp; Restaurant'!$E$103/12</f>
        <v>2245.2234390441222</v>
      </c>
      <c r="I291" s="149">
        <f>'Retail &amp; Restaurant'!$E$101/12*G290</f>
        <v>1132.3877027978331</v>
      </c>
      <c r="J291" s="187">
        <f t="shared" si="74"/>
        <v>1112.8357362462891</v>
      </c>
      <c r="K291" s="72">
        <f t="shared" si="78"/>
        <v>120</v>
      </c>
      <c r="L291" s="180">
        <f t="shared" si="75"/>
        <v>3788859.5137062012</v>
      </c>
      <c r="M291" s="181">
        <f t="shared" si="75"/>
        <v>24695.103713411776</v>
      </c>
      <c r="N291" s="180">
        <f t="shared" si="75"/>
        <v>15340.582795449229</v>
      </c>
      <c r="O291" s="132">
        <f t="shared" si="70"/>
        <v>9354.5209179625454</v>
      </c>
    </row>
    <row r="292" spans="1:15" x14ac:dyDescent="0.25">
      <c r="A292" s="72">
        <f t="shared" si="76"/>
        <v>121</v>
      </c>
      <c r="B292" s="183">
        <f t="shared" si="71"/>
        <v>3393449.1115179788</v>
      </c>
      <c r="C292" s="184">
        <f>-'Retail &amp; Restaurant'!$E$98/12</f>
        <v>22449.880274367653</v>
      </c>
      <c r="D292" s="183">
        <f>'Retail &amp; Restaurant'!$E$96/12*B291</f>
        <v>14173.854737727579</v>
      </c>
      <c r="E292" s="185">
        <f t="shared" si="72"/>
        <v>8276.0255366400743</v>
      </c>
      <c r="F292" s="72">
        <f t="shared" si="77"/>
        <v>121</v>
      </c>
      <c r="G292" s="180">
        <f t="shared" si="73"/>
        <v>386018.29514443845</v>
      </c>
      <c r="H292" s="186">
        <f>-'Retail &amp; Restaurant'!$E$103/12</f>
        <v>2245.2234390441222</v>
      </c>
      <c r="I292" s="149">
        <f>'Retail &amp; Restaurant'!$E$101/12*G291</f>
        <v>1129.1419319004478</v>
      </c>
      <c r="J292" s="187">
        <f t="shared" si="74"/>
        <v>1116.0815071436743</v>
      </c>
      <c r="K292" s="72">
        <f t="shared" si="78"/>
        <v>121</v>
      </c>
      <c r="L292" s="180">
        <f t="shared" si="75"/>
        <v>3779467.4066624171</v>
      </c>
      <c r="M292" s="181">
        <f t="shared" si="75"/>
        <v>24695.103713411776</v>
      </c>
      <c r="N292" s="180">
        <f t="shared" si="75"/>
        <v>15302.996669628026</v>
      </c>
      <c r="O292" s="132">
        <f t="shared" si="70"/>
        <v>9392.1070437837479</v>
      </c>
    </row>
    <row r="293" spans="1:15" x14ac:dyDescent="0.25">
      <c r="A293" s="72">
        <f t="shared" si="76"/>
        <v>122</v>
      </c>
      <c r="B293" s="183">
        <f t="shared" si="71"/>
        <v>3385138.6025416027</v>
      </c>
      <c r="C293" s="184">
        <f>-'Retail &amp; Restaurant'!$E$98/12</f>
        <v>22449.880274367653</v>
      </c>
      <c r="D293" s="183">
        <f>'Retail &amp; Restaurant'!$E$96/12*B292</f>
        <v>14139.371297991578</v>
      </c>
      <c r="E293" s="185">
        <f t="shared" si="72"/>
        <v>8310.5089763760752</v>
      </c>
      <c r="F293" s="72">
        <f t="shared" si="77"/>
        <v>122</v>
      </c>
      <c r="G293" s="180">
        <f t="shared" si="73"/>
        <v>384898.9583995656</v>
      </c>
      <c r="H293" s="186">
        <f>-'Retail &amp; Restaurant'!$E$103/12</f>
        <v>2245.2234390441222</v>
      </c>
      <c r="I293" s="149">
        <f>'Retail &amp; Restaurant'!$E$101/12*G292</f>
        <v>1125.8866941712788</v>
      </c>
      <c r="J293" s="187">
        <f t="shared" si="74"/>
        <v>1119.3367448728434</v>
      </c>
      <c r="K293" s="72">
        <f t="shared" si="78"/>
        <v>122</v>
      </c>
      <c r="L293" s="180">
        <f t="shared" si="75"/>
        <v>3770037.5609411681</v>
      </c>
      <c r="M293" s="181">
        <f t="shared" si="75"/>
        <v>24695.103713411776</v>
      </c>
      <c r="N293" s="180">
        <f t="shared" si="75"/>
        <v>15265.257992162857</v>
      </c>
      <c r="O293" s="132">
        <f t="shared" si="70"/>
        <v>9429.8457212489193</v>
      </c>
    </row>
    <row r="294" spans="1:15" x14ac:dyDescent="0.25">
      <c r="A294" s="72">
        <f t="shared" si="76"/>
        <v>123</v>
      </c>
      <c r="B294" s="183">
        <f t="shared" si="71"/>
        <v>3376793.4664444919</v>
      </c>
      <c r="C294" s="184">
        <f>-'Retail &amp; Restaurant'!$E$98/12</f>
        <v>22449.880274367653</v>
      </c>
      <c r="D294" s="183">
        <f>'Retail &amp; Restaurant'!$E$96/12*B293</f>
        <v>14104.744177256678</v>
      </c>
      <c r="E294" s="185">
        <f t="shared" si="72"/>
        <v>8345.1360971109752</v>
      </c>
      <c r="F294" s="72">
        <f t="shared" si="77"/>
        <v>123</v>
      </c>
      <c r="G294" s="180">
        <f t="shared" si="73"/>
        <v>383776.35692252021</v>
      </c>
      <c r="H294" s="186">
        <f>-'Retail &amp; Restaurant'!$E$103/12</f>
        <v>2245.2234390441222</v>
      </c>
      <c r="I294" s="149">
        <f>'Retail &amp; Restaurant'!$E$101/12*G293</f>
        <v>1122.621961998733</v>
      </c>
      <c r="J294" s="187">
        <f t="shared" si="74"/>
        <v>1122.6014770453892</v>
      </c>
      <c r="K294" s="72">
        <f t="shared" si="78"/>
        <v>123</v>
      </c>
      <c r="L294" s="180">
        <f t="shared" si="75"/>
        <v>3760569.8233670122</v>
      </c>
      <c r="M294" s="181">
        <f t="shared" si="75"/>
        <v>24695.103713411776</v>
      </c>
      <c r="N294" s="180">
        <f t="shared" si="75"/>
        <v>15227.366139255411</v>
      </c>
      <c r="O294" s="132">
        <f t="shared" si="70"/>
        <v>9467.7375741563646</v>
      </c>
    </row>
    <row r="295" spans="1:15" x14ac:dyDescent="0.25">
      <c r="A295" s="72">
        <f t="shared" si="76"/>
        <v>124</v>
      </c>
      <c r="B295" s="183">
        <f t="shared" si="71"/>
        <v>3368413.5589469764</v>
      </c>
      <c r="C295" s="184">
        <f>-'Retail &amp; Restaurant'!$E$98/12</f>
        <v>22449.880274367653</v>
      </c>
      <c r="D295" s="183">
        <f>'Retail &amp; Restaurant'!$E$96/12*B294</f>
        <v>14069.97277685205</v>
      </c>
      <c r="E295" s="185">
        <f t="shared" si="72"/>
        <v>8379.9074975156036</v>
      </c>
      <c r="F295" s="72">
        <f t="shared" si="77"/>
        <v>124</v>
      </c>
      <c r="G295" s="180">
        <f t="shared" si="73"/>
        <v>382650.48119116679</v>
      </c>
      <c r="H295" s="186">
        <f>-'Retail &amp; Restaurant'!$E$103/12</f>
        <v>2245.2234390441222</v>
      </c>
      <c r="I295" s="149">
        <f>'Retail &amp; Restaurant'!$E$101/12*G294</f>
        <v>1119.347707690684</v>
      </c>
      <c r="J295" s="187">
        <f t="shared" si="74"/>
        <v>1125.8757313534381</v>
      </c>
      <c r="K295" s="72">
        <f t="shared" si="78"/>
        <v>124</v>
      </c>
      <c r="L295" s="180">
        <f t="shared" si="75"/>
        <v>3751064.0401381431</v>
      </c>
      <c r="M295" s="181">
        <f t="shared" si="75"/>
        <v>24695.103713411776</v>
      </c>
      <c r="N295" s="180">
        <f t="shared" si="75"/>
        <v>15189.320484542734</v>
      </c>
      <c r="O295" s="132">
        <f t="shared" si="70"/>
        <v>9505.7832288690424</v>
      </c>
    </row>
    <row r="296" spans="1:15" x14ac:dyDescent="0.25">
      <c r="A296" s="72">
        <f t="shared" si="76"/>
        <v>125</v>
      </c>
      <c r="B296" s="183">
        <f t="shared" si="71"/>
        <v>3359998.7351682214</v>
      </c>
      <c r="C296" s="184">
        <f>-'Retail &amp; Restaurant'!$E$98/12</f>
        <v>22449.880274367653</v>
      </c>
      <c r="D296" s="183">
        <f>'Retail &amp; Restaurant'!$E$96/12*B295</f>
        <v>14035.056495612402</v>
      </c>
      <c r="E296" s="185">
        <f t="shared" si="72"/>
        <v>8414.8237787552516</v>
      </c>
      <c r="F296" s="72">
        <f t="shared" si="77"/>
        <v>125</v>
      </c>
      <c r="G296" s="180">
        <f t="shared" si="73"/>
        <v>381521.3216555969</v>
      </c>
      <c r="H296" s="186">
        <f>-'Retail &amp; Restaurant'!$E$103/12</f>
        <v>2245.2234390441222</v>
      </c>
      <c r="I296" s="149">
        <f>'Retail &amp; Restaurant'!$E$101/12*G295</f>
        <v>1116.0639034742364</v>
      </c>
      <c r="J296" s="187">
        <f t="shared" si="74"/>
        <v>1129.1595355698857</v>
      </c>
      <c r="K296" s="72">
        <f t="shared" si="78"/>
        <v>125</v>
      </c>
      <c r="L296" s="180">
        <f t="shared" si="75"/>
        <v>3741520.0568238185</v>
      </c>
      <c r="M296" s="181">
        <f t="shared" si="75"/>
        <v>24695.103713411776</v>
      </c>
      <c r="N296" s="180">
        <f t="shared" si="75"/>
        <v>15151.120399086638</v>
      </c>
      <c r="O296" s="132">
        <f t="shared" si="70"/>
        <v>9543.9833143251381</v>
      </c>
    </row>
    <row r="297" spans="1:15" x14ac:dyDescent="0.25">
      <c r="A297" s="72">
        <f t="shared" si="76"/>
        <v>126</v>
      </c>
      <c r="B297" s="183">
        <f t="shared" si="71"/>
        <v>3351548.8496237216</v>
      </c>
      <c r="C297" s="184">
        <f>-'Retail &amp; Restaurant'!$E$98/12</f>
        <v>22449.880274367653</v>
      </c>
      <c r="D297" s="183">
        <f>'Retail &amp; Restaurant'!$E$96/12*B296</f>
        <v>13999.994729867589</v>
      </c>
      <c r="E297" s="185">
        <f t="shared" si="72"/>
        <v>8449.8855445000645</v>
      </c>
      <c r="F297" s="72">
        <f t="shared" si="77"/>
        <v>126</v>
      </c>
      <c r="G297" s="180">
        <f t="shared" si="73"/>
        <v>380388.86873804824</v>
      </c>
      <c r="H297" s="186">
        <f>-'Retail &amp; Restaurant'!$E$103/12</f>
        <v>2245.2234390441222</v>
      </c>
      <c r="I297" s="149">
        <f>'Retail &amp; Restaurant'!$E$101/12*G296</f>
        <v>1112.770521495491</v>
      </c>
      <c r="J297" s="187">
        <f t="shared" si="74"/>
        <v>1132.4529175486311</v>
      </c>
      <c r="K297" s="72">
        <f t="shared" si="78"/>
        <v>126</v>
      </c>
      <c r="L297" s="180">
        <f t="shared" si="75"/>
        <v>3731937.7183617698</v>
      </c>
      <c r="M297" s="181">
        <f t="shared" si="75"/>
        <v>24695.103713411776</v>
      </c>
      <c r="N297" s="180">
        <f t="shared" si="75"/>
        <v>15112.76525136308</v>
      </c>
      <c r="O297" s="132">
        <f t="shared" si="70"/>
        <v>9582.3384620486959</v>
      </c>
    </row>
    <row r="298" spans="1:15" x14ac:dyDescent="0.25">
      <c r="A298" s="72">
        <f t="shared" si="76"/>
        <v>127</v>
      </c>
      <c r="B298" s="183">
        <f t="shared" si="71"/>
        <v>3343063.7562227859</v>
      </c>
      <c r="C298" s="184">
        <f>-'Retail &amp; Restaurant'!$E$98/12</f>
        <v>22449.880274367653</v>
      </c>
      <c r="D298" s="183">
        <f>'Retail &amp; Restaurant'!$E$96/12*B297</f>
        <v>13964.786873432173</v>
      </c>
      <c r="E298" s="185">
        <f t="shared" si="72"/>
        <v>8485.0934009354805</v>
      </c>
      <c r="F298" s="72">
        <f t="shared" si="77"/>
        <v>127</v>
      </c>
      <c r="G298" s="180">
        <f t="shared" si="73"/>
        <v>379253.11283282342</v>
      </c>
      <c r="H298" s="186">
        <f>-'Retail &amp; Restaurant'!$E$103/12</f>
        <v>2245.2234390441222</v>
      </c>
      <c r="I298" s="149">
        <f>'Retail &amp; Restaurant'!$E$101/12*G297</f>
        <v>1109.4675338193074</v>
      </c>
      <c r="J298" s="187">
        <f t="shared" si="74"/>
        <v>1135.7559052248148</v>
      </c>
      <c r="K298" s="72">
        <f t="shared" si="78"/>
        <v>127</v>
      </c>
      <c r="L298" s="180">
        <f t="shared" si="75"/>
        <v>3722316.8690556092</v>
      </c>
      <c r="M298" s="181">
        <f t="shared" si="75"/>
        <v>24695.103713411776</v>
      </c>
      <c r="N298" s="180">
        <f t="shared" si="75"/>
        <v>15074.254407251479</v>
      </c>
      <c r="O298" s="132">
        <f t="shared" si="70"/>
        <v>9620.8493061602949</v>
      </c>
    </row>
    <row r="299" spans="1:15" x14ac:dyDescent="0.25">
      <c r="A299" s="72">
        <f t="shared" si="76"/>
        <v>128</v>
      </c>
      <c r="B299" s="183">
        <f t="shared" si="71"/>
        <v>3334543.3082660134</v>
      </c>
      <c r="C299" s="184">
        <f>-'Retail &amp; Restaurant'!$E$98/12</f>
        <v>22449.880274367653</v>
      </c>
      <c r="D299" s="183">
        <f>'Retail &amp; Restaurant'!$E$96/12*B298</f>
        <v>13929.432317594941</v>
      </c>
      <c r="E299" s="185">
        <f t="shared" si="72"/>
        <v>8520.4479567727121</v>
      </c>
      <c r="F299" s="72">
        <f t="shared" si="77"/>
        <v>128</v>
      </c>
      <c r="G299" s="180">
        <f t="shared" si="73"/>
        <v>378114.04430620838</v>
      </c>
      <c r="H299" s="186">
        <f>-'Retail &amp; Restaurant'!$E$103/12</f>
        <v>2245.2234390441222</v>
      </c>
      <c r="I299" s="149">
        <f>'Retail &amp; Restaurant'!$E$101/12*G298</f>
        <v>1106.1549124290684</v>
      </c>
      <c r="J299" s="187">
        <f t="shared" si="74"/>
        <v>1139.0685266150538</v>
      </c>
      <c r="K299" s="72">
        <f t="shared" si="78"/>
        <v>128</v>
      </c>
      <c r="L299" s="180">
        <f t="shared" si="75"/>
        <v>3712657.3525722218</v>
      </c>
      <c r="M299" s="181">
        <f t="shared" si="75"/>
        <v>24695.103713411776</v>
      </c>
      <c r="N299" s="180">
        <f t="shared" si="75"/>
        <v>15035.58723002401</v>
      </c>
      <c r="O299" s="132">
        <f t="shared" si="75"/>
        <v>9659.5164833877661</v>
      </c>
    </row>
    <row r="300" spans="1:15" x14ac:dyDescent="0.25">
      <c r="A300" s="72">
        <f t="shared" si="76"/>
        <v>129</v>
      </c>
      <c r="B300" s="183">
        <f t="shared" ref="B300:B363" si="79">B299-E300</f>
        <v>3325987.358442754</v>
      </c>
      <c r="C300" s="184">
        <f>-'Retail &amp; Restaurant'!$E$98/12</f>
        <v>22449.880274367653</v>
      </c>
      <c r="D300" s="183">
        <f>'Retail &amp; Restaurant'!$E$96/12*B299</f>
        <v>13893.930451108388</v>
      </c>
      <c r="E300" s="185">
        <f t="shared" ref="E300:E363" si="80">C300-D300</f>
        <v>8555.949823259265</v>
      </c>
      <c r="F300" s="72">
        <f t="shared" si="77"/>
        <v>129</v>
      </c>
      <c r="G300" s="180">
        <f t="shared" ref="G300:G363" si="81">G299-J300</f>
        <v>376971.65349639067</v>
      </c>
      <c r="H300" s="186">
        <f>-'Retail &amp; Restaurant'!$E$103/12</f>
        <v>2245.2234390441222</v>
      </c>
      <c r="I300" s="149">
        <f>'Retail &amp; Restaurant'!$E$101/12*G299</f>
        <v>1102.8326292264412</v>
      </c>
      <c r="J300" s="187">
        <f t="shared" ref="J300:J363" si="82">H300-I300</f>
        <v>1142.390809817681</v>
      </c>
      <c r="K300" s="72">
        <f t="shared" si="78"/>
        <v>129</v>
      </c>
      <c r="L300" s="180">
        <f t="shared" ref="L300:O363" si="83">G300+B300</f>
        <v>3702959.0119391447</v>
      </c>
      <c r="M300" s="181">
        <f t="shared" si="83"/>
        <v>24695.103713411776</v>
      </c>
      <c r="N300" s="180">
        <f t="shared" si="83"/>
        <v>14996.763080334829</v>
      </c>
      <c r="O300" s="132">
        <f t="shared" si="83"/>
        <v>9698.3406330769467</v>
      </c>
    </row>
    <row r="301" spans="1:15" x14ac:dyDescent="0.25">
      <c r="A301" s="72">
        <f t="shared" ref="A301:A364" si="84">A300+1</f>
        <v>130</v>
      </c>
      <c r="B301" s="183">
        <f t="shared" si="79"/>
        <v>3317395.7588285645</v>
      </c>
      <c r="C301" s="184">
        <f>-'Retail &amp; Restaurant'!$E$98/12</f>
        <v>22449.880274367653</v>
      </c>
      <c r="D301" s="183">
        <f>'Retail &amp; Restaurant'!$E$96/12*B300</f>
        <v>13858.280660178141</v>
      </c>
      <c r="E301" s="185">
        <f t="shared" si="80"/>
        <v>8591.5996141895121</v>
      </c>
      <c r="F301" s="72">
        <f t="shared" ref="F301:F364" si="85">F300+1</f>
        <v>130</v>
      </c>
      <c r="G301" s="180">
        <f t="shared" si="81"/>
        <v>375825.93071337772</v>
      </c>
      <c r="H301" s="186">
        <f>-'Retail &amp; Restaurant'!$E$103/12</f>
        <v>2245.2234390441222</v>
      </c>
      <c r="I301" s="149">
        <f>'Retail &amp; Restaurant'!$E$101/12*G300</f>
        <v>1099.5006560311394</v>
      </c>
      <c r="J301" s="187">
        <f t="shared" si="82"/>
        <v>1145.7227830129827</v>
      </c>
      <c r="K301" s="72">
        <f t="shared" ref="K301:K364" si="86">K300+1</f>
        <v>130</v>
      </c>
      <c r="L301" s="180">
        <f t="shared" si="83"/>
        <v>3693221.6895419424</v>
      </c>
      <c r="M301" s="181">
        <f t="shared" si="83"/>
        <v>24695.103713411776</v>
      </c>
      <c r="N301" s="180">
        <f t="shared" si="83"/>
        <v>14957.781316209281</v>
      </c>
      <c r="O301" s="132">
        <f t="shared" si="83"/>
        <v>9737.3223972024953</v>
      </c>
    </row>
    <row r="302" spans="1:15" x14ac:dyDescent="0.25">
      <c r="A302" s="72">
        <f t="shared" si="84"/>
        <v>131</v>
      </c>
      <c r="B302" s="183">
        <f t="shared" si="79"/>
        <v>3308768.3608826492</v>
      </c>
      <c r="C302" s="184">
        <f>-'Retail &amp; Restaurant'!$E$98/12</f>
        <v>22449.880274367653</v>
      </c>
      <c r="D302" s="183">
        <f>'Retail &amp; Restaurant'!$E$96/12*B301</f>
        <v>13822.482328452352</v>
      </c>
      <c r="E302" s="185">
        <f t="shared" si="80"/>
        <v>8627.3979459153015</v>
      </c>
      <c r="F302" s="72">
        <f t="shared" si="85"/>
        <v>131</v>
      </c>
      <c r="G302" s="180">
        <f t="shared" si="81"/>
        <v>374676.86623891426</v>
      </c>
      <c r="H302" s="186">
        <f>-'Retail &amp; Restaurant'!$E$103/12</f>
        <v>2245.2234390441222</v>
      </c>
      <c r="I302" s="149">
        <f>'Retail &amp; Restaurant'!$E$101/12*G301</f>
        <v>1096.1589645806851</v>
      </c>
      <c r="J302" s="187">
        <f t="shared" si="82"/>
        <v>1149.0644744634371</v>
      </c>
      <c r="K302" s="72">
        <f t="shared" si="86"/>
        <v>131</v>
      </c>
      <c r="L302" s="180">
        <f t="shared" si="83"/>
        <v>3683445.2271215636</v>
      </c>
      <c r="M302" s="181">
        <f t="shared" si="83"/>
        <v>24695.103713411776</v>
      </c>
      <c r="N302" s="180">
        <f t="shared" si="83"/>
        <v>14918.641293033037</v>
      </c>
      <c r="O302" s="132">
        <f t="shared" si="83"/>
        <v>9776.4624203787389</v>
      </c>
    </row>
    <row r="303" spans="1:15" x14ac:dyDescent="0.25">
      <c r="A303" s="72">
        <f t="shared" si="84"/>
        <v>132</v>
      </c>
      <c r="B303" s="183">
        <f t="shared" si="79"/>
        <v>3300105.0154452925</v>
      </c>
      <c r="C303" s="184">
        <f>-'Retail &amp; Restaurant'!$E$98/12</f>
        <v>22449.880274367653</v>
      </c>
      <c r="D303" s="183">
        <f>'Retail &amp; Restaurant'!$E$96/12*B302</f>
        <v>13786.534837011039</v>
      </c>
      <c r="E303" s="185">
        <f t="shared" si="80"/>
        <v>8663.3454373566146</v>
      </c>
      <c r="F303" s="72">
        <f t="shared" si="85"/>
        <v>132</v>
      </c>
      <c r="G303" s="180">
        <f t="shared" si="81"/>
        <v>373524.45032640029</v>
      </c>
      <c r="H303" s="186">
        <f>-'Retail &amp; Restaurant'!$E$103/12</f>
        <v>2245.2234390441222</v>
      </c>
      <c r="I303" s="149">
        <f>'Retail &amp; Restaurant'!$E$101/12*G302</f>
        <v>1092.8075265301666</v>
      </c>
      <c r="J303" s="187">
        <f t="shared" si="82"/>
        <v>1152.4159125139556</v>
      </c>
      <c r="K303" s="72">
        <f t="shared" si="86"/>
        <v>132</v>
      </c>
      <c r="L303" s="180">
        <f t="shared" si="83"/>
        <v>3673629.4657716928</v>
      </c>
      <c r="M303" s="181">
        <f t="shared" si="83"/>
        <v>24695.103713411776</v>
      </c>
      <c r="N303" s="180">
        <f t="shared" si="83"/>
        <v>14879.342363541205</v>
      </c>
      <c r="O303" s="132">
        <f t="shared" si="83"/>
        <v>9815.7613498705705</v>
      </c>
    </row>
    <row r="304" spans="1:15" x14ac:dyDescent="0.25">
      <c r="A304" s="72">
        <f t="shared" si="84"/>
        <v>133</v>
      </c>
      <c r="B304" s="183">
        <f t="shared" si="79"/>
        <v>3291405.5727352803</v>
      </c>
      <c r="C304" s="184">
        <f>-'Retail &amp; Restaurant'!$E$98/12</f>
        <v>22449.880274367653</v>
      </c>
      <c r="D304" s="183">
        <f>'Retail &amp; Restaurant'!$E$96/12*B303</f>
        <v>13750.437564355385</v>
      </c>
      <c r="E304" s="185">
        <f t="shared" si="80"/>
        <v>8699.4427100122684</v>
      </c>
      <c r="F304" s="72">
        <f t="shared" si="85"/>
        <v>133</v>
      </c>
      <c r="G304" s="180">
        <f t="shared" si="81"/>
        <v>372368.67320080817</v>
      </c>
      <c r="H304" s="186">
        <f>-'Retail &amp; Restaurant'!$E$103/12</f>
        <v>2245.2234390441222</v>
      </c>
      <c r="I304" s="149">
        <f>'Retail &amp; Restaurant'!$E$101/12*G303</f>
        <v>1089.4463134520008</v>
      </c>
      <c r="J304" s="187">
        <f t="shared" si="82"/>
        <v>1155.7771255921214</v>
      </c>
      <c r="K304" s="72">
        <f t="shared" si="86"/>
        <v>133</v>
      </c>
      <c r="L304" s="180">
        <f t="shared" si="83"/>
        <v>3663774.2459360883</v>
      </c>
      <c r="M304" s="181">
        <f t="shared" si="83"/>
        <v>24695.103713411776</v>
      </c>
      <c r="N304" s="180">
        <f t="shared" si="83"/>
        <v>14839.883877807386</v>
      </c>
      <c r="O304" s="132">
        <f t="shared" si="83"/>
        <v>9855.21983560439</v>
      </c>
    </row>
    <row r="305" spans="1:15" x14ac:dyDescent="0.25">
      <c r="A305" s="72">
        <f t="shared" si="84"/>
        <v>134</v>
      </c>
      <c r="B305" s="183">
        <f t="shared" si="79"/>
        <v>3282669.8823473095</v>
      </c>
      <c r="C305" s="184">
        <f>-'Retail &amp; Restaurant'!$E$98/12</f>
        <v>22449.880274367653</v>
      </c>
      <c r="D305" s="183">
        <f>'Retail &amp; Restaurant'!$E$96/12*B304</f>
        <v>13714.189886397</v>
      </c>
      <c r="E305" s="185">
        <f t="shared" si="80"/>
        <v>8735.6903879706533</v>
      </c>
      <c r="F305" s="72">
        <f t="shared" si="85"/>
        <v>134</v>
      </c>
      <c r="G305" s="180">
        <f t="shared" si="81"/>
        <v>371209.52505859977</v>
      </c>
      <c r="H305" s="186">
        <f>-'Retail &amp; Restaurant'!$E$103/12</f>
        <v>2245.2234390441222</v>
      </c>
      <c r="I305" s="149">
        <f>'Retail &amp; Restaurant'!$E$101/12*G304</f>
        <v>1086.0752968356906</v>
      </c>
      <c r="J305" s="187">
        <f t="shared" si="82"/>
        <v>1159.1481422084316</v>
      </c>
      <c r="K305" s="72">
        <f t="shared" si="86"/>
        <v>134</v>
      </c>
      <c r="L305" s="180">
        <f t="shared" si="83"/>
        <v>3653879.4074059092</v>
      </c>
      <c r="M305" s="181">
        <f t="shared" si="83"/>
        <v>24695.103713411776</v>
      </c>
      <c r="N305" s="180">
        <f t="shared" si="83"/>
        <v>14800.26518323269</v>
      </c>
      <c r="O305" s="132">
        <f t="shared" si="83"/>
        <v>9894.838530179084</v>
      </c>
    </row>
    <row r="306" spans="1:15" x14ac:dyDescent="0.25">
      <c r="A306" s="72">
        <f t="shared" si="84"/>
        <v>135</v>
      </c>
      <c r="B306" s="183">
        <f t="shared" si="79"/>
        <v>3273897.7932493892</v>
      </c>
      <c r="C306" s="184">
        <f>-'Retail &amp; Restaurant'!$E$98/12</f>
        <v>22449.880274367653</v>
      </c>
      <c r="D306" s="183">
        <f>'Retail &amp; Restaurant'!$E$96/12*B305</f>
        <v>13677.791176447123</v>
      </c>
      <c r="E306" s="185">
        <f t="shared" si="80"/>
        <v>8772.0890979205305</v>
      </c>
      <c r="F306" s="72">
        <f t="shared" si="85"/>
        <v>135</v>
      </c>
      <c r="G306" s="180">
        <f t="shared" si="81"/>
        <v>370046.99606764322</v>
      </c>
      <c r="H306" s="186">
        <f>-'Retail &amp; Restaurant'!$E$103/12</f>
        <v>2245.2234390441222</v>
      </c>
      <c r="I306" s="149">
        <f>'Retail &amp; Restaurant'!$E$101/12*G305</f>
        <v>1082.6944480875827</v>
      </c>
      <c r="J306" s="187">
        <f t="shared" si="82"/>
        <v>1162.5289909565395</v>
      </c>
      <c r="K306" s="72">
        <f t="shared" si="86"/>
        <v>135</v>
      </c>
      <c r="L306" s="180">
        <f t="shared" si="83"/>
        <v>3643944.7893170323</v>
      </c>
      <c r="M306" s="181">
        <f t="shared" si="83"/>
        <v>24695.103713411776</v>
      </c>
      <c r="N306" s="180">
        <f t="shared" si="83"/>
        <v>14760.485624534705</v>
      </c>
      <c r="O306" s="132">
        <f t="shared" si="83"/>
        <v>9934.6180888770705</v>
      </c>
    </row>
    <row r="307" spans="1:15" x14ac:dyDescent="0.25">
      <c r="A307" s="72">
        <f t="shared" si="84"/>
        <v>136</v>
      </c>
      <c r="B307" s="183">
        <f t="shared" si="79"/>
        <v>3265089.1537802271</v>
      </c>
      <c r="C307" s="184">
        <f>-'Retail &amp; Restaurant'!$E$98/12</f>
        <v>22449.880274367653</v>
      </c>
      <c r="D307" s="183">
        <f>'Retail &amp; Restaurant'!$E$96/12*B306</f>
        <v>13641.240805205787</v>
      </c>
      <c r="E307" s="185">
        <f t="shared" si="80"/>
        <v>8808.6394691618661</v>
      </c>
      <c r="F307" s="72">
        <f t="shared" si="85"/>
        <v>136</v>
      </c>
      <c r="G307" s="180">
        <f t="shared" si="81"/>
        <v>368881.07636712975</v>
      </c>
      <c r="H307" s="186">
        <f>-'Retail &amp; Restaurant'!$E$103/12</f>
        <v>2245.2234390441222</v>
      </c>
      <c r="I307" s="149">
        <f>'Retail &amp; Restaurant'!$E$101/12*G306</f>
        <v>1079.3037385306261</v>
      </c>
      <c r="J307" s="187">
        <f t="shared" si="82"/>
        <v>1165.9197005134961</v>
      </c>
      <c r="K307" s="72">
        <f t="shared" si="86"/>
        <v>136</v>
      </c>
      <c r="L307" s="180">
        <f t="shared" si="83"/>
        <v>3633970.2301473566</v>
      </c>
      <c r="M307" s="181">
        <f t="shared" si="83"/>
        <v>24695.103713411776</v>
      </c>
      <c r="N307" s="180">
        <f t="shared" si="83"/>
        <v>14720.544543736414</v>
      </c>
      <c r="O307" s="132">
        <f t="shared" si="83"/>
        <v>9974.5591696753618</v>
      </c>
    </row>
    <row r="308" spans="1:15" x14ac:dyDescent="0.25">
      <c r="A308" s="72">
        <f t="shared" si="84"/>
        <v>137</v>
      </c>
      <c r="B308" s="183">
        <f t="shared" si="79"/>
        <v>3256243.8116466105</v>
      </c>
      <c r="C308" s="184">
        <f>-'Retail &amp; Restaurant'!$E$98/12</f>
        <v>22449.880274367653</v>
      </c>
      <c r="D308" s="183">
        <f>'Retail &amp; Restaurant'!$E$96/12*B307</f>
        <v>13604.538140750947</v>
      </c>
      <c r="E308" s="185">
        <f t="shared" si="80"/>
        <v>8845.3421336167066</v>
      </c>
      <c r="F308" s="72">
        <f t="shared" si="85"/>
        <v>137</v>
      </c>
      <c r="G308" s="180">
        <f t="shared" si="81"/>
        <v>367711.75606748974</v>
      </c>
      <c r="H308" s="186">
        <f>-'Retail &amp; Restaurant'!$E$103/12</f>
        <v>2245.2234390441222</v>
      </c>
      <c r="I308" s="149">
        <f>'Retail &amp; Restaurant'!$E$101/12*G307</f>
        <v>1075.9031394041285</v>
      </c>
      <c r="J308" s="187">
        <f t="shared" si="82"/>
        <v>1169.3202996399937</v>
      </c>
      <c r="K308" s="72">
        <f t="shared" si="86"/>
        <v>137</v>
      </c>
      <c r="L308" s="180">
        <f t="shared" si="83"/>
        <v>3623955.5677141002</v>
      </c>
      <c r="M308" s="181">
        <f t="shared" si="83"/>
        <v>24695.103713411776</v>
      </c>
      <c r="N308" s="180">
        <f t="shared" si="83"/>
        <v>14680.441280155075</v>
      </c>
      <c r="O308" s="132">
        <f t="shared" si="83"/>
        <v>10014.662433256701</v>
      </c>
    </row>
    <row r="309" spans="1:15" x14ac:dyDescent="0.25">
      <c r="A309" s="72">
        <f t="shared" si="84"/>
        <v>138</v>
      </c>
      <c r="B309" s="183">
        <f t="shared" si="79"/>
        <v>3247361.6139207706</v>
      </c>
      <c r="C309" s="184">
        <f>-'Retail &amp; Restaurant'!$E$98/12</f>
        <v>22449.880274367653</v>
      </c>
      <c r="D309" s="183">
        <f>'Retail &amp; Restaurant'!$E$96/12*B308</f>
        <v>13567.682548527544</v>
      </c>
      <c r="E309" s="185">
        <f t="shared" si="80"/>
        <v>8882.1977258401093</v>
      </c>
      <c r="F309" s="72">
        <f t="shared" si="85"/>
        <v>138</v>
      </c>
      <c r="G309" s="180">
        <f t="shared" si="81"/>
        <v>366539.02525030915</v>
      </c>
      <c r="H309" s="186">
        <f>-'Retail &amp; Restaurant'!$E$103/12</f>
        <v>2245.2234390441222</v>
      </c>
      <c r="I309" s="149">
        <f>'Retail &amp; Restaurant'!$E$101/12*G308</f>
        <v>1072.4926218635119</v>
      </c>
      <c r="J309" s="187">
        <f t="shared" si="82"/>
        <v>1172.7308171806103</v>
      </c>
      <c r="K309" s="72">
        <f t="shared" si="86"/>
        <v>138</v>
      </c>
      <c r="L309" s="180">
        <f t="shared" si="83"/>
        <v>3613900.6391710797</v>
      </c>
      <c r="M309" s="181">
        <f t="shared" si="83"/>
        <v>24695.103713411776</v>
      </c>
      <c r="N309" s="180">
        <f t="shared" si="83"/>
        <v>14640.175170391056</v>
      </c>
      <c r="O309" s="132">
        <f t="shared" si="83"/>
        <v>10054.92854302072</v>
      </c>
    </row>
    <row r="310" spans="1:15" x14ac:dyDescent="0.25">
      <c r="A310" s="72">
        <f t="shared" si="84"/>
        <v>139</v>
      </c>
      <c r="B310" s="183">
        <f t="shared" si="79"/>
        <v>3238442.4070377396</v>
      </c>
      <c r="C310" s="184">
        <f>-'Retail &amp; Restaurant'!$E$98/12</f>
        <v>22449.880274367653</v>
      </c>
      <c r="D310" s="183">
        <f>'Retail &amp; Restaurant'!$E$96/12*B309</f>
        <v>13530.673391336544</v>
      </c>
      <c r="E310" s="185">
        <f t="shared" si="80"/>
        <v>8919.2068830311091</v>
      </c>
      <c r="F310" s="72">
        <f t="shared" si="85"/>
        <v>139</v>
      </c>
      <c r="G310" s="180">
        <f t="shared" si="81"/>
        <v>365362.87396824511</v>
      </c>
      <c r="H310" s="186">
        <f>-'Retail &amp; Restaurant'!$E$103/12</f>
        <v>2245.2234390441222</v>
      </c>
      <c r="I310" s="149">
        <f>'Retail &amp; Restaurant'!$E$101/12*G309</f>
        <v>1069.0721569800685</v>
      </c>
      <c r="J310" s="187">
        <f t="shared" si="82"/>
        <v>1176.1512820640537</v>
      </c>
      <c r="K310" s="72">
        <f t="shared" si="86"/>
        <v>139</v>
      </c>
      <c r="L310" s="180">
        <f t="shared" si="83"/>
        <v>3603805.2810059846</v>
      </c>
      <c r="M310" s="181">
        <f t="shared" si="83"/>
        <v>24695.103713411776</v>
      </c>
      <c r="N310" s="180">
        <f t="shared" si="83"/>
        <v>14599.745548316612</v>
      </c>
      <c r="O310" s="132">
        <f t="shared" si="83"/>
        <v>10095.358165095164</v>
      </c>
    </row>
    <row r="311" spans="1:15" x14ac:dyDescent="0.25">
      <c r="A311" s="72">
        <f t="shared" si="84"/>
        <v>140</v>
      </c>
      <c r="B311" s="183">
        <f t="shared" si="79"/>
        <v>3229486.036792696</v>
      </c>
      <c r="C311" s="184">
        <f>-'Retail &amp; Restaurant'!$E$98/12</f>
        <v>22449.880274367653</v>
      </c>
      <c r="D311" s="183">
        <f>'Retail &amp; Restaurant'!$E$96/12*B310</f>
        <v>13493.510029323916</v>
      </c>
      <c r="E311" s="185">
        <f t="shared" si="80"/>
        <v>8956.3702450437377</v>
      </c>
      <c r="F311" s="72">
        <f t="shared" si="85"/>
        <v>140</v>
      </c>
      <c r="G311" s="180">
        <f t="shared" si="81"/>
        <v>364183.29224494169</v>
      </c>
      <c r="H311" s="186">
        <f>-'Retail &amp; Restaurant'!$E$103/12</f>
        <v>2245.2234390441222</v>
      </c>
      <c r="I311" s="149">
        <f>'Retail &amp; Restaurant'!$E$101/12*G310</f>
        <v>1065.641715740715</v>
      </c>
      <c r="J311" s="187">
        <f t="shared" si="82"/>
        <v>1179.5817233034072</v>
      </c>
      <c r="K311" s="72">
        <f t="shared" si="86"/>
        <v>140</v>
      </c>
      <c r="L311" s="180">
        <f t="shared" si="83"/>
        <v>3593669.3290376374</v>
      </c>
      <c r="M311" s="181">
        <f t="shared" si="83"/>
        <v>24695.103713411776</v>
      </c>
      <c r="N311" s="180">
        <f t="shared" si="83"/>
        <v>14559.151745064632</v>
      </c>
      <c r="O311" s="132">
        <f t="shared" si="83"/>
        <v>10135.951968347144</v>
      </c>
    </row>
    <row r="312" spans="1:15" x14ac:dyDescent="0.25">
      <c r="A312" s="72">
        <f t="shared" si="84"/>
        <v>141</v>
      </c>
      <c r="B312" s="183">
        <f t="shared" si="79"/>
        <v>3220492.348338298</v>
      </c>
      <c r="C312" s="184">
        <f>-'Retail &amp; Restaurant'!$E$98/12</f>
        <v>22449.880274367653</v>
      </c>
      <c r="D312" s="183">
        <f>'Retail &amp; Restaurant'!$E$96/12*B311</f>
        <v>13456.191819969566</v>
      </c>
      <c r="E312" s="185">
        <f t="shared" si="80"/>
        <v>8993.6884543980868</v>
      </c>
      <c r="F312" s="72">
        <f t="shared" si="85"/>
        <v>141</v>
      </c>
      <c r="G312" s="180">
        <f t="shared" si="81"/>
        <v>363000.27007494529</v>
      </c>
      <c r="H312" s="186">
        <f>-'Retail &amp; Restaurant'!$E$103/12</f>
        <v>2245.2234390441222</v>
      </c>
      <c r="I312" s="149">
        <f>'Retail &amp; Restaurant'!$E$101/12*G311</f>
        <v>1062.2012690477466</v>
      </c>
      <c r="J312" s="187">
        <f t="shared" si="82"/>
        <v>1183.0221699963756</v>
      </c>
      <c r="K312" s="72">
        <f t="shared" si="86"/>
        <v>141</v>
      </c>
      <c r="L312" s="180">
        <f t="shared" si="83"/>
        <v>3583492.6184132434</v>
      </c>
      <c r="M312" s="181">
        <f t="shared" si="83"/>
        <v>24695.103713411776</v>
      </c>
      <c r="N312" s="180">
        <f t="shared" si="83"/>
        <v>14518.393089017312</v>
      </c>
      <c r="O312" s="132">
        <f t="shared" si="83"/>
        <v>10176.710624394462</v>
      </c>
    </row>
    <row r="313" spans="1:15" x14ac:dyDescent="0.25">
      <c r="A313" s="72">
        <f t="shared" si="84"/>
        <v>142</v>
      </c>
      <c r="B313" s="183">
        <f t="shared" si="79"/>
        <v>3211461.1861820067</v>
      </c>
      <c r="C313" s="184">
        <f>-'Retail &amp; Restaurant'!$E$98/12</f>
        <v>22449.880274367653</v>
      </c>
      <c r="D313" s="183">
        <f>'Retail &amp; Restaurant'!$E$96/12*B312</f>
        <v>13418.718118076242</v>
      </c>
      <c r="E313" s="185">
        <f t="shared" si="80"/>
        <v>9031.1621562914115</v>
      </c>
      <c r="F313" s="72">
        <f t="shared" si="85"/>
        <v>142</v>
      </c>
      <c r="G313" s="180">
        <f t="shared" si="81"/>
        <v>361813.79742361978</v>
      </c>
      <c r="H313" s="186">
        <f>-'Retail &amp; Restaurant'!$E$103/12</f>
        <v>2245.2234390441222</v>
      </c>
      <c r="I313" s="149">
        <f>'Retail &amp; Restaurant'!$E$101/12*G312</f>
        <v>1058.7507877185906</v>
      </c>
      <c r="J313" s="187">
        <f t="shared" si="82"/>
        <v>1186.4726513255316</v>
      </c>
      <c r="K313" s="72">
        <f t="shared" si="86"/>
        <v>142</v>
      </c>
      <c r="L313" s="180">
        <f t="shared" si="83"/>
        <v>3573274.9836056265</v>
      </c>
      <c r="M313" s="181">
        <f t="shared" si="83"/>
        <v>24695.103713411776</v>
      </c>
      <c r="N313" s="180">
        <f t="shared" si="83"/>
        <v>14477.468905794833</v>
      </c>
      <c r="O313" s="132">
        <f t="shared" si="83"/>
        <v>10217.634807616943</v>
      </c>
    </row>
    <row r="314" spans="1:15" x14ac:dyDescent="0.25">
      <c r="A314" s="72">
        <f t="shared" si="84"/>
        <v>143</v>
      </c>
      <c r="B314" s="183">
        <f t="shared" si="79"/>
        <v>3202392.3941833973</v>
      </c>
      <c r="C314" s="184">
        <f>-'Retail &amp; Restaurant'!$E$98/12</f>
        <v>22449.880274367653</v>
      </c>
      <c r="D314" s="183">
        <f>'Retail &amp; Restaurant'!$E$96/12*B313</f>
        <v>13381.08827575836</v>
      </c>
      <c r="E314" s="185">
        <f t="shared" si="80"/>
        <v>9068.7919986092929</v>
      </c>
      <c r="F314" s="72">
        <f t="shared" si="85"/>
        <v>143</v>
      </c>
      <c r="G314" s="180">
        <f t="shared" si="81"/>
        <v>360623.86422706122</v>
      </c>
      <c r="H314" s="186">
        <f>-'Retail &amp; Restaurant'!$E$103/12</f>
        <v>2245.2234390441222</v>
      </c>
      <c r="I314" s="149">
        <f>'Retail &amp; Restaurant'!$E$101/12*G313</f>
        <v>1055.2902424855577</v>
      </c>
      <c r="J314" s="187">
        <f t="shared" si="82"/>
        <v>1189.9331965585645</v>
      </c>
      <c r="K314" s="72">
        <f t="shared" si="86"/>
        <v>143</v>
      </c>
      <c r="L314" s="180">
        <f t="shared" si="83"/>
        <v>3563016.2584104585</v>
      </c>
      <c r="M314" s="181">
        <f t="shared" si="83"/>
        <v>24695.103713411776</v>
      </c>
      <c r="N314" s="180">
        <f t="shared" si="83"/>
        <v>14436.378518243919</v>
      </c>
      <c r="O314" s="132">
        <f t="shared" si="83"/>
        <v>10258.725195167857</v>
      </c>
    </row>
    <row r="315" spans="1:15" x14ac:dyDescent="0.25">
      <c r="A315" s="72">
        <f t="shared" si="84"/>
        <v>144</v>
      </c>
      <c r="B315" s="183">
        <f t="shared" si="79"/>
        <v>3193285.8155514603</v>
      </c>
      <c r="C315" s="184">
        <f>-'Retail &amp; Restaurant'!$E$98/12</f>
        <v>22449.880274367653</v>
      </c>
      <c r="D315" s="183">
        <f>'Retail &amp; Restaurant'!$E$96/12*B314</f>
        <v>13343.301642430823</v>
      </c>
      <c r="E315" s="185">
        <f t="shared" si="80"/>
        <v>9106.5786319368308</v>
      </c>
      <c r="F315" s="72">
        <f t="shared" si="85"/>
        <v>144</v>
      </c>
      <c r="G315" s="180">
        <f t="shared" si="81"/>
        <v>359430.46039201267</v>
      </c>
      <c r="H315" s="186">
        <f>-'Retail &amp; Restaurant'!$E$103/12</f>
        <v>2245.2234390441222</v>
      </c>
      <c r="I315" s="149">
        <f>'Retail &amp; Restaurant'!$E$101/12*G314</f>
        <v>1051.8196039955953</v>
      </c>
      <c r="J315" s="187">
        <f t="shared" si="82"/>
        <v>1193.4038350485268</v>
      </c>
      <c r="K315" s="72">
        <f t="shared" si="86"/>
        <v>144</v>
      </c>
      <c r="L315" s="180">
        <f t="shared" si="83"/>
        <v>3552716.275943473</v>
      </c>
      <c r="M315" s="181">
        <f t="shared" si="83"/>
        <v>24695.103713411776</v>
      </c>
      <c r="N315" s="180">
        <f t="shared" si="83"/>
        <v>14395.121246426417</v>
      </c>
      <c r="O315" s="132">
        <f t="shared" si="83"/>
        <v>10299.982466985357</v>
      </c>
    </row>
    <row r="316" spans="1:15" x14ac:dyDescent="0.25">
      <c r="A316" s="72">
        <f t="shared" si="84"/>
        <v>145</v>
      </c>
      <c r="B316" s="183">
        <f t="shared" si="79"/>
        <v>3184141.2928418904</v>
      </c>
      <c r="C316" s="184">
        <f>-'Retail &amp; Restaurant'!$E$98/12</f>
        <v>22449.880274367653</v>
      </c>
      <c r="D316" s="183">
        <f>'Retail &amp; Restaurant'!$E$96/12*B315</f>
        <v>13305.35756479775</v>
      </c>
      <c r="E316" s="185">
        <f t="shared" si="80"/>
        <v>9144.5227095699029</v>
      </c>
      <c r="F316" s="72">
        <f t="shared" si="85"/>
        <v>145</v>
      </c>
      <c r="G316" s="180">
        <f t="shared" si="81"/>
        <v>358233.5757957786</v>
      </c>
      <c r="H316" s="186">
        <f>-'Retail &amp; Restaurant'!$E$103/12</f>
        <v>2245.2234390441222</v>
      </c>
      <c r="I316" s="149">
        <f>'Retail &amp; Restaurant'!$E$101/12*G315</f>
        <v>1048.338842810037</v>
      </c>
      <c r="J316" s="187">
        <f t="shared" si="82"/>
        <v>1196.8845962340852</v>
      </c>
      <c r="K316" s="72">
        <f t="shared" si="86"/>
        <v>145</v>
      </c>
      <c r="L316" s="180">
        <f t="shared" si="83"/>
        <v>3542374.8686376689</v>
      </c>
      <c r="M316" s="181">
        <f t="shared" si="83"/>
        <v>24695.103713411776</v>
      </c>
      <c r="N316" s="180">
        <f t="shared" si="83"/>
        <v>14353.696407607787</v>
      </c>
      <c r="O316" s="132">
        <f t="shared" si="83"/>
        <v>10341.407305803988</v>
      </c>
    </row>
    <row r="317" spans="1:15" x14ac:dyDescent="0.25">
      <c r="A317" s="72">
        <f t="shared" si="84"/>
        <v>146</v>
      </c>
      <c r="B317" s="183">
        <f t="shared" si="79"/>
        <v>3174958.6679543639</v>
      </c>
      <c r="C317" s="184">
        <f>-'Retail &amp; Restaurant'!$E$98/12</f>
        <v>22449.880274367653</v>
      </c>
      <c r="D317" s="183">
        <f>'Retail &amp; Restaurant'!$E$96/12*B316</f>
        <v>13267.255386841209</v>
      </c>
      <c r="E317" s="185">
        <f t="shared" si="80"/>
        <v>9182.6248875264446</v>
      </c>
      <c r="F317" s="72">
        <f t="shared" si="85"/>
        <v>146</v>
      </c>
      <c r="G317" s="180">
        <f t="shared" si="81"/>
        <v>357033.2002861388</v>
      </c>
      <c r="H317" s="186">
        <f>-'Retail &amp; Restaurant'!$E$103/12</f>
        <v>2245.2234390441222</v>
      </c>
      <c r="I317" s="149">
        <f>'Retail &amp; Restaurant'!$E$101/12*G316</f>
        <v>1044.8479294043543</v>
      </c>
      <c r="J317" s="187">
        <f t="shared" si="82"/>
        <v>1200.3755096397679</v>
      </c>
      <c r="K317" s="72">
        <f t="shared" si="86"/>
        <v>146</v>
      </c>
      <c r="L317" s="180">
        <f t="shared" si="83"/>
        <v>3531991.8682405027</v>
      </c>
      <c r="M317" s="181">
        <f t="shared" si="83"/>
        <v>24695.103713411776</v>
      </c>
      <c r="N317" s="180">
        <f t="shared" si="83"/>
        <v>14312.103316245562</v>
      </c>
      <c r="O317" s="132">
        <f t="shared" si="83"/>
        <v>10383.000397166212</v>
      </c>
    </row>
    <row r="318" spans="1:15" x14ac:dyDescent="0.25">
      <c r="A318" s="72">
        <f t="shared" si="84"/>
        <v>147</v>
      </c>
      <c r="B318" s="183">
        <f t="shared" si="79"/>
        <v>3165737.782129806</v>
      </c>
      <c r="C318" s="184">
        <f>-'Retail &amp; Restaurant'!$E$98/12</f>
        <v>22449.880274367653</v>
      </c>
      <c r="D318" s="183">
        <f>'Retail &amp; Restaurant'!$E$96/12*B317</f>
        <v>13228.994449809848</v>
      </c>
      <c r="E318" s="185">
        <f t="shared" si="80"/>
        <v>9220.8858245578049</v>
      </c>
      <c r="F318" s="72">
        <f t="shared" si="85"/>
        <v>147</v>
      </c>
      <c r="G318" s="180">
        <f t="shared" si="81"/>
        <v>355829.32368126261</v>
      </c>
      <c r="H318" s="186">
        <f>-'Retail &amp; Restaurant'!$E$103/12</f>
        <v>2245.2234390441222</v>
      </c>
      <c r="I318" s="149">
        <f>'Retail &amp; Restaurant'!$E$101/12*G317</f>
        <v>1041.3468341679049</v>
      </c>
      <c r="J318" s="187">
        <f t="shared" si="82"/>
        <v>1203.8766048762172</v>
      </c>
      <c r="K318" s="72">
        <f t="shared" si="86"/>
        <v>147</v>
      </c>
      <c r="L318" s="180">
        <f t="shared" si="83"/>
        <v>3521567.1058110688</v>
      </c>
      <c r="M318" s="181">
        <f t="shared" si="83"/>
        <v>24695.103713411776</v>
      </c>
      <c r="N318" s="180">
        <f t="shared" si="83"/>
        <v>14270.341283977754</v>
      </c>
      <c r="O318" s="132">
        <f t="shared" si="83"/>
        <v>10424.762429434022</v>
      </c>
    </row>
    <row r="319" spans="1:15" x14ac:dyDescent="0.25">
      <c r="A319" s="72">
        <f t="shared" si="84"/>
        <v>148</v>
      </c>
      <c r="B319" s="183">
        <f t="shared" si="79"/>
        <v>3156478.475947646</v>
      </c>
      <c r="C319" s="184">
        <f>-'Retail &amp; Restaurant'!$E$98/12</f>
        <v>22449.880274367653</v>
      </c>
      <c r="D319" s="183">
        <f>'Retail &amp; Restaurant'!$E$96/12*B318</f>
        <v>13190.574092207526</v>
      </c>
      <c r="E319" s="185">
        <f t="shared" si="80"/>
        <v>9259.3061821601277</v>
      </c>
      <c r="F319" s="72">
        <f t="shared" si="85"/>
        <v>148</v>
      </c>
      <c r="G319" s="180">
        <f t="shared" si="81"/>
        <v>354621.93576962216</v>
      </c>
      <c r="H319" s="186">
        <f>-'Retail &amp; Restaurant'!$E$103/12</f>
        <v>2245.2234390441222</v>
      </c>
      <c r="I319" s="149">
        <f>'Retail &amp; Restaurant'!$E$101/12*G318</f>
        <v>1037.8355274036826</v>
      </c>
      <c r="J319" s="187">
        <f t="shared" si="82"/>
        <v>1207.3879116404396</v>
      </c>
      <c r="K319" s="72">
        <f t="shared" si="86"/>
        <v>148</v>
      </c>
      <c r="L319" s="180">
        <f t="shared" si="83"/>
        <v>3511100.4117172682</v>
      </c>
      <c r="M319" s="181">
        <f t="shared" si="83"/>
        <v>24695.103713411776</v>
      </c>
      <c r="N319" s="180">
        <f t="shared" si="83"/>
        <v>14228.409619611208</v>
      </c>
      <c r="O319" s="132">
        <f t="shared" si="83"/>
        <v>10466.694093800568</v>
      </c>
    </row>
    <row r="320" spans="1:15" x14ac:dyDescent="0.25">
      <c r="A320" s="72">
        <f t="shared" si="84"/>
        <v>149</v>
      </c>
      <c r="B320" s="183">
        <f t="shared" si="79"/>
        <v>3147180.5893230601</v>
      </c>
      <c r="C320" s="184">
        <f>-'Retail &amp; Restaurant'!$E$98/12</f>
        <v>22449.880274367653</v>
      </c>
      <c r="D320" s="183">
        <f>'Retail &amp; Restaurant'!$E$96/12*B319</f>
        <v>13151.993649781858</v>
      </c>
      <c r="E320" s="185">
        <f t="shared" si="80"/>
        <v>9297.8866245857953</v>
      </c>
      <c r="F320" s="72">
        <f t="shared" si="85"/>
        <v>149</v>
      </c>
      <c r="G320" s="180">
        <f t="shared" si="81"/>
        <v>353411.0263099061</v>
      </c>
      <c r="H320" s="186">
        <f>-'Retail &amp; Restaurant'!$E$103/12</f>
        <v>2245.2234390441222</v>
      </c>
      <c r="I320" s="149">
        <f>'Retail &amp; Restaurant'!$E$101/12*G319</f>
        <v>1034.3139793280648</v>
      </c>
      <c r="J320" s="187">
        <f t="shared" si="82"/>
        <v>1210.9094597160574</v>
      </c>
      <c r="K320" s="72">
        <f t="shared" si="86"/>
        <v>149</v>
      </c>
      <c r="L320" s="180">
        <f t="shared" si="83"/>
        <v>3500591.6156329662</v>
      </c>
      <c r="M320" s="181">
        <f t="shared" si="83"/>
        <v>24695.103713411776</v>
      </c>
      <c r="N320" s="180">
        <f t="shared" si="83"/>
        <v>14186.307629109922</v>
      </c>
      <c r="O320" s="132">
        <f t="shared" si="83"/>
        <v>10508.796084301852</v>
      </c>
    </row>
    <row r="321" spans="1:15" x14ac:dyDescent="0.25">
      <c r="A321" s="72">
        <f t="shared" si="84"/>
        <v>150</v>
      </c>
      <c r="B321" s="183">
        <f t="shared" si="79"/>
        <v>3137843.9615042051</v>
      </c>
      <c r="C321" s="184">
        <f>-'Retail &amp; Restaurant'!$E$98/12</f>
        <v>22449.880274367653</v>
      </c>
      <c r="D321" s="183">
        <f>'Retail &amp; Restaurant'!$E$96/12*B320</f>
        <v>13113.252455512751</v>
      </c>
      <c r="E321" s="185">
        <f t="shared" si="80"/>
        <v>9336.6278188549022</v>
      </c>
      <c r="F321" s="72">
        <f t="shared" si="85"/>
        <v>150</v>
      </c>
      <c r="G321" s="180">
        <f t="shared" si="81"/>
        <v>352196.58503093256</v>
      </c>
      <c r="H321" s="186">
        <f>-'Retail &amp; Restaurant'!$E$103/12</f>
        <v>2245.2234390441222</v>
      </c>
      <c r="I321" s="149">
        <f>'Retail &amp; Restaurant'!$E$101/12*G320</f>
        <v>1030.7821600705595</v>
      </c>
      <c r="J321" s="187">
        <f t="shared" si="82"/>
        <v>1214.4412789735627</v>
      </c>
      <c r="K321" s="72">
        <f t="shared" si="86"/>
        <v>150</v>
      </c>
      <c r="L321" s="180">
        <f t="shared" si="83"/>
        <v>3490040.5465351376</v>
      </c>
      <c r="M321" s="181">
        <f t="shared" si="83"/>
        <v>24695.103713411776</v>
      </c>
      <c r="N321" s="180">
        <f t="shared" si="83"/>
        <v>14144.03461558331</v>
      </c>
      <c r="O321" s="132">
        <f t="shared" si="83"/>
        <v>10551.069097828466</v>
      </c>
    </row>
    <row r="322" spans="1:15" x14ac:dyDescent="0.25">
      <c r="A322" s="72">
        <f t="shared" si="84"/>
        <v>151</v>
      </c>
      <c r="B322" s="183">
        <f t="shared" si="79"/>
        <v>3128468.4310694383</v>
      </c>
      <c r="C322" s="184">
        <f>-'Retail &amp; Restaurant'!$E$98/12</f>
        <v>22449.880274367653</v>
      </c>
      <c r="D322" s="183">
        <f>'Retail &amp; Restaurant'!$E$96/12*B321</f>
        <v>13074.349839600854</v>
      </c>
      <c r="E322" s="185">
        <f t="shared" si="80"/>
        <v>9375.5304347667989</v>
      </c>
      <c r="F322" s="72">
        <f t="shared" si="85"/>
        <v>151</v>
      </c>
      <c r="G322" s="180">
        <f t="shared" si="81"/>
        <v>350978.60163156199</v>
      </c>
      <c r="H322" s="186">
        <f>-'Retail &amp; Restaurant'!$E$103/12</f>
        <v>2245.2234390441222</v>
      </c>
      <c r="I322" s="149">
        <f>'Retail &amp; Restaurant'!$E$101/12*G321</f>
        <v>1027.2400396735534</v>
      </c>
      <c r="J322" s="187">
        <f t="shared" si="82"/>
        <v>1217.9833993705688</v>
      </c>
      <c r="K322" s="72">
        <f t="shared" si="86"/>
        <v>151</v>
      </c>
      <c r="L322" s="180">
        <f t="shared" si="83"/>
        <v>3479447.0327010006</v>
      </c>
      <c r="M322" s="181">
        <f t="shared" si="83"/>
        <v>24695.103713411776</v>
      </c>
      <c r="N322" s="180">
        <f t="shared" si="83"/>
        <v>14101.589879274408</v>
      </c>
      <c r="O322" s="132">
        <f t="shared" si="83"/>
        <v>10593.513834137368</v>
      </c>
    </row>
    <row r="323" spans="1:15" x14ac:dyDescent="0.25">
      <c r="A323" s="72">
        <f t="shared" si="84"/>
        <v>152</v>
      </c>
      <c r="B323" s="183">
        <f t="shared" si="79"/>
        <v>3119053.8359245267</v>
      </c>
      <c r="C323" s="184">
        <f>-'Retail &amp; Restaurant'!$E$98/12</f>
        <v>22449.880274367653</v>
      </c>
      <c r="D323" s="183">
        <f>'Retail &amp; Restaurant'!$E$96/12*B322</f>
        <v>13035.285129455993</v>
      </c>
      <c r="E323" s="185">
        <f t="shared" si="80"/>
        <v>9414.5951449116601</v>
      </c>
      <c r="F323" s="72">
        <f t="shared" si="85"/>
        <v>152</v>
      </c>
      <c r="G323" s="180">
        <f t="shared" si="81"/>
        <v>349757.0657806099</v>
      </c>
      <c r="H323" s="186">
        <f>-'Retail &amp; Restaurant'!$E$103/12</f>
        <v>2245.2234390441222</v>
      </c>
      <c r="I323" s="149">
        <f>'Retail &amp; Restaurant'!$E$101/12*G322</f>
        <v>1023.6875880920559</v>
      </c>
      <c r="J323" s="187">
        <f t="shared" si="82"/>
        <v>1221.5358509520663</v>
      </c>
      <c r="K323" s="72">
        <f t="shared" si="86"/>
        <v>152</v>
      </c>
      <c r="L323" s="180">
        <f t="shared" si="83"/>
        <v>3468810.9017051365</v>
      </c>
      <c r="M323" s="181">
        <f t="shared" si="83"/>
        <v>24695.103713411776</v>
      </c>
      <c r="N323" s="180">
        <f t="shared" si="83"/>
        <v>14058.972717548049</v>
      </c>
      <c r="O323" s="132">
        <f t="shared" si="83"/>
        <v>10636.130995863727</v>
      </c>
    </row>
    <row r="324" spans="1:15" x14ac:dyDescent="0.25">
      <c r="A324" s="72">
        <f t="shared" si="84"/>
        <v>153</v>
      </c>
      <c r="B324" s="183">
        <f t="shared" si="79"/>
        <v>3109600.0132998447</v>
      </c>
      <c r="C324" s="184">
        <f>-'Retail &amp; Restaurant'!$E$98/12</f>
        <v>22449.880274367653</v>
      </c>
      <c r="D324" s="183">
        <f>'Retail &amp; Restaurant'!$E$96/12*B323</f>
        <v>12996.057649685528</v>
      </c>
      <c r="E324" s="185">
        <f t="shared" si="80"/>
        <v>9453.822624682125</v>
      </c>
      <c r="F324" s="72">
        <f t="shared" si="85"/>
        <v>153</v>
      </c>
      <c r="G324" s="180">
        <f t="shared" si="81"/>
        <v>348531.96711675922</v>
      </c>
      <c r="H324" s="186">
        <f>-'Retail &amp; Restaurant'!$E$103/12</f>
        <v>2245.2234390441222</v>
      </c>
      <c r="I324" s="149">
        <f>'Retail &amp; Restaurant'!$E$101/12*G323</f>
        <v>1020.1247751934457</v>
      </c>
      <c r="J324" s="187">
        <f t="shared" si="82"/>
        <v>1225.0986638506765</v>
      </c>
      <c r="K324" s="72">
        <f t="shared" si="86"/>
        <v>153</v>
      </c>
      <c r="L324" s="180">
        <f t="shared" si="83"/>
        <v>3458131.9804166039</v>
      </c>
      <c r="M324" s="181">
        <f t="shared" si="83"/>
        <v>24695.103713411776</v>
      </c>
      <c r="N324" s="180">
        <f t="shared" si="83"/>
        <v>14016.182424878974</v>
      </c>
      <c r="O324" s="132">
        <f t="shared" si="83"/>
        <v>10678.921288532802</v>
      </c>
    </row>
    <row r="325" spans="1:15" x14ac:dyDescent="0.25">
      <c r="A325" s="72">
        <f t="shared" si="84"/>
        <v>154</v>
      </c>
      <c r="B325" s="183">
        <f t="shared" si="79"/>
        <v>3100106.7997475597</v>
      </c>
      <c r="C325" s="184">
        <f>-'Retail &amp; Restaurant'!$E$98/12</f>
        <v>22449.880274367653</v>
      </c>
      <c r="D325" s="183">
        <f>'Retail &amp; Restaurant'!$E$96/12*B324</f>
        <v>12956.666722082686</v>
      </c>
      <c r="E325" s="185">
        <f t="shared" si="80"/>
        <v>9493.2135522849676</v>
      </c>
      <c r="F325" s="72">
        <f t="shared" si="85"/>
        <v>154</v>
      </c>
      <c r="G325" s="180">
        <f t="shared" si="81"/>
        <v>347303.29524847231</v>
      </c>
      <c r="H325" s="186">
        <f>-'Retail &amp; Restaurant'!$E$103/12</f>
        <v>2245.2234390441222</v>
      </c>
      <c r="I325" s="149">
        <f>'Retail &amp; Restaurant'!$E$101/12*G324</f>
        <v>1016.5515707572144</v>
      </c>
      <c r="J325" s="187">
        <f t="shared" si="82"/>
        <v>1228.6718682869077</v>
      </c>
      <c r="K325" s="72">
        <f t="shared" si="86"/>
        <v>154</v>
      </c>
      <c r="L325" s="180">
        <f t="shared" si="83"/>
        <v>3447410.0949960318</v>
      </c>
      <c r="M325" s="181">
        <f t="shared" si="83"/>
        <v>24695.103713411776</v>
      </c>
      <c r="N325" s="180">
        <f t="shared" si="83"/>
        <v>13973.2182928399</v>
      </c>
      <c r="O325" s="132">
        <f t="shared" si="83"/>
        <v>10721.885420571874</v>
      </c>
    </row>
    <row r="326" spans="1:15" x14ac:dyDescent="0.25">
      <c r="A326" s="72">
        <f t="shared" si="84"/>
        <v>155</v>
      </c>
      <c r="B326" s="183">
        <f t="shared" si="79"/>
        <v>3090574.0311388071</v>
      </c>
      <c r="C326" s="184">
        <f>-'Retail &amp; Restaurant'!$E$98/12</f>
        <v>22449.880274367653</v>
      </c>
      <c r="D326" s="183">
        <f>'Retail &amp; Restaurant'!$E$96/12*B325</f>
        <v>12917.111665614832</v>
      </c>
      <c r="E326" s="185">
        <f t="shared" si="80"/>
        <v>9532.7686087528218</v>
      </c>
      <c r="F326" s="72">
        <f t="shared" si="85"/>
        <v>155</v>
      </c>
      <c r="G326" s="180">
        <f t="shared" si="81"/>
        <v>346071.03975390288</v>
      </c>
      <c r="H326" s="186">
        <f>-'Retail &amp; Restaurant'!$E$103/12</f>
        <v>2245.2234390441222</v>
      </c>
      <c r="I326" s="149">
        <f>'Retail &amp; Restaurant'!$E$101/12*G325</f>
        <v>1012.967944474711</v>
      </c>
      <c r="J326" s="187">
        <f t="shared" si="82"/>
        <v>1232.2554945694112</v>
      </c>
      <c r="K326" s="72">
        <f t="shared" si="86"/>
        <v>155</v>
      </c>
      <c r="L326" s="180">
        <f t="shared" si="83"/>
        <v>3436645.0708927098</v>
      </c>
      <c r="M326" s="181">
        <f t="shared" si="83"/>
        <v>24695.103713411776</v>
      </c>
      <c r="N326" s="180">
        <f t="shared" si="83"/>
        <v>13930.079610089542</v>
      </c>
      <c r="O326" s="132">
        <f t="shared" si="83"/>
        <v>10765.024103322234</v>
      </c>
    </row>
    <row r="327" spans="1:15" x14ac:dyDescent="0.25">
      <c r="A327" s="72">
        <f t="shared" si="84"/>
        <v>156</v>
      </c>
      <c r="B327" s="183">
        <f t="shared" si="79"/>
        <v>3081001.542660851</v>
      </c>
      <c r="C327" s="184">
        <f>-'Retail &amp; Restaurant'!$E$98/12</f>
        <v>22449.880274367653</v>
      </c>
      <c r="D327" s="183">
        <f>'Retail &amp; Restaurant'!$E$96/12*B326</f>
        <v>12877.391796411695</v>
      </c>
      <c r="E327" s="185">
        <f t="shared" si="80"/>
        <v>9572.4884779559579</v>
      </c>
      <c r="F327" s="72">
        <f t="shared" si="85"/>
        <v>156</v>
      </c>
      <c r="G327" s="180">
        <f t="shared" si="81"/>
        <v>344835.19018080767</v>
      </c>
      <c r="H327" s="186">
        <f>-'Retail &amp; Restaurant'!$E$103/12</f>
        <v>2245.2234390441222</v>
      </c>
      <c r="I327" s="149">
        <f>'Retail &amp; Restaurant'!$E$101/12*G326</f>
        <v>1009.3738659488835</v>
      </c>
      <c r="J327" s="187">
        <f t="shared" si="82"/>
        <v>1235.8495730952386</v>
      </c>
      <c r="K327" s="72">
        <f t="shared" si="86"/>
        <v>156</v>
      </c>
      <c r="L327" s="180">
        <f t="shared" si="83"/>
        <v>3425836.7328416589</v>
      </c>
      <c r="M327" s="181">
        <f t="shared" si="83"/>
        <v>24695.103713411776</v>
      </c>
      <c r="N327" s="180">
        <f t="shared" si="83"/>
        <v>13886.765662360578</v>
      </c>
      <c r="O327" s="132">
        <f t="shared" si="83"/>
        <v>10808.338051051196</v>
      </c>
    </row>
    <row r="328" spans="1:15" x14ac:dyDescent="0.25">
      <c r="A328" s="72">
        <f t="shared" si="84"/>
        <v>157</v>
      </c>
      <c r="B328" s="183">
        <f t="shared" si="79"/>
        <v>3071389.1688142368</v>
      </c>
      <c r="C328" s="184">
        <f>-'Retail &amp; Restaurant'!$E$98/12</f>
        <v>22449.880274367653</v>
      </c>
      <c r="D328" s="183">
        <f>'Retail &amp; Restaurant'!$E$96/12*B327</f>
        <v>12837.506427753546</v>
      </c>
      <c r="E328" s="185">
        <f t="shared" si="80"/>
        <v>9612.3738466141076</v>
      </c>
      <c r="F328" s="72">
        <f t="shared" si="85"/>
        <v>157</v>
      </c>
      <c r="G328" s="180">
        <f t="shared" si="81"/>
        <v>343595.73604645755</v>
      </c>
      <c r="H328" s="186">
        <f>-'Retail &amp; Restaurant'!$E$103/12</f>
        <v>2245.2234390441222</v>
      </c>
      <c r="I328" s="149">
        <f>'Retail &amp; Restaurant'!$E$101/12*G327</f>
        <v>1005.7693046940224</v>
      </c>
      <c r="J328" s="187">
        <f t="shared" si="82"/>
        <v>1239.4541343500998</v>
      </c>
      <c r="K328" s="72">
        <f t="shared" si="86"/>
        <v>157</v>
      </c>
      <c r="L328" s="180">
        <f t="shared" si="83"/>
        <v>3414984.9048606944</v>
      </c>
      <c r="M328" s="181">
        <f t="shared" si="83"/>
        <v>24695.103713411776</v>
      </c>
      <c r="N328" s="180">
        <f t="shared" si="83"/>
        <v>13843.275732447568</v>
      </c>
      <c r="O328" s="132">
        <f t="shared" si="83"/>
        <v>10851.827980964208</v>
      </c>
    </row>
    <row r="329" spans="1:15" x14ac:dyDescent="0.25">
      <c r="A329" s="72">
        <f t="shared" si="84"/>
        <v>158</v>
      </c>
      <c r="B329" s="183">
        <f t="shared" si="79"/>
        <v>3061736.7434099284</v>
      </c>
      <c r="C329" s="184">
        <f>-'Retail &amp; Restaurant'!$E$98/12</f>
        <v>22449.880274367653</v>
      </c>
      <c r="D329" s="183">
        <f>'Retail &amp; Restaurant'!$E$96/12*B328</f>
        <v>12797.45487005932</v>
      </c>
      <c r="E329" s="185">
        <f t="shared" si="80"/>
        <v>9652.4254043083329</v>
      </c>
      <c r="F329" s="72">
        <f t="shared" si="85"/>
        <v>158</v>
      </c>
      <c r="G329" s="180">
        <f t="shared" si="81"/>
        <v>342352.66683754895</v>
      </c>
      <c r="H329" s="186">
        <f>-'Retail &amp; Restaurant'!$E$103/12</f>
        <v>2245.2234390441222</v>
      </c>
      <c r="I329" s="149">
        <f>'Retail &amp; Restaurant'!$E$101/12*G328</f>
        <v>1002.1542301355013</v>
      </c>
      <c r="J329" s="187">
        <f t="shared" si="82"/>
        <v>1243.069208908621</v>
      </c>
      <c r="K329" s="72">
        <f t="shared" si="86"/>
        <v>158</v>
      </c>
      <c r="L329" s="180">
        <f t="shared" si="83"/>
        <v>3404089.4102474772</v>
      </c>
      <c r="M329" s="181">
        <f t="shared" si="83"/>
        <v>24695.103713411776</v>
      </c>
      <c r="N329" s="180">
        <f t="shared" si="83"/>
        <v>13799.609100194823</v>
      </c>
      <c r="O329" s="132">
        <f t="shared" si="83"/>
        <v>10895.494613216953</v>
      </c>
    </row>
    <row r="330" spans="1:15" x14ac:dyDescent="0.25">
      <c r="A330" s="72">
        <f t="shared" si="84"/>
        <v>159</v>
      </c>
      <c r="B330" s="183">
        <f t="shared" si="79"/>
        <v>3052044.0995664354</v>
      </c>
      <c r="C330" s="184">
        <f>-'Retail &amp; Restaurant'!$E$98/12</f>
        <v>22449.880274367653</v>
      </c>
      <c r="D330" s="183">
        <f>'Retail &amp; Restaurant'!$E$96/12*B329</f>
        <v>12757.236430874702</v>
      </c>
      <c r="E330" s="185">
        <f t="shared" si="80"/>
        <v>9692.6438434929514</v>
      </c>
      <c r="F330" s="72">
        <f t="shared" si="85"/>
        <v>159</v>
      </c>
      <c r="G330" s="180">
        <f t="shared" si="81"/>
        <v>341105.97201011435</v>
      </c>
      <c r="H330" s="186">
        <f>-'Retail &amp; Restaurant'!$E$103/12</f>
        <v>2245.2234390441222</v>
      </c>
      <c r="I330" s="149">
        <f>'Retail &amp; Restaurant'!$E$101/12*G329</f>
        <v>998.52861160951784</v>
      </c>
      <c r="J330" s="187">
        <f t="shared" si="82"/>
        <v>1246.6948274346043</v>
      </c>
      <c r="K330" s="72">
        <f t="shared" si="86"/>
        <v>159</v>
      </c>
      <c r="L330" s="180">
        <f t="shared" si="83"/>
        <v>3393150.0715765497</v>
      </c>
      <c r="M330" s="181">
        <f t="shared" si="83"/>
        <v>24695.103713411776</v>
      </c>
      <c r="N330" s="180">
        <f t="shared" si="83"/>
        <v>13755.76504248422</v>
      </c>
      <c r="O330" s="132">
        <f t="shared" si="83"/>
        <v>10939.338670927556</v>
      </c>
    </row>
    <row r="331" spans="1:15" x14ac:dyDescent="0.25">
      <c r="A331" s="72">
        <f t="shared" si="84"/>
        <v>160</v>
      </c>
      <c r="B331" s="183">
        <f t="shared" si="79"/>
        <v>3042311.069706928</v>
      </c>
      <c r="C331" s="184">
        <f>-'Retail &amp; Restaurant'!$E$98/12</f>
        <v>22449.880274367653</v>
      </c>
      <c r="D331" s="183">
        <f>'Retail &amp; Restaurant'!$E$96/12*B330</f>
        <v>12716.850414860148</v>
      </c>
      <c r="E331" s="185">
        <f t="shared" si="80"/>
        <v>9733.0298595075055</v>
      </c>
      <c r="F331" s="72">
        <f t="shared" si="85"/>
        <v>160</v>
      </c>
      <c r="G331" s="180">
        <f t="shared" si="81"/>
        <v>339855.64098943304</v>
      </c>
      <c r="H331" s="186">
        <f>-'Retail &amp; Restaurant'!$E$103/12</f>
        <v>2245.2234390441222</v>
      </c>
      <c r="I331" s="149">
        <f>'Retail &amp; Restaurant'!$E$101/12*G330</f>
        <v>994.89241836283361</v>
      </c>
      <c r="J331" s="187">
        <f t="shared" si="82"/>
        <v>1250.3310206812885</v>
      </c>
      <c r="K331" s="72">
        <f t="shared" si="86"/>
        <v>160</v>
      </c>
      <c r="L331" s="180">
        <f t="shared" si="83"/>
        <v>3382166.710696361</v>
      </c>
      <c r="M331" s="181">
        <f t="shared" si="83"/>
        <v>24695.103713411776</v>
      </c>
      <c r="N331" s="180">
        <f t="shared" si="83"/>
        <v>13711.742833222981</v>
      </c>
      <c r="O331" s="132">
        <f t="shared" si="83"/>
        <v>10983.360880188793</v>
      </c>
    </row>
    <row r="332" spans="1:15" x14ac:dyDescent="0.25">
      <c r="A332" s="72">
        <f t="shared" si="84"/>
        <v>161</v>
      </c>
      <c r="B332" s="183">
        <f t="shared" si="79"/>
        <v>3032537.4855563394</v>
      </c>
      <c r="C332" s="184">
        <f>-'Retail &amp; Restaurant'!$E$98/12</f>
        <v>22449.880274367653</v>
      </c>
      <c r="D332" s="183">
        <f>'Retail &amp; Restaurant'!$E$96/12*B331</f>
        <v>12676.296123778866</v>
      </c>
      <c r="E332" s="185">
        <f t="shared" si="80"/>
        <v>9773.5841505887875</v>
      </c>
      <c r="F332" s="72">
        <f t="shared" si="85"/>
        <v>161</v>
      </c>
      <c r="G332" s="180">
        <f t="shared" si="81"/>
        <v>338601.66316994146</v>
      </c>
      <c r="H332" s="186">
        <f>-'Retail &amp; Restaurant'!$E$103/12</f>
        <v>2245.2234390441222</v>
      </c>
      <c r="I332" s="149">
        <f>'Retail &amp; Restaurant'!$E$101/12*G331</f>
        <v>991.24561955251306</v>
      </c>
      <c r="J332" s="187">
        <f t="shared" si="82"/>
        <v>1253.9778194916091</v>
      </c>
      <c r="K332" s="72">
        <f t="shared" si="86"/>
        <v>161</v>
      </c>
      <c r="L332" s="180">
        <f t="shared" si="83"/>
        <v>3371139.1487262808</v>
      </c>
      <c r="M332" s="181">
        <f t="shared" si="83"/>
        <v>24695.103713411776</v>
      </c>
      <c r="N332" s="180">
        <f t="shared" si="83"/>
        <v>13667.54174333138</v>
      </c>
      <c r="O332" s="132">
        <f t="shared" si="83"/>
        <v>11027.561970080396</v>
      </c>
    </row>
    <row r="333" spans="1:15" x14ac:dyDescent="0.25">
      <c r="A333" s="72">
        <f t="shared" si="84"/>
        <v>162</v>
      </c>
      <c r="B333" s="183">
        <f t="shared" si="79"/>
        <v>3022723.1781384563</v>
      </c>
      <c r="C333" s="184">
        <f>-'Retail &amp; Restaurant'!$E$98/12</f>
        <v>22449.880274367653</v>
      </c>
      <c r="D333" s="183">
        <f>'Retail &amp; Restaurant'!$E$96/12*B332</f>
        <v>12635.572856484747</v>
      </c>
      <c r="E333" s="185">
        <f t="shared" si="80"/>
        <v>9814.3074178829065</v>
      </c>
      <c r="F333" s="72">
        <f t="shared" si="85"/>
        <v>162</v>
      </c>
      <c r="G333" s="180">
        <f t="shared" si="81"/>
        <v>337344.027915143</v>
      </c>
      <c r="H333" s="186">
        <f>-'Retail &amp; Restaurant'!$E$103/12</f>
        <v>2245.2234390441222</v>
      </c>
      <c r="I333" s="149">
        <f>'Retail &amp; Restaurant'!$E$101/12*G332</f>
        <v>987.58818424566266</v>
      </c>
      <c r="J333" s="187">
        <f t="shared" si="82"/>
        <v>1257.6352547984595</v>
      </c>
      <c r="K333" s="72">
        <f t="shared" si="86"/>
        <v>162</v>
      </c>
      <c r="L333" s="180">
        <f t="shared" si="83"/>
        <v>3360067.2060535992</v>
      </c>
      <c r="M333" s="181">
        <f t="shared" si="83"/>
        <v>24695.103713411776</v>
      </c>
      <c r="N333" s="180">
        <f t="shared" si="83"/>
        <v>13623.161040730409</v>
      </c>
      <c r="O333" s="132">
        <f t="shared" si="83"/>
        <v>11071.942672681365</v>
      </c>
    </row>
    <row r="334" spans="1:15" x14ac:dyDescent="0.25">
      <c r="A334" s="72">
        <f t="shared" si="84"/>
        <v>163</v>
      </c>
      <c r="B334" s="183">
        <f t="shared" si="79"/>
        <v>3012867.9777729991</v>
      </c>
      <c r="C334" s="184">
        <f>-'Retail &amp; Restaurant'!$E$98/12</f>
        <v>22449.880274367653</v>
      </c>
      <c r="D334" s="183">
        <f>'Retail &amp; Restaurant'!$E$96/12*B333</f>
        <v>12594.679908910235</v>
      </c>
      <c r="E334" s="185">
        <f t="shared" si="80"/>
        <v>9855.2003654574182</v>
      </c>
      <c r="F334" s="72">
        <f t="shared" si="85"/>
        <v>163</v>
      </c>
      <c r="G334" s="180">
        <f t="shared" si="81"/>
        <v>336082.72455751803</v>
      </c>
      <c r="H334" s="186">
        <f>-'Retail &amp; Restaurant'!$E$103/12</f>
        <v>2245.2234390441222</v>
      </c>
      <c r="I334" s="149">
        <f>'Retail &amp; Restaurant'!$E$101/12*G333</f>
        <v>983.9200814191671</v>
      </c>
      <c r="J334" s="187">
        <f t="shared" si="82"/>
        <v>1261.303357624955</v>
      </c>
      <c r="K334" s="72">
        <f t="shared" si="86"/>
        <v>163</v>
      </c>
      <c r="L334" s="180">
        <f t="shared" si="83"/>
        <v>3348950.7023305171</v>
      </c>
      <c r="M334" s="181">
        <f t="shared" si="83"/>
        <v>24695.103713411776</v>
      </c>
      <c r="N334" s="180">
        <f t="shared" si="83"/>
        <v>13578.599990329401</v>
      </c>
      <c r="O334" s="132">
        <f t="shared" si="83"/>
        <v>11116.503723082373</v>
      </c>
    </row>
    <row r="335" spans="1:15" x14ac:dyDescent="0.25">
      <c r="A335" s="72">
        <f t="shared" si="84"/>
        <v>164</v>
      </c>
      <c r="B335" s="183">
        <f t="shared" si="79"/>
        <v>3002971.7140726857</v>
      </c>
      <c r="C335" s="184">
        <f>-'Retail &amp; Restaurant'!$E$98/12</f>
        <v>22449.880274367653</v>
      </c>
      <c r="D335" s="183">
        <f>'Retail &amp; Restaurant'!$E$96/12*B334</f>
        <v>12553.616574054162</v>
      </c>
      <c r="E335" s="185">
        <f t="shared" si="80"/>
        <v>9896.2637003134914</v>
      </c>
      <c r="F335" s="72">
        <f t="shared" si="85"/>
        <v>164</v>
      </c>
      <c r="G335" s="180">
        <f t="shared" si="81"/>
        <v>334817.74239843333</v>
      </c>
      <c r="H335" s="186">
        <f>-'Retail &amp; Restaurant'!$E$103/12</f>
        <v>2245.2234390441222</v>
      </c>
      <c r="I335" s="149">
        <f>'Retail &amp; Restaurant'!$E$101/12*G334</f>
        <v>980.24127995942763</v>
      </c>
      <c r="J335" s="187">
        <f t="shared" si="82"/>
        <v>1264.9821590846946</v>
      </c>
      <c r="K335" s="72">
        <f t="shared" si="86"/>
        <v>164</v>
      </c>
      <c r="L335" s="180">
        <f t="shared" si="83"/>
        <v>3337789.4564711191</v>
      </c>
      <c r="M335" s="181">
        <f t="shared" si="83"/>
        <v>24695.103713411776</v>
      </c>
      <c r="N335" s="180">
        <f t="shared" si="83"/>
        <v>13533.85785401359</v>
      </c>
      <c r="O335" s="132">
        <f t="shared" si="83"/>
        <v>11161.245859398186</v>
      </c>
    </row>
    <row r="336" spans="1:15" x14ac:dyDescent="0.25">
      <c r="A336" s="72">
        <f t="shared" si="84"/>
        <v>165</v>
      </c>
      <c r="B336" s="183">
        <f t="shared" si="79"/>
        <v>2993034.2159402873</v>
      </c>
      <c r="C336" s="184">
        <f>-'Retail &amp; Restaurant'!$E$98/12</f>
        <v>22449.880274367653</v>
      </c>
      <c r="D336" s="183">
        <f>'Retail &amp; Restaurant'!$E$96/12*B335</f>
        <v>12512.382141969523</v>
      </c>
      <c r="E336" s="185">
        <f t="shared" si="80"/>
        <v>9937.4981323981301</v>
      </c>
      <c r="F336" s="72">
        <f t="shared" si="85"/>
        <v>165</v>
      </c>
      <c r="G336" s="180">
        <f t="shared" si="81"/>
        <v>333549.07070805132</v>
      </c>
      <c r="H336" s="186">
        <f>-'Retail &amp; Restaurant'!$E$103/12</f>
        <v>2245.2234390441222</v>
      </c>
      <c r="I336" s="149">
        <f>'Retail &amp; Restaurant'!$E$101/12*G335</f>
        <v>976.55174866209722</v>
      </c>
      <c r="J336" s="187">
        <f t="shared" si="82"/>
        <v>1268.671690382025</v>
      </c>
      <c r="K336" s="72">
        <f t="shared" si="86"/>
        <v>165</v>
      </c>
      <c r="L336" s="180">
        <f t="shared" si="83"/>
        <v>3326583.2866483387</v>
      </c>
      <c r="M336" s="181">
        <f t="shared" si="83"/>
        <v>24695.103713411776</v>
      </c>
      <c r="N336" s="180">
        <f t="shared" si="83"/>
        <v>13488.933890631621</v>
      </c>
      <c r="O336" s="132">
        <f t="shared" si="83"/>
        <v>11206.169822780155</v>
      </c>
    </row>
    <row r="337" spans="1:15" x14ac:dyDescent="0.25">
      <c r="A337" s="72">
        <f t="shared" si="84"/>
        <v>166</v>
      </c>
      <c r="B337" s="183">
        <f t="shared" si="79"/>
        <v>2983055.3115656707</v>
      </c>
      <c r="C337" s="184">
        <f>-'Retail &amp; Restaurant'!$E$98/12</f>
        <v>22449.880274367653</v>
      </c>
      <c r="D337" s="183">
        <f>'Retail &amp; Restaurant'!$E$96/12*B336</f>
        <v>12470.975899751196</v>
      </c>
      <c r="E337" s="185">
        <f t="shared" si="80"/>
        <v>9978.9043746164571</v>
      </c>
      <c r="F337" s="72">
        <f t="shared" si="85"/>
        <v>166</v>
      </c>
      <c r="G337" s="180">
        <f t="shared" si="81"/>
        <v>332276.69872523902</v>
      </c>
      <c r="H337" s="186">
        <f>-'Retail &amp; Restaurant'!$E$103/12</f>
        <v>2245.2234390441222</v>
      </c>
      <c r="I337" s="149">
        <f>'Retail &amp; Restaurant'!$E$101/12*G336</f>
        <v>972.85145623181643</v>
      </c>
      <c r="J337" s="187">
        <f t="shared" si="82"/>
        <v>1272.3719828123058</v>
      </c>
      <c r="K337" s="72">
        <f t="shared" si="86"/>
        <v>166</v>
      </c>
      <c r="L337" s="180">
        <f t="shared" si="83"/>
        <v>3315332.0102909096</v>
      </c>
      <c r="M337" s="181">
        <f t="shared" si="83"/>
        <v>24695.103713411776</v>
      </c>
      <c r="N337" s="180">
        <f t="shared" si="83"/>
        <v>13443.827355983012</v>
      </c>
      <c r="O337" s="132">
        <f t="shared" si="83"/>
        <v>11251.276357428764</v>
      </c>
    </row>
    <row r="338" spans="1:15" x14ac:dyDescent="0.25">
      <c r="A338" s="72">
        <f t="shared" si="84"/>
        <v>167</v>
      </c>
      <c r="B338" s="183">
        <f t="shared" si="79"/>
        <v>2973034.8284228267</v>
      </c>
      <c r="C338" s="184">
        <f>-'Retail &amp; Restaurant'!$E$98/12</f>
        <v>22449.880274367653</v>
      </c>
      <c r="D338" s="183">
        <f>'Retail &amp; Restaurant'!$E$96/12*B337</f>
        <v>12429.397131523627</v>
      </c>
      <c r="E338" s="185">
        <f t="shared" si="80"/>
        <v>10020.483142844027</v>
      </c>
      <c r="F338" s="72">
        <f t="shared" si="85"/>
        <v>167</v>
      </c>
      <c r="G338" s="180">
        <f t="shared" si="81"/>
        <v>331000.61565747682</v>
      </c>
      <c r="H338" s="186">
        <f>-'Retail &amp; Restaurant'!$E$103/12</f>
        <v>2245.2234390441222</v>
      </c>
      <c r="I338" s="149">
        <f>'Retail &amp; Restaurant'!$E$101/12*G337</f>
        <v>969.14037128194718</v>
      </c>
      <c r="J338" s="187">
        <f t="shared" si="82"/>
        <v>1276.083067762175</v>
      </c>
      <c r="K338" s="72">
        <f t="shared" si="86"/>
        <v>167</v>
      </c>
      <c r="L338" s="180">
        <f t="shared" si="83"/>
        <v>3304035.4440803034</v>
      </c>
      <c r="M338" s="181">
        <f t="shared" si="83"/>
        <v>24695.103713411776</v>
      </c>
      <c r="N338" s="180">
        <f t="shared" si="83"/>
        <v>13398.537502805573</v>
      </c>
      <c r="O338" s="132">
        <f t="shared" si="83"/>
        <v>11296.566210606201</v>
      </c>
    </row>
    <row r="339" spans="1:15" x14ac:dyDescent="0.25">
      <c r="A339" s="72">
        <f t="shared" si="84"/>
        <v>168</v>
      </c>
      <c r="B339" s="183">
        <f t="shared" si="79"/>
        <v>2962972.5932668876</v>
      </c>
      <c r="C339" s="184">
        <f>-'Retail &amp; Restaurant'!$E$98/12</f>
        <v>22449.880274367653</v>
      </c>
      <c r="D339" s="183">
        <f>'Retail &amp; Restaurant'!$E$96/12*B338</f>
        <v>12387.645118428445</v>
      </c>
      <c r="E339" s="185">
        <f t="shared" si="80"/>
        <v>10062.235155939208</v>
      </c>
      <c r="F339" s="72">
        <f t="shared" si="85"/>
        <v>168</v>
      </c>
      <c r="G339" s="180">
        <f t="shared" si="81"/>
        <v>329720.810680767</v>
      </c>
      <c r="H339" s="186">
        <f>-'Retail &amp; Restaurant'!$E$103/12</f>
        <v>2245.2234390441222</v>
      </c>
      <c r="I339" s="149">
        <f>'Retail &amp; Restaurant'!$E$101/12*G338</f>
        <v>965.41846233430749</v>
      </c>
      <c r="J339" s="187">
        <f t="shared" si="82"/>
        <v>1279.8049767098146</v>
      </c>
      <c r="K339" s="72">
        <f t="shared" si="86"/>
        <v>168</v>
      </c>
      <c r="L339" s="180">
        <f t="shared" si="83"/>
        <v>3292693.4039476546</v>
      </c>
      <c r="M339" s="181">
        <f t="shared" si="83"/>
        <v>24695.103713411776</v>
      </c>
      <c r="N339" s="180">
        <f t="shared" si="83"/>
        <v>13353.063580762753</v>
      </c>
      <c r="O339" s="132">
        <f t="shared" si="83"/>
        <v>11342.040132649023</v>
      </c>
    </row>
    <row r="340" spans="1:15" x14ac:dyDescent="0.25">
      <c r="A340" s="72">
        <f t="shared" si="84"/>
        <v>169</v>
      </c>
      <c r="B340" s="183">
        <f t="shared" si="79"/>
        <v>2952868.4321311321</v>
      </c>
      <c r="C340" s="184">
        <f>-'Retail &amp; Restaurant'!$E$98/12</f>
        <v>22449.880274367653</v>
      </c>
      <c r="D340" s="183">
        <f>'Retail &amp; Restaurant'!$E$96/12*B339</f>
        <v>12345.719138612032</v>
      </c>
      <c r="E340" s="185">
        <f t="shared" si="80"/>
        <v>10104.161135755621</v>
      </c>
      <c r="F340" s="72">
        <f t="shared" si="85"/>
        <v>169</v>
      </c>
      <c r="G340" s="180">
        <f t="shared" si="81"/>
        <v>328437.27293954178</v>
      </c>
      <c r="H340" s="186">
        <f>-'Retail &amp; Restaurant'!$E$103/12</f>
        <v>2245.2234390441222</v>
      </c>
      <c r="I340" s="149">
        <f>'Retail &amp; Restaurant'!$E$101/12*G339</f>
        <v>961.6856978189038</v>
      </c>
      <c r="J340" s="187">
        <f t="shared" si="82"/>
        <v>1283.5377412252183</v>
      </c>
      <c r="K340" s="72">
        <f t="shared" si="86"/>
        <v>169</v>
      </c>
      <c r="L340" s="180">
        <f t="shared" si="83"/>
        <v>3281305.705070674</v>
      </c>
      <c r="M340" s="181">
        <f t="shared" si="83"/>
        <v>24695.103713411776</v>
      </c>
      <c r="N340" s="180">
        <f t="shared" si="83"/>
        <v>13307.404836430936</v>
      </c>
      <c r="O340" s="132">
        <f t="shared" si="83"/>
        <v>11387.698876980839</v>
      </c>
    </row>
    <row r="341" spans="1:15" x14ac:dyDescent="0.25">
      <c r="A341" s="72">
        <f t="shared" si="84"/>
        <v>170</v>
      </c>
      <c r="B341" s="183">
        <f t="shared" si="79"/>
        <v>2942722.1703239777</v>
      </c>
      <c r="C341" s="184">
        <f>-'Retail &amp; Restaurant'!$E$98/12</f>
        <v>22449.880274367653</v>
      </c>
      <c r="D341" s="183">
        <f>'Retail &amp; Restaurant'!$E$96/12*B340</f>
        <v>12303.618467213051</v>
      </c>
      <c r="E341" s="185">
        <f t="shared" si="80"/>
        <v>10146.261807154602</v>
      </c>
      <c r="F341" s="72">
        <f t="shared" si="85"/>
        <v>170</v>
      </c>
      <c r="G341" s="180">
        <f t="shared" si="81"/>
        <v>327149.99154657131</v>
      </c>
      <c r="H341" s="186">
        <f>-'Retail &amp; Restaurant'!$E$103/12</f>
        <v>2245.2234390441222</v>
      </c>
      <c r="I341" s="149">
        <f>'Retail &amp; Restaurant'!$E$101/12*G340</f>
        <v>957.94204607366362</v>
      </c>
      <c r="J341" s="187">
        <f t="shared" si="82"/>
        <v>1287.2813929704585</v>
      </c>
      <c r="K341" s="72">
        <f t="shared" si="86"/>
        <v>170</v>
      </c>
      <c r="L341" s="180">
        <f t="shared" si="83"/>
        <v>3269872.161870549</v>
      </c>
      <c r="M341" s="181">
        <f t="shared" si="83"/>
        <v>24695.103713411776</v>
      </c>
      <c r="N341" s="180">
        <f t="shared" si="83"/>
        <v>13261.560513286715</v>
      </c>
      <c r="O341" s="132">
        <f t="shared" si="83"/>
        <v>11433.543200125061</v>
      </c>
    </row>
    <row r="342" spans="1:15" x14ac:dyDescent="0.25">
      <c r="A342" s="72">
        <f t="shared" si="84"/>
        <v>171</v>
      </c>
      <c r="B342" s="183">
        <f t="shared" si="79"/>
        <v>2932533.6324259602</v>
      </c>
      <c r="C342" s="184">
        <f>-'Retail &amp; Restaurant'!$E$98/12</f>
        <v>22449.880274367653</v>
      </c>
      <c r="D342" s="183">
        <f>'Retail &amp; Restaurant'!$E$96/12*B341</f>
        <v>12261.342376349907</v>
      </c>
      <c r="E342" s="185">
        <f t="shared" si="80"/>
        <v>10188.537898017747</v>
      </c>
      <c r="F342" s="72">
        <f t="shared" si="85"/>
        <v>171</v>
      </c>
      <c r="G342" s="180">
        <f t="shared" si="81"/>
        <v>325858.95558287133</v>
      </c>
      <c r="H342" s="186">
        <f>-'Retail &amp; Restaurant'!$E$103/12</f>
        <v>2245.2234390441222</v>
      </c>
      <c r="I342" s="149">
        <f>'Retail &amp; Restaurant'!$E$101/12*G341</f>
        <v>954.18747534416639</v>
      </c>
      <c r="J342" s="187">
        <f t="shared" si="82"/>
        <v>1291.0359636999558</v>
      </c>
      <c r="K342" s="72">
        <f t="shared" si="86"/>
        <v>171</v>
      </c>
      <c r="L342" s="180">
        <f t="shared" si="83"/>
        <v>3258392.5880088313</v>
      </c>
      <c r="M342" s="181">
        <f t="shared" si="83"/>
        <v>24695.103713411776</v>
      </c>
      <c r="N342" s="180">
        <f t="shared" si="83"/>
        <v>13215.529851694073</v>
      </c>
      <c r="O342" s="132">
        <f t="shared" si="83"/>
        <v>11479.573861717703</v>
      </c>
    </row>
    <row r="343" spans="1:15" x14ac:dyDescent="0.25">
      <c r="A343" s="72">
        <f t="shared" si="84"/>
        <v>172</v>
      </c>
      <c r="B343" s="183">
        <f t="shared" si="79"/>
        <v>2922302.6422867007</v>
      </c>
      <c r="C343" s="184">
        <f>-'Retail &amp; Restaurant'!$E$98/12</f>
        <v>22449.880274367653</v>
      </c>
      <c r="D343" s="183">
        <f>'Retail &amp; Restaurant'!$E$96/12*B342</f>
        <v>12218.890135108168</v>
      </c>
      <c r="E343" s="185">
        <f t="shared" si="80"/>
        <v>10230.990139259486</v>
      </c>
      <c r="F343" s="72">
        <f t="shared" si="85"/>
        <v>172</v>
      </c>
      <c r="G343" s="180">
        <f t="shared" si="81"/>
        <v>324564.15409761056</v>
      </c>
      <c r="H343" s="186">
        <f>-'Retail &amp; Restaurant'!$E$103/12</f>
        <v>2245.2234390441222</v>
      </c>
      <c r="I343" s="149">
        <f>'Retail &amp; Restaurant'!$E$101/12*G342</f>
        <v>950.42195378337476</v>
      </c>
      <c r="J343" s="187">
        <f t="shared" si="82"/>
        <v>1294.8014852607475</v>
      </c>
      <c r="K343" s="72">
        <f t="shared" si="86"/>
        <v>172</v>
      </c>
      <c r="L343" s="180">
        <f t="shared" si="83"/>
        <v>3246866.7963843113</v>
      </c>
      <c r="M343" s="181">
        <f t="shared" si="83"/>
        <v>24695.103713411776</v>
      </c>
      <c r="N343" s="180">
        <f t="shared" si="83"/>
        <v>13169.312088891542</v>
      </c>
      <c r="O343" s="132">
        <f t="shared" si="83"/>
        <v>11525.791624520232</v>
      </c>
    </row>
    <row r="344" spans="1:15" x14ac:dyDescent="0.25">
      <c r="A344" s="72">
        <f t="shared" si="84"/>
        <v>173</v>
      </c>
      <c r="B344" s="183">
        <f t="shared" si="79"/>
        <v>2912029.023021861</v>
      </c>
      <c r="C344" s="184">
        <f>-'Retail &amp; Restaurant'!$E$98/12</f>
        <v>22449.880274367653</v>
      </c>
      <c r="D344" s="183">
        <f>'Retail &amp; Restaurant'!$E$96/12*B343</f>
        <v>12176.26100952792</v>
      </c>
      <c r="E344" s="185">
        <f t="shared" si="80"/>
        <v>10273.619264839734</v>
      </c>
      <c r="F344" s="72">
        <f t="shared" si="85"/>
        <v>173</v>
      </c>
      <c r="G344" s="180">
        <f t="shared" si="81"/>
        <v>323265.57610801782</v>
      </c>
      <c r="H344" s="186">
        <f>-'Retail &amp; Restaurant'!$E$103/12</f>
        <v>2245.2234390441222</v>
      </c>
      <c r="I344" s="149">
        <f>'Retail &amp; Restaurant'!$E$101/12*G343</f>
        <v>946.64544945136413</v>
      </c>
      <c r="J344" s="187">
        <f t="shared" si="82"/>
        <v>1298.5779895927581</v>
      </c>
      <c r="K344" s="72">
        <f t="shared" si="86"/>
        <v>173</v>
      </c>
      <c r="L344" s="180">
        <f t="shared" si="83"/>
        <v>3235294.5991298789</v>
      </c>
      <c r="M344" s="181">
        <f t="shared" si="83"/>
        <v>24695.103713411776</v>
      </c>
      <c r="N344" s="180">
        <f t="shared" si="83"/>
        <v>13122.906458979283</v>
      </c>
      <c r="O344" s="132">
        <f t="shared" si="83"/>
        <v>11572.197254432493</v>
      </c>
    </row>
    <row r="345" spans="1:15" x14ac:dyDescent="0.25">
      <c r="A345" s="72">
        <f t="shared" si="84"/>
        <v>174</v>
      </c>
      <c r="B345" s="183">
        <f t="shared" si="79"/>
        <v>2901712.5970100844</v>
      </c>
      <c r="C345" s="184">
        <f>-'Retail &amp; Restaurant'!$E$98/12</f>
        <v>22449.880274367653</v>
      </c>
      <c r="D345" s="183">
        <f>'Retail &amp; Restaurant'!$E$96/12*B344</f>
        <v>12133.454262591087</v>
      </c>
      <c r="E345" s="185">
        <f t="shared" si="80"/>
        <v>10316.426011776566</v>
      </c>
      <c r="F345" s="72">
        <f t="shared" si="85"/>
        <v>174</v>
      </c>
      <c r="G345" s="180">
        <f t="shared" si="81"/>
        <v>321963.21059928875</v>
      </c>
      <c r="H345" s="186">
        <f>-'Retail &amp; Restaurant'!$E$103/12</f>
        <v>2245.2234390441222</v>
      </c>
      <c r="I345" s="149">
        <f>'Retail &amp; Restaurant'!$E$101/12*G344</f>
        <v>942.85793031505204</v>
      </c>
      <c r="J345" s="187">
        <f t="shared" si="82"/>
        <v>1302.3655087290701</v>
      </c>
      <c r="K345" s="72">
        <f t="shared" si="86"/>
        <v>174</v>
      </c>
      <c r="L345" s="180">
        <f t="shared" si="83"/>
        <v>3223675.8076093732</v>
      </c>
      <c r="M345" s="181">
        <f t="shared" si="83"/>
        <v>24695.103713411776</v>
      </c>
      <c r="N345" s="180">
        <f t="shared" si="83"/>
        <v>13076.31219290614</v>
      </c>
      <c r="O345" s="132">
        <f t="shared" si="83"/>
        <v>11618.791520505636</v>
      </c>
    </row>
    <row r="346" spans="1:15" x14ac:dyDescent="0.25">
      <c r="A346" s="72">
        <f t="shared" si="84"/>
        <v>175</v>
      </c>
      <c r="B346" s="183">
        <f t="shared" si="79"/>
        <v>2891353.1858899253</v>
      </c>
      <c r="C346" s="184">
        <f>-'Retail &amp; Restaurant'!$E$98/12</f>
        <v>22449.880274367653</v>
      </c>
      <c r="D346" s="183">
        <f>'Retail &amp; Restaurant'!$E$96/12*B345</f>
        <v>12090.469154208686</v>
      </c>
      <c r="E346" s="185">
        <f t="shared" si="80"/>
        <v>10359.411120158968</v>
      </c>
      <c r="F346" s="72">
        <f t="shared" si="85"/>
        <v>175</v>
      </c>
      <c r="G346" s="180">
        <f t="shared" si="81"/>
        <v>320657.04652449256</v>
      </c>
      <c r="H346" s="186">
        <f>-'Retail &amp; Restaurant'!$E$103/12</f>
        <v>2245.2234390441222</v>
      </c>
      <c r="I346" s="149">
        <f>'Retail &amp; Restaurant'!$E$101/12*G345</f>
        <v>939.0593642479256</v>
      </c>
      <c r="J346" s="187">
        <f t="shared" si="82"/>
        <v>1306.1640747961965</v>
      </c>
      <c r="K346" s="72">
        <f t="shared" si="86"/>
        <v>175</v>
      </c>
      <c r="L346" s="180">
        <f t="shared" si="83"/>
        <v>3212010.2324144179</v>
      </c>
      <c r="M346" s="181">
        <f t="shared" si="83"/>
        <v>24695.103713411776</v>
      </c>
      <c r="N346" s="180">
        <f t="shared" si="83"/>
        <v>13029.528518456611</v>
      </c>
      <c r="O346" s="132">
        <f t="shared" si="83"/>
        <v>11665.575194955163</v>
      </c>
    </row>
    <row r="347" spans="1:15" x14ac:dyDescent="0.25">
      <c r="A347" s="72">
        <f t="shared" si="84"/>
        <v>176</v>
      </c>
      <c r="B347" s="183">
        <f t="shared" si="79"/>
        <v>2880950.6105567659</v>
      </c>
      <c r="C347" s="184">
        <f>-'Retail &amp; Restaurant'!$E$98/12</f>
        <v>22449.880274367653</v>
      </c>
      <c r="D347" s="183">
        <f>'Retail &amp; Restaurant'!$E$96/12*B346</f>
        <v>12047.304941208022</v>
      </c>
      <c r="E347" s="185">
        <f t="shared" si="80"/>
        <v>10402.575333159632</v>
      </c>
      <c r="F347" s="72">
        <f t="shared" si="85"/>
        <v>176</v>
      </c>
      <c r="G347" s="180">
        <f t="shared" si="81"/>
        <v>319347.07280447823</v>
      </c>
      <c r="H347" s="186">
        <f>-'Retail &amp; Restaurant'!$E$103/12</f>
        <v>2245.2234390441222</v>
      </c>
      <c r="I347" s="149">
        <f>'Retail &amp; Restaurant'!$E$101/12*G346</f>
        <v>935.24971902976995</v>
      </c>
      <c r="J347" s="187">
        <f t="shared" si="82"/>
        <v>1309.9737200143522</v>
      </c>
      <c r="K347" s="72">
        <f t="shared" si="86"/>
        <v>176</v>
      </c>
      <c r="L347" s="180">
        <f t="shared" si="83"/>
        <v>3200297.6833612444</v>
      </c>
      <c r="M347" s="181">
        <f t="shared" si="83"/>
        <v>24695.103713411776</v>
      </c>
      <c r="N347" s="180">
        <f t="shared" si="83"/>
        <v>12982.554660237791</v>
      </c>
      <c r="O347" s="132">
        <f t="shared" si="83"/>
        <v>11712.549053173983</v>
      </c>
    </row>
    <row r="348" spans="1:15" x14ac:dyDescent="0.25">
      <c r="A348" s="72">
        <f t="shared" si="84"/>
        <v>177</v>
      </c>
      <c r="B348" s="183">
        <f t="shared" si="79"/>
        <v>2870504.6911597182</v>
      </c>
      <c r="C348" s="184">
        <f>-'Retail &amp; Restaurant'!$E$98/12</f>
        <v>22449.880274367653</v>
      </c>
      <c r="D348" s="183">
        <f>'Retail &amp; Restaurant'!$E$96/12*B347</f>
        <v>12003.960877319858</v>
      </c>
      <c r="E348" s="185">
        <f t="shared" si="80"/>
        <v>10445.919397047795</v>
      </c>
      <c r="F348" s="72">
        <f t="shared" si="85"/>
        <v>177</v>
      </c>
      <c r="G348" s="180">
        <f t="shared" si="81"/>
        <v>318033.27832778048</v>
      </c>
      <c r="H348" s="186">
        <f>-'Retail &amp; Restaurant'!$E$103/12</f>
        <v>2245.2234390441222</v>
      </c>
      <c r="I348" s="149">
        <f>'Retail &amp; Restaurant'!$E$101/12*G347</f>
        <v>931.42896234639488</v>
      </c>
      <c r="J348" s="187">
        <f t="shared" si="82"/>
        <v>1313.7944766977273</v>
      </c>
      <c r="K348" s="72">
        <f t="shared" si="86"/>
        <v>177</v>
      </c>
      <c r="L348" s="180">
        <f t="shared" si="83"/>
        <v>3188537.9694874985</v>
      </c>
      <c r="M348" s="181">
        <f t="shared" si="83"/>
        <v>24695.103713411776</v>
      </c>
      <c r="N348" s="180">
        <f t="shared" si="83"/>
        <v>12935.389839666253</v>
      </c>
      <c r="O348" s="132">
        <f t="shared" si="83"/>
        <v>11759.713873745523</v>
      </c>
    </row>
    <row r="349" spans="1:15" x14ac:dyDescent="0.25">
      <c r="A349" s="72">
        <f t="shared" si="84"/>
        <v>178</v>
      </c>
      <c r="B349" s="183">
        <f t="shared" si="79"/>
        <v>2860015.2470985162</v>
      </c>
      <c r="C349" s="184">
        <f>-'Retail &amp; Restaurant'!$E$98/12</f>
        <v>22449.880274367653</v>
      </c>
      <c r="D349" s="183">
        <f>'Retail &amp; Restaurant'!$E$96/12*B348</f>
        <v>11960.436213165493</v>
      </c>
      <c r="E349" s="185">
        <f t="shared" si="80"/>
        <v>10489.444061202161</v>
      </c>
      <c r="F349" s="72">
        <f t="shared" si="85"/>
        <v>178</v>
      </c>
      <c r="G349" s="180">
        <f t="shared" si="81"/>
        <v>316715.6519505257</v>
      </c>
      <c r="H349" s="186">
        <f>-'Retail &amp; Restaurant'!$E$103/12</f>
        <v>2245.2234390441222</v>
      </c>
      <c r="I349" s="149">
        <f>'Retail &amp; Restaurant'!$E$101/12*G348</f>
        <v>927.59706178935983</v>
      </c>
      <c r="J349" s="187">
        <f t="shared" si="82"/>
        <v>1317.6263772547622</v>
      </c>
      <c r="K349" s="72">
        <f t="shared" si="86"/>
        <v>178</v>
      </c>
      <c r="L349" s="180">
        <f t="shared" si="83"/>
        <v>3176730.8990490418</v>
      </c>
      <c r="M349" s="181">
        <f t="shared" si="83"/>
        <v>24695.103713411776</v>
      </c>
      <c r="N349" s="180">
        <f t="shared" si="83"/>
        <v>12888.033274954852</v>
      </c>
      <c r="O349" s="132">
        <f t="shared" si="83"/>
        <v>11807.070438456924</v>
      </c>
    </row>
    <row r="350" spans="1:15" x14ac:dyDescent="0.25">
      <c r="A350" s="72">
        <f t="shared" si="84"/>
        <v>179</v>
      </c>
      <c r="B350" s="183">
        <f t="shared" si="79"/>
        <v>2849482.0970203923</v>
      </c>
      <c r="C350" s="184">
        <f>-'Retail &amp; Restaurant'!$E$98/12</f>
        <v>22449.880274367653</v>
      </c>
      <c r="D350" s="183">
        <f>'Retail &amp; Restaurant'!$E$96/12*B349</f>
        <v>11916.730196243818</v>
      </c>
      <c r="E350" s="185">
        <f t="shared" si="80"/>
        <v>10533.150078123836</v>
      </c>
      <c r="F350" s="72">
        <f t="shared" si="85"/>
        <v>179</v>
      </c>
      <c r="G350" s="180">
        <f t="shared" si="81"/>
        <v>315394.18249633728</v>
      </c>
      <c r="H350" s="186">
        <f>-'Retail &amp; Restaurant'!$E$103/12</f>
        <v>2245.2234390441222</v>
      </c>
      <c r="I350" s="149">
        <f>'Retail &amp; Restaurant'!$E$101/12*G349</f>
        <v>923.75398485569997</v>
      </c>
      <c r="J350" s="187">
        <f t="shared" si="82"/>
        <v>1321.4694541884223</v>
      </c>
      <c r="K350" s="72">
        <f t="shared" si="86"/>
        <v>179</v>
      </c>
      <c r="L350" s="180">
        <f t="shared" si="83"/>
        <v>3164876.2795167295</v>
      </c>
      <c r="M350" s="181">
        <f t="shared" si="83"/>
        <v>24695.103713411776</v>
      </c>
      <c r="N350" s="180">
        <f t="shared" si="83"/>
        <v>12840.484181099519</v>
      </c>
      <c r="O350" s="132">
        <f t="shared" si="83"/>
        <v>11854.619532312257</v>
      </c>
    </row>
    <row r="351" spans="1:15" x14ac:dyDescent="0.25">
      <c r="A351" s="72">
        <f t="shared" si="84"/>
        <v>180</v>
      </c>
      <c r="B351" s="183">
        <f t="shared" si="79"/>
        <v>2838905.0588169429</v>
      </c>
      <c r="C351" s="184">
        <f>-'Retail &amp; Restaurant'!$E$98/12</f>
        <v>22449.880274367653</v>
      </c>
      <c r="D351" s="183">
        <f>'Retail &amp; Restaurant'!$E$96/12*B350</f>
        <v>11872.842070918301</v>
      </c>
      <c r="E351" s="185">
        <f t="shared" si="80"/>
        <v>10577.038203449352</v>
      </c>
      <c r="F351" s="72">
        <f t="shared" si="85"/>
        <v>180</v>
      </c>
      <c r="G351" s="180">
        <f t="shared" si="81"/>
        <v>314068.85875624081</v>
      </c>
      <c r="H351" s="186">
        <f>-'Retail &amp; Restaurant'!$E$103/12</f>
        <v>2245.2234390441222</v>
      </c>
      <c r="I351" s="149">
        <f>'Retail &amp; Restaurant'!$E$101/12*G350</f>
        <v>919.89969894765045</v>
      </c>
      <c r="J351" s="187">
        <f t="shared" si="82"/>
        <v>1325.3237400964717</v>
      </c>
      <c r="K351" s="72">
        <f t="shared" si="86"/>
        <v>180</v>
      </c>
      <c r="L351" s="180">
        <f t="shared" si="83"/>
        <v>3152973.9175731838</v>
      </c>
      <c r="M351" s="181">
        <f t="shared" si="83"/>
        <v>24695.103713411776</v>
      </c>
      <c r="N351" s="180">
        <f t="shared" si="83"/>
        <v>12792.741769865952</v>
      </c>
      <c r="O351" s="132">
        <f t="shared" si="83"/>
        <v>11902.361943545824</v>
      </c>
    </row>
    <row r="352" spans="1:15" x14ac:dyDescent="0.25">
      <c r="A352" s="72">
        <f t="shared" si="84"/>
        <v>181</v>
      </c>
      <c r="B352" s="183">
        <f t="shared" si="79"/>
        <v>2828283.9496209789</v>
      </c>
      <c r="C352" s="184">
        <f>-'Retail &amp; Restaurant'!$E$98/12</f>
        <v>22449.880274367653</v>
      </c>
      <c r="D352" s="183">
        <f>'Retail &amp; Restaurant'!$E$96/12*B351</f>
        <v>11828.771078403928</v>
      </c>
      <c r="E352" s="185">
        <f t="shared" si="80"/>
        <v>10621.109195963725</v>
      </c>
      <c r="F352" s="72">
        <f t="shared" si="85"/>
        <v>181</v>
      </c>
      <c r="G352" s="180">
        <f t="shared" si="81"/>
        <v>312739.66948856908</v>
      </c>
      <c r="H352" s="186">
        <f>-'Retail &amp; Restaurant'!$E$103/12</f>
        <v>2245.2234390441222</v>
      </c>
      <c r="I352" s="149">
        <f>'Retail &amp; Restaurant'!$E$101/12*G351</f>
        <v>916.03417137236909</v>
      </c>
      <c r="J352" s="187">
        <f t="shared" si="82"/>
        <v>1329.189267671753</v>
      </c>
      <c r="K352" s="72">
        <f t="shared" si="86"/>
        <v>181</v>
      </c>
      <c r="L352" s="180">
        <f t="shared" si="83"/>
        <v>3141023.6191095482</v>
      </c>
      <c r="M352" s="181">
        <f t="shared" si="83"/>
        <v>24695.103713411776</v>
      </c>
      <c r="N352" s="180">
        <f t="shared" si="83"/>
        <v>12744.805249776296</v>
      </c>
      <c r="O352" s="132">
        <f t="shared" si="83"/>
        <v>11950.298463635478</v>
      </c>
    </row>
    <row r="353" spans="1:15" x14ac:dyDescent="0.25">
      <c r="A353" s="72">
        <f t="shared" si="84"/>
        <v>182</v>
      </c>
      <c r="B353" s="183">
        <f t="shared" si="79"/>
        <v>2817618.5858033653</v>
      </c>
      <c r="C353" s="184">
        <f>-'Retail &amp; Restaurant'!$E$98/12</f>
        <v>22449.880274367653</v>
      </c>
      <c r="D353" s="183">
        <f>'Retail &amp; Restaurant'!$E$96/12*B352</f>
        <v>11784.516456754078</v>
      </c>
      <c r="E353" s="185">
        <f t="shared" si="80"/>
        <v>10665.363817613576</v>
      </c>
      <c r="F353" s="72">
        <f t="shared" si="85"/>
        <v>182</v>
      </c>
      <c r="G353" s="180">
        <f t="shared" si="81"/>
        <v>311406.60341886664</v>
      </c>
      <c r="H353" s="186">
        <f>-'Retail &amp; Restaurant'!$E$103/12</f>
        <v>2245.2234390441222</v>
      </c>
      <c r="I353" s="149">
        <f>'Retail &amp; Restaurant'!$E$101/12*G352</f>
        <v>912.15736934165989</v>
      </c>
      <c r="J353" s="187">
        <f t="shared" si="82"/>
        <v>1333.0660697024623</v>
      </c>
      <c r="K353" s="72">
        <f t="shared" si="86"/>
        <v>182</v>
      </c>
      <c r="L353" s="180">
        <f t="shared" si="83"/>
        <v>3129025.189222232</v>
      </c>
      <c r="M353" s="181">
        <f t="shared" si="83"/>
        <v>24695.103713411776</v>
      </c>
      <c r="N353" s="180">
        <f t="shared" si="83"/>
        <v>12696.673826095737</v>
      </c>
      <c r="O353" s="132">
        <f t="shared" si="83"/>
        <v>11998.429887316037</v>
      </c>
    </row>
    <row r="354" spans="1:15" x14ac:dyDescent="0.25">
      <c r="A354" s="72">
        <f t="shared" si="84"/>
        <v>183</v>
      </c>
      <c r="B354" s="183">
        <f t="shared" si="79"/>
        <v>2806908.782969845</v>
      </c>
      <c r="C354" s="184">
        <f>-'Retail &amp; Restaurant'!$E$98/12</f>
        <v>22449.880274367653</v>
      </c>
      <c r="D354" s="183">
        <f>'Retail &amp; Restaurant'!$E$96/12*B353</f>
        <v>11740.077440847355</v>
      </c>
      <c r="E354" s="185">
        <f t="shared" si="80"/>
        <v>10709.802833520298</v>
      </c>
      <c r="F354" s="72">
        <f t="shared" si="85"/>
        <v>183</v>
      </c>
      <c r="G354" s="180">
        <f t="shared" si="81"/>
        <v>310069.64923979423</v>
      </c>
      <c r="H354" s="186">
        <f>-'Retail &amp; Restaurant'!$E$103/12</f>
        <v>2245.2234390441222</v>
      </c>
      <c r="I354" s="149">
        <f>'Retail &amp; Restaurant'!$E$101/12*G353</f>
        <v>908.2692599716944</v>
      </c>
      <c r="J354" s="187">
        <f t="shared" si="82"/>
        <v>1336.9541790724279</v>
      </c>
      <c r="K354" s="72">
        <f t="shared" si="86"/>
        <v>183</v>
      </c>
      <c r="L354" s="180">
        <f t="shared" si="83"/>
        <v>3116978.4322096393</v>
      </c>
      <c r="M354" s="181">
        <f t="shared" si="83"/>
        <v>24695.103713411776</v>
      </c>
      <c r="N354" s="180">
        <f t="shared" si="83"/>
        <v>12648.346700819049</v>
      </c>
      <c r="O354" s="132">
        <f t="shared" si="83"/>
        <v>12046.757012592727</v>
      </c>
    </row>
    <row r="355" spans="1:15" x14ac:dyDescent="0.25">
      <c r="A355" s="72">
        <f t="shared" si="84"/>
        <v>184</v>
      </c>
      <c r="B355" s="183">
        <f t="shared" si="79"/>
        <v>2796154.3559578517</v>
      </c>
      <c r="C355" s="184">
        <f>-'Retail &amp; Restaurant'!$E$98/12</f>
        <v>22449.880274367653</v>
      </c>
      <c r="D355" s="183">
        <f>'Retail &amp; Restaurant'!$E$96/12*B354</f>
        <v>11695.453262374354</v>
      </c>
      <c r="E355" s="185">
        <f t="shared" si="80"/>
        <v>10754.427011993299</v>
      </c>
      <c r="F355" s="72">
        <f t="shared" si="85"/>
        <v>184</v>
      </c>
      <c r="G355" s="180">
        <f t="shared" si="81"/>
        <v>308728.79561103287</v>
      </c>
      <c r="H355" s="186">
        <f>-'Retail &amp; Restaurant'!$E$103/12</f>
        <v>2245.2234390441222</v>
      </c>
      <c r="I355" s="149">
        <f>'Retail &amp; Restaurant'!$E$101/12*G354</f>
        <v>904.36981028273317</v>
      </c>
      <c r="J355" s="187">
        <f t="shared" si="82"/>
        <v>1340.853628761389</v>
      </c>
      <c r="K355" s="72">
        <f t="shared" si="86"/>
        <v>184</v>
      </c>
      <c r="L355" s="180">
        <f t="shared" si="83"/>
        <v>3104883.1515688845</v>
      </c>
      <c r="M355" s="181">
        <f t="shared" si="83"/>
        <v>24695.103713411776</v>
      </c>
      <c r="N355" s="180">
        <f t="shared" si="83"/>
        <v>12599.823072657087</v>
      </c>
      <c r="O355" s="132">
        <f t="shared" si="83"/>
        <v>12095.280640754689</v>
      </c>
    </row>
    <row r="356" spans="1:15" x14ac:dyDescent="0.25">
      <c r="A356" s="72">
        <f t="shared" si="84"/>
        <v>185</v>
      </c>
      <c r="B356" s="183">
        <f t="shared" si="79"/>
        <v>2785355.1188333086</v>
      </c>
      <c r="C356" s="184">
        <f>-'Retail &amp; Restaurant'!$E$98/12</f>
        <v>22449.880274367653</v>
      </c>
      <c r="D356" s="183">
        <f>'Retail &amp; Restaurant'!$E$96/12*B355</f>
        <v>11650.643149824382</v>
      </c>
      <c r="E356" s="185">
        <f t="shared" si="80"/>
        <v>10799.237124543271</v>
      </c>
      <c r="F356" s="72">
        <f t="shared" si="85"/>
        <v>185</v>
      </c>
      <c r="G356" s="180">
        <f t="shared" si="81"/>
        <v>307384.03115918761</v>
      </c>
      <c r="H356" s="186">
        <f>-'Retail &amp; Restaurant'!$E$103/12</f>
        <v>2245.2234390441222</v>
      </c>
      <c r="I356" s="149">
        <f>'Retail &amp; Restaurant'!$E$101/12*G355</f>
        <v>900.45898719884588</v>
      </c>
      <c r="J356" s="187">
        <f t="shared" si="82"/>
        <v>1344.7644518452762</v>
      </c>
      <c r="K356" s="72">
        <f t="shared" si="86"/>
        <v>185</v>
      </c>
      <c r="L356" s="180">
        <f t="shared" si="83"/>
        <v>3092739.1499924962</v>
      </c>
      <c r="M356" s="181">
        <f t="shared" si="83"/>
        <v>24695.103713411776</v>
      </c>
      <c r="N356" s="180">
        <f t="shared" si="83"/>
        <v>12551.102137023228</v>
      </c>
      <c r="O356" s="132">
        <f t="shared" si="83"/>
        <v>12144.001576388548</v>
      </c>
    </row>
    <row r="357" spans="1:15" x14ac:dyDescent="0.25">
      <c r="A357" s="72">
        <f t="shared" si="84"/>
        <v>186</v>
      </c>
      <c r="B357" s="183">
        <f t="shared" si="79"/>
        <v>2774510.8848874131</v>
      </c>
      <c r="C357" s="184">
        <f>-'Retail &amp; Restaurant'!$E$98/12</f>
        <v>22449.880274367653</v>
      </c>
      <c r="D357" s="183">
        <f>'Retail &amp; Restaurant'!$E$96/12*B356</f>
        <v>11605.646328472119</v>
      </c>
      <c r="E357" s="185">
        <f t="shared" si="80"/>
        <v>10844.233945895534</v>
      </c>
      <c r="F357" s="72">
        <f t="shared" si="85"/>
        <v>186</v>
      </c>
      <c r="G357" s="180">
        <f t="shared" si="81"/>
        <v>306035.34447769111</v>
      </c>
      <c r="H357" s="186">
        <f>-'Retail &amp; Restaurant'!$E$103/12</f>
        <v>2245.2234390441222</v>
      </c>
      <c r="I357" s="149">
        <f>'Retail &amp; Restaurant'!$E$101/12*G356</f>
        <v>896.5367575476306</v>
      </c>
      <c r="J357" s="187">
        <f t="shared" si="82"/>
        <v>1348.6866814964915</v>
      </c>
      <c r="K357" s="72">
        <f t="shared" si="86"/>
        <v>186</v>
      </c>
      <c r="L357" s="180">
        <f t="shared" si="83"/>
        <v>3080546.2293651043</v>
      </c>
      <c r="M357" s="181">
        <f t="shared" si="83"/>
        <v>24695.103713411776</v>
      </c>
      <c r="N357" s="180">
        <f t="shared" si="83"/>
        <v>12502.18308601975</v>
      </c>
      <c r="O357" s="132">
        <f t="shared" si="83"/>
        <v>12192.920627392024</v>
      </c>
    </row>
    <row r="358" spans="1:15" x14ac:dyDescent="0.25">
      <c r="A358" s="72">
        <f t="shared" si="84"/>
        <v>187</v>
      </c>
      <c r="B358" s="183">
        <f t="shared" si="79"/>
        <v>2763621.4666334097</v>
      </c>
      <c r="C358" s="184">
        <f>-'Retail &amp; Restaurant'!$E$98/12</f>
        <v>22449.880274367653</v>
      </c>
      <c r="D358" s="183">
        <f>'Retail &amp; Restaurant'!$E$96/12*B357</f>
        <v>11560.462020364221</v>
      </c>
      <c r="E358" s="185">
        <f t="shared" si="80"/>
        <v>10889.418254003433</v>
      </c>
      <c r="F358" s="72">
        <f t="shared" si="85"/>
        <v>187</v>
      </c>
      <c r="G358" s="180">
        <f t="shared" si="81"/>
        <v>304682.72412670689</v>
      </c>
      <c r="H358" s="186">
        <f>-'Retail &amp; Restaurant'!$E$103/12</f>
        <v>2245.2234390441222</v>
      </c>
      <c r="I358" s="149">
        <f>'Retail &amp; Restaurant'!$E$101/12*G357</f>
        <v>892.60308805993247</v>
      </c>
      <c r="J358" s="187">
        <f t="shared" si="82"/>
        <v>1352.6203509841898</v>
      </c>
      <c r="K358" s="72">
        <f t="shared" si="86"/>
        <v>187</v>
      </c>
      <c r="L358" s="180">
        <f t="shared" si="83"/>
        <v>3068304.1907601166</v>
      </c>
      <c r="M358" s="181">
        <f t="shared" si="83"/>
        <v>24695.103713411776</v>
      </c>
      <c r="N358" s="180">
        <f t="shared" si="83"/>
        <v>12453.065108424153</v>
      </c>
      <c r="O358" s="132">
        <f t="shared" si="83"/>
        <v>12242.038604987622</v>
      </c>
    </row>
    <row r="359" spans="1:15" x14ac:dyDescent="0.25">
      <c r="A359" s="72">
        <f t="shared" si="84"/>
        <v>188</v>
      </c>
      <c r="B359" s="183">
        <f t="shared" si="79"/>
        <v>2752686.675803348</v>
      </c>
      <c r="C359" s="184">
        <f>-'Retail &amp; Restaurant'!$E$98/12</f>
        <v>22449.880274367653</v>
      </c>
      <c r="D359" s="183">
        <f>'Retail &amp; Restaurant'!$E$96/12*B358</f>
        <v>11515.089444305873</v>
      </c>
      <c r="E359" s="185">
        <f t="shared" si="80"/>
        <v>10934.79083006178</v>
      </c>
      <c r="F359" s="72">
        <f t="shared" si="85"/>
        <v>188</v>
      </c>
      <c r="G359" s="180">
        <f t="shared" si="81"/>
        <v>303326.15863303235</v>
      </c>
      <c r="H359" s="186">
        <f>-'Retail &amp; Restaurant'!$E$103/12</f>
        <v>2245.2234390441222</v>
      </c>
      <c r="I359" s="149">
        <f>'Retail &amp; Restaurant'!$E$101/12*G358</f>
        <v>888.65794536956184</v>
      </c>
      <c r="J359" s="187">
        <f t="shared" si="82"/>
        <v>1356.5654936745605</v>
      </c>
      <c r="K359" s="72">
        <f t="shared" si="86"/>
        <v>188</v>
      </c>
      <c r="L359" s="180">
        <f t="shared" si="83"/>
        <v>3056012.8344363803</v>
      </c>
      <c r="M359" s="181">
        <f t="shared" si="83"/>
        <v>24695.103713411776</v>
      </c>
      <c r="N359" s="180">
        <f t="shared" si="83"/>
        <v>12403.747389675435</v>
      </c>
      <c r="O359" s="132">
        <f t="shared" si="83"/>
        <v>12291.356323736341</v>
      </c>
    </row>
    <row r="360" spans="1:15" x14ac:dyDescent="0.25">
      <c r="A360" s="72">
        <f t="shared" si="84"/>
        <v>189</v>
      </c>
      <c r="B360" s="183">
        <f t="shared" si="79"/>
        <v>2741706.3233448276</v>
      </c>
      <c r="C360" s="184">
        <f>-'Retail &amp; Restaurant'!$E$98/12</f>
        <v>22449.880274367653</v>
      </c>
      <c r="D360" s="183">
        <f>'Retail &amp; Restaurant'!$E$96/12*B359</f>
        <v>11469.527815847283</v>
      </c>
      <c r="E360" s="185">
        <f t="shared" si="80"/>
        <v>10980.35245852037</v>
      </c>
      <c r="F360" s="72">
        <f t="shared" si="85"/>
        <v>189</v>
      </c>
      <c r="G360" s="180">
        <f t="shared" si="81"/>
        <v>301965.63649000123</v>
      </c>
      <c r="H360" s="186">
        <f>-'Retail &amp; Restaurant'!$E$103/12</f>
        <v>2245.2234390441222</v>
      </c>
      <c r="I360" s="149">
        <f>'Retail &amp; Restaurant'!$E$101/12*G359</f>
        <v>884.70129601301107</v>
      </c>
      <c r="J360" s="187">
        <f t="shared" si="82"/>
        <v>1360.5221430311112</v>
      </c>
      <c r="K360" s="72">
        <f t="shared" si="86"/>
        <v>189</v>
      </c>
      <c r="L360" s="180">
        <f t="shared" si="83"/>
        <v>3043671.959834829</v>
      </c>
      <c r="M360" s="181">
        <f t="shared" si="83"/>
        <v>24695.103713411776</v>
      </c>
      <c r="N360" s="180">
        <f t="shared" si="83"/>
        <v>12354.229111860293</v>
      </c>
      <c r="O360" s="132">
        <f t="shared" si="83"/>
        <v>12340.874601551481</v>
      </c>
    </row>
    <row r="361" spans="1:15" x14ac:dyDescent="0.25">
      <c r="A361" s="72">
        <f t="shared" si="84"/>
        <v>190</v>
      </c>
      <c r="B361" s="183">
        <f t="shared" si="79"/>
        <v>2730680.2194177299</v>
      </c>
      <c r="C361" s="184">
        <f>-'Retail &amp; Restaurant'!$E$98/12</f>
        <v>22449.880274367653</v>
      </c>
      <c r="D361" s="183">
        <f>'Retail &amp; Restaurant'!$E$96/12*B360</f>
        <v>11423.776347270115</v>
      </c>
      <c r="E361" s="185">
        <f t="shared" si="80"/>
        <v>11026.103927097538</v>
      </c>
      <c r="F361" s="72">
        <f t="shared" si="85"/>
        <v>190</v>
      </c>
      <c r="G361" s="180">
        <f t="shared" si="81"/>
        <v>300601.14615738625</v>
      </c>
      <c r="H361" s="186">
        <f>-'Retail &amp; Restaurant'!$E$103/12</f>
        <v>2245.2234390441222</v>
      </c>
      <c r="I361" s="149">
        <f>'Retail &amp; Restaurant'!$E$101/12*G360</f>
        <v>880.73310642917033</v>
      </c>
      <c r="J361" s="187">
        <f t="shared" si="82"/>
        <v>1364.490332614952</v>
      </c>
      <c r="K361" s="72">
        <f t="shared" si="86"/>
        <v>190</v>
      </c>
      <c r="L361" s="180">
        <f t="shared" si="83"/>
        <v>3031281.3655751161</v>
      </c>
      <c r="M361" s="181">
        <f t="shared" si="83"/>
        <v>24695.103713411776</v>
      </c>
      <c r="N361" s="180">
        <f t="shared" si="83"/>
        <v>12304.509453699286</v>
      </c>
      <c r="O361" s="132">
        <f t="shared" si="83"/>
        <v>12390.59425971249</v>
      </c>
    </row>
    <row r="362" spans="1:15" x14ac:dyDescent="0.25">
      <c r="A362" s="72">
        <f t="shared" si="84"/>
        <v>191</v>
      </c>
      <c r="B362" s="183">
        <f t="shared" si="79"/>
        <v>2719608.1733909361</v>
      </c>
      <c r="C362" s="184">
        <f>-'Retail &amp; Restaurant'!$E$98/12</f>
        <v>22449.880274367653</v>
      </c>
      <c r="D362" s="183">
        <f>'Retail &amp; Restaurant'!$E$96/12*B361</f>
        <v>11377.834247573874</v>
      </c>
      <c r="E362" s="185">
        <f t="shared" si="80"/>
        <v>11072.04602679378</v>
      </c>
      <c r="F362" s="72">
        <f t="shared" si="85"/>
        <v>191</v>
      </c>
      <c r="G362" s="180">
        <f t="shared" si="81"/>
        <v>299232.67606130114</v>
      </c>
      <c r="H362" s="186">
        <f>-'Retail &amp; Restaurant'!$E$103/12</f>
        <v>2245.2234390441222</v>
      </c>
      <c r="I362" s="149">
        <f>'Retail &amp; Restaurant'!$E$101/12*G361</f>
        <v>876.75334295904327</v>
      </c>
      <c r="J362" s="187">
        <f t="shared" si="82"/>
        <v>1368.4700960850789</v>
      </c>
      <c r="K362" s="72">
        <f t="shared" si="86"/>
        <v>191</v>
      </c>
      <c r="L362" s="180">
        <f t="shared" si="83"/>
        <v>3018840.8494522371</v>
      </c>
      <c r="M362" s="181">
        <f t="shared" si="83"/>
        <v>24695.103713411776</v>
      </c>
      <c r="N362" s="180">
        <f t="shared" si="83"/>
        <v>12254.587590532918</v>
      </c>
      <c r="O362" s="132">
        <f t="shared" si="83"/>
        <v>12440.516122878858</v>
      </c>
    </row>
    <row r="363" spans="1:15" x14ac:dyDescent="0.25">
      <c r="A363" s="72">
        <f t="shared" si="84"/>
        <v>192</v>
      </c>
      <c r="B363" s="183">
        <f t="shared" si="79"/>
        <v>2708489.9938390306</v>
      </c>
      <c r="C363" s="184">
        <f>-'Retail &amp; Restaurant'!$E$98/12</f>
        <v>22449.880274367653</v>
      </c>
      <c r="D363" s="183">
        <f>'Retail &amp; Restaurant'!$E$96/12*B362</f>
        <v>11331.700722462234</v>
      </c>
      <c r="E363" s="185">
        <f t="shared" si="80"/>
        <v>11118.179551905419</v>
      </c>
      <c r="F363" s="72">
        <f t="shared" si="85"/>
        <v>192</v>
      </c>
      <c r="G363" s="180">
        <f t="shared" si="81"/>
        <v>297860.21459410246</v>
      </c>
      <c r="H363" s="186">
        <f>-'Retail &amp; Restaurant'!$E$103/12</f>
        <v>2245.2234390441222</v>
      </c>
      <c r="I363" s="149">
        <f>'Retail &amp; Restaurant'!$E$101/12*G362</f>
        <v>872.76197184546174</v>
      </c>
      <c r="J363" s="187">
        <f t="shared" si="82"/>
        <v>1372.4614671986606</v>
      </c>
      <c r="K363" s="72">
        <f t="shared" si="86"/>
        <v>192</v>
      </c>
      <c r="L363" s="180">
        <f t="shared" si="83"/>
        <v>3006350.2084331331</v>
      </c>
      <c r="M363" s="181">
        <f t="shared" si="83"/>
        <v>24695.103713411776</v>
      </c>
      <c r="N363" s="180">
        <f t="shared" si="83"/>
        <v>12204.462694307696</v>
      </c>
      <c r="O363" s="132">
        <f t="shared" ref="O363:O426" si="87">J363+E363</f>
        <v>12490.64101910408</v>
      </c>
    </row>
    <row r="364" spans="1:15" x14ac:dyDescent="0.25">
      <c r="A364" s="72">
        <f t="shared" si="84"/>
        <v>193</v>
      </c>
      <c r="B364" s="183">
        <f t="shared" ref="B364:B427" si="88">B363-E364</f>
        <v>2697325.4885389921</v>
      </c>
      <c r="C364" s="184">
        <f>-'Retail &amp; Restaurant'!$E$98/12</f>
        <v>22449.880274367653</v>
      </c>
      <c r="D364" s="183">
        <f>'Retail &amp; Restaurant'!$E$96/12*B363</f>
        <v>11285.374974329294</v>
      </c>
      <c r="E364" s="185">
        <f t="shared" ref="E364:E427" si="89">C364-D364</f>
        <v>11164.50530003836</v>
      </c>
      <c r="F364" s="72">
        <f t="shared" si="85"/>
        <v>193</v>
      </c>
      <c r="G364" s="180">
        <f t="shared" ref="G364:G427" si="90">G363-J364</f>
        <v>296483.75011429115</v>
      </c>
      <c r="H364" s="186">
        <f>-'Retail &amp; Restaurant'!$E$103/12</f>
        <v>2245.2234390441222</v>
      </c>
      <c r="I364" s="149">
        <f>'Retail &amp; Restaurant'!$E$101/12*G363</f>
        <v>868.75895923279893</v>
      </c>
      <c r="J364" s="187">
        <f t="shared" ref="J364:J427" si="91">H364-I364</f>
        <v>1376.4644798113231</v>
      </c>
      <c r="K364" s="72">
        <f t="shared" si="86"/>
        <v>193</v>
      </c>
      <c r="L364" s="180">
        <f t="shared" ref="L364:O427" si="92">G364+B364</f>
        <v>2993809.2386532831</v>
      </c>
      <c r="M364" s="181">
        <f t="shared" si="92"/>
        <v>24695.103713411776</v>
      </c>
      <c r="N364" s="180">
        <f t="shared" si="92"/>
        <v>12154.133933562092</v>
      </c>
      <c r="O364" s="132">
        <f t="shared" si="87"/>
        <v>12540.969779849682</v>
      </c>
    </row>
    <row r="365" spans="1:15" x14ac:dyDescent="0.25">
      <c r="A365" s="72">
        <f t="shared" ref="A365:A428" si="93">A364+1</f>
        <v>194</v>
      </c>
      <c r="B365" s="183">
        <f t="shared" si="88"/>
        <v>2686114.4644668703</v>
      </c>
      <c r="C365" s="184">
        <f>-'Retail &amp; Restaurant'!$E$98/12</f>
        <v>22449.880274367653</v>
      </c>
      <c r="D365" s="183">
        <f>'Retail &amp; Restaurant'!$E$96/12*B364</f>
        <v>11238.856202245801</v>
      </c>
      <c r="E365" s="185">
        <f t="shared" si="89"/>
        <v>11211.024072121852</v>
      </c>
      <c r="F365" s="72">
        <f t="shared" ref="F365:F428" si="94">F364+1</f>
        <v>194</v>
      </c>
      <c r="G365" s="180">
        <f t="shared" si="90"/>
        <v>295103.27094641369</v>
      </c>
      <c r="H365" s="186">
        <f>-'Retail &amp; Restaurant'!$E$103/12</f>
        <v>2245.2234390441222</v>
      </c>
      <c r="I365" s="149">
        <f>'Retail &amp; Restaurant'!$E$101/12*G364</f>
        <v>864.74427116668255</v>
      </c>
      <c r="J365" s="187">
        <f t="shared" si="91"/>
        <v>1380.4791678774395</v>
      </c>
      <c r="K365" s="72">
        <f t="shared" ref="K365:K428" si="95">K364+1</f>
        <v>194</v>
      </c>
      <c r="L365" s="180">
        <f t="shared" si="92"/>
        <v>2981217.735413284</v>
      </c>
      <c r="M365" s="181">
        <f t="shared" si="92"/>
        <v>24695.103713411776</v>
      </c>
      <c r="N365" s="180">
        <f t="shared" si="92"/>
        <v>12103.600473412484</v>
      </c>
      <c r="O365" s="132">
        <f t="shared" si="87"/>
        <v>12591.503239999292</v>
      </c>
    </row>
    <row r="366" spans="1:15" x14ac:dyDescent="0.25">
      <c r="A366" s="72">
        <f t="shared" si="93"/>
        <v>195</v>
      </c>
      <c r="B366" s="183">
        <f t="shared" si="88"/>
        <v>2674856.7277944479</v>
      </c>
      <c r="C366" s="184">
        <f>-'Retail &amp; Restaurant'!$E$98/12</f>
        <v>22449.880274367653</v>
      </c>
      <c r="D366" s="183">
        <f>'Retail &amp; Restaurant'!$E$96/12*B365</f>
        <v>11192.143601945292</v>
      </c>
      <c r="E366" s="185">
        <f t="shared" si="89"/>
        <v>11257.736672422361</v>
      </c>
      <c r="F366" s="72">
        <f t="shared" si="94"/>
        <v>195</v>
      </c>
      <c r="G366" s="180">
        <f t="shared" si="90"/>
        <v>293718.76538096328</v>
      </c>
      <c r="H366" s="186">
        <f>-'Retail &amp; Restaurant'!$E$103/12</f>
        <v>2245.2234390441222</v>
      </c>
      <c r="I366" s="149">
        <f>'Retail &amp; Restaurant'!$E$101/12*G365</f>
        <v>860.7178735937066</v>
      </c>
      <c r="J366" s="187">
        <f t="shared" si="91"/>
        <v>1384.5055654504156</v>
      </c>
      <c r="K366" s="72">
        <f t="shared" si="95"/>
        <v>195</v>
      </c>
      <c r="L366" s="180">
        <f t="shared" si="92"/>
        <v>2968575.4931754111</v>
      </c>
      <c r="M366" s="181">
        <f t="shared" si="92"/>
        <v>24695.103713411776</v>
      </c>
      <c r="N366" s="180">
        <f t="shared" si="92"/>
        <v>12052.861475538999</v>
      </c>
      <c r="O366" s="132">
        <f t="shared" si="87"/>
        <v>12642.242237872777</v>
      </c>
    </row>
    <row r="367" spans="1:15" x14ac:dyDescent="0.25">
      <c r="A367" s="72">
        <f t="shared" si="93"/>
        <v>196</v>
      </c>
      <c r="B367" s="183">
        <f t="shared" si="88"/>
        <v>2663552.0838858904</v>
      </c>
      <c r="C367" s="184">
        <f>-'Retail &amp; Restaurant'!$E$98/12</f>
        <v>22449.880274367653</v>
      </c>
      <c r="D367" s="183">
        <f>'Retail &amp; Restaurant'!$E$96/12*B366</f>
        <v>11145.2363658102</v>
      </c>
      <c r="E367" s="185">
        <f t="shared" si="89"/>
        <v>11304.643908557453</v>
      </c>
      <c r="F367" s="72">
        <f t="shared" si="94"/>
        <v>196</v>
      </c>
      <c r="G367" s="180">
        <f t="shared" si="90"/>
        <v>292330.2216742803</v>
      </c>
      <c r="H367" s="186">
        <f>-'Retail &amp; Restaurant'!$E$103/12</f>
        <v>2245.2234390441222</v>
      </c>
      <c r="I367" s="149">
        <f>'Retail &amp; Restaurant'!$E$101/12*G366</f>
        <v>856.6797323611429</v>
      </c>
      <c r="J367" s="187">
        <f t="shared" si="91"/>
        <v>1388.5437066829793</v>
      </c>
      <c r="K367" s="72">
        <f t="shared" si="95"/>
        <v>196</v>
      </c>
      <c r="L367" s="180">
        <f t="shared" si="92"/>
        <v>2955882.3055601707</v>
      </c>
      <c r="M367" s="181">
        <f t="shared" si="92"/>
        <v>24695.103713411776</v>
      </c>
      <c r="N367" s="180">
        <f t="shared" si="92"/>
        <v>12001.916098171343</v>
      </c>
      <c r="O367" s="132">
        <f t="shared" si="87"/>
        <v>12693.187615240433</v>
      </c>
    </row>
    <row r="368" spans="1:15" x14ac:dyDescent="0.25">
      <c r="A368" s="72">
        <f t="shared" si="93"/>
        <v>197</v>
      </c>
      <c r="B368" s="183">
        <f t="shared" si="88"/>
        <v>2652200.3372943806</v>
      </c>
      <c r="C368" s="184">
        <f>-'Retail &amp; Restaurant'!$E$98/12</f>
        <v>22449.880274367653</v>
      </c>
      <c r="D368" s="183">
        <f>'Retail &amp; Restaurant'!$E$96/12*B367</f>
        <v>11098.133682857877</v>
      </c>
      <c r="E368" s="185">
        <f t="shared" si="89"/>
        <v>11351.746591509776</v>
      </c>
      <c r="F368" s="72">
        <f t="shared" si="94"/>
        <v>197</v>
      </c>
      <c r="G368" s="180">
        <f t="shared" si="90"/>
        <v>290937.62804845284</v>
      </c>
      <c r="H368" s="186">
        <f>-'Retail &amp; Restaurant'!$E$103/12</f>
        <v>2245.2234390441222</v>
      </c>
      <c r="I368" s="149">
        <f>'Retail &amp; Restaurant'!$E$101/12*G367</f>
        <v>852.62981321665086</v>
      </c>
      <c r="J368" s="187">
        <f t="shared" si="91"/>
        <v>1392.5936258274714</v>
      </c>
      <c r="K368" s="72">
        <f t="shared" si="95"/>
        <v>197</v>
      </c>
      <c r="L368" s="180">
        <f t="shared" si="92"/>
        <v>2943137.9653428337</v>
      </c>
      <c r="M368" s="181">
        <f t="shared" si="92"/>
        <v>24695.103713411776</v>
      </c>
      <c r="N368" s="180">
        <f t="shared" si="92"/>
        <v>11950.763496074527</v>
      </c>
      <c r="O368" s="132">
        <f t="shared" si="87"/>
        <v>12744.340217337249</v>
      </c>
    </row>
    <row r="369" spans="1:15" x14ac:dyDescent="0.25">
      <c r="A369" s="72">
        <f t="shared" si="93"/>
        <v>198</v>
      </c>
      <c r="B369" s="183">
        <f t="shared" si="88"/>
        <v>2640801.2917587394</v>
      </c>
      <c r="C369" s="184">
        <f>-'Retail &amp; Restaurant'!$E$98/12</f>
        <v>22449.880274367653</v>
      </c>
      <c r="D369" s="183">
        <f>'Retail &amp; Restaurant'!$E$96/12*B368</f>
        <v>11050.834738726586</v>
      </c>
      <c r="E369" s="185">
        <f t="shared" si="89"/>
        <v>11399.045535641068</v>
      </c>
      <c r="F369" s="72">
        <f t="shared" si="94"/>
        <v>198</v>
      </c>
      <c r="G369" s="180">
        <f t="shared" si="90"/>
        <v>289540.97269121668</v>
      </c>
      <c r="H369" s="186">
        <f>-'Retail &amp; Restaurant'!$E$103/12</f>
        <v>2245.2234390441222</v>
      </c>
      <c r="I369" s="149">
        <f>'Retail &amp; Restaurant'!$E$101/12*G368</f>
        <v>848.56808180798748</v>
      </c>
      <c r="J369" s="187">
        <f t="shared" si="91"/>
        <v>1396.6553572361347</v>
      </c>
      <c r="K369" s="72">
        <f t="shared" si="95"/>
        <v>198</v>
      </c>
      <c r="L369" s="180">
        <f t="shared" si="92"/>
        <v>2930342.2644499559</v>
      </c>
      <c r="M369" s="181">
        <f t="shared" si="92"/>
        <v>24695.103713411776</v>
      </c>
      <c r="N369" s="180">
        <f t="shared" si="92"/>
        <v>11899.402820534573</v>
      </c>
      <c r="O369" s="132">
        <f t="shared" si="87"/>
        <v>12795.700892877203</v>
      </c>
    </row>
    <row r="370" spans="1:15" x14ac:dyDescent="0.25">
      <c r="A370" s="72">
        <f t="shared" si="93"/>
        <v>199</v>
      </c>
      <c r="B370" s="183">
        <f t="shared" si="88"/>
        <v>2629354.7502000332</v>
      </c>
      <c r="C370" s="184">
        <f>-'Retail &amp; Restaurant'!$E$98/12</f>
        <v>22449.880274367653</v>
      </c>
      <c r="D370" s="183">
        <f>'Retail &amp; Restaurant'!$E$96/12*B369</f>
        <v>11003.338715661414</v>
      </c>
      <c r="E370" s="185">
        <f t="shared" si="89"/>
        <v>11446.54155870624</v>
      </c>
      <c r="F370" s="72">
        <f t="shared" si="94"/>
        <v>199</v>
      </c>
      <c r="G370" s="180">
        <f t="shared" si="90"/>
        <v>288140.24375585525</v>
      </c>
      <c r="H370" s="186">
        <f>-'Retail &amp; Restaurant'!$E$103/12</f>
        <v>2245.2234390441222</v>
      </c>
      <c r="I370" s="149">
        <f>'Retail &amp; Restaurant'!$E$101/12*G369</f>
        <v>844.49450368271539</v>
      </c>
      <c r="J370" s="187">
        <f t="shared" si="91"/>
        <v>1400.7289353614069</v>
      </c>
      <c r="K370" s="72">
        <f t="shared" si="95"/>
        <v>199</v>
      </c>
      <c r="L370" s="180">
        <f t="shared" si="92"/>
        <v>2917494.9939558883</v>
      </c>
      <c r="M370" s="181">
        <f t="shared" si="92"/>
        <v>24695.103713411776</v>
      </c>
      <c r="N370" s="180">
        <f t="shared" si="92"/>
        <v>11847.833219344129</v>
      </c>
      <c r="O370" s="132">
        <f t="shared" si="87"/>
        <v>12847.270494067647</v>
      </c>
    </row>
    <row r="371" spans="1:15" x14ac:dyDescent="0.25">
      <c r="A371" s="72">
        <f t="shared" si="93"/>
        <v>200</v>
      </c>
      <c r="B371" s="183">
        <f t="shared" si="88"/>
        <v>2617860.5147181656</v>
      </c>
      <c r="C371" s="184">
        <f>-'Retail &amp; Restaurant'!$E$98/12</f>
        <v>22449.880274367653</v>
      </c>
      <c r="D371" s="183">
        <f>'Retail &amp; Restaurant'!$E$96/12*B370</f>
        <v>10955.644792500138</v>
      </c>
      <c r="E371" s="185">
        <f t="shared" si="89"/>
        <v>11494.235481867516</v>
      </c>
      <c r="F371" s="72">
        <f t="shared" si="94"/>
        <v>200</v>
      </c>
      <c r="G371" s="180">
        <f t="shared" si="90"/>
        <v>286735.42936109903</v>
      </c>
      <c r="H371" s="186">
        <f>-'Retail &amp; Restaurant'!$E$103/12</f>
        <v>2245.2234390441222</v>
      </c>
      <c r="I371" s="149">
        <f>'Retail &amp; Restaurant'!$E$101/12*G370</f>
        <v>840.40904428791123</v>
      </c>
      <c r="J371" s="187">
        <f t="shared" si="91"/>
        <v>1404.814394756211</v>
      </c>
      <c r="K371" s="72">
        <f t="shared" si="95"/>
        <v>200</v>
      </c>
      <c r="L371" s="180">
        <f t="shared" si="92"/>
        <v>2904595.9440792645</v>
      </c>
      <c r="M371" s="181">
        <f t="shared" si="92"/>
        <v>24695.103713411776</v>
      </c>
      <c r="N371" s="180">
        <f t="shared" si="92"/>
        <v>11796.053836788049</v>
      </c>
      <c r="O371" s="132">
        <f t="shared" si="87"/>
        <v>12899.049876623727</v>
      </c>
    </row>
    <row r="372" spans="1:15" x14ac:dyDescent="0.25">
      <c r="A372" s="72">
        <f t="shared" si="93"/>
        <v>201</v>
      </c>
      <c r="B372" s="183">
        <f t="shared" si="88"/>
        <v>2606318.386588457</v>
      </c>
      <c r="C372" s="184">
        <f>-'Retail &amp; Restaurant'!$E$98/12</f>
        <v>22449.880274367653</v>
      </c>
      <c r="D372" s="183">
        <f>'Retail &amp; Restaurant'!$E$96/12*B371</f>
        <v>10907.752144659024</v>
      </c>
      <c r="E372" s="185">
        <f t="shared" si="89"/>
        <v>11542.12812970863</v>
      </c>
      <c r="F372" s="72">
        <f t="shared" si="94"/>
        <v>201</v>
      </c>
      <c r="G372" s="180">
        <f t="shared" si="90"/>
        <v>285326.51759102475</v>
      </c>
      <c r="H372" s="186">
        <f>-'Retail &amp; Restaurant'!$E$103/12</f>
        <v>2245.2234390441222</v>
      </c>
      <c r="I372" s="149">
        <f>'Retail &amp; Restaurant'!$E$101/12*G371</f>
        <v>836.31166896987224</v>
      </c>
      <c r="J372" s="187">
        <f t="shared" si="91"/>
        <v>1408.9117700742499</v>
      </c>
      <c r="K372" s="72">
        <f t="shared" si="95"/>
        <v>201</v>
      </c>
      <c r="L372" s="180">
        <f t="shared" si="92"/>
        <v>2891644.9041794818</v>
      </c>
      <c r="M372" s="181">
        <f t="shared" si="92"/>
        <v>24695.103713411776</v>
      </c>
      <c r="N372" s="180">
        <f t="shared" si="92"/>
        <v>11744.063813628896</v>
      </c>
      <c r="O372" s="132">
        <f t="shared" si="87"/>
        <v>12951.03989978288</v>
      </c>
    </row>
    <row r="373" spans="1:15" x14ac:dyDescent="0.25">
      <c r="A373" s="72">
        <f t="shared" si="93"/>
        <v>202</v>
      </c>
      <c r="B373" s="183">
        <f t="shared" si="88"/>
        <v>2594728.166258208</v>
      </c>
      <c r="C373" s="184">
        <f>-'Retail &amp; Restaurant'!$E$98/12</f>
        <v>22449.880274367653</v>
      </c>
      <c r="D373" s="183">
        <f>'Retail &amp; Restaurant'!$E$96/12*B372</f>
        <v>10859.659944118572</v>
      </c>
      <c r="E373" s="185">
        <f t="shared" si="89"/>
        <v>11590.220330249082</v>
      </c>
      <c r="F373" s="72">
        <f t="shared" si="94"/>
        <v>202</v>
      </c>
      <c r="G373" s="180">
        <f t="shared" si="90"/>
        <v>283913.49649495445</v>
      </c>
      <c r="H373" s="186">
        <f>-'Retail &amp; Restaurant'!$E$103/12</f>
        <v>2245.2234390441222</v>
      </c>
      <c r="I373" s="149">
        <f>'Retail &amp; Restaurant'!$E$101/12*G372</f>
        <v>832.20234297382217</v>
      </c>
      <c r="J373" s="187">
        <f t="shared" si="91"/>
        <v>1413.0210960703</v>
      </c>
      <c r="K373" s="72">
        <f t="shared" si="95"/>
        <v>202</v>
      </c>
      <c r="L373" s="180">
        <f t="shared" si="92"/>
        <v>2878641.6627531624</v>
      </c>
      <c r="M373" s="181">
        <f t="shared" si="92"/>
        <v>24695.103713411776</v>
      </c>
      <c r="N373" s="180">
        <f t="shared" si="92"/>
        <v>11691.862287092394</v>
      </c>
      <c r="O373" s="132">
        <f t="shared" si="87"/>
        <v>13003.241426319382</v>
      </c>
    </row>
    <row r="374" spans="1:15" x14ac:dyDescent="0.25">
      <c r="A374" s="72">
        <f t="shared" si="93"/>
        <v>203</v>
      </c>
      <c r="B374" s="183">
        <f t="shared" si="88"/>
        <v>2583089.6533432496</v>
      </c>
      <c r="C374" s="184">
        <f>-'Retail &amp; Restaurant'!$E$98/12</f>
        <v>22449.880274367653</v>
      </c>
      <c r="D374" s="183">
        <f>'Retail &amp; Restaurant'!$E$96/12*B373</f>
        <v>10811.3673594092</v>
      </c>
      <c r="E374" s="185">
        <f t="shared" si="89"/>
        <v>11638.512914958454</v>
      </c>
      <c r="F374" s="72">
        <f t="shared" si="94"/>
        <v>203</v>
      </c>
      <c r="G374" s="180">
        <f t="shared" si="90"/>
        <v>282496.35408735398</v>
      </c>
      <c r="H374" s="186">
        <f>-'Retail &amp; Restaurant'!$E$103/12</f>
        <v>2245.2234390441222</v>
      </c>
      <c r="I374" s="149">
        <f>'Retail &amp; Restaurant'!$E$101/12*G373</f>
        <v>828.08103144361723</v>
      </c>
      <c r="J374" s="187">
        <f t="shared" si="91"/>
        <v>1417.1424076005051</v>
      </c>
      <c r="K374" s="72">
        <f t="shared" si="95"/>
        <v>203</v>
      </c>
      <c r="L374" s="180">
        <f t="shared" si="92"/>
        <v>2865586.0074306037</v>
      </c>
      <c r="M374" s="181">
        <f t="shared" si="92"/>
        <v>24695.103713411776</v>
      </c>
      <c r="N374" s="180">
        <f t="shared" si="92"/>
        <v>11639.448390852816</v>
      </c>
      <c r="O374" s="132">
        <f t="shared" si="87"/>
        <v>13055.65532255896</v>
      </c>
    </row>
    <row r="375" spans="1:15" x14ac:dyDescent="0.25">
      <c r="A375" s="72">
        <f t="shared" si="93"/>
        <v>204</v>
      </c>
      <c r="B375" s="183">
        <f t="shared" si="88"/>
        <v>2571402.646624479</v>
      </c>
      <c r="C375" s="184">
        <f>-'Retail &amp; Restaurant'!$E$98/12</f>
        <v>22449.880274367653</v>
      </c>
      <c r="D375" s="183">
        <f>'Retail &amp; Restaurant'!$E$96/12*B374</f>
        <v>10762.873555596872</v>
      </c>
      <c r="E375" s="185">
        <f t="shared" si="89"/>
        <v>11687.006718770781</v>
      </c>
      <c r="F375" s="72">
        <f t="shared" si="94"/>
        <v>204</v>
      </c>
      <c r="G375" s="180">
        <f t="shared" si="90"/>
        <v>281075.07834773132</v>
      </c>
      <c r="H375" s="186">
        <f>-'Retail &amp; Restaurant'!$E$103/12</f>
        <v>2245.2234390441222</v>
      </c>
      <c r="I375" s="149">
        <f>'Retail &amp; Restaurant'!$E$101/12*G374</f>
        <v>823.9476994214491</v>
      </c>
      <c r="J375" s="187">
        <f t="shared" si="91"/>
        <v>1421.275739622673</v>
      </c>
      <c r="K375" s="72">
        <f t="shared" si="95"/>
        <v>204</v>
      </c>
      <c r="L375" s="180">
        <f t="shared" si="92"/>
        <v>2852477.7249722104</v>
      </c>
      <c r="M375" s="181">
        <f t="shared" si="92"/>
        <v>24695.103713411776</v>
      </c>
      <c r="N375" s="180">
        <f t="shared" si="92"/>
        <v>11586.821255018322</v>
      </c>
      <c r="O375" s="132">
        <f t="shared" si="87"/>
        <v>13108.282458393454</v>
      </c>
    </row>
    <row r="376" spans="1:15" x14ac:dyDescent="0.25">
      <c r="A376" s="72">
        <f t="shared" si="93"/>
        <v>205</v>
      </c>
      <c r="B376" s="183">
        <f t="shared" si="88"/>
        <v>2559666.94404438</v>
      </c>
      <c r="C376" s="184">
        <f>-'Retail &amp; Restaurant'!$E$98/12</f>
        <v>22449.880274367653</v>
      </c>
      <c r="D376" s="183">
        <f>'Retail &amp; Restaurant'!$E$96/12*B375</f>
        <v>10714.177694268663</v>
      </c>
      <c r="E376" s="185">
        <f t="shared" si="89"/>
        <v>11735.70258009899</v>
      </c>
      <c r="F376" s="72">
        <f t="shared" si="94"/>
        <v>205</v>
      </c>
      <c r="G376" s="180">
        <f t="shared" si="90"/>
        <v>279649.65722053475</v>
      </c>
      <c r="H376" s="186">
        <f>-'Retail &amp; Restaurant'!$E$103/12</f>
        <v>2245.2234390441222</v>
      </c>
      <c r="I376" s="149">
        <f>'Retail &amp; Restaurant'!$E$101/12*G375</f>
        <v>819.80231184754973</v>
      </c>
      <c r="J376" s="187">
        <f t="shared" si="91"/>
        <v>1425.4211271965723</v>
      </c>
      <c r="K376" s="72">
        <f t="shared" si="95"/>
        <v>205</v>
      </c>
      <c r="L376" s="180">
        <f t="shared" si="92"/>
        <v>2839316.6012649145</v>
      </c>
      <c r="M376" s="181">
        <f t="shared" si="92"/>
        <v>24695.103713411776</v>
      </c>
      <c r="N376" s="180">
        <f t="shared" si="92"/>
        <v>11533.980006116213</v>
      </c>
      <c r="O376" s="132">
        <f t="shared" si="87"/>
        <v>13161.123707295563</v>
      </c>
    </row>
    <row r="377" spans="1:15" x14ac:dyDescent="0.25">
      <c r="A377" s="72">
        <f t="shared" si="93"/>
        <v>206</v>
      </c>
      <c r="B377" s="183">
        <f t="shared" si="88"/>
        <v>2547882.3427035306</v>
      </c>
      <c r="C377" s="184">
        <f>-'Retail &amp; Restaurant'!$E$98/12</f>
        <v>22449.880274367653</v>
      </c>
      <c r="D377" s="183">
        <f>'Retail &amp; Restaurant'!$E$96/12*B376</f>
        <v>10665.27893351825</v>
      </c>
      <c r="E377" s="185">
        <f t="shared" si="89"/>
        <v>11784.601340849404</v>
      </c>
      <c r="F377" s="72">
        <f t="shared" si="94"/>
        <v>206</v>
      </c>
      <c r="G377" s="180">
        <f t="shared" si="90"/>
        <v>278220.07861505053</v>
      </c>
      <c r="H377" s="186">
        <f>-'Retail &amp; Restaurant'!$E$103/12</f>
        <v>2245.2234390441222</v>
      </c>
      <c r="I377" s="149">
        <f>'Retail &amp; Restaurant'!$E$101/12*G376</f>
        <v>815.64483355989307</v>
      </c>
      <c r="J377" s="187">
        <f t="shared" si="91"/>
        <v>1429.5786054842292</v>
      </c>
      <c r="K377" s="72">
        <f t="shared" si="95"/>
        <v>206</v>
      </c>
      <c r="L377" s="180">
        <f t="shared" si="92"/>
        <v>2826102.4213185813</v>
      </c>
      <c r="M377" s="181">
        <f t="shared" si="92"/>
        <v>24695.103713411776</v>
      </c>
      <c r="N377" s="180">
        <f t="shared" si="92"/>
        <v>11480.923767078142</v>
      </c>
      <c r="O377" s="132">
        <f t="shared" si="87"/>
        <v>13214.179946333632</v>
      </c>
    </row>
    <row r="378" spans="1:15" x14ac:dyDescent="0.25">
      <c r="A378" s="72">
        <f t="shared" si="93"/>
        <v>207</v>
      </c>
      <c r="B378" s="183">
        <f t="shared" si="88"/>
        <v>2536048.6388570941</v>
      </c>
      <c r="C378" s="184">
        <f>-'Retail &amp; Restaurant'!$E$98/12</f>
        <v>22449.880274367653</v>
      </c>
      <c r="D378" s="183">
        <f>'Retail &amp; Restaurant'!$E$96/12*B377</f>
        <v>10616.176427931377</v>
      </c>
      <c r="E378" s="185">
        <f t="shared" si="89"/>
        <v>11833.703846436276</v>
      </c>
      <c r="F378" s="72">
        <f t="shared" si="94"/>
        <v>207</v>
      </c>
      <c r="G378" s="180">
        <f t="shared" si="90"/>
        <v>276786.33040530031</v>
      </c>
      <c r="H378" s="186">
        <f>-'Retail &amp; Restaurant'!$E$103/12</f>
        <v>2245.2234390441222</v>
      </c>
      <c r="I378" s="149">
        <f>'Retail &amp; Restaurant'!$E$101/12*G377</f>
        <v>811.47522929389743</v>
      </c>
      <c r="J378" s="187">
        <f t="shared" si="91"/>
        <v>1433.7482097502248</v>
      </c>
      <c r="K378" s="72">
        <f t="shared" si="95"/>
        <v>207</v>
      </c>
      <c r="L378" s="180">
        <f t="shared" si="92"/>
        <v>2812834.9692623946</v>
      </c>
      <c r="M378" s="181">
        <f t="shared" si="92"/>
        <v>24695.103713411776</v>
      </c>
      <c r="N378" s="180">
        <f t="shared" si="92"/>
        <v>11427.651657225275</v>
      </c>
      <c r="O378" s="132">
        <f t="shared" si="87"/>
        <v>13267.452056186501</v>
      </c>
    </row>
    <row r="379" spans="1:15" x14ac:dyDescent="0.25">
      <c r="A379" s="72">
        <f t="shared" si="93"/>
        <v>208</v>
      </c>
      <c r="B379" s="183">
        <f t="shared" si="88"/>
        <v>2524165.6279112976</v>
      </c>
      <c r="C379" s="184">
        <f>-'Retail &amp; Restaurant'!$E$98/12</f>
        <v>22449.880274367653</v>
      </c>
      <c r="D379" s="183">
        <f>'Retail &amp; Restaurant'!$E$96/12*B378</f>
        <v>10566.869328571225</v>
      </c>
      <c r="E379" s="185">
        <f t="shared" si="89"/>
        <v>11883.010945796428</v>
      </c>
      <c r="F379" s="72">
        <f t="shared" si="94"/>
        <v>208</v>
      </c>
      <c r="G379" s="180">
        <f t="shared" si="90"/>
        <v>275348.40042993834</v>
      </c>
      <c r="H379" s="186">
        <f>-'Retail &amp; Restaurant'!$E$103/12</f>
        <v>2245.2234390441222</v>
      </c>
      <c r="I379" s="149">
        <f>'Retail &amp; Restaurant'!$E$101/12*G378</f>
        <v>807.29346368212589</v>
      </c>
      <c r="J379" s="187">
        <f t="shared" si="91"/>
        <v>1437.9299753619962</v>
      </c>
      <c r="K379" s="72">
        <f t="shared" si="95"/>
        <v>208</v>
      </c>
      <c r="L379" s="180">
        <f t="shared" si="92"/>
        <v>2799514.0283412361</v>
      </c>
      <c r="M379" s="181">
        <f t="shared" si="92"/>
        <v>24695.103713411776</v>
      </c>
      <c r="N379" s="180">
        <f t="shared" si="92"/>
        <v>11374.162792253352</v>
      </c>
      <c r="O379" s="132">
        <f t="shared" si="87"/>
        <v>13320.940921158424</v>
      </c>
    </row>
    <row r="380" spans="1:15" x14ac:dyDescent="0.25">
      <c r="A380" s="72">
        <f t="shared" si="93"/>
        <v>209</v>
      </c>
      <c r="B380" s="183">
        <f t="shared" si="88"/>
        <v>2512233.1044198936</v>
      </c>
      <c r="C380" s="184">
        <f>-'Retail &amp; Restaurant'!$E$98/12</f>
        <v>22449.880274367653</v>
      </c>
      <c r="D380" s="183">
        <f>'Retail &amp; Restaurant'!$E$96/12*B379</f>
        <v>10517.35678296374</v>
      </c>
      <c r="E380" s="185">
        <f t="shared" si="89"/>
        <v>11932.523491403914</v>
      </c>
      <c r="F380" s="72">
        <f t="shared" si="94"/>
        <v>209</v>
      </c>
      <c r="G380" s="180">
        <f t="shared" si="90"/>
        <v>273906.27649214823</v>
      </c>
      <c r="H380" s="186">
        <f>-'Retail &amp; Restaurant'!$E$103/12</f>
        <v>2245.2234390441222</v>
      </c>
      <c r="I380" s="149">
        <f>'Retail &amp; Restaurant'!$E$101/12*G379</f>
        <v>803.09950125398689</v>
      </c>
      <c r="J380" s="187">
        <f t="shared" si="91"/>
        <v>1442.1239377901352</v>
      </c>
      <c r="K380" s="72">
        <f t="shared" si="95"/>
        <v>209</v>
      </c>
      <c r="L380" s="180">
        <f t="shared" si="92"/>
        <v>2786139.3809120418</v>
      </c>
      <c r="M380" s="181">
        <f t="shared" si="92"/>
        <v>24695.103713411776</v>
      </c>
      <c r="N380" s="180">
        <f t="shared" si="92"/>
        <v>11320.456284217726</v>
      </c>
      <c r="O380" s="132">
        <f t="shared" si="87"/>
        <v>13374.647429194049</v>
      </c>
    </row>
    <row r="381" spans="1:15" x14ac:dyDescent="0.25">
      <c r="A381" s="72">
        <f t="shared" si="93"/>
        <v>210</v>
      </c>
      <c r="B381" s="183">
        <f t="shared" si="88"/>
        <v>2500250.862080609</v>
      </c>
      <c r="C381" s="184">
        <f>-'Retail &amp; Restaurant'!$E$98/12</f>
        <v>22449.880274367653</v>
      </c>
      <c r="D381" s="183">
        <f>'Retail &amp; Restaurant'!$E$96/12*B380</f>
        <v>10467.63793508289</v>
      </c>
      <c r="E381" s="185">
        <f t="shared" si="89"/>
        <v>11982.242339284763</v>
      </c>
      <c r="F381" s="72">
        <f t="shared" si="94"/>
        <v>210</v>
      </c>
      <c r="G381" s="180">
        <f t="shared" si="90"/>
        <v>272459.94635953952</v>
      </c>
      <c r="H381" s="186">
        <f>-'Retail &amp; Restaurant'!$E$103/12</f>
        <v>2245.2234390441222</v>
      </c>
      <c r="I381" s="149">
        <f>'Retail &amp; Restaurant'!$E$101/12*G380</f>
        <v>798.89330643543235</v>
      </c>
      <c r="J381" s="187">
        <f t="shared" si="91"/>
        <v>1446.3301326086898</v>
      </c>
      <c r="K381" s="72">
        <f t="shared" si="95"/>
        <v>210</v>
      </c>
      <c r="L381" s="180">
        <f t="shared" si="92"/>
        <v>2772710.8084401484</v>
      </c>
      <c r="M381" s="181">
        <f t="shared" si="92"/>
        <v>24695.103713411776</v>
      </c>
      <c r="N381" s="180">
        <f t="shared" si="92"/>
        <v>11266.531241518322</v>
      </c>
      <c r="O381" s="132">
        <f t="shared" si="87"/>
        <v>13428.572471893453</v>
      </c>
    </row>
    <row r="382" spans="1:15" x14ac:dyDescent="0.25">
      <c r="A382" s="72">
        <f t="shared" si="93"/>
        <v>211</v>
      </c>
      <c r="B382" s="183">
        <f t="shared" si="88"/>
        <v>2488218.6937315771</v>
      </c>
      <c r="C382" s="184">
        <f>-'Retail &amp; Restaurant'!$E$98/12</f>
        <v>22449.880274367653</v>
      </c>
      <c r="D382" s="183">
        <f>'Retail &amp; Restaurant'!$E$96/12*B381</f>
        <v>10417.711925335871</v>
      </c>
      <c r="E382" s="185">
        <f t="shared" si="89"/>
        <v>12032.168349031783</v>
      </c>
      <c r="F382" s="72">
        <f t="shared" si="94"/>
        <v>211</v>
      </c>
      <c r="G382" s="180">
        <f t="shared" si="90"/>
        <v>271009.39776404406</v>
      </c>
      <c r="H382" s="186">
        <f>-'Retail &amp; Restaurant'!$E$103/12</f>
        <v>2245.2234390441222</v>
      </c>
      <c r="I382" s="149">
        <f>'Retail &amp; Restaurant'!$E$101/12*G381</f>
        <v>794.67484354865701</v>
      </c>
      <c r="J382" s="187">
        <f t="shared" si="91"/>
        <v>1450.5485954954652</v>
      </c>
      <c r="K382" s="72">
        <f t="shared" si="95"/>
        <v>211</v>
      </c>
      <c r="L382" s="180">
        <f t="shared" si="92"/>
        <v>2759228.091495621</v>
      </c>
      <c r="M382" s="181">
        <f t="shared" si="92"/>
        <v>24695.103713411776</v>
      </c>
      <c r="N382" s="180">
        <f t="shared" si="92"/>
        <v>11212.386768884528</v>
      </c>
      <c r="O382" s="132">
        <f t="shared" si="87"/>
        <v>13482.716944527248</v>
      </c>
    </row>
    <row r="383" spans="1:15" x14ac:dyDescent="0.25">
      <c r="A383" s="72">
        <f t="shared" si="93"/>
        <v>212</v>
      </c>
      <c r="B383" s="183">
        <f t="shared" si="88"/>
        <v>2476136.3913477575</v>
      </c>
      <c r="C383" s="184">
        <f>-'Retail &amp; Restaurant'!$E$98/12</f>
        <v>22449.880274367653</v>
      </c>
      <c r="D383" s="183">
        <f>'Retail &amp; Restaurant'!$E$96/12*B382</f>
        <v>10367.577890548238</v>
      </c>
      <c r="E383" s="185">
        <f t="shared" si="89"/>
        <v>12082.302383819415</v>
      </c>
      <c r="F383" s="72">
        <f t="shared" si="94"/>
        <v>212</v>
      </c>
      <c r="G383" s="180">
        <f t="shared" si="90"/>
        <v>269554.61840181175</v>
      </c>
      <c r="H383" s="186">
        <f>-'Retail &amp; Restaurant'!$E$103/12</f>
        <v>2245.2234390441222</v>
      </c>
      <c r="I383" s="149">
        <f>'Retail &amp; Restaurant'!$E$101/12*G382</f>
        <v>790.44407681179518</v>
      </c>
      <c r="J383" s="187">
        <f t="shared" si="91"/>
        <v>1454.779362232327</v>
      </c>
      <c r="K383" s="72">
        <f t="shared" si="95"/>
        <v>212</v>
      </c>
      <c r="L383" s="180">
        <f t="shared" si="92"/>
        <v>2745691.0097495695</v>
      </c>
      <c r="M383" s="181">
        <f t="shared" si="92"/>
        <v>24695.103713411776</v>
      </c>
      <c r="N383" s="180">
        <f t="shared" si="92"/>
        <v>11158.021967360033</v>
      </c>
      <c r="O383" s="132">
        <f t="shared" si="87"/>
        <v>13537.081746051743</v>
      </c>
    </row>
    <row r="384" spans="1:15" x14ac:dyDescent="0.25">
      <c r="A384" s="72">
        <f t="shared" si="93"/>
        <v>213</v>
      </c>
      <c r="B384" s="183">
        <f t="shared" si="88"/>
        <v>2464003.7460373389</v>
      </c>
      <c r="C384" s="184">
        <f>-'Retail &amp; Restaurant'!$E$98/12</f>
        <v>22449.880274367653</v>
      </c>
      <c r="D384" s="183">
        <f>'Retail &amp; Restaurant'!$E$96/12*B383</f>
        <v>10317.234963948989</v>
      </c>
      <c r="E384" s="185">
        <f t="shared" si="89"/>
        <v>12132.645310418664</v>
      </c>
      <c r="F384" s="72">
        <f t="shared" si="94"/>
        <v>213</v>
      </c>
      <c r="G384" s="180">
        <f t="shared" si="90"/>
        <v>268095.59593310626</v>
      </c>
      <c r="H384" s="186">
        <f>-'Retail &amp; Restaurant'!$E$103/12</f>
        <v>2245.2234390441222</v>
      </c>
      <c r="I384" s="149">
        <f>'Retail &amp; Restaurant'!$E$101/12*G383</f>
        <v>786.20097033861759</v>
      </c>
      <c r="J384" s="187">
        <f t="shared" si="91"/>
        <v>1459.0224687055047</v>
      </c>
      <c r="K384" s="72">
        <f t="shared" si="95"/>
        <v>213</v>
      </c>
      <c r="L384" s="180">
        <f t="shared" si="92"/>
        <v>2732099.3419704451</v>
      </c>
      <c r="M384" s="181">
        <f t="shared" si="92"/>
        <v>24695.103713411776</v>
      </c>
      <c r="N384" s="180">
        <f t="shared" si="92"/>
        <v>11103.435934287607</v>
      </c>
      <c r="O384" s="132">
        <f t="shared" si="87"/>
        <v>13591.667779124169</v>
      </c>
    </row>
    <row r="385" spans="1:15" x14ac:dyDescent="0.25">
      <c r="A385" s="72">
        <f t="shared" si="93"/>
        <v>214</v>
      </c>
      <c r="B385" s="183">
        <f t="shared" si="88"/>
        <v>2451820.5480381269</v>
      </c>
      <c r="C385" s="184">
        <f>-'Retail &amp; Restaurant'!$E$98/12</f>
        <v>22449.880274367653</v>
      </c>
      <c r="D385" s="183">
        <f>'Retail &amp; Restaurant'!$E$96/12*B384</f>
        <v>10266.682275155579</v>
      </c>
      <c r="E385" s="185">
        <f t="shared" si="89"/>
        <v>12183.197999212074</v>
      </c>
      <c r="F385" s="72">
        <f t="shared" si="94"/>
        <v>214</v>
      </c>
      <c r="G385" s="180">
        <f t="shared" si="90"/>
        <v>266632.31798220036</v>
      </c>
      <c r="H385" s="186">
        <f>-'Retail &amp; Restaurant'!$E$103/12</f>
        <v>2245.2234390441222</v>
      </c>
      <c r="I385" s="149">
        <f>'Retail &amp; Restaurant'!$E$101/12*G384</f>
        <v>781.94548813822666</v>
      </c>
      <c r="J385" s="187">
        <f t="shared" si="91"/>
        <v>1463.2779509058955</v>
      </c>
      <c r="K385" s="72">
        <f t="shared" si="95"/>
        <v>214</v>
      </c>
      <c r="L385" s="180">
        <f t="shared" si="92"/>
        <v>2718452.8660203274</v>
      </c>
      <c r="M385" s="181">
        <f t="shared" si="92"/>
        <v>24695.103713411776</v>
      </c>
      <c r="N385" s="180">
        <f t="shared" si="92"/>
        <v>11048.627763293805</v>
      </c>
      <c r="O385" s="132">
        <f t="shared" si="87"/>
        <v>13646.475950117969</v>
      </c>
    </row>
    <row r="386" spans="1:15" x14ac:dyDescent="0.25">
      <c r="A386" s="72">
        <f t="shared" si="93"/>
        <v>215</v>
      </c>
      <c r="B386" s="183">
        <f t="shared" si="88"/>
        <v>2439586.586713918</v>
      </c>
      <c r="C386" s="184">
        <f>-'Retail &amp; Restaurant'!$E$98/12</f>
        <v>22449.880274367653</v>
      </c>
      <c r="D386" s="183">
        <f>'Retail &amp; Restaurant'!$E$96/12*B385</f>
        <v>10215.918950158863</v>
      </c>
      <c r="E386" s="185">
        <f t="shared" si="89"/>
        <v>12233.961324208791</v>
      </c>
      <c r="F386" s="72">
        <f t="shared" si="94"/>
        <v>215</v>
      </c>
      <c r="G386" s="180">
        <f t="shared" si="90"/>
        <v>265164.77213727101</v>
      </c>
      <c r="H386" s="186">
        <f>-'Retail &amp; Restaurant'!$E$103/12</f>
        <v>2245.2234390441222</v>
      </c>
      <c r="I386" s="149">
        <f>'Retail &amp; Restaurant'!$E$101/12*G385</f>
        <v>777.67759411475106</v>
      </c>
      <c r="J386" s="187">
        <f t="shared" si="91"/>
        <v>1467.545844929371</v>
      </c>
      <c r="K386" s="72">
        <f t="shared" si="95"/>
        <v>215</v>
      </c>
      <c r="L386" s="180">
        <f t="shared" si="92"/>
        <v>2704751.3588511888</v>
      </c>
      <c r="M386" s="181">
        <f t="shared" si="92"/>
        <v>24695.103713411776</v>
      </c>
      <c r="N386" s="180">
        <f t="shared" si="92"/>
        <v>10993.596544273614</v>
      </c>
      <c r="O386" s="132">
        <f t="shared" si="87"/>
        <v>13701.507169138162</v>
      </c>
    </row>
    <row r="387" spans="1:15" x14ac:dyDescent="0.25">
      <c r="A387" s="72">
        <f t="shared" si="93"/>
        <v>216</v>
      </c>
      <c r="B387" s="183">
        <f t="shared" si="88"/>
        <v>2427301.6505508586</v>
      </c>
      <c r="C387" s="184">
        <f>-'Retail &amp; Restaurant'!$E$98/12</f>
        <v>22449.880274367653</v>
      </c>
      <c r="D387" s="183">
        <f>'Retail &amp; Restaurant'!$E$96/12*B386</f>
        <v>10164.944111307992</v>
      </c>
      <c r="E387" s="185">
        <f t="shared" si="89"/>
        <v>12284.936163059661</v>
      </c>
      <c r="F387" s="72">
        <f t="shared" si="94"/>
        <v>216</v>
      </c>
      <c r="G387" s="180">
        <f t="shared" si="90"/>
        <v>263692.94595029391</v>
      </c>
      <c r="H387" s="186">
        <f>-'Retail &amp; Restaurant'!$E$103/12</f>
        <v>2245.2234390441222</v>
      </c>
      <c r="I387" s="149">
        <f>'Retail &amp; Restaurant'!$E$101/12*G386</f>
        <v>773.39725206704043</v>
      </c>
      <c r="J387" s="187">
        <f t="shared" si="91"/>
        <v>1471.8261869770818</v>
      </c>
      <c r="K387" s="72">
        <f t="shared" si="95"/>
        <v>216</v>
      </c>
      <c r="L387" s="180">
        <f t="shared" si="92"/>
        <v>2690994.5965011525</v>
      </c>
      <c r="M387" s="181">
        <f t="shared" si="92"/>
        <v>24695.103713411776</v>
      </c>
      <c r="N387" s="180">
        <f t="shared" si="92"/>
        <v>10938.341363375032</v>
      </c>
      <c r="O387" s="132">
        <f t="shared" si="87"/>
        <v>13756.762350036743</v>
      </c>
    </row>
    <row r="388" spans="1:15" x14ac:dyDescent="0.25">
      <c r="A388" s="72">
        <f t="shared" si="93"/>
        <v>217</v>
      </c>
      <c r="B388" s="183">
        <f t="shared" si="88"/>
        <v>2414965.5271537863</v>
      </c>
      <c r="C388" s="184">
        <f>-'Retail &amp; Restaurant'!$E$98/12</f>
        <v>22449.880274367653</v>
      </c>
      <c r="D388" s="183">
        <f>'Retail &amp; Restaurant'!$E$96/12*B387</f>
        <v>10113.756877295244</v>
      </c>
      <c r="E388" s="185">
        <f t="shared" si="89"/>
        <v>12336.12339707241</v>
      </c>
      <c r="F388" s="72">
        <f t="shared" si="94"/>
        <v>217</v>
      </c>
      <c r="G388" s="180">
        <f t="shared" si="90"/>
        <v>262216.82693693816</v>
      </c>
      <c r="H388" s="186">
        <f>-'Retail &amp; Restaurant'!$E$103/12</f>
        <v>2245.2234390441222</v>
      </c>
      <c r="I388" s="149">
        <f>'Retail &amp; Restaurant'!$E$101/12*G387</f>
        <v>769.10442568835731</v>
      </c>
      <c r="J388" s="187">
        <f t="shared" si="91"/>
        <v>1476.1190133557648</v>
      </c>
      <c r="K388" s="72">
        <f t="shared" si="95"/>
        <v>217</v>
      </c>
      <c r="L388" s="180">
        <f t="shared" si="92"/>
        <v>2677182.3540907246</v>
      </c>
      <c r="M388" s="181">
        <f t="shared" si="92"/>
        <v>24695.103713411776</v>
      </c>
      <c r="N388" s="180">
        <f t="shared" si="92"/>
        <v>10882.861302983601</v>
      </c>
      <c r="O388" s="132">
        <f t="shared" si="87"/>
        <v>13812.242410428174</v>
      </c>
    </row>
    <row r="389" spans="1:15" x14ac:dyDescent="0.25">
      <c r="A389" s="72">
        <f t="shared" si="93"/>
        <v>218</v>
      </c>
      <c r="B389" s="183">
        <f t="shared" si="88"/>
        <v>2402578.0032425593</v>
      </c>
      <c r="C389" s="184">
        <f>-'Retail &amp; Restaurant'!$E$98/12</f>
        <v>22449.880274367653</v>
      </c>
      <c r="D389" s="183">
        <f>'Retail &amp; Restaurant'!$E$96/12*B388</f>
        <v>10062.356363140776</v>
      </c>
      <c r="E389" s="185">
        <f t="shared" si="89"/>
        <v>12387.523911226877</v>
      </c>
      <c r="F389" s="72">
        <f t="shared" si="94"/>
        <v>218</v>
      </c>
      <c r="G389" s="180">
        <f t="shared" si="90"/>
        <v>260736.4025764601</v>
      </c>
      <c r="H389" s="186">
        <f>-'Retail &amp; Restaurant'!$E$103/12</f>
        <v>2245.2234390441222</v>
      </c>
      <c r="I389" s="149">
        <f>'Retail &amp; Restaurant'!$E$101/12*G388</f>
        <v>764.79907856606962</v>
      </c>
      <c r="J389" s="187">
        <f t="shared" si="91"/>
        <v>1480.4243604780527</v>
      </c>
      <c r="K389" s="72">
        <f t="shared" si="95"/>
        <v>218</v>
      </c>
      <c r="L389" s="180">
        <f t="shared" si="92"/>
        <v>2663314.4058190193</v>
      </c>
      <c r="M389" s="181">
        <f t="shared" si="92"/>
        <v>24695.103713411776</v>
      </c>
      <c r="N389" s="180">
        <f t="shared" si="92"/>
        <v>10827.155441706846</v>
      </c>
      <c r="O389" s="132">
        <f t="shared" si="87"/>
        <v>13867.94827170493</v>
      </c>
    </row>
    <row r="390" spans="1:15" x14ac:dyDescent="0.25">
      <c r="A390" s="72">
        <f t="shared" si="93"/>
        <v>219</v>
      </c>
      <c r="B390" s="183">
        <f t="shared" si="88"/>
        <v>2390138.8646483691</v>
      </c>
      <c r="C390" s="184">
        <f>-'Retail &amp; Restaurant'!$E$98/12</f>
        <v>22449.880274367653</v>
      </c>
      <c r="D390" s="183">
        <f>'Retail &amp; Restaurant'!$E$96/12*B389</f>
        <v>10010.741680177331</v>
      </c>
      <c r="E390" s="185">
        <f t="shared" si="89"/>
        <v>12439.138594190323</v>
      </c>
      <c r="F390" s="72">
        <f t="shared" si="94"/>
        <v>219</v>
      </c>
      <c r="G390" s="180">
        <f t="shared" si="90"/>
        <v>259251.66031159731</v>
      </c>
      <c r="H390" s="186">
        <f>-'Retail &amp; Restaurant'!$E$103/12</f>
        <v>2245.2234390441222</v>
      </c>
      <c r="I390" s="149">
        <f>'Retail &amp; Restaurant'!$E$101/12*G389</f>
        <v>760.481174181342</v>
      </c>
      <c r="J390" s="187">
        <f t="shared" si="91"/>
        <v>1484.7422648627803</v>
      </c>
      <c r="K390" s="72">
        <f t="shared" si="95"/>
        <v>219</v>
      </c>
      <c r="L390" s="180">
        <f t="shared" si="92"/>
        <v>2649390.5249599665</v>
      </c>
      <c r="M390" s="181">
        <f t="shared" si="92"/>
        <v>24695.103713411776</v>
      </c>
      <c r="N390" s="180">
        <f t="shared" si="92"/>
        <v>10771.222854358673</v>
      </c>
      <c r="O390" s="132">
        <f t="shared" si="87"/>
        <v>13923.880859053103</v>
      </c>
    </row>
    <row r="391" spans="1:15" x14ac:dyDescent="0.25">
      <c r="A391" s="72">
        <f t="shared" si="93"/>
        <v>220</v>
      </c>
      <c r="B391" s="183">
        <f t="shared" si="88"/>
        <v>2377647.8963100365</v>
      </c>
      <c r="C391" s="184">
        <f>-'Retail &amp; Restaurant'!$E$98/12</f>
        <v>22449.880274367653</v>
      </c>
      <c r="D391" s="183">
        <f>'Retail &amp; Restaurant'!$E$96/12*B390</f>
        <v>9958.9119360348705</v>
      </c>
      <c r="E391" s="185">
        <f t="shared" si="89"/>
        <v>12490.968338332783</v>
      </c>
      <c r="F391" s="72">
        <f t="shared" si="94"/>
        <v>220</v>
      </c>
      <c r="G391" s="180">
        <f t="shared" si="90"/>
        <v>257762.587548462</v>
      </c>
      <c r="H391" s="186">
        <f>-'Retail &amp; Restaurant'!$E$103/12</f>
        <v>2245.2234390441222</v>
      </c>
      <c r="I391" s="149">
        <f>'Retail &amp; Restaurant'!$E$101/12*G390</f>
        <v>756.15067590882552</v>
      </c>
      <c r="J391" s="187">
        <f t="shared" si="91"/>
        <v>1489.0727631352966</v>
      </c>
      <c r="K391" s="72">
        <f t="shared" si="95"/>
        <v>220</v>
      </c>
      <c r="L391" s="180">
        <f t="shared" si="92"/>
        <v>2635410.4838584987</v>
      </c>
      <c r="M391" s="181">
        <f t="shared" si="92"/>
        <v>24695.103713411776</v>
      </c>
      <c r="N391" s="180">
        <f t="shared" si="92"/>
        <v>10715.062611943697</v>
      </c>
      <c r="O391" s="132">
        <f t="shared" si="87"/>
        <v>13980.041101468079</v>
      </c>
    </row>
    <row r="392" spans="1:15" x14ac:dyDescent="0.25">
      <c r="A392" s="72">
        <f t="shared" si="93"/>
        <v>221</v>
      </c>
      <c r="B392" s="183">
        <f t="shared" si="88"/>
        <v>2365104.8822702942</v>
      </c>
      <c r="C392" s="184">
        <f>-'Retail &amp; Restaurant'!$E$98/12</f>
        <v>22449.880274367653</v>
      </c>
      <c r="D392" s="183">
        <f>'Retail &amp; Restaurant'!$E$96/12*B391</f>
        <v>9906.8662346251513</v>
      </c>
      <c r="E392" s="185">
        <f t="shared" si="89"/>
        <v>12543.014039742502</v>
      </c>
      <c r="F392" s="72">
        <f t="shared" si="94"/>
        <v>221</v>
      </c>
      <c r="G392" s="180">
        <f t="shared" si="90"/>
        <v>256269.17165643422</v>
      </c>
      <c r="H392" s="186">
        <f>-'Retail &amp; Restaurant'!$E$103/12</f>
        <v>2245.2234390441222</v>
      </c>
      <c r="I392" s="149">
        <f>'Retail &amp; Restaurant'!$E$101/12*G391</f>
        <v>751.8075470163476</v>
      </c>
      <c r="J392" s="187">
        <f t="shared" si="91"/>
        <v>1493.4158920277746</v>
      </c>
      <c r="K392" s="72">
        <f t="shared" si="95"/>
        <v>221</v>
      </c>
      <c r="L392" s="180">
        <f t="shared" si="92"/>
        <v>2621374.0539267287</v>
      </c>
      <c r="M392" s="181">
        <f t="shared" si="92"/>
        <v>24695.103713411776</v>
      </c>
      <c r="N392" s="180">
        <f t="shared" si="92"/>
        <v>10658.673781641499</v>
      </c>
      <c r="O392" s="132">
        <f t="shared" si="87"/>
        <v>14036.429931770277</v>
      </c>
    </row>
    <row r="393" spans="1:15" x14ac:dyDescent="0.25">
      <c r="A393" s="72">
        <f t="shared" si="93"/>
        <v>222</v>
      </c>
      <c r="B393" s="183">
        <f t="shared" si="88"/>
        <v>2352509.6056720526</v>
      </c>
      <c r="C393" s="184">
        <f>-'Retail &amp; Restaurant'!$E$98/12</f>
        <v>22449.880274367653</v>
      </c>
      <c r="D393" s="183">
        <f>'Retail &amp; Restaurant'!$E$96/12*B392</f>
        <v>9854.6036761262258</v>
      </c>
      <c r="E393" s="185">
        <f t="shared" si="89"/>
        <v>12595.276598241428</v>
      </c>
      <c r="F393" s="72">
        <f t="shared" si="94"/>
        <v>222</v>
      </c>
      <c r="G393" s="180">
        <f t="shared" si="90"/>
        <v>254771.3999680547</v>
      </c>
      <c r="H393" s="186">
        <f>-'Retail &amp; Restaurant'!$E$103/12</f>
        <v>2245.2234390441222</v>
      </c>
      <c r="I393" s="149">
        <f>'Retail &amp; Restaurant'!$E$101/12*G392</f>
        <v>747.4517506645999</v>
      </c>
      <c r="J393" s="187">
        <f t="shared" si="91"/>
        <v>1497.7716883795224</v>
      </c>
      <c r="K393" s="72">
        <f t="shared" si="95"/>
        <v>222</v>
      </c>
      <c r="L393" s="180">
        <f t="shared" si="92"/>
        <v>2607281.0056401072</v>
      </c>
      <c r="M393" s="181">
        <f t="shared" si="92"/>
        <v>24695.103713411776</v>
      </c>
      <c r="N393" s="180">
        <f t="shared" si="92"/>
        <v>10602.055426790826</v>
      </c>
      <c r="O393" s="132">
        <f t="shared" si="87"/>
        <v>14093.04828662095</v>
      </c>
    </row>
    <row r="394" spans="1:15" x14ac:dyDescent="0.25">
      <c r="A394" s="72">
        <f t="shared" si="93"/>
        <v>223</v>
      </c>
      <c r="B394" s="183">
        <f t="shared" si="88"/>
        <v>2339861.8487546518</v>
      </c>
      <c r="C394" s="184">
        <f>-'Retail &amp; Restaurant'!$E$98/12</f>
        <v>22449.880274367653</v>
      </c>
      <c r="D394" s="183">
        <f>'Retail &amp; Restaurant'!$E$96/12*B393</f>
        <v>9802.1233569668857</v>
      </c>
      <c r="E394" s="185">
        <f t="shared" si="89"/>
        <v>12647.756917400768</v>
      </c>
      <c r="F394" s="72">
        <f t="shared" si="94"/>
        <v>223</v>
      </c>
      <c r="G394" s="180">
        <f t="shared" si="90"/>
        <v>253269.25977891739</v>
      </c>
      <c r="H394" s="186">
        <f>-'Retail &amp; Restaurant'!$E$103/12</f>
        <v>2245.2234390441222</v>
      </c>
      <c r="I394" s="149">
        <f>'Retail &amp; Restaurant'!$E$101/12*G393</f>
        <v>743.08324990682627</v>
      </c>
      <c r="J394" s="187">
        <f t="shared" si="91"/>
        <v>1502.1401891372959</v>
      </c>
      <c r="K394" s="72">
        <f t="shared" si="95"/>
        <v>223</v>
      </c>
      <c r="L394" s="180">
        <f t="shared" si="92"/>
        <v>2593131.1085335691</v>
      </c>
      <c r="M394" s="181">
        <f t="shared" si="92"/>
        <v>24695.103713411776</v>
      </c>
      <c r="N394" s="180">
        <f t="shared" si="92"/>
        <v>10545.206606873711</v>
      </c>
      <c r="O394" s="132">
        <f t="shared" si="87"/>
        <v>14149.897106538063</v>
      </c>
    </row>
    <row r="395" spans="1:15" x14ac:dyDescent="0.25">
      <c r="A395" s="72">
        <f t="shared" si="93"/>
        <v>224</v>
      </c>
      <c r="B395" s="183">
        <f t="shared" si="88"/>
        <v>2327161.3928500954</v>
      </c>
      <c r="C395" s="184">
        <f>-'Retail &amp; Restaurant'!$E$98/12</f>
        <v>22449.880274367653</v>
      </c>
      <c r="D395" s="183">
        <f>'Retail &amp; Restaurant'!$E$96/12*B394</f>
        <v>9749.4243698110495</v>
      </c>
      <c r="E395" s="185">
        <f t="shared" si="89"/>
        <v>12700.455904556604</v>
      </c>
      <c r="F395" s="72">
        <f t="shared" si="94"/>
        <v>224</v>
      </c>
      <c r="G395" s="180">
        <f t="shared" si="90"/>
        <v>251762.73834756177</v>
      </c>
      <c r="H395" s="186">
        <f>-'Retail &amp; Restaurant'!$E$103/12</f>
        <v>2245.2234390441222</v>
      </c>
      <c r="I395" s="149">
        <f>'Retail &amp; Restaurant'!$E$101/12*G394</f>
        <v>738.70200768850907</v>
      </c>
      <c r="J395" s="187">
        <f t="shared" si="91"/>
        <v>1506.521431355613</v>
      </c>
      <c r="K395" s="72">
        <f t="shared" si="95"/>
        <v>224</v>
      </c>
      <c r="L395" s="180">
        <f t="shared" si="92"/>
        <v>2578924.131197657</v>
      </c>
      <c r="M395" s="181">
        <f t="shared" si="92"/>
        <v>24695.103713411776</v>
      </c>
      <c r="N395" s="180">
        <f t="shared" si="92"/>
        <v>10488.126377499559</v>
      </c>
      <c r="O395" s="132">
        <f t="shared" si="87"/>
        <v>14206.977335912217</v>
      </c>
    </row>
    <row r="396" spans="1:15" x14ac:dyDescent="0.25">
      <c r="A396" s="72">
        <f t="shared" si="93"/>
        <v>225</v>
      </c>
      <c r="B396" s="183">
        <f t="shared" si="88"/>
        <v>2314408.0183792696</v>
      </c>
      <c r="C396" s="184">
        <f>-'Retail &amp; Restaurant'!$E$98/12</f>
        <v>22449.880274367653</v>
      </c>
      <c r="D396" s="183">
        <f>'Retail &amp; Restaurant'!$E$96/12*B395</f>
        <v>9696.5058035420643</v>
      </c>
      <c r="E396" s="185">
        <f t="shared" si="89"/>
        <v>12753.374470825589</v>
      </c>
      <c r="F396" s="72">
        <f t="shared" si="94"/>
        <v>225</v>
      </c>
      <c r="G396" s="180">
        <f t="shared" si="90"/>
        <v>250251.82289536469</v>
      </c>
      <c r="H396" s="186">
        <f>-'Retail &amp; Restaurant'!$E$103/12</f>
        <v>2245.2234390441222</v>
      </c>
      <c r="I396" s="149">
        <f>'Retail &amp; Restaurant'!$E$101/12*G395</f>
        <v>734.30798684705519</v>
      </c>
      <c r="J396" s="187">
        <f t="shared" si="91"/>
        <v>1510.915452197067</v>
      </c>
      <c r="K396" s="72">
        <f t="shared" si="95"/>
        <v>225</v>
      </c>
      <c r="L396" s="180">
        <f t="shared" si="92"/>
        <v>2564659.8412746345</v>
      </c>
      <c r="M396" s="181">
        <f t="shared" si="92"/>
        <v>24695.103713411776</v>
      </c>
      <c r="N396" s="180">
        <f t="shared" si="92"/>
        <v>10430.81379038912</v>
      </c>
      <c r="O396" s="132">
        <f t="shared" si="87"/>
        <v>14264.289923022656</v>
      </c>
    </row>
    <row r="397" spans="1:15" x14ac:dyDescent="0.25">
      <c r="A397" s="72">
        <f t="shared" si="93"/>
        <v>226</v>
      </c>
      <c r="B397" s="183">
        <f t="shared" si="88"/>
        <v>2301601.5048481491</v>
      </c>
      <c r="C397" s="184">
        <f>-'Retail &amp; Restaurant'!$E$98/12</f>
        <v>22449.880274367653</v>
      </c>
      <c r="D397" s="183">
        <f>'Retail &amp; Restaurant'!$E$96/12*B396</f>
        <v>9643.3667432469574</v>
      </c>
      <c r="E397" s="185">
        <f t="shared" si="89"/>
        <v>12806.513531120696</v>
      </c>
      <c r="F397" s="72">
        <f t="shared" si="94"/>
        <v>226</v>
      </c>
      <c r="G397" s="180">
        <f t="shared" si="90"/>
        <v>248736.50060643206</v>
      </c>
      <c r="H397" s="186">
        <f>-'Retail &amp; Restaurant'!$E$103/12</f>
        <v>2245.2234390441222</v>
      </c>
      <c r="I397" s="149">
        <f>'Retail &amp; Restaurant'!$E$101/12*G396</f>
        <v>729.90115011148043</v>
      </c>
      <c r="J397" s="187">
        <f t="shared" si="91"/>
        <v>1515.3222889326416</v>
      </c>
      <c r="K397" s="72">
        <f t="shared" si="95"/>
        <v>226</v>
      </c>
      <c r="L397" s="180">
        <f t="shared" si="92"/>
        <v>2550338.0054545812</v>
      </c>
      <c r="M397" s="181">
        <f t="shared" si="92"/>
        <v>24695.103713411776</v>
      </c>
      <c r="N397" s="180">
        <f t="shared" si="92"/>
        <v>10373.267893358438</v>
      </c>
      <c r="O397" s="132">
        <f t="shared" si="87"/>
        <v>14321.835820053337</v>
      </c>
    </row>
    <row r="398" spans="1:15" x14ac:dyDescent="0.25">
      <c r="A398" s="72">
        <f t="shared" si="93"/>
        <v>227</v>
      </c>
      <c r="B398" s="183">
        <f t="shared" si="88"/>
        <v>2288741.6308439821</v>
      </c>
      <c r="C398" s="184">
        <f>-'Retail &amp; Restaurant'!$E$98/12</f>
        <v>22449.880274367653</v>
      </c>
      <c r="D398" s="183">
        <f>'Retail &amp; Restaurant'!$E$96/12*B397</f>
        <v>9590.0062702006217</v>
      </c>
      <c r="E398" s="185">
        <f t="shared" si="89"/>
        <v>12859.874004167032</v>
      </c>
      <c r="F398" s="72">
        <f t="shared" si="94"/>
        <v>227</v>
      </c>
      <c r="G398" s="180">
        <f t="shared" si="90"/>
        <v>247216.75862749002</v>
      </c>
      <c r="H398" s="186">
        <f>-'Retail &amp; Restaurant'!$E$103/12</f>
        <v>2245.2234390441222</v>
      </c>
      <c r="I398" s="149">
        <f>'Retail &amp; Restaurant'!$E$101/12*G397</f>
        <v>725.48146010209359</v>
      </c>
      <c r="J398" s="187">
        <f t="shared" si="91"/>
        <v>1519.7419789420287</v>
      </c>
      <c r="K398" s="72">
        <f t="shared" si="95"/>
        <v>227</v>
      </c>
      <c r="L398" s="180">
        <f t="shared" si="92"/>
        <v>2535958.3894714722</v>
      </c>
      <c r="M398" s="181">
        <f t="shared" si="92"/>
        <v>24695.103713411776</v>
      </c>
      <c r="N398" s="180">
        <f t="shared" si="92"/>
        <v>10315.487730302715</v>
      </c>
      <c r="O398" s="132">
        <f t="shared" si="87"/>
        <v>14379.615983109061</v>
      </c>
    </row>
    <row r="399" spans="1:15" x14ac:dyDescent="0.25">
      <c r="A399" s="72">
        <f t="shared" si="93"/>
        <v>228</v>
      </c>
      <c r="B399" s="183">
        <f t="shared" si="88"/>
        <v>2275828.1740314644</v>
      </c>
      <c r="C399" s="184">
        <f>-'Retail &amp; Restaurant'!$E$98/12</f>
        <v>22449.880274367653</v>
      </c>
      <c r="D399" s="183">
        <f>'Retail &amp; Restaurant'!$E$96/12*B398</f>
        <v>9536.4234618499249</v>
      </c>
      <c r="E399" s="185">
        <f t="shared" si="89"/>
        <v>12913.456812517728</v>
      </c>
      <c r="F399" s="72">
        <f t="shared" si="94"/>
        <v>228</v>
      </c>
      <c r="G399" s="180">
        <f t="shared" si="90"/>
        <v>245692.58406777607</v>
      </c>
      <c r="H399" s="186">
        <f>-'Retail &amp; Restaurant'!$E$103/12</f>
        <v>2245.2234390441222</v>
      </c>
      <c r="I399" s="149">
        <f>'Retail &amp; Restaurant'!$E$101/12*G398</f>
        <v>721.04887933017926</v>
      </c>
      <c r="J399" s="187">
        <f t="shared" si="91"/>
        <v>1524.1745597139429</v>
      </c>
      <c r="K399" s="72">
        <f t="shared" si="95"/>
        <v>228</v>
      </c>
      <c r="L399" s="180">
        <f t="shared" si="92"/>
        <v>2521520.7580992403</v>
      </c>
      <c r="M399" s="181">
        <f t="shared" si="92"/>
        <v>24695.103713411776</v>
      </c>
      <c r="N399" s="180">
        <f t="shared" si="92"/>
        <v>10257.472341180104</v>
      </c>
      <c r="O399" s="132">
        <f t="shared" si="87"/>
        <v>14437.631372231672</v>
      </c>
    </row>
    <row r="400" spans="1:15" x14ac:dyDescent="0.25">
      <c r="A400" s="72">
        <f t="shared" si="93"/>
        <v>229</v>
      </c>
      <c r="B400" s="183">
        <f t="shared" si="88"/>
        <v>2262860.9111488946</v>
      </c>
      <c r="C400" s="184">
        <f>-'Retail &amp; Restaurant'!$E$98/12</f>
        <v>22449.880274367653</v>
      </c>
      <c r="D400" s="183">
        <f>'Retail &amp; Restaurant'!$E$96/12*B399</f>
        <v>9482.6173917977685</v>
      </c>
      <c r="E400" s="185">
        <f t="shared" si="89"/>
        <v>12967.262882569885</v>
      </c>
      <c r="F400" s="72">
        <f t="shared" si="94"/>
        <v>229</v>
      </c>
      <c r="G400" s="180">
        <f t="shared" si="90"/>
        <v>244163.96399892963</v>
      </c>
      <c r="H400" s="186">
        <f>-'Retail &amp; Restaurant'!$E$103/12</f>
        <v>2245.2234390441222</v>
      </c>
      <c r="I400" s="149">
        <f>'Retail &amp; Restaurant'!$E$101/12*G399</f>
        <v>716.60337019768019</v>
      </c>
      <c r="J400" s="187">
        <f t="shared" si="91"/>
        <v>1528.6200688464419</v>
      </c>
      <c r="K400" s="72">
        <f t="shared" si="95"/>
        <v>229</v>
      </c>
      <c r="L400" s="180">
        <f t="shared" si="92"/>
        <v>2507024.8751478242</v>
      </c>
      <c r="M400" s="181">
        <f t="shared" si="92"/>
        <v>24695.103713411776</v>
      </c>
      <c r="N400" s="180">
        <f t="shared" si="92"/>
        <v>10199.220761995448</v>
      </c>
      <c r="O400" s="132">
        <f t="shared" si="87"/>
        <v>14495.882951416326</v>
      </c>
    </row>
    <row r="401" spans="1:15" x14ac:dyDescent="0.25">
      <c r="A401" s="72">
        <f t="shared" si="93"/>
        <v>230</v>
      </c>
      <c r="B401" s="183">
        <f t="shared" si="88"/>
        <v>2249839.6180043141</v>
      </c>
      <c r="C401" s="184">
        <f>-'Retail &amp; Restaurant'!$E$98/12</f>
        <v>22449.880274367653</v>
      </c>
      <c r="D401" s="183">
        <f>'Retail &amp; Restaurant'!$E$96/12*B400</f>
        <v>9428.5871297870599</v>
      </c>
      <c r="E401" s="185">
        <f t="shared" si="89"/>
        <v>13021.293144580593</v>
      </c>
      <c r="F401" s="72">
        <f t="shared" si="94"/>
        <v>230</v>
      </c>
      <c r="G401" s="180">
        <f t="shared" si="90"/>
        <v>242630.88545488237</v>
      </c>
      <c r="H401" s="186">
        <f>-'Retail &amp; Restaurant'!$E$103/12</f>
        <v>2245.2234390441222</v>
      </c>
      <c r="I401" s="149">
        <f>'Retail &amp; Restaurant'!$E$101/12*G400</f>
        <v>712.14489499687807</v>
      </c>
      <c r="J401" s="187">
        <f t="shared" si="91"/>
        <v>1533.0785440472441</v>
      </c>
      <c r="K401" s="72">
        <f t="shared" si="95"/>
        <v>230</v>
      </c>
      <c r="L401" s="180">
        <f t="shared" si="92"/>
        <v>2492470.5034591965</v>
      </c>
      <c r="M401" s="181">
        <f t="shared" si="92"/>
        <v>24695.103713411776</v>
      </c>
      <c r="N401" s="180">
        <f t="shared" si="92"/>
        <v>10140.732024783938</v>
      </c>
      <c r="O401" s="132">
        <f t="shared" si="87"/>
        <v>14554.371688627838</v>
      </c>
    </row>
    <row r="402" spans="1:15" x14ac:dyDescent="0.25">
      <c r="A402" s="72">
        <f t="shared" si="93"/>
        <v>231</v>
      </c>
      <c r="B402" s="183">
        <f t="shared" si="88"/>
        <v>2236764.0694716312</v>
      </c>
      <c r="C402" s="184">
        <f>-'Retail &amp; Restaurant'!$E$98/12</f>
        <v>22449.880274367653</v>
      </c>
      <c r="D402" s="183">
        <f>'Retail &amp; Restaurant'!$E$96/12*B401</f>
        <v>9374.3317416846421</v>
      </c>
      <c r="E402" s="185">
        <f t="shared" si="89"/>
        <v>13075.548532683011</v>
      </c>
      <c r="F402" s="72">
        <f t="shared" si="94"/>
        <v>231</v>
      </c>
      <c r="G402" s="180">
        <f t="shared" si="90"/>
        <v>241093.33543174833</v>
      </c>
      <c r="H402" s="186">
        <f>-'Retail &amp; Restaurant'!$E$103/12</f>
        <v>2245.2234390441222</v>
      </c>
      <c r="I402" s="149">
        <f>'Retail &amp; Restaurant'!$E$101/12*G401</f>
        <v>707.67341591007357</v>
      </c>
      <c r="J402" s="187">
        <f t="shared" si="91"/>
        <v>1537.5500231340486</v>
      </c>
      <c r="K402" s="72">
        <f t="shared" si="95"/>
        <v>231</v>
      </c>
      <c r="L402" s="180">
        <f t="shared" si="92"/>
        <v>2477857.4049033797</v>
      </c>
      <c r="M402" s="181">
        <f t="shared" si="92"/>
        <v>24695.103713411776</v>
      </c>
      <c r="N402" s="180">
        <f t="shared" si="92"/>
        <v>10082.005157594716</v>
      </c>
      <c r="O402" s="132">
        <f t="shared" si="87"/>
        <v>14613.09855581706</v>
      </c>
    </row>
    <row r="403" spans="1:15" x14ac:dyDescent="0.25">
      <c r="A403" s="72">
        <f t="shared" si="93"/>
        <v>232</v>
      </c>
      <c r="B403" s="183">
        <f t="shared" si="88"/>
        <v>2223634.0394867286</v>
      </c>
      <c r="C403" s="184">
        <f>-'Retail &amp; Restaurant'!$E$98/12</f>
        <v>22449.880274367653</v>
      </c>
      <c r="D403" s="183">
        <f>'Retail &amp; Restaurant'!$E$96/12*B402</f>
        <v>9319.8502894651301</v>
      </c>
      <c r="E403" s="185">
        <f t="shared" si="89"/>
        <v>13130.029984902523</v>
      </c>
      <c r="F403" s="72">
        <f t="shared" si="94"/>
        <v>232</v>
      </c>
      <c r="G403" s="180">
        <f t="shared" si="90"/>
        <v>239551.30088771347</v>
      </c>
      <c r="H403" s="186">
        <f>-'Retail &amp; Restaurant'!$E$103/12</f>
        <v>2245.2234390441222</v>
      </c>
      <c r="I403" s="149">
        <f>'Retail &amp; Restaurant'!$E$101/12*G402</f>
        <v>703.18889500926605</v>
      </c>
      <c r="J403" s="187">
        <f t="shared" si="91"/>
        <v>1542.034544034856</v>
      </c>
      <c r="K403" s="72">
        <f t="shared" si="95"/>
        <v>232</v>
      </c>
      <c r="L403" s="180">
        <f t="shared" si="92"/>
        <v>2463185.3403744423</v>
      </c>
      <c r="M403" s="181">
        <f t="shared" si="92"/>
        <v>24695.103713411776</v>
      </c>
      <c r="N403" s="180">
        <f t="shared" si="92"/>
        <v>10023.039184474395</v>
      </c>
      <c r="O403" s="132">
        <f t="shared" si="87"/>
        <v>14672.064528937379</v>
      </c>
    </row>
    <row r="404" spans="1:15" x14ac:dyDescent="0.25">
      <c r="A404" s="72">
        <f t="shared" si="93"/>
        <v>233</v>
      </c>
      <c r="B404" s="183">
        <f t="shared" si="88"/>
        <v>2210449.3010435556</v>
      </c>
      <c r="C404" s="184">
        <f>-'Retail &amp; Restaurant'!$E$98/12</f>
        <v>22449.880274367653</v>
      </c>
      <c r="D404" s="183">
        <f>'Retail &amp; Restaurant'!$E$96/12*B403</f>
        <v>9265.1418311947018</v>
      </c>
      <c r="E404" s="185">
        <f t="shared" si="89"/>
        <v>13184.738443172952</v>
      </c>
      <c r="F404" s="72">
        <f t="shared" si="94"/>
        <v>233</v>
      </c>
      <c r="G404" s="180">
        <f t="shared" si="90"/>
        <v>238004.76874292517</v>
      </c>
      <c r="H404" s="186">
        <f>-'Retail &amp; Restaurant'!$E$103/12</f>
        <v>2245.2234390441222</v>
      </c>
      <c r="I404" s="149">
        <f>'Retail &amp; Restaurant'!$E$101/12*G403</f>
        <v>698.69129425583094</v>
      </c>
      <c r="J404" s="187">
        <f t="shared" si="91"/>
        <v>1546.5321447882911</v>
      </c>
      <c r="K404" s="72">
        <f t="shared" si="95"/>
        <v>233</v>
      </c>
      <c r="L404" s="180">
        <f t="shared" si="92"/>
        <v>2448454.0697864806</v>
      </c>
      <c r="M404" s="181">
        <f t="shared" si="92"/>
        <v>24695.103713411776</v>
      </c>
      <c r="N404" s="180">
        <f t="shared" si="92"/>
        <v>9963.833125450532</v>
      </c>
      <c r="O404" s="132">
        <f t="shared" si="87"/>
        <v>14731.270587961242</v>
      </c>
    </row>
    <row r="405" spans="1:15" x14ac:dyDescent="0.25">
      <c r="A405" s="72">
        <f t="shared" si="93"/>
        <v>234</v>
      </c>
      <c r="B405" s="183">
        <f t="shared" si="88"/>
        <v>2197209.6261902028</v>
      </c>
      <c r="C405" s="184">
        <f>-'Retail &amp; Restaurant'!$E$98/12</f>
        <v>22449.880274367653</v>
      </c>
      <c r="D405" s="183">
        <f>'Retail &amp; Restaurant'!$E$96/12*B404</f>
        <v>9210.2054210148144</v>
      </c>
      <c r="E405" s="185">
        <f t="shared" si="89"/>
        <v>13239.674853352839</v>
      </c>
      <c r="F405" s="72">
        <f t="shared" si="94"/>
        <v>234</v>
      </c>
      <c r="G405" s="180">
        <f t="shared" si="90"/>
        <v>236453.72587938124</v>
      </c>
      <c r="H405" s="186">
        <f>-'Retail &amp; Restaurant'!$E$103/12</f>
        <v>2245.2234390441222</v>
      </c>
      <c r="I405" s="149">
        <f>'Retail &amp; Restaurant'!$E$101/12*G404</f>
        <v>694.18057550019842</v>
      </c>
      <c r="J405" s="187">
        <f t="shared" si="91"/>
        <v>1551.0428635439239</v>
      </c>
      <c r="K405" s="72">
        <f t="shared" si="95"/>
        <v>234</v>
      </c>
      <c r="L405" s="180">
        <f t="shared" si="92"/>
        <v>2433663.3520695842</v>
      </c>
      <c r="M405" s="181">
        <f t="shared" si="92"/>
        <v>24695.103713411776</v>
      </c>
      <c r="N405" s="180">
        <f t="shared" si="92"/>
        <v>9904.3859965150132</v>
      </c>
      <c r="O405" s="132">
        <f t="shared" si="87"/>
        <v>14790.717716896763</v>
      </c>
    </row>
    <row r="406" spans="1:15" x14ac:dyDescent="0.25">
      <c r="A406" s="72">
        <f t="shared" si="93"/>
        <v>235</v>
      </c>
      <c r="B406" s="183">
        <f t="shared" si="88"/>
        <v>2183914.7860249612</v>
      </c>
      <c r="C406" s="184">
        <f>-'Retail &amp; Restaurant'!$E$98/12</f>
        <v>22449.880274367653</v>
      </c>
      <c r="D406" s="183">
        <f>'Retail &amp; Restaurant'!$E$96/12*B405</f>
        <v>9155.0401091258445</v>
      </c>
      <c r="E406" s="185">
        <f t="shared" si="89"/>
        <v>13294.840165241809</v>
      </c>
      <c r="F406" s="72">
        <f t="shared" si="94"/>
        <v>235</v>
      </c>
      <c r="G406" s="180">
        <f t="shared" si="90"/>
        <v>234898.15914081864</v>
      </c>
      <c r="H406" s="186">
        <f>-'Retail &amp; Restaurant'!$E$103/12</f>
        <v>2245.2234390441222</v>
      </c>
      <c r="I406" s="149">
        <f>'Retail &amp; Restaurant'!$E$101/12*G405</f>
        <v>689.65670048152867</v>
      </c>
      <c r="J406" s="187">
        <f t="shared" si="91"/>
        <v>1555.5667385625934</v>
      </c>
      <c r="K406" s="72">
        <f t="shared" si="95"/>
        <v>235</v>
      </c>
      <c r="L406" s="180">
        <f t="shared" si="92"/>
        <v>2418812.9451657799</v>
      </c>
      <c r="M406" s="181">
        <f t="shared" si="92"/>
        <v>24695.103713411776</v>
      </c>
      <c r="N406" s="180">
        <f t="shared" si="92"/>
        <v>9844.6968096073724</v>
      </c>
      <c r="O406" s="132">
        <f t="shared" si="87"/>
        <v>14850.406903804402</v>
      </c>
    </row>
    <row r="407" spans="1:15" x14ac:dyDescent="0.25">
      <c r="A407" s="72">
        <f t="shared" si="93"/>
        <v>236</v>
      </c>
      <c r="B407" s="183">
        <f t="shared" si="88"/>
        <v>2170564.5506923641</v>
      </c>
      <c r="C407" s="184">
        <f>-'Retail &amp; Restaurant'!$E$98/12</f>
        <v>22449.880274367653</v>
      </c>
      <c r="D407" s="183">
        <f>'Retail &amp; Restaurant'!$E$96/12*B406</f>
        <v>9099.6449417706717</v>
      </c>
      <c r="E407" s="185">
        <f t="shared" si="89"/>
        <v>13350.235332596982</v>
      </c>
      <c r="F407" s="72">
        <f t="shared" si="94"/>
        <v>236</v>
      </c>
      <c r="G407" s="180">
        <f t="shared" si="90"/>
        <v>233338.05533260191</v>
      </c>
      <c r="H407" s="186">
        <f>-'Retail &amp; Restaurant'!$E$103/12</f>
        <v>2245.2234390441222</v>
      </c>
      <c r="I407" s="149">
        <f>'Retail &amp; Restaurant'!$E$101/12*G406</f>
        <v>685.11963082738771</v>
      </c>
      <c r="J407" s="187">
        <f t="shared" si="91"/>
        <v>1560.1038082167345</v>
      </c>
      <c r="K407" s="72">
        <f t="shared" si="95"/>
        <v>236</v>
      </c>
      <c r="L407" s="180">
        <f t="shared" si="92"/>
        <v>2403902.6060249661</v>
      </c>
      <c r="M407" s="181">
        <f t="shared" si="92"/>
        <v>24695.103713411776</v>
      </c>
      <c r="N407" s="180">
        <f t="shared" si="92"/>
        <v>9784.7645725980601</v>
      </c>
      <c r="O407" s="132">
        <f t="shared" si="87"/>
        <v>14910.339140813716</v>
      </c>
    </row>
    <row r="408" spans="1:15" x14ac:dyDescent="0.25">
      <c r="A408" s="72">
        <f t="shared" si="93"/>
        <v>237</v>
      </c>
      <c r="B408" s="183">
        <f t="shared" si="88"/>
        <v>2157158.6893792148</v>
      </c>
      <c r="C408" s="184">
        <f>-'Retail &amp; Restaurant'!$E$98/12</f>
        <v>22449.880274367653</v>
      </c>
      <c r="D408" s="183">
        <f>'Retail &amp; Restaurant'!$E$96/12*B407</f>
        <v>9044.0189612181839</v>
      </c>
      <c r="E408" s="185">
        <f t="shared" si="89"/>
        <v>13405.861313149469</v>
      </c>
      <c r="F408" s="72">
        <f t="shared" si="94"/>
        <v>237</v>
      </c>
      <c r="G408" s="180">
        <f t="shared" si="90"/>
        <v>231773.40122161122</v>
      </c>
      <c r="H408" s="186">
        <f>-'Retail &amp; Restaurant'!$E$103/12</f>
        <v>2245.2234390441222</v>
      </c>
      <c r="I408" s="149">
        <f>'Retail &amp; Restaurant'!$E$101/12*G407</f>
        <v>680.56932805342228</v>
      </c>
      <c r="J408" s="187">
        <f t="shared" si="91"/>
        <v>1564.6541109906998</v>
      </c>
      <c r="K408" s="72">
        <f t="shared" si="95"/>
        <v>237</v>
      </c>
      <c r="L408" s="180">
        <f t="shared" si="92"/>
        <v>2388932.0906008258</v>
      </c>
      <c r="M408" s="181">
        <f t="shared" si="92"/>
        <v>24695.103713411776</v>
      </c>
      <c r="N408" s="180">
        <f t="shared" si="92"/>
        <v>9724.5882892716054</v>
      </c>
      <c r="O408" s="132">
        <f t="shared" si="87"/>
        <v>14970.515424140169</v>
      </c>
    </row>
    <row r="409" spans="1:15" x14ac:dyDescent="0.25">
      <c r="A409" s="72">
        <f t="shared" si="93"/>
        <v>238</v>
      </c>
      <c r="B409" s="183">
        <f t="shared" si="88"/>
        <v>2143696.970310594</v>
      </c>
      <c r="C409" s="184">
        <f>-'Retail &amp; Restaurant'!$E$98/12</f>
        <v>22449.880274367653</v>
      </c>
      <c r="D409" s="183">
        <f>'Retail &amp; Restaurant'!$E$96/12*B408</f>
        <v>8988.1612057467282</v>
      </c>
      <c r="E409" s="185">
        <f t="shared" si="89"/>
        <v>13461.719068620925</v>
      </c>
      <c r="F409" s="72">
        <f t="shared" si="94"/>
        <v>238</v>
      </c>
      <c r="G409" s="180">
        <f t="shared" si="90"/>
        <v>230204.18353613012</v>
      </c>
      <c r="H409" s="186">
        <f>-'Retail &amp; Restaurant'!$E$103/12</f>
        <v>2245.2234390441222</v>
      </c>
      <c r="I409" s="149">
        <f>'Retail &amp; Restaurant'!$E$101/12*G408</f>
        <v>676.00575356303273</v>
      </c>
      <c r="J409" s="187">
        <f t="shared" si="91"/>
        <v>1569.2176854810896</v>
      </c>
      <c r="K409" s="72">
        <f t="shared" si="95"/>
        <v>238</v>
      </c>
      <c r="L409" s="180">
        <f t="shared" si="92"/>
        <v>2373901.153846724</v>
      </c>
      <c r="M409" s="181">
        <f t="shared" si="92"/>
        <v>24695.103713411776</v>
      </c>
      <c r="N409" s="180">
        <f t="shared" si="92"/>
        <v>9664.1669593097613</v>
      </c>
      <c r="O409" s="132">
        <f t="shared" si="87"/>
        <v>15030.936754102015</v>
      </c>
    </row>
    <row r="410" spans="1:15" x14ac:dyDescent="0.25">
      <c r="A410" s="72">
        <f t="shared" si="93"/>
        <v>239</v>
      </c>
      <c r="B410" s="183">
        <f t="shared" si="88"/>
        <v>2130179.1607458536</v>
      </c>
      <c r="C410" s="184">
        <f>-'Retail &amp; Restaurant'!$E$98/12</f>
        <v>22449.880274367653</v>
      </c>
      <c r="D410" s="183">
        <f>'Retail &amp; Restaurant'!$E$96/12*B409</f>
        <v>8932.0707096274746</v>
      </c>
      <c r="E410" s="185">
        <f t="shared" si="89"/>
        <v>13517.809564740179</v>
      </c>
      <c r="F410" s="72">
        <f t="shared" si="94"/>
        <v>239</v>
      </c>
      <c r="G410" s="180">
        <f t="shared" si="90"/>
        <v>228630.38896573306</v>
      </c>
      <c r="H410" s="186">
        <f>-'Retail &amp; Restaurant'!$E$103/12</f>
        <v>2245.2234390441222</v>
      </c>
      <c r="I410" s="149">
        <f>'Retail &amp; Restaurant'!$E$101/12*G409</f>
        <v>671.42886864704622</v>
      </c>
      <c r="J410" s="187">
        <f t="shared" si="91"/>
        <v>1573.7945703970759</v>
      </c>
      <c r="K410" s="72">
        <f t="shared" si="95"/>
        <v>239</v>
      </c>
      <c r="L410" s="180">
        <f t="shared" si="92"/>
        <v>2358809.5497115864</v>
      </c>
      <c r="M410" s="181">
        <f t="shared" si="92"/>
        <v>24695.103713411776</v>
      </c>
      <c r="N410" s="180">
        <f t="shared" si="92"/>
        <v>9603.4995782745209</v>
      </c>
      <c r="O410" s="132">
        <f t="shared" si="87"/>
        <v>15091.604135137255</v>
      </c>
    </row>
    <row r="411" spans="1:15" x14ac:dyDescent="0.25">
      <c r="A411" s="72">
        <f t="shared" si="93"/>
        <v>240</v>
      </c>
      <c r="B411" s="183">
        <f t="shared" si="88"/>
        <v>2116605.0269745938</v>
      </c>
      <c r="C411" s="184">
        <f>-'Retail &amp; Restaurant'!$E$98/12</f>
        <v>22449.880274367653</v>
      </c>
      <c r="D411" s="183">
        <f>'Retail &amp; Restaurant'!$E$96/12*B410</f>
        <v>8875.7465031077227</v>
      </c>
      <c r="E411" s="185">
        <f t="shared" si="89"/>
        <v>13574.133771259931</v>
      </c>
      <c r="F411" s="72">
        <f t="shared" si="94"/>
        <v>240</v>
      </c>
      <c r="G411" s="180">
        <f t="shared" si="90"/>
        <v>227052.00416117231</v>
      </c>
      <c r="H411" s="186">
        <f>-'Retail &amp; Restaurant'!$E$103/12</f>
        <v>2245.2234390441222</v>
      </c>
      <c r="I411" s="149">
        <f>'Retail &amp; Restaurant'!$E$101/12*G410</f>
        <v>666.83863448338809</v>
      </c>
      <c r="J411" s="187">
        <f t="shared" si="91"/>
        <v>1578.3848045607342</v>
      </c>
      <c r="K411" s="72">
        <f t="shared" si="95"/>
        <v>240</v>
      </c>
      <c r="L411" s="180">
        <f t="shared" si="92"/>
        <v>2343657.0311357658</v>
      </c>
      <c r="M411" s="181">
        <f t="shared" si="92"/>
        <v>24695.103713411776</v>
      </c>
      <c r="N411" s="180">
        <f t="shared" si="92"/>
        <v>9542.5851375911116</v>
      </c>
      <c r="O411" s="132">
        <f t="shared" si="87"/>
        <v>15152.518575820664</v>
      </c>
    </row>
    <row r="412" spans="1:15" x14ac:dyDescent="0.25">
      <c r="A412" s="72">
        <f t="shared" si="93"/>
        <v>241</v>
      </c>
      <c r="B412" s="183">
        <f t="shared" si="88"/>
        <v>2102974.3343126201</v>
      </c>
      <c r="C412" s="184">
        <f>-'Retail &amp; Restaurant'!$E$98/12</f>
        <v>22449.880274367653</v>
      </c>
      <c r="D412" s="183">
        <f>'Retail &amp; Restaurant'!$E$96/12*B411</f>
        <v>8819.1876123941402</v>
      </c>
      <c r="E412" s="185">
        <f t="shared" si="89"/>
        <v>13630.692661973513</v>
      </c>
      <c r="F412" s="72">
        <f t="shared" si="94"/>
        <v>241</v>
      </c>
      <c r="G412" s="180">
        <f t="shared" si="90"/>
        <v>225469.01573426495</v>
      </c>
      <c r="H412" s="186">
        <f>-'Retail &amp; Restaurant'!$E$103/12</f>
        <v>2245.2234390441222</v>
      </c>
      <c r="I412" s="149">
        <f>'Retail &amp; Restaurant'!$E$101/12*G411</f>
        <v>662.23501213675263</v>
      </c>
      <c r="J412" s="187">
        <f t="shared" si="91"/>
        <v>1582.9884269073696</v>
      </c>
      <c r="K412" s="72">
        <f t="shared" si="95"/>
        <v>241</v>
      </c>
      <c r="L412" s="180">
        <f t="shared" si="92"/>
        <v>2328443.3500468852</v>
      </c>
      <c r="M412" s="181">
        <f t="shared" si="92"/>
        <v>24695.103713411776</v>
      </c>
      <c r="N412" s="180">
        <f t="shared" si="92"/>
        <v>9481.4226245308928</v>
      </c>
      <c r="O412" s="132">
        <f t="shared" si="87"/>
        <v>15213.681088880883</v>
      </c>
    </row>
    <row r="413" spans="1:15" x14ac:dyDescent="0.25">
      <c r="A413" s="72">
        <f t="shared" si="93"/>
        <v>242</v>
      </c>
      <c r="B413" s="183">
        <f t="shared" si="88"/>
        <v>2089286.8470978884</v>
      </c>
      <c r="C413" s="184">
        <f>-'Retail &amp; Restaurant'!$E$98/12</f>
        <v>22449.880274367653</v>
      </c>
      <c r="D413" s="183">
        <f>'Retail &amp; Restaurant'!$E$96/12*B412</f>
        <v>8762.3930596359169</v>
      </c>
      <c r="E413" s="185">
        <f t="shared" si="89"/>
        <v>13687.487214731736</v>
      </c>
      <c r="F413" s="72">
        <f t="shared" si="94"/>
        <v>242</v>
      </c>
      <c r="G413" s="180">
        <f t="shared" si="90"/>
        <v>223881.41025777909</v>
      </c>
      <c r="H413" s="186">
        <f>-'Retail &amp; Restaurant'!$E$103/12</f>
        <v>2245.2234390441222</v>
      </c>
      <c r="I413" s="149">
        <f>'Retail &amp; Restaurant'!$E$101/12*G412</f>
        <v>657.61796255827278</v>
      </c>
      <c r="J413" s="187">
        <f t="shared" si="91"/>
        <v>1587.6054764858495</v>
      </c>
      <c r="K413" s="72">
        <f t="shared" si="95"/>
        <v>242</v>
      </c>
      <c r="L413" s="180">
        <f t="shared" si="92"/>
        <v>2313168.2573556677</v>
      </c>
      <c r="M413" s="181">
        <f t="shared" si="92"/>
        <v>24695.103713411776</v>
      </c>
      <c r="N413" s="180">
        <f t="shared" si="92"/>
        <v>9420.0110221941904</v>
      </c>
      <c r="O413" s="132">
        <f t="shared" si="87"/>
        <v>15275.092691217586</v>
      </c>
    </row>
    <row r="414" spans="1:15" x14ac:dyDescent="0.25">
      <c r="A414" s="72">
        <f t="shared" si="93"/>
        <v>243</v>
      </c>
      <c r="B414" s="183">
        <f t="shared" si="88"/>
        <v>2075542.3286864285</v>
      </c>
      <c r="C414" s="184">
        <f>-'Retail &amp; Restaurant'!$E$98/12</f>
        <v>22449.880274367653</v>
      </c>
      <c r="D414" s="183">
        <f>'Retail &amp; Restaurant'!$E$96/12*B413</f>
        <v>8705.3618629078683</v>
      </c>
      <c r="E414" s="185">
        <f t="shared" si="89"/>
        <v>13744.518411459785</v>
      </c>
      <c r="F414" s="72">
        <f t="shared" si="94"/>
        <v>243</v>
      </c>
      <c r="G414" s="180">
        <f t="shared" si="90"/>
        <v>222289.17426532015</v>
      </c>
      <c r="H414" s="186">
        <f>-'Retail &amp; Restaurant'!$E$103/12</f>
        <v>2245.2234390441222</v>
      </c>
      <c r="I414" s="149">
        <f>'Retail &amp; Restaurant'!$E$101/12*G413</f>
        <v>652.98744658518899</v>
      </c>
      <c r="J414" s="187">
        <f t="shared" si="91"/>
        <v>1592.2359924589332</v>
      </c>
      <c r="K414" s="72">
        <f t="shared" si="95"/>
        <v>243</v>
      </c>
      <c r="L414" s="180">
        <f t="shared" si="92"/>
        <v>2297831.5029517487</v>
      </c>
      <c r="M414" s="181">
        <f t="shared" si="92"/>
        <v>24695.103713411776</v>
      </c>
      <c r="N414" s="180">
        <f t="shared" si="92"/>
        <v>9358.3493094930564</v>
      </c>
      <c r="O414" s="132">
        <f t="shared" si="87"/>
        <v>15336.754403918718</v>
      </c>
    </row>
    <row r="415" spans="1:15" x14ac:dyDescent="0.25">
      <c r="A415" s="72">
        <f t="shared" si="93"/>
        <v>244</v>
      </c>
      <c r="B415" s="183">
        <f t="shared" si="88"/>
        <v>2061740.5414482544</v>
      </c>
      <c r="C415" s="184">
        <f>-'Retail &amp; Restaurant'!$E$98/12</f>
        <v>22449.880274367653</v>
      </c>
      <c r="D415" s="183">
        <f>'Retail &amp; Restaurant'!$E$96/12*B414</f>
        <v>8648.0930361934516</v>
      </c>
      <c r="E415" s="185">
        <f t="shared" si="89"/>
        <v>13801.787238174202</v>
      </c>
      <c r="F415" s="72">
        <f t="shared" si="94"/>
        <v>244</v>
      </c>
      <c r="G415" s="180">
        <f t="shared" si="90"/>
        <v>220692.29425121655</v>
      </c>
      <c r="H415" s="186">
        <f>-'Retail &amp; Restaurant'!$E$103/12</f>
        <v>2245.2234390441222</v>
      </c>
      <c r="I415" s="149">
        <f>'Retail &amp; Restaurant'!$E$101/12*G414</f>
        <v>648.34342494051714</v>
      </c>
      <c r="J415" s="187">
        <f t="shared" si="91"/>
        <v>1596.8800141036049</v>
      </c>
      <c r="K415" s="72">
        <f t="shared" si="95"/>
        <v>244</v>
      </c>
      <c r="L415" s="180">
        <f t="shared" si="92"/>
        <v>2282432.8356994707</v>
      </c>
      <c r="M415" s="181">
        <f t="shared" si="92"/>
        <v>24695.103713411776</v>
      </c>
      <c r="N415" s="180">
        <f t="shared" si="92"/>
        <v>9296.4364611339679</v>
      </c>
      <c r="O415" s="132">
        <f t="shared" si="87"/>
        <v>15398.667252277806</v>
      </c>
    </row>
    <row r="416" spans="1:15" x14ac:dyDescent="0.25">
      <c r="A416" s="72">
        <f t="shared" si="93"/>
        <v>245</v>
      </c>
      <c r="B416" s="183">
        <f t="shared" si="88"/>
        <v>2047881.2467632545</v>
      </c>
      <c r="C416" s="184">
        <f>-'Retail &amp; Restaurant'!$E$98/12</f>
        <v>22449.880274367653</v>
      </c>
      <c r="D416" s="183">
        <f>'Retail &amp; Restaurant'!$E$96/12*B415</f>
        <v>8590.5855893677272</v>
      </c>
      <c r="E416" s="185">
        <f t="shared" si="89"/>
        <v>13859.294684999926</v>
      </c>
      <c r="F416" s="72">
        <f t="shared" si="94"/>
        <v>245</v>
      </c>
      <c r="G416" s="180">
        <f t="shared" si="90"/>
        <v>219090.75667040513</v>
      </c>
      <c r="H416" s="186">
        <f>-'Retail &amp; Restaurant'!$E$103/12</f>
        <v>2245.2234390441222</v>
      </c>
      <c r="I416" s="149">
        <f>'Retail &amp; Restaurant'!$E$101/12*G415</f>
        <v>643.68585823271496</v>
      </c>
      <c r="J416" s="187">
        <f t="shared" si="91"/>
        <v>1601.5375808114072</v>
      </c>
      <c r="K416" s="72">
        <f t="shared" si="95"/>
        <v>245</v>
      </c>
      <c r="L416" s="180">
        <f t="shared" si="92"/>
        <v>2266972.0034336597</v>
      </c>
      <c r="M416" s="181">
        <f t="shared" si="92"/>
        <v>24695.103713411776</v>
      </c>
      <c r="N416" s="180">
        <f t="shared" si="92"/>
        <v>9234.2714476004421</v>
      </c>
      <c r="O416" s="132">
        <f t="shared" si="87"/>
        <v>15460.832265811334</v>
      </c>
    </row>
    <row r="417" spans="1:15" x14ac:dyDescent="0.25">
      <c r="A417" s="72">
        <f t="shared" si="93"/>
        <v>246</v>
      </c>
      <c r="B417" s="183">
        <f t="shared" si="88"/>
        <v>2033964.205017067</v>
      </c>
      <c r="C417" s="184">
        <f>-'Retail &amp; Restaurant'!$E$98/12</f>
        <v>22449.880274367653</v>
      </c>
      <c r="D417" s="183">
        <f>'Retail &amp; Restaurant'!$E$96/12*B416</f>
        <v>8532.8385281802275</v>
      </c>
      <c r="E417" s="185">
        <f t="shared" si="89"/>
        <v>13917.041746187426</v>
      </c>
      <c r="F417" s="72">
        <f t="shared" si="94"/>
        <v>246</v>
      </c>
      <c r="G417" s="180">
        <f t="shared" si="90"/>
        <v>217484.54793831636</v>
      </c>
      <c r="H417" s="186">
        <f>-'Retail &amp; Restaurant'!$E$103/12</f>
        <v>2245.2234390441222</v>
      </c>
      <c r="I417" s="149">
        <f>'Retail &amp; Restaurant'!$E$101/12*G416</f>
        <v>639.01470695534829</v>
      </c>
      <c r="J417" s="187">
        <f t="shared" si="91"/>
        <v>1606.208732088774</v>
      </c>
      <c r="K417" s="72">
        <f t="shared" si="95"/>
        <v>246</v>
      </c>
      <c r="L417" s="180">
        <f t="shared" si="92"/>
        <v>2251448.7529553836</v>
      </c>
      <c r="M417" s="181">
        <f t="shared" si="92"/>
        <v>24695.103713411776</v>
      </c>
      <c r="N417" s="180">
        <f t="shared" si="92"/>
        <v>9171.8532351355752</v>
      </c>
      <c r="O417" s="132">
        <f t="shared" si="87"/>
        <v>15523.250478276201</v>
      </c>
    </row>
    <row r="418" spans="1:15" x14ac:dyDescent="0.25">
      <c r="A418" s="72">
        <f t="shared" si="93"/>
        <v>247</v>
      </c>
      <c r="B418" s="183">
        <f t="shared" si="88"/>
        <v>2019989.1755969371</v>
      </c>
      <c r="C418" s="184">
        <f>-'Retail &amp; Restaurant'!$E$98/12</f>
        <v>22449.880274367653</v>
      </c>
      <c r="D418" s="183">
        <f>'Retail &amp; Restaurant'!$E$96/12*B417</f>
        <v>8474.8508542377785</v>
      </c>
      <c r="E418" s="185">
        <f t="shared" si="89"/>
        <v>13975.029420129875</v>
      </c>
      <c r="F418" s="72">
        <f t="shared" si="94"/>
        <v>247</v>
      </c>
      <c r="G418" s="180">
        <f t="shared" si="90"/>
        <v>215873.65443075899</v>
      </c>
      <c r="H418" s="186">
        <f>-'Retail &amp; Restaurant'!$E$103/12</f>
        <v>2245.2234390441222</v>
      </c>
      <c r="I418" s="149">
        <f>'Retail &amp; Restaurant'!$E$101/12*G417</f>
        <v>634.3299314867561</v>
      </c>
      <c r="J418" s="187">
        <f t="shared" si="91"/>
        <v>1610.8935075573661</v>
      </c>
      <c r="K418" s="72">
        <f t="shared" si="95"/>
        <v>247</v>
      </c>
      <c r="L418" s="180">
        <f t="shared" si="92"/>
        <v>2235862.8300276962</v>
      </c>
      <c r="M418" s="181">
        <f t="shared" si="92"/>
        <v>24695.103713411776</v>
      </c>
      <c r="N418" s="180">
        <f t="shared" si="92"/>
        <v>9109.1807857245349</v>
      </c>
      <c r="O418" s="132">
        <f t="shared" si="87"/>
        <v>15585.922927687241</v>
      </c>
    </row>
    <row r="419" spans="1:15" x14ac:dyDescent="0.25">
      <c r="A419" s="72">
        <f t="shared" si="93"/>
        <v>248</v>
      </c>
      <c r="B419" s="183">
        <f t="shared" si="88"/>
        <v>2005955.9168875567</v>
      </c>
      <c r="C419" s="184">
        <f>-'Retail &amp; Restaurant'!$E$98/12</f>
        <v>22449.880274367653</v>
      </c>
      <c r="D419" s="183">
        <f>'Retail &amp; Restaurant'!$E$96/12*B418</f>
        <v>8416.6215649872374</v>
      </c>
      <c r="E419" s="185">
        <f t="shared" si="89"/>
        <v>14033.258709380416</v>
      </c>
      <c r="F419" s="72">
        <f t="shared" si="94"/>
        <v>248</v>
      </c>
      <c r="G419" s="180">
        <f t="shared" si="90"/>
        <v>214258.06248380459</v>
      </c>
      <c r="H419" s="186">
        <f>-'Retail &amp; Restaurant'!$E$103/12</f>
        <v>2245.2234390441222</v>
      </c>
      <c r="I419" s="149">
        <f>'Retail &amp; Restaurant'!$E$101/12*G418</f>
        <v>629.63149208971379</v>
      </c>
      <c r="J419" s="187">
        <f t="shared" si="91"/>
        <v>1615.5919469544083</v>
      </c>
      <c r="K419" s="72">
        <f t="shared" si="95"/>
        <v>248</v>
      </c>
      <c r="L419" s="180">
        <f t="shared" si="92"/>
        <v>2220213.9793713614</v>
      </c>
      <c r="M419" s="181">
        <f t="shared" si="92"/>
        <v>24695.103713411776</v>
      </c>
      <c r="N419" s="180">
        <f t="shared" si="92"/>
        <v>9046.2530570769504</v>
      </c>
      <c r="O419" s="132">
        <f t="shared" si="87"/>
        <v>15648.850656334824</v>
      </c>
    </row>
    <row r="420" spans="1:15" x14ac:dyDescent="0.25">
      <c r="A420" s="72">
        <f t="shared" si="93"/>
        <v>249</v>
      </c>
      <c r="B420" s="183">
        <f t="shared" si="88"/>
        <v>1991864.1862668872</v>
      </c>
      <c r="C420" s="184">
        <f>-'Retail &amp; Restaurant'!$E$98/12</f>
        <v>22449.880274367653</v>
      </c>
      <c r="D420" s="183">
        <f>'Retail &amp; Restaurant'!$E$96/12*B419</f>
        <v>8358.1496536981522</v>
      </c>
      <c r="E420" s="185">
        <f t="shared" si="89"/>
        <v>14091.730620669501</v>
      </c>
      <c r="F420" s="72">
        <f t="shared" si="94"/>
        <v>249</v>
      </c>
      <c r="G420" s="180">
        <f t="shared" si="90"/>
        <v>212637.75839367157</v>
      </c>
      <c r="H420" s="186">
        <f>-'Retail &amp; Restaurant'!$E$103/12</f>
        <v>2245.2234390441222</v>
      </c>
      <c r="I420" s="149">
        <f>'Retail &amp; Restaurant'!$E$101/12*G419</f>
        <v>624.91934891109679</v>
      </c>
      <c r="J420" s="187">
        <f t="shared" si="91"/>
        <v>1620.3040901330255</v>
      </c>
      <c r="K420" s="72">
        <f t="shared" si="95"/>
        <v>249</v>
      </c>
      <c r="L420" s="180">
        <f t="shared" si="92"/>
        <v>2204501.9446605588</v>
      </c>
      <c r="M420" s="181">
        <f t="shared" si="92"/>
        <v>24695.103713411776</v>
      </c>
      <c r="N420" s="180">
        <f t="shared" si="92"/>
        <v>8983.0690026092489</v>
      </c>
      <c r="O420" s="132">
        <f t="shared" si="87"/>
        <v>15712.034710802527</v>
      </c>
    </row>
    <row r="421" spans="1:15" x14ac:dyDescent="0.25">
      <c r="A421" s="72">
        <f t="shared" si="93"/>
        <v>250</v>
      </c>
      <c r="B421" s="183">
        <f t="shared" si="88"/>
        <v>1977713.7401019649</v>
      </c>
      <c r="C421" s="184">
        <f>-'Retail &amp; Restaurant'!$E$98/12</f>
        <v>22449.880274367653</v>
      </c>
      <c r="D421" s="183">
        <f>'Retail &amp; Restaurant'!$E$96/12*B420</f>
        <v>8299.434109445363</v>
      </c>
      <c r="E421" s="185">
        <f t="shared" si="89"/>
        <v>14150.44616492229</v>
      </c>
      <c r="F421" s="72">
        <f t="shared" si="94"/>
        <v>250</v>
      </c>
      <c r="G421" s="180">
        <f t="shared" si="90"/>
        <v>211012.728416609</v>
      </c>
      <c r="H421" s="186">
        <f>-'Retail &amp; Restaurant'!$E$103/12</f>
        <v>2245.2234390441222</v>
      </c>
      <c r="I421" s="149">
        <f>'Retail &amp; Restaurant'!$E$101/12*G420</f>
        <v>620.1934619815421</v>
      </c>
      <c r="J421" s="187">
        <f t="shared" si="91"/>
        <v>1625.0299770625802</v>
      </c>
      <c r="K421" s="72">
        <f t="shared" si="95"/>
        <v>250</v>
      </c>
      <c r="L421" s="180">
        <f t="shared" si="92"/>
        <v>2188726.4685185738</v>
      </c>
      <c r="M421" s="181">
        <f t="shared" si="92"/>
        <v>24695.103713411776</v>
      </c>
      <c r="N421" s="180">
        <f t="shared" si="92"/>
        <v>8919.627571426905</v>
      </c>
      <c r="O421" s="132">
        <f t="shared" si="87"/>
        <v>15775.476141984871</v>
      </c>
    </row>
    <row r="422" spans="1:15" x14ac:dyDescent="0.25">
      <c r="A422" s="72">
        <f t="shared" si="93"/>
        <v>251</v>
      </c>
      <c r="B422" s="183">
        <f t="shared" si="88"/>
        <v>1963504.3337446889</v>
      </c>
      <c r="C422" s="184">
        <f>-'Retail &amp; Restaurant'!$E$98/12</f>
        <v>22449.880274367653</v>
      </c>
      <c r="D422" s="183">
        <f>'Retail &amp; Restaurant'!$E$96/12*B421</f>
        <v>8240.47391709152</v>
      </c>
      <c r="E422" s="185">
        <f t="shared" si="89"/>
        <v>14209.406357276133</v>
      </c>
      <c r="F422" s="72">
        <f t="shared" si="94"/>
        <v>251</v>
      </c>
      <c r="G422" s="180">
        <f t="shared" si="90"/>
        <v>209382.95876877999</v>
      </c>
      <c r="H422" s="186">
        <f>-'Retail &amp; Restaurant'!$E$103/12</f>
        <v>2245.2234390441222</v>
      </c>
      <c r="I422" s="149">
        <f>'Retail &amp; Restaurant'!$E$101/12*G421</f>
        <v>615.45379121510962</v>
      </c>
      <c r="J422" s="187">
        <f t="shared" si="91"/>
        <v>1629.7696478290127</v>
      </c>
      <c r="K422" s="72">
        <f t="shared" si="95"/>
        <v>251</v>
      </c>
      <c r="L422" s="180">
        <f t="shared" si="92"/>
        <v>2172887.2925134688</v>
      </c>
      <c r="M422" s="181">
        <f t="shared" si="92"/>
        <v>24695.103713411776</v>
      </c>
      <c r="N422" s="180">
        <f t="shared" si="92"/>
        <v>8855.9277083066299</v>
      </c>
      <c r="O422" s="132">
        <f t="shared" si="87"/>
        <v>15839.176005105146</v>
      </c>
    </row>
    <row r="423" spans="1:15" x14ac:dyDescent="0.25">
      <c r="A423" s="72">
        <f t="shared" si="93"/>
        <v>252</v>
      </c>
      <c r="B423" s="183">
        <f t="shared" si="88"/>
        <v>1949235.7215275909</v>
      </c>
      <c r="C423" s="184">
        <f>-'Retail &amp; Restaurant'!$E$98/12</f>
        <v>22449.880274367653</v>
      </c>
      <c r="D423" s="183">
        <f>'Retail &amp; Restaurant'!$E$96/12*B422</f>
        <v>8181.2680572695372</v>
      </c>
      <c r="E423" s="185">
        <f t="shared" si="89"/>
        <v>14268.612217098116</v>
      </c>
      <c r="F423" s="72">
        <f t="shared" si="94"/>
        <v>252</v>
      </c>
      <c r="G423" s="180">
        <f t="shared" si="90"/>
        <v>207748.43562614481</v>
      </c>
      <c r="H423" s="186">
        <f>-'Retail &amp; Restaurant'!$E$103/12</f>
        <v>2245.2234390441222</v>
      </c>
      <c r="I423" s="149">
        <f>'Retail &amp; Restaurant'!$E$101/12*G422</f>
        <v>610.70029640894165</v>
      </c>
      <c r="J423" s="187">
        <f t="shared" si="91"/>
        <v>1634.5231426351806</v>
      </c>
      <c r="K423" s="72">
        <f t="shared" si="95"/>
        <v>252</v>
      </c>
      <c r="L423" s="180">
        <f t="shared" si="92"/>
        <v>2156984.1571537359</v>
      </c>
      <c r="M423" s="181">
        <f t="shared" si="92"/>
        <v>24695.103713411776</v>
      </c>
      <c r="N423" s="180">
        <f t="shared" si="92"/>
        <v>8791.9683536784796</v>
      </c>
      <c r="O423" s="132">
        <f t="shared" si="87"/>
        <v>15903.135359733296</v>
      </c>
    </row>
    <row r="424" spans="1:15" x14ac:dyDescent="0.25">
      <c r="A424" s="72">
        <f t="shared" si="93"/>
        <v>253</v>
      </c>
      <c r="B424" s="183">
        <f t="shared" si="88"/>
        <v>1934907.6567595883</v>
      </c>
      <c r="C424" s="184">
        <f>-'Retail &amp; Restaurant'!$E$98/12</f>
        <v>22449.880274367653</v>
      </c>
      <c r="D424" s="183">
        <f>'Retail &amp; Restaurant'!$E$96/12*B423</f>
        <v>8121.8155063649619</v>
      </c>
      <c r="E424" s="185">
        <f t="shared" si="89"/>
        <v>14328.064768002692</v>
      </c>
      <c r="F424" s="72">
        <f t="shared" si="94"/>
        <v>253</v>
      </c>
      <c r="G424" s="180">
        <f t="shared" si="90"/>
        <v>206109.1451243436</v>
      </c>
      <c r="H424" s="186">
        <f>-'Retail &amp; Restaurant'!$E$103/12</f>
        <v>2245.2234390441222</v>
      </c>
      <c r="I424" s="149">
        <f>'Retail &amp; Restaurant'!$E$101/12*G423</f>
        <v>605.93293724292243</v>
      </c>
      <c r="J424" s="187">
        <f t="shared" si="91"/>
        <v>1639.2905018011998</v>
      </c>
      <c r="K424" s="72">
        <f t="shared" si="95"/>
        <v>253</v>
      </c>
      <c r="L424" s="180">
        <f t="shared" si="92"/>
        <v>2141016.8018839317</v>
      </c>
      <c r="M424" s="181">
        <f t="shared" si="92"/>
        <v>24695.103713411776</v>
      </c>
      <c r="N424" s="180">
        <f t="shared" si="92"/>
        <v>8727.7484436078848</v>
      </c>
      <c r="O424" s="132">
        <f t="shared" si="87"/>
        <v>15967.355269803891</v>
      </c>
    </row>
    <row r="425" spans="1:15" x14ac:dyDescent="0.25">
      <c r="A425" s="72">
        <f t="shared" si="93"/>
        <v>254</v>
      </c>
      <c r="B425" s="183">
        <f t="shared" si="88"/>
        <v>1920519.8917217189</v>
      </c>
      <c r="C425" s="184">
        <f>-'Retail &amp; Restaurant'!$E$98/12</f>
        <v>22449.880274367653</v>
      </c>
      <c r="D425" s="183">
        <f>'Retail &amp; Restaurant'!$E$96/12*B424</f>
        <v>8062.1152364982845</v>
      </c>
      <c r="E425" s="185">
        <f t="shared" si="89"/>
        <v>14387.765037869369</v>
      </c>
      <c r="F425" s="72">
        <f t="shared" si="94"/>
        <v>254</v>
      </c>
      <c r="G425" s="180">
        <f t="shared" si="90"/>
        <v>204465.07335857881</v>
      </c>
      <c r="H425" s="186">
        <f>-'Retail &amp; Restaurant'!$E$103/12</f>
        <v>2245.2234390441222</v>
      </c>
      <c r="I425" s="149">
        <f>'Retail &amp; Restaurant'!$E$101/12*G424</f>
        <v>601.15167327933557</v>
      </c>
      <c r="J425" s="187">
        <f t="shared" si="91"/>
        <v>1644.0717657647865</v>
      </c>
      <c r="K425" s="72">
        <f t="shared" si="95"/>
        <v>254</v>
      </c>
      <c r="L425" s="180">
        <f t="shared" si="92"/>
        <v>2124984.9650802976</v>
      </c>
      <c r="M425" s="181">
        <f t="shared" si="92"/>
        <v>24695.103713411776</v>
      </c>
      <c r="N425" s="180">
        <f t="shared" si="92"/>
        <v>8663.2669097776197</v>
      </c>
      <c r="O425" s="132">
        <f t="shared" si="87"/>
        <v>16031.836803634156</v>
      </c>
    </row>
    <row r="426" spans="1:15" x14ac:dyDescent="0.25">
      <c r="A426" s="72">
        <f t="shared" si="93"/>
        <v>255</v>
      </c>
      <c r="B426" s="183">
        <f t="shared" si="88"/>
        <v>1906072.1776628585</v>
      </c>
      <c r="C426" s="184">
        <f>-'Retail &amp; Restaurant'!$E$98/12</f>
        <v>22449.880274367653</v>
      </c>
      <c r="D426" s="183">
        <f>'Retail &amp; Restaurant'!$E$96/12*B425</f>
        <v>8002.1662155071617</v>
      </c>
      <c r="E426" s="185">
        <f t="shared" si="89"/>
        <v>14447.714058860493</v>
      </c>
      <c r="F426" s="72">
        <f t="shared" si="94"/>
        <v>255</v>
      </c>
      <c r="G426" s="180">
        <f t="shared" si="90"/>
        <v>202816.20638349722</v>
      </c>
      <c r="H426" s="186">
        <f>-'Retail &amp; Restaurant'!$E$103/12</f>
        <v>2245.2234390441222</v>
      </c>
      <c r="I426" s="149">
        <f>'Retail &amp; Restaurant'!$E$101/12*G425</f>
        <v>596.35646396252162</v>
      </c>
      <c r="J426" s="187">
        <f t="shared" si="91"/>
        <v>1648.8669750816007</v>
      </c>
      <c r="K426" s="72">
        <f t="shared" si="95"/>
        <v>255</v>
      </c>
      <c r="L426" s="180">
        <f t="shared" si="92"/>
        <v>2108888.3840463557</v>
      </c>
      <c r="M426" s="181">
        <f t="shared" si="92"/>
        <v>24695.103713411776</v>
      </c>
      <c r="N426" s="180">
        <f t="shared" si="92"/>
        <v>8598.5226794696828</v>
      </c>
      <c r="O426" s="132">
        <f t="shared" si="87"/>
        <v>16096.581033942093</v>
      </c>
    </row>
    <row r="427" spans="1:15" x14ac:dyDescent="0.25">
      <c r="A427" s="72">
        <f t="shared" si="93"/>
        <v>256</v>
      </c>
      <c r="B427" s="183">
        <f t="shared" si="88"/>
        <v>1891564.2647954195</v>
      </c>
      <c r="C427" s="184">
        <f>-'Retail &amp; Restaurant'!$E$98/12</f>
        <v>22449.880274367653</v>
      </c>
      <c r="D427" s="183">
        <f>'Retail &amp; Restaurant'!$E$96/12*B426</f>
        <v>7941.9674069285766</v>
      </c>
      <c r="E427" s="185">
        <f t="shared" si="89"/>
        <v>14507.912867439078</v>
      </c>
      <c r="F427" s="72">
        <f t="shared" si="94"/>
        <v>256</v>
      </c>
      <c r="G427" s="180">
        <f t="shared" si="90"/>
        <v>201162.53021307164</v>
      </c>
      <c r="H427" s="186">
        <f>-'Retail &amp; Restaurant'!$E$103/12</f>
        <v>2245.2234390441222</v>
      </c>
      <c r="I427" s="149">
        <f>'Retail &amp; Restaurant'!$E$101/12*G426</f>
        <v>591.54726861853362</v>
      </c>
      <c r="J427" s="187">
        <f t="shared" si="91"/>
        <v>1653.6761704255887</v>
      </c>
      <c r="K427" s="72">
        <f t="shared" si="95"/>
        <v>256</v>
      </c>
      <c r="L427" s="180">
        <f t="shared" si="92"/>
        <v>2092726.7950084913</v>
      </c>
      <c r="M427" s="181">
        <f t="shared" si="92"/>
        <v>24695.103713411776</v>
      </c>
      <c r="N427" s="180">
        <f t="shared" si="92"/>
        <v>8533.5146755471105</v>
      </c>
      <c r="O427" s="132">
        <f t="shared" si="92"/>
        <v>16161.589037864665</v>
      </c>
    </row>
    <row r="428" spans="1:15" x14ac:dyDescent="0.25">
      <c r="A428" s="72">
        <f t="shared" si="93"/>
        <v>257</v>
      </c>
      <c r="B428" s="183">
        <f t="shared" ref="B428:B491" si="96">B427-E428</f>
        <v>1876995.9022910327</v>
      </c>
      <c r="C428" s="184">
        <f>-'Retail &amp; Restaurant'!$E$98/12</f>
        <v>22449.880274367653</v>
      </c>
      <c r="D428" s="183">
        <f>'Retail &amp; Restaurant'!$E$96/12*B427</f>
        <v>7881.5177699809146</v>
      </c>
      <c r="E428" s="185">
        <f t="shared" ref="E428:E491" si="97">C428-D428</f>
        <v>14568.36250438674</v>
      </c>
      <c r="F428" s="72">
        <f t="shared" si="94"/>
        <v>257</v>
      </c>
      <c r="G428" s="180">
        <f t="shared" ref="G428:G491" si="98">G427-J428</f>
        <v>199504.03082048232</v>
      </c>
      <c r="H428" s="186">
        <f>-'Retail &amp; Restaurant'!$E$103/12</f>
        <v>2245.2234390441222</v>
      </c>
      <c r="I428" s="149">
        <f>'Retail &amp; Restaurant'!$E$101/12*G427</f>
        <v>586.7240464547923</v>
      </c>
      <c r="J428" s="187">
        <f t="shared" ref="J428:J491" si="99">H428-I428</f>
        <v>1658.49939258933</v>
      </c>
      <c r="K428" s="72">
        <f t="shared" si="95"/>
        <v>257</v>
      </c>
      <c r="L428" s="180">
        <f t="shared" ref="L428:O491" si="100">G428+B428</f>
        <v>2076499.9331115151</v>
      </c>
      <c r="M428" s="181">
        <f t="shared" si="100"/>
        <v>24695.103713411776</v>
      </c>
      <c r="N428" s="180">
        <f t="shared" si="100"/>
        <v>8468.2418164357077</v>
      </c>
      <c r="O428" s="132">
        <f t="shared" si="100"/>
        <v>16226.86189697607</v>
      </c>
    </row>
    <row r="429" spans="1:15" x14ac:dyDescent="0.25">
      <c r="A429" s="72">
        <f t="shared" ref="A429:A492" si="101">A428+1</f>
        <v>258</v>
      </c>
      <c r="B429" s="183">
        <f t="shared" si="96"/>
        <v>1862366.8382762109</v>
      </c>
      <c r="C429" s="184">
        <f>-'Retail &amp; Restaurant'!$E$98/12</f>
        <v>22449.880274367653</v>
      </c>
      <c r="D429" s="183">
        <f>'Retail &amp; Restaurant'!$E$96/12*B428</f>
        <v>7820.8162595459698</v>
      </c>
      <c r="E429" s="185">
        <f t="shared" si="97"/>
        <v>14629.064014821684</v>
      </c>
      <c r="F429" s="72">
        <f t="shared" ref="F429:F492" si="102">F428+1</f>
        <v>258</v>
      </c>
      <c r="G429" s="180">
        <f t="shared" si="98"/>
        <v>197840.69413799795</v>
      </c>
      <c r="H429" s="186">
        <f>-'Retail &amp; Restaurant'!$E$103/12</f>
        <v>2245.2234390441222</v>
      </c>
      <c r="I429" s="149">
        <f>'Retail &amp; Restaurant'!$E$101/12*G428</f>
        <v>581.88675655974009</v>
      </c>
      <c r="J429" s="187">
        <f t="shared" si="99"/>
        <v>1663.336682484382</v>
      </c>
      <c r="K429" s="72">
        <f t="shared" ref="K429:K492" si="103">K428+1</f>
        <v>258</v>
      </c>
      <c r="L429" s="180">
        <f t="shared" si="100"/>
        <v>2060207.5324142089</v>
      </c>
      <c r="M429" s="181">
        <f t="shared" si="100"/>
        <v>24695.103713411776</v>
      </c>
      <c r="N429" s="180">
        <f t="shared" si="100"/>
        <v>8402.70301610571</v>
      </c>
      <c r="O429" s="132">
        <f t="shared" si="100"/>
        <v>16292.400697306066</v>
      </c>
    </row>
    <row r="430" spans="1:15" x14ac:dyDescent="0.25">
      <c r="A430" s="72">
        <f t="shared" si="101"/>
        <v>259</v>
      </c>
      <c r="B430" s="183">
        <f t="shared" si="96"/>
        <v>1847676.8198279941</v>
      </c>
      <c r="C430" s="184">
        <f>-'Retail &amp; Restaurant'!$E$98/12</f>
        <v>22449.880274367653</v>
      </c>
      <c r="D430" s="183">
        <f>'Retail &amp; Restaurant'!$E$96/12*B429</f>
        <v>7759.8618261508791</v>
      </c>
      <c r="E430" s="185">
        <f t="shared" si="97"/>
        <v>14690.018448216775</v>
      </c>
      <c r="F430" s="72">
        <f t="shared" si="102"/>
        <v>259</v>
      </c>
      <c r="G430" s="180">
        <f t="shared" si="98"/>
        <v>196172.50605685633</v>
      </c>
      <c r="H430" s="186">
        <f>-'Retail &amp; Restaurant'!$E$103/12</f>
        <v>2245.2234390441222</v>
      </c>
      <c r="I430" s="149">
        <f>'Retail &amp; Restaurant'!$E$101/12*G429</f>
        <v>577.03535790249407</v>
      </c>
      <c r="J430" s="187">
        <f t="shared" si="99"/>
        <v>1668.1880811416281</v>
      </c>
      <c r="K430" s="72">
        <f t="shared" si="103"/>
        <v>259</v>
      </c>
      <c r="L430" s="180">
        <f t="shared" si="100"/>
        <v>2043849.3258848505</v>
      </c>
      <c r="M430" s="181">
        <f t="shared" si="100"/>
        <v>24695.103713411776</v>
      </c>
      <c r="N430" s="180">
        <f t="shared" si="100"/>
        <v>8336.8971840533741</v>
      </c>
      <c r="O430" s="132">
        <f t="shared" si="100"/>
        <v>16358.206529358404</v>
      </c>
    </row>
    <row r="431" spans="1:15" x14ac:dyDescent="0.25">
      <c r="A431" s="72">
        <f t="shared" si="101"/>
        <v>260</v>
      </c>
      <c r="B431" s="183">
        <f t="shared" si="96"/>
        <v>1832925.5929695764</v>
      </c>
      <c r="C431" s="184">
        <f>-'Retail &amp; Restaurant'!$E$98/12</f>
        <v>22449.880274367653</v>
      </c>
      <c r="D431" s="183">
        <f>'Retail &amp; Restaurant'!$E$96/12*B430</f>
        <v>7698.6534159499752</v>
      </c>
      <c r="E431" s="185">
        <f t="shared" si="97"/>
        <v>14751.226858417678</v>
      </c>
      <c r="F431" s="72">
        <f t="shared" si="102"/>
        <v>260</v>
      </c>
      <c r="G431" s="180">
        <f t="shared" si="98"/>
        <v>194499.45242714472</v>
      </c>
      <c r="H431" s="186">
        <f>-'Retail &amp; Restaurant'!$E$103/12</f>
        <v>2245.2234390441222</v>
      </c>
      <c r="I431" s="149">
        <f>'Retail &amp; Restaurant'!$E$101/12*G430</f>
        <v>572.16980933249772</v>
      </c>
      <c r="J431" s="187">
        <f t="shared" si="99"/>
        <v>1673.0536297116246</v>
      </c>
      <c r="K431" s="72">
        <f t="shared" si="103"/>
        <v>260</v>
      </c>
      <c r="L431" s="180">
        <f t="shared" si="100"/>
        <v>2027425.045396721</v>
      </c>
      <c r="M431" s="181">
        <f t="shared" si="100"/>
        <v>24695.103713411776</v>
      </c>
      <c r="N431" s="180">
        <f t="shared" si="100"/>
        <v>8270.8232252824728</v>
      </c>
      <c r="O431" s="132">
        <f t="shared" si="100"/>
        <v>16424.280488129301</v>
      </c>
    </row>
    <row r="432" spans="1:15" x14ac:dyDescent="0.25">
      <c r="A432" s="72">
        <f t="shared" si="101"/>
        <v>261</v>
      </c>
      <c r="B432" s="183">
        <f t="shared" si="96"/>
        <v>1818112.9026659152</v>
      </c>
      <c r="C432" s="184">
        <f>-'Retail &amp; Restaurant'!$E$98/12</f>
        <v>22449.880274367653</v>
      </c>
      <c r="D432" s="183">
        <f>'Retail &amp; Restaurant'!$E$96/12*B431</f>
        <v>7637.1899707065677</v>
      </c>
      <c r="E432" s="185">
        <f t="shared" si="97"/>
        <v>14812.690303661086</v>
      </c>
      <c r="F432" s="72">
        <f t="shared" si="102"/>
        <v>261</v>
      </c>
      <c r="G432" s="180">
        <f t="shared" si="98"/>
        <v>192821.51905767978</v>
      </c>
      <c r="H432" s="186">
        <f>-'Retail &amp; Restaurant'!$E$103/12</f>
        <v>2245.2234390441222</v>
      </c>
      <c r="I432" s="149">
        <f>'Retail &amp; Restaurant'!$E$101/12*G431</f>
        <v>567.29006957917215</v>
      </c>
      <c r="J432" s="187">
        <f t="shared" si="99"/>
        <v>1677.9333694649499</v>
      </c>
      <c r="K432" s="72">
        <f t="shared" si="103"/>
        <v>261</v>
      </c>
      <c r="L432" s="180">
        <f t="shared" si="100"/>
        <v>2010934.4217235949</v>
      </c>
      <c r="M432" s="181">
        <f t="shared" si="100"/>
        <v>24695.103713411776</v>
      </c>
      <c r="N432" s="180">
        <f t="shared" si="100"/>
        <v>8204.48004028574</v>
      </c>
      <c r="O432" s="132">
        <f t="shared" si="100"/>
        <v>16490.623673126036</v>
      </c>
    </row>
    <row r="433" spans="1:15" x14ac:dyDescent="0.25">
      <c r="A433" s="72">
        <f t="shared" si="101"/>
        <v>262</v>
      </c>
      <c r="B433" s="183">
        <f t="shared" si="96"/>
        <v>1803238.4928193223</v>
      </c>
      <c r="C433" s="184">
        <f>-'Retail &amp; Restaurant'!$E$98/12</f>
        <v>22449.880274367653</v>
      </c>
      <c r="D433" s="183">
        <f>'Retail &amp; Restaurant'!$E$96/12*B432</f>
        <v>7575.4704277746469</v>
      </c>
      <c r="E433" s="185">
        <f t="shared" si="97"/>
        <v>14874.409846593007</v>
      </c>
      <c r="F433" s="72">
        <f t="shared" si="102"/>
        <v>262</v>
      </c>
      <c r="G433" s="180">
        <f t="shared" si="98"/>
        <v>191138.69171588722</v>
      </c>
      <c r="H433" s="186">
        <f>-'Retail &amp; Restaurant'!$E$103/12</f>
        <v>2245.2234390441222</v>
      </c>
      <c r="I433" s="149">
        <f>'Retail &amp; Restaurant'!$E$101/12*G432</f>
        <v>562.39609725156606</v>
      </c>
      <c r="J433" s="187">
        <f t="shared" si="99"/>
        <v>1682.8273417925561</v>
      </c>
      <c r="K433" s="72">
        <f t="shared" si="103"/>
        <v>262</v>
      </c>
      <c r="L433" s="180">
        <f t="shared" si="100"/>
        <v>1994377.1845352096</v>
      </c>
      <c r="M433" s="181">
        <f t="shared" si="100"/>
        <v>24695.103713411776</v>
      </c>
      <c r="N433" s="180">
        <f t="shared" si="100"/>
        <v>8137.8665250262129</v>
      </c>
      <c r="O433" s="132">
        <f t="shared" si="100"/>
        <v>16557.237188385563</v>
      </c>
    </row>
    <row r="434" spans="1:15" x14ac:dyDescent="0.25">
      <c r="A434" s="72">
        <f t="shared" si="101"/>
        <v>263</v>
      </c>
      <c r="B434" s="183">
        <f t="shared" si="96"/>
        <v>1788302.1062650352</v>
      </c>
      <c r="C434" s="184">
        <f>-'Retail &amp; Restaurant'!$E$98/12</f>
        <v>22449.880274367653</v>
      </c>
      <c r="D434" s="183">
        <f>'Retail &amp; Restaurant'!$E$96/12*B433</f>
        <v>7513.4937200805098</v>
      </c>
      <c r="E434" s="185">
        <f t="shared" si="97"/>
        <v>14936.386554287143</v>
      </c>
      <c r="F434" s="72">
        <f t="shared" si="102"/>
        <v>263</v>
      </c>
      <c r="G434" s="180">
        <f t="shared" si="98"/>
        <v>189450.9561276811</v>
      </c>
      <c r="H434" s="186">
        <f>-'Retail &amp; Restaurant'!$E$103/12</f>
        <v>2245.2234390441222</v>
      </c>
      <c r="I434" s="149">
        <f>'Retail &amp; Restaurant'!$E$101/12*G433</f>
        <v>557.48785083800442</v>
      </c>
      <c r="J434" s="187">
        <f t="shared" si="99"/>
        <v>1687.7355882061179</v>
      </c>
      <c r="K434" s="72">
        <f t="shared" si="103"/>
        <v>263</v>
      </c>
      <c r="L434" s="180">
        <f t="shared" si="100"/>
        <v>1977753.0623927163</v>
      </c>
      <c r="M434" s="181">
        <f t="shared" si="100"/>
        <v>24695.103713411776</v>
      </c>
      <c r="N434" s="180">
        <f t="shared" si="100"/>
        <v>8070.9815709185141</v>
      </c>
      <c r="O434" s="132">
        <f t="shared" si="100"/>
        <v>16624.122142493259</v>
      </c>
    </row>
    <row r="435" spans="1:15" x14ac:dyDescent="0.25">
      <c r="A435" s="72">
        <f t="shared" si="101"/>
        <v>264</v>
      </c>
      <c r="B435" s="183">
        <f t="shared" si="96"/>
        <v>1773303.4847667718</v>
      </c>
      <c r="C435" s="184">
        <f>-'Retail &amp; Restaurant'!$E$98/12</f>
        <v>22449.880274367653</v>
      </c>
      <c r="D435" s="183">
        <f>'Retail &amp; Restaurant'!$E$96/12*B434</f>
        <v>7451.2587761043133</v>
      </c>
      <c r="E435" s="185">
        <f t="shared" si="97"/>
        <v>14998.621498263339</v>
      </c>
      <c r="F435" s="72">
        <f t="shared" si="102"/>
        <v>264</v>
      </c>
      <c r="G435" s="180">
        <f t="shared" si="98"/>
        <v>187758.29797734271</v>
      </c>
      <c r="H435" s="186">
        <f>-'Retail &amp; Restaurant'!$E$103/12</f>
        <v>2245.2234390441222</v>
      </c>
      <c r="I435" s="149">
        <f>'Retail &amp; Restaurant'!$E$101/12*G434</f>
        <v>552.56528870573652</v>
      </c>
      <c r="J435" s="187">
        <f t="shared" si="99"/>
        <v>1692.6581503383857</v>
      </c>
      <c r="K435" s="72">
        <f t="shared" si="103"/>
        <v>264</v>
      </c>
      <c r="L435" s="180">
        <f t="shared" si="100"/>
        <v>1961061.7827441145</v>
      </c>
      <c r="M435" s="181">
        <f t="shared" si="100"/>
        <v>24695.103713411776</v>
      </c>
      <c r="N435" s="180">
        <f t="shared" si="100"/>
        <v>8003.82406481005</v>
      </c>
      <c r="O435" s="132">
        <f t="shared" si="100"/>
        <v>16691.279648601725</v>
      </c>
    </row>
    <row r="436" spans="1:15" x14ac:dyDescent="0.25">
      <c r="A436" s="72">
        <f t="shared" si="101"/>
        <v>265</v>
      </c>
      <c r="B436" s="183">
        <f t="shared" si="96"/>
        <v>1758242.3690122657</v>
      </c>
      <c r="C436" s="184">
        <f>-'Retail &amp; Restaurant'!$E$98/12</f>
        <v>22449.880274367653</v>
      </c>
      <c r="D436" s="183">
        <f>'Retail &amp; Restaurant'!$E$96/12*B435</f>
        <v>7388.7645198615492</v>
      </c>
      <c r="E436" s="185">
        <f t="shared" si="97"/>
        <v>15061.115754506103</v>
      </c>
      <c r="F436" s="72">
        <f t="shared" si="102"/>
        <v>265</v>
      </c>
      <c r="G436" s="180">
        <f t="shared" si="98"/>
        <v>186060.70290739916</v>
      </c>
      <c r="H436" s="186">
        <f>-'Retail &amp; Restaurant'!$E$103/12</f>
        <v>2245.2234390441222</v>
      </c>
      <c r="I436" s="149">
        <f>'Retail &amp; Restaurant'!$E$101/12*G435</f>
        <v>547.62836910058297</v>
      </c>
      <c r="J436" s="187">
        <f t="shared" si="99"/>
        <v>1697.5950699435393</v>
      </c>
      <c r="K436" s="72">
        <f t="shared" si="103"/>
        <v>265</v>
      </c>
      <c r="L436" s="180">
        <f t="shared" si="100"/>
        <v>1944303.0719196647</v>
      </c>
      <c r="M436" s="181">
        <f t="shared" si="100"/>
        <v>24695.103713411776</v>
      </c>
      <c r="N436" s="180">
        <f t="shared" si="100"/>
        <v>7936.392888962132</v>
      </c>
      <c r="O436" s="132">
        <f t="shared" si="100"/>
        <v>16758.710824449641</v>
      </c>
    </row>
    <row r="437" spans="1:15" x14ac:dyDescent="0.25">
      <c r="A437" s="72">
        <f t="shared" si="101"/>
        <v>266</v>
      </c>
      <c r="B437" s="183">
        <f t="shared" si="96"/>
        <v>1743118.4986087824</v>
      </c>
      <c r="C437" s="184">
        <f>-'Retail &amp; Restaurant'!$E$98/12</f>
        <v>22449.880274367653</v>
      </c>
      <c r="D437" s="183">
        <f>'Retail &amp; Restaurant'!$E$96/12*B436</f>
        <v>7326.0098708844407</v>
      </c>
      <c r="E437" s="185">
        <f t="shared" si="97"/>
        <v>15123.870403483212</v>
      </c>
      <c r="F437" s="72">
        <f t="shared" si="102"/>
        <v>266</v>
      </c>
      <c r="G437" s="180">
        <f t="shared" si="98"/>
        <v>184358.15651850161</v>
      </c>
      <c r="H437" s="186">
        <f>-'Retail &amp; Restaurant'!$E$103/12</f>
        <v>2245.2234390441222</v>
      </c>
      <c r="I437" s="149">
        <f>'Retail &amp; Restaurant'!$E$101/12*G436</f>
        <v>542.67705014658088</v>
      </c>
      <c r="J437" s="187">
        <f t="shared" si="99"/>
        <v>1702.5463888975414</v>
      </c>
      <c r="K437" s="72">
        <f t="shared" si="103"/>
        <v>266</v>
      </c>
      <c r="L437" s="180">
        <f t="shared" si="100"/>
        <v>1927476.6551272841</v>
      </c>
      <c r="M437" s="181">
        <f t="shared" si="100"/>
        <v>24695.103713411776</v>
      </c>
      <c r="N437" s="180">
        <f t="shared" si="100"/>
        <v>7868.6869210310215</v>
      </c>
      <c r="O437" s="132">
        <f t="shared" si="100"/>
        <v>16826.416792380754</v>
      </c>
    </row>
    <row r="438" spans="1:15" x14ac:dyDescent="0.25">
      <c r="A438" s="72">
        <f t="shared" si="101"/>
        <v>267</v>
      </c>
      <c r="B438" s="183">
        <f t="shared" si="96"/>
        <v>1727931.612078618</v>
      </c>
      <c r="C438" s="184">
        <f>-'Retail &amp; Restaurant'!$E$98/12</f>
        <v>22449.880274367653</v>
      </c>
      <c r="D438" s="183">
        <f>'Retail &amp; Restaurant'!$E$96/12*B437</f>
        <v>7262.9937442032597</v>
      </c>
      <c r="E438" s="185">
        <f t="shared" si="97"/>
        <v>15186.886530164393</v>
      </c>
      <c r="F438" s="72">
        <f t="shared" si="102"/>
        <v>267</v>
      </c>
      <c r="G438" s="180">
        <f t="shared" si="98"/>
        <v>182650.6443693031</v>
      </c>
      <c r="H438" s="186">
        <f>-'Retail &amp; Restaurant'!$E$103/12</f>
        <v>2245.2234390441222</v>
      </c>
      <c r="I438" s="149">
        <f>'Retail &amp; Restaurant'!$E$101/12*G437</f>
        <v>537.71128984562972</v>
      </c>
      <c r="J438" s="187">
        <f t="shared" si="99"/>
        <v>1707.5121491984924</v>
      </c>
      <c r="K438" s="72">
        <f t="shared" si="103"/>
        <v>267</v>
      </c>
      <c r="L438" s="180">
        <f t="shared" si="100"/>
        <v>1910582.256447921</v>
      </c>
      <c r="M438" s="181">
        <f t="shared" si="100"/>
        <v>24695.103713411776</v>
      </c>
      <c r="N438" s="180">
        <f t="shared" si="100"/>
        <v>7800.7050340488895</v>
      </c>
      <c r="O438" s="132">
        <f t="shared" si="100"/>
        <v>16894.398679362886</v>
      </c>
    </row>
    <row r="439" spans="1:15" x14ac:dyDescent="0.25">
      <c r="A439" s="72">
        <f t="shared" si="101"/>
        <v>268</v>
      </c>
      <c r="B439" s="183">
        <f t="shared" si="96"/>
        <v>1712681.4468545779</v>
      </c>
      <c r="C439" s="184">
        <f>-'Retail &amp; Restaurant'!$E$98/12</f>
        <v>22449.880274367653</v>
      </c>
      <c r="D439" s="183">
        <f>'Retail &amp; Restaurant'!$E$96/12*B438</f>
        <v>7199.7150503275752</v>
      </c>
      <c r="E439" s="185">
        <f t="shared" si="97"/>
        <v>15250.165224040078</v>
      </c>
      <c r="F439" s="72">
        <f t="shared" si="102"/>
        <v>268</v>
      </c>
      <c r="G439" s="180">
        <f t="shared" si="98"/>
        <v>180938.15197633611</v>
      </c>
      <c r="H439" s="186">
        <f>-'Retail &amp; Restaurant'!$E$103/12</f>
        <v>2245.2234390441222</v>
      </c>
      <c r="I439" s="149">
        <f>'Retail &amp; Restaurant'!$E$101/12*G438</f>
        <v>532.73104607713412</v>
      </c>
      <c r="J439" s="187">
        <f t="shared" si="99"/>
        <v>1712.4923929669881</v>
      </c>
      <c r="K439" s="72">
        <f t="shared" si="103"/>
        <v>268</v>
      </c>
      <c r="L439" s="180">
        <f t="shared" si="100"/>
        <v>1893619.5988309139</v>
      </c>
      <c r="M439" s="181">
        <f t="shared" si="100"/>
        <v>24695.103713411776</v>
      </c>
      <c r="N439" s="180">
        <f t="shared" si="100"/>
        <v>7732.4460964047094</v>
      </c>
      <c r="O439" s="132">
        <f t="shared" si="100"/>
        <v>16962.657617007066</v>
      </c>
    </row>
    <row r="440" spans="1:15" x14ac:dyDescent="0.25">
      <c r="A440" s="72">
        <f t="shared" si="101"/>
        <v>269</v>
      </c>
      <c r="B440" s="183">
        <f t="shared" si="96"/>
        <v>1697367.7392754375</v>
      </c>
      <c r="C440" s="184">
        <f>-'Retail &amp; Restaurant'!$E$98/12</f>
        <v>22449.880274367653</v>
      </c>
      <c r="D440" s="183">
        <f>'Retail &amp; Restaurant'!$E$96/12*B439</f>
        <v>7136.1726952274075</v>
      </c>
      <c r="E440" s="185">
        <f t="shared" si="97"/>
        <v>15313.707579140246</v>
      </c>
      <c r="F440" s="72">
        <f t="shared" si="102"/>
        <v>269</v>
      </c>
      <c r="G440" s="180">
        <f t="shared" si="98"/>
        <v>179220.66481388963</v>
      </c>
      <c r="H440" s="186">
        <f>-'Retail &amp; Restaurant'!$E$103/12</f>
        <v>2245.2234390441222</v>
      </c>
      <c r="I440" s="149">
        <f>'Retail &amp; Restaurant'!$E$101/12*G439</f>
        <v>527.73627659764702</v>
      </c>
      <c r="J440" s="187">
        <f t="shared" si="99"/>
        <v>1717.4871624464752</v>
      </c>
      <c r="K440" s="72">
        <f t="shared" si="103"/>
        <v>269</v>
      </c>
      <c r="L440" s="180">
        <f t="shared" si="100"/>
        <v>1876588.4040893272</v>
      </c>
      <c r="M440" s="181">
        <f t="shared" si="100"/>
        <v>24695.103713411776</v>
      </c>
      <c r="N440" s="180">
        <f t="shared" si="100"/>
        <v>7663.9089718250543</v>
      </c>
      <c r="O440" s="132">
        <f t="shared" si="100"/>
        <v>17031.194741586722</v>
      </c>
    </row>
    <row r="441" spans="1:15" x14ac:dyDescent="0.25">
      <c r="A441" s="72">
        <f t="shared" si="101"/>
        <v>270</v>
      </c>
      <c r="B441" s="183">
        <f t="shared" si="96"/>
        <v>1681990.2245813841</v>
      </c>
      <c r="C441" s="184">
        <f>-'Retail &amp; Restaurant'!$E$98/12</f>
        <v>22449.880274367653</v>
      </c>
      <c r="D441" s="183">
        <f>'Retail &amp; Restaurant'!$E$96/12*B440</f>
        <v>7072.3655803143229</v>
      </c>
      <c r="E441" s="185">
        <f t="shared" si="97"/>
        <v>15377.51469405333</v>
      </c>
      <c r="F441" s="72">
        <f t="shared" si="102"/>
        <v>270</v>
      </c>
      <c r="G441" s="180">
        <f t="shared" si="98"/>
        <v>177498.16831388601</v>
      </c>
      <c r="H441" s="186">
        <f>-'Retail &amp; Restaurant'!$E$103/12</f>
        <v>2245.2234390441222</v>
      </c>
      <c r="I441" s="149">
        <f>'Retail &amp; Restaurant'!$E$101/12*G440</f>
        <v>522.72693904051141</v>
      </c>
      <c r="J441" s="187">
        <f t="shared" si="99"/>
        <v>1722.4965000036109</v>
      </c>
      <c r="K441" s="72">
        <f t="shared" si="103"/>
        <v>270</v>
      </c>
      <c r="L441" s="180">
        <f t="shared" si="100"/>
        <v>1859488.3928952701</v>
      </c>
      <c r="M441" s="181">
        <f t="shared" si="100"/>
        <v>24695.103713411776</v>
      </c>
      <c r="N441" s="180">
        <f t="shared" si="100"/>
        <v>7595.0925193548346</v>
      </c>
      <c r="O441" s="132">
        <f t="shared" si="100"/>
        <v>17100.01119405694</v>
      </c>
    </row>
    <row r="442" spans="1:15" x14ac:dyDescent="0.25">
      <c r="A442" s="72">
        <f t="shared" si="101"/>
        <v>271</v>
      </c>
      <c r="B442" s="183">
        <f t="shared" si="96"/>
        <v>1666548.6369094388</v>
      </c>
      <c r="C442" s="184">
        <f>-'Retail &amp; Restaurant'!$E$98/12</f>
        <v>22449.880274367653</v>
      </c>
      <c r="D442" s="183">
        <f>'Retail &amp; Restaurant'!$E$96/12*B441</f>
        <v>7008.2926024224334</v>
      </c>
      <c r="E442" s="185">
        <f t="shared" si="97"/>
        <v>15441.587671945221</v>
      </c>
      <c r="F442" s="72">
        <f t="shared" si="102"/>
        <v>271</v>
      </c>
      <c r="G442" s="180">
        <f t="shared" si="98"/>
        <v>175770.64786575738</v>
      </c>
      <c r="H442" s="186">
        <f>-'Retail &amp; Restaurant'!$E$103/12</f>
        <v>2245.2234390441222</v>
      </c>
      <c r="I442" s="149">
        <f>'Retail &amp; Restaurant'!$E$101/12*G441</f>
        <v>517.70299091550089</v>
      </c>
      <c r="J442" s="187">
        <f t="shared" si="99"/>
        <v>1727.5204481286214</v>
      </c>
      <c r="K442" s="72">
        <f t="shared" si="103"/>
        <v>271</v>
      </c>
      <c r="L442" s="180">
        <f t="shared" si="100"/>
        <v>1842319.2847751961</v>
      </c>
      <c r="M442" s="181">
        <f t="shared" si="100"/>
        <v>24695.103713411776</v>
      </c>
      <c r="N442" s="180">
        <f t="shared" si="100"/>
        <v>7525.9955933379342</v>
      </c>
      <c r="O442" s="132">
        <f t="shared" si="100"/>
        <v>17169.108120073841</v>
      </c>
    </row>
    <row r="443" spans="1:15" x14ac:dyDescent="0.25">
      <c r="A443" s="72">
        <f t="shared" si="101"/>
        <v>272</v>
      </c>
      <c r="B443" s="183">
        <f t="shared" si="96"/>
        <v>1651042.7092888604</v>
      </c>
      <c r="C443" s="184">
        <f>-'Retail &amp; Restaurant'!$E$98/12</f>
        <v>22449.880274367653</v>
      </c>
      <c r="D443" s="183">
        <f>'Retail &amp; Restaurant'!$E$96/12*B442</f>
        <v>6943.952653789328</v>
      </c>
      <c r="E443" s="185">
        <f t="shared" si="97"/>
        <v>15505.927620578324</v>
      </c>
      <c r="F443" s="72">
        <f t="shared" si="102"/>
        <v>272</v>
      </c>
      <c r="G443" s="180">
        <f t="shared" si="98"/>
        <v>174038.08881632172</v>
      </c>
      <c r="H443" s="186">
        <f>-'Retail &amp; Restaurant'!$E$103/12</f>
        <v>2245.2234390441222</v>
      </c>
      <c r="I443" s="149">
        <f>'Retail &amp; Restaurant'!$E$101/12*G442</f>
        <v>512.66438960845903</v>
      </c>
      <c r="J443" s="187">
        <f t="shared" si="99"/>
        <v>1732.5590494356632</v>
      </c>
      <c r="K443" s="72">
        <f t="shared" si="103"/>
        <v>272</v>
      </c>
      <c r="L443" s="180">
        <f t="shared" si="100"/>
        <v>1825080.7981051821</v>
      </c>
      <c r="M443" s="181">
        <f t="shared" si="100"/>
        <v>24695.103713411776</v>
      </c>
      <c r="N443" s="180">
        <f t="shared" si="100"/>
        <v>7456.6170433977868</v>
      </c>
      <c r="O443" s="132">
        <f t="shared" si="100"/>
        <v>17238.486670013986</v>
      </c>
    </row>
    <row r="444" spans="1:15" x14ac:dyDescent="0.25">
      <c r="A444" s="72">
        <f t="shared" si="101"/>
        <v>273</v>
      </c>
      <c r="B444" s="183">
        <f t="shared" si="96"/>
        <v>1635472.1736365296</v>
      </c>
      <c r="C444" s="184">
        <f>-'Retail &amp; Restaurant'!$E$98/12</f>
        <v>22449.880274367653</v>
      </c>
      <c r="D444" s="183">
        <f>'Retail &amp; Restaurant'!$E$96/12*B443</f>
        <v>6879.3446220369187</v>
      </c>
      <c r="E444" s="185">
        <f t="shared" si="97"/>
        <v>15570.535652330735</v>
      </c>
      <c r="F444" s="72">
        <f t="shared" si="102"/>
        <v>273</v>
      </c>
      <c r="G444" s="180">
        <f t="shared" si="98"/>
        <v>172300.47646965852</v>
      </c>
      <c r="H444" s="186">
        <f>-'Retail &amp; Restaurant'!$E$103/12</f>
        <v>2245.2234390441222</v>
      </c>
      <c r="I444" s="149">
        <f>'Retail &amp; Restaurant'!$E$101/12*G443</f>
        <v>507.61109238093837</v>
      </c>
      <c r="J444" s="187">
        <f t="shared" si="99"/>
        <v>1737.6123466631839</v>
      </c>
      <c r="K444" s="72">
        <f t="shared" si="103"/>
        <v>273</v>
      </c>
      <c r="L444" s="180">
        <f t="shared" si="100"/>
        <v>1807772.6501061881</v>
      </c>
      <c r="M444" s="181">
        <f t="shared" si="100"/>
        <v>24695.103713411776</v>
      </c>
      <c r="N444" s="180">
        <f t="shared" si="100"/>
        <v>7386.9557144178571</v>
      </c>
      <c r="O444" s="132">
        <f t="shared" si="100"/>
        <v>17308.147998993918</v>
      </c>
    </row>
    <row r="445" spans="1:15" x14ac:dyDescent="0.25">
      <c r="A445" s="72">
        <f t="shared" si="101"/>
        <v>274</v>
      </c>
      <c r="B445" s="183">
        <f t="shared" si="96"/>
        <v>1619836.7607523142</v>
      </c>
      <c r="C445" s="184">
        <f>-'Retail &amp; Restaurant'!$E$98/12</f>
        <v>22449.880274367653</v>
      </c>
      <c r="D445" s="183">
        <f>'Retail &amp; Restaurant'!$E$96/12*B444</f>
        <v>6814.4673901522065</v>
      </c>
      <c r="E445" s="185">
        <f t="shared" si="97"/>
        <v>15635.412884215446</v>
      </c>
      <c r="F445" s="72">
        <f t="shared" si="102"/>
        <v>274</v>
      </c>
      <c r="G445" s="180">
        <f t="shared" si="98"/>
        <v>170557.79608698422</v>
      </c>
      <c r="H445" s="186">
        <f>-'Retail &amp; Restaurant'!$E$103/12</f>
        <v>2245.2234390441222</v>
      </c>
      <c r="I445" s="149">
        <f>'Retail &amp; Restaurant'!$E$101/12*G444</f>
        <v>502.54305636983736</v>
      </c>
      <c r="J445" s="187">
        <f t="shared" si="99"/>
        <v>1742.6803826742848</v>
      </c>
      <c r="K445" s="72">
        <f t="shared" si="103"/>
        <v>274</v>
      </c>
      <c r="L445" s="180">
        <f t="shared" si="100"/>
        <v>1790394.5568392985</v>
      </c>
      <c r="M445" s="181">
        <f t="shared" si="100"/>
        <v>24695.103713411776</v>
      </c>
      <c r="N445" s="180">
        <f t="shared" si="100"/>
        <v>7317.0104465220438</v>
      </c>
      <c r="O445" s="132">
        <f t="shared" si="100"/>
        <v>17378.093266889729</v>
      </c>
    </row>
    <row r="446" spans="1:15" x14ac:dyDescent="0.25">
      <c r="A446" s="72">
        <f t="shared" si="101"/>
        <v>275</v>
      </c>
      <c r="B446" s="183">
        <f t="shared" si="96"/>
        <v>1604136.2003144145</v>
      </c>
      <c r="C446" s="184">
        <f>-'Retail &amp; Restaurant'!$E$98/12</f>
        <v>22449.880274367653</v>
      </c>
      <c r="D446" s="183">
        <f>'Retail &amp; Restaurant'!$E$96/12*B445</f>
        <v>6749.3198364679756</v>
      </c>
      <c r="E446" s="185">
        <f t="shared" si="97"/>
        <v>15700.560437899678</v>
      </c>
      <c r="F446" s="72">
        <f t="shared" si="102"/>
        <v>275</v>
      </c>
      <c r="G446" s="180">
        <f t="shared" si="98"/>
        <v>168810.03288652713</v>
      </c>
      <c r="H446" s="186">
        <f>-'Retail &amp; Restaurant'!$E$103/12</f>
        <v>2245.2234390441222</v>
      </c>
      <c r="I446" s="149">
        <f>'Retail &amp; Restaurant'!$E$101/12*G445</f>
        <v>497.46023858703734</v>
      </c>
      <c r="J446" s="187">
        <f t="shared" si="99"/>
        <v>1747.7632004570848</v>
      </c>
      <c r="K446" s="72">
        <f t="shared" si="103"/>
        <v>275</v>
      </c>
      <c r="L446" s="180">
        <f t="shared" si="100"/>
        <v>1772946.2332009417</v>
      </c>
      <c r="M446" s="181">
        <f t="shared" si="100"/>
        <v>24695.103713411776</v>
      </c>
      <c r="N446" s="180">
        <f t="shared" si="100"/>
        <v>7246.7800750550132</v>
      </c>
      <c r="O446" s="132">
        <f t="shared" si="100"/>
        <v>17448.323638356764</v>
      </c>
    </row>
    <row r="447" spans="1:15" x14ac:dyDescent="0.25">
      <c r="A447" s="72">
        <f t="shared" si="101"/>
        <v>276</v>
      </c>
      <c r="B447" s="183">
        <f t="shared" si="96"/>
        <v>1588370.2208746902</v>
      </c>
      <c r="C447" s="184">
        <f>-'Retail &amp; Restaurant'!$E$98/12</f>
        <v>22449.880274367653</v>
      </c>
      <c r="D447" s="183">
        <f>'Retail &amp; Restaurant'!$E$96/12*B446</f>
        <v>6683.9008346433939</v>
      </c>
      <c r="E447" s="185">
        <f t="shared" si="97"/>
        <v>15765.979439724259</v>
      </c>
      <c r="F447" s="72">
        <f t="shared" si="102"/>
        <v>276</v>
      </c>
      <c r="G447" s="180">
        <f t="shared" si="98"/>
        <v>167057.17204340204</v>
      </c>
      <c r="H447" s="186">
        <f>-'Retail &amp; Restaurant'!$E$103/12</f>
        <v>2245.2234390441222</v>
      </c>
      <c r="I447" s="149">
        <f>'Retail &amp; Restaurant'!$E$101/12*G446</f>
        <v>492.36259591903746</v>
      </c>
      <c r="J447" s="187">
        <f t="shared" si="99"/>
        <v>1752.8608431250848</v>
      </c>
      <c r="K447" s="72">
        <f t="shared" si="103"/>
        <v>276</v>
      </c>
      <c r="L447" s="180">
        <f t="shared" si="100"/>
        <v>1755427.3929180922</v>
      </c>
      <c r="M447" s="181">
        <f t="shared" si="100"/>
        <v>24695.103713411776</v>
      </c>
      <c r="N447" s="180">
        <f t="shared" si="100"/>
        <v>7176.2634305624315</v>
      </c>
      <c r="O447" s="132">
        <f t="shared" si="100"/>
        <v>17518.840282849342</v>
      </c>
    </row>
    <row r="448" spans="1:15" x14ac:dyDescent="0.25">
      <c r="A448" s="72">
        <f t="shared" si="101"/>
        <v>277</v>
      </c>
      <c r="B448" s="183">
        <f t="shared" si="96"/>
        <v>1572538.549853967</v>
      </c>
      <c r="C448" s="184">
        <f>-'Retail &amp; Restaurant'!$E$98/12</f>
        <v>22449.880274367653</v>
      </c>
      <c r="D448" s="183">
        <f>'Retail &amp; Restaurant'!$E$96/12*B447</f>
        <v>6618.2092536445425</v>
      </c>
      <c r="E448" s="185">
        <f t="shared" si="97"/>
        <v>15831.671020723112</v>
      </c>
      <c r="F448" s="72">
        <f t="shared" si="102"/>
        <v>277</v>
      </c>
      <c r="G448" s="180">
        <f t="shared" si="98"/>
        <v>165299.1986894845</v>
      </c>
      <c r="H448" s="186">
        <f>-'Retail &amp; Restaurant'!$E$103/12</f>
        <v>2245.2234390441222</v>
      </c>
      <c r="I448" s="149">
        <f>'Retail &amp; Restaurant'!$E$101/12*G447</f>
        <v>487.25008512658928</v>
      </c>
      <c r="J448" s="187">
        <f t="shared" si="99"/>
        <v>1757.9733539175329</v>
      </c>
      <c r="K448" s="72">
        <f t="shared" si="103"/>
        <v>277</v>
      </c>
      <c r="L448" s="180">
        <f t="shared" si="100"/>
        <v>1737837.7485434515</v>
      </c>
      <c r="M448" s="181">
        <f t="shared" si="100"/>
        <v>24695.103713411776</v>
      </c>
      <c r="N448" s="180">
        <f t="shared" si="100"/>
        <v>7105.459338771132</v>
      </c>
      <c r="O448" s="132">
        <f t="shared" si="100"/>
        <v>17589.644374640644</v>
      </c>
    </row>
    <row r="449" spans="1:15" x14ac:dyDescent="0.25">
      <c r="A449" s="72">
        <f t="shared" si="101"/>
        <v>278</v>
      </c>
      <c r="B449" s="183">
        <f t="shared" si="96"/>
        <v>1556640.9135373242</v>
      </c>
      <c r="C449" s="184">
        <f>-'Retail &amp; Restaurant'!$E$98/12</f>
        <v>22449.880274367653</v>
      </c>
      <c r="D449" s="183">
        <f>'Retail &amp; Restaurant'!$E$96/12*B448</f>
        <v>6552.2439577248624</v>
      </c>
      <c r="E449" s="185">
        <f t="shared" si="97"/>
        <v>15897.636316642791</v>
      </c>
      <c r="F449" s="72">
        <f t="shared" si="102"/>
        <v>278</v>
      </c>
      <c r="G449" s="180">
        <f t="shared" si="98"/>
        <v>163536.0979132847</v>
      </c>
      <c r="H449" s="186">
        <f>-'Retail &amp; Restaurant'!$E$103/12</f>
        <v>2245.2234390441222</v>
      </c>
      <c r="I449" s="149">
        <f>'Retail &amp; Restaurant'!$E$101/12*G448</f>
        <v>482.1226628443298</v>
      </c>
      <c r="J449" s="187">
        <f t="shared" si="99"/>
        <v>1763.1007761997923</v>
      </c>
      <c r="K449" s="72">
        <f t="shared" si="103"/>
        <v>278</v>
      </c>
      <c r="L449" s="180">
        <f t="shared" si="100"/>
        <v>1720177.011450609</v>
      </c>
      <c r="M449" s="181">
        <f t="shared" si="100"/>
        <v>24695.103713411776</v>
      </c>
      <c r="N449" s="180">
        <f t="shared" si="100"/>
        <v>7034.3666205691925</v>
      </c>
      <c r="O449" s="132">
        <f t="shared" si="100"/>
        <v>17660.737092842584</v>
      </c>
    </row>
    <row r="450" spans="1:15" x14ac:dyDescent="0.25">
      <c r="A450" s="72">
        <f t="shared" si="101"/>
        <v>279</v>
      </c>
      <c r="B450" s="183">
        <f t="shared" si="96"/>
        <v>1540677.0370693621</v>
      </c>
      <c r="C450" s="184">
        <f>-'Retail &amp; Restaurant'!$E$98/12</f>
        <v>22449.880274367653</v>
      </c>
      <c r="D450" s="183">
        <f>'Retail &amp; Restaurant'!$E$96/12*B449</f>
        <v>6486.003806405517</v>
      </c>
      <c r="E450" s="185">
        <f t="shared" si="97"/>
        <v>15963.876467962136</v>
      </c>
      <c r="F450" s="72">
        <f t="shared" si="102"/>
        <v>279</v>
      </c>
      <c r="G450" s="180">
        <f t="shared" si="98"/>
        <v>161767.854759821</v>
      </c>
      <c r="H450" s="186">
        <f>-'Retail &amp; Restaurant'!$E$103/12</f>
        <v>2245.2234390441222</v>
      </c>
      <c r="I450" s="149">
        <f>'Retail &amp; Restaurant'!$E$101/12*G449</f>
        <v>476.98028558041375</v>
      </c>
      <c r="J450" s="187">
        <f t="shared" si="99"/>
        <v>1768.2431534637085</v>
      </c>
      <c r="K450" s="72">
        <f t="shared" si="103"/>
        <v>279</v>
      </c>
      <c r="L450" s="180">
        <f t="shared" si="100"/>
        <v>1702444.8918291831</v>
      </c>
      <c r="M450" s="181">
        <f t="shared" si="100"/>
        <v>24695.103713411776</v>
      </c>
      <c r="N450" s="180">
        <f t="shared" si="100"/>
        <v>6962.9840919859307</v>
      </c>
      <c r="O450" s="132">
        <f t="shared" si="100"/>
        <v>17732.119621425845</v>
      </c>
    </row>
    <row r="451" spans="1:15" x14ac:dyDescent="0.25">
      <c r="A451" s="72">
        <f t="shared" si="101"/>
        <v>280</v>
      </c>
      <c r="B451" s="183">
        <f t="shared" si="96"/>
        <v>1524646.6444494501</v>
      </c>
      <c r="C451" s="184">
        <f>-'Retail &amp; Restaurant'!$E$98/12</f>
        <v>22449.880274367653</v>
      </c>
      <c r="D451" s="183">
        <f>'Retail &amp; Restaurant'!$E$96/12*B450</f>
        <v>6419.4876544556755</v>
      </c>
      <c r="E451" s="185">
        <f t="shared" si="97"/>
        <v>16030.392619911978</v>
      </c>
      <c r="F451" s="72">
        <f t="shared" si="102"/>
        <v>280</v>
      </c>
      <c r="G451" s="180">
        <f t="shared" si="98"/>
        <v>159994.45423049302</v>
      </c>
      <c r="H451" s="186">
        <f>-'Retail &amp; Restaurant'!$E$103/12</f>
        <v>2245.2234390441222</v>
      </c>
      <c r="I451" s="149">
        <f>'Retail &amp; Restaurant'!$E$101/12*G450</f>
        <v>471.82290971614458</v>
      </c>
      <c r="J451" s="187">
        <f t="shared" si="99"/>
        <v>1773.4005293279777</v>
      </c>
      <c r="K451" s="72">
        <f t="shared" si="103"/>
        <v>280</v>
      </c>
      <c r="L451" s="180">
        <f t="shared" si="100"/>
        <v>1684641.098679943</v>
      </c>
      <c r="M451" s="181">
        <f t="shared" si="100"/>
        <v>24695.103713411776</v>
      </c>
      <c r="N451" s="180">
        <f t="shared" si="100"/>
        <v>6891.3105641718203</v>
      </c>
      <c r="O451" s="132">
        <f t="shared" si="100"/>
        <v>17803.793149239955</v>
      </c>
    </row>
    <row r="452" spans="1:15" x14ac:dyDescent="0.25">
      <c r="A452" s="72">
        <f t="shared" si="101"/>
        <v>281</v>
      </c>
      <c r="B452" s="183">
        <f t="shared" si="96"/>
        <v>1508549.4585269552</v>
      </c>
      <c r="C452" s="184">
        <f>-'Retail &amp; Restaurant'!$E$98/12</f>
        <v>22449.880274367653</v>
      </c>
      <c r="D452" s="183">
        <f>'Retail &amp; Restaurant'!$E$96/12*B451</f>
        <v>6352.6943518727085</v>
      </c>
      <c r="E452" s="185">
        <f t="shared" si="97"/>
        <v>16097.185922494944</v>
      </c>
      <c r="F452" s="72">
        <f t="shared" si="102"/>
        <v>281</v>
      </c>
      <c r="G452" s="180">
        <f t="shared" si="98"/>
        <v>158215.88128295451</v>
      </c>
      <c r="H452" s="186">
        <f>-'Retail &amp; Restaurant'!$E$103/12</f>
        <v>2245.2234390441222</v>
      </c>
      <c r="I452" s="149">
        <f>'Retail &amp; Restaurant'!$E$101/12*G451</f>
        <v>466.65049150560469</v>
      </c>
      <c r="J452" s="187">
        <f t="shared" si="99"/>
        <v>1778.5729475385174</v>
      </c>
      <c r="K452" s="72">
        <f t="shared" si="103"/>
        <v>281</v>
      </c>
      <c r="L452" s="180">
        <f t="shared" si="100"/>
        <v>1666765.3398099097</v>
      </c>
      <c r="M452" s="181">
        <f t="shared" si="100"/>
        <v>24695.103713411776</v>
      </c>
      <c r="N452" s="180">
        <f t="shared" si="100"/>
        <v>6819.3448433783133</v>
      </c>
      <c r="O452" s="132">
        <f t="shared" si="100"/>
        <v>17875.75887003346</v>
      </c>
    </row>
    <row r="453" spans="1:15" x14ac:dyDescent="0.25">
      <c r="A453" s="72">
        <f t="shared" si="101"/>
        <v>282</v>
      </c>
      <c r="B453" s="183">
        <f t="shared" si="96"/>
        <v>1492385.2009964499</v>
      </c>
      <c r="C453" s="184">
        <f>-'Retail &amp; Restaurant'!$E$98/12</f>
        <v>22449.880274367653</v>
      </c>
      <c r="D453" s="183">
        <f>'Retail &amp; Restaurant'!$E$96/12*B452</f>
        <v>6285.6227438623137</v>
      </c>
      <c r="E453" s="185">
        <f t="shared" si="97"/>
        <v>16164.25753050534</v>
      </c>
      <c r="F453" s="72">
        <f t="shared" si="102"/>
        <v>282</v>
      </c>
      <c r="G453" s="180">
        <f t="shared" si="98"/>
        <v>156432.12083098566</v>
      </c>
      <c r="H453" s="186">
        <f>-'Retail &amp; Restaurant'!$E$103/12</f>
        <v>2245.2234390441222</v>
      </c>
      <c r="I453" s="149">
        <f>'Retail &amp; Restaurant'!$E$101/12*G452</f>
        <v>461.46298707528399</v>
      </c>
      <c r="J453" s="187">
        <f t="shared" si="99"/>
        <v>1783.7604519688382</v>
      </c>
      <c r="K453" s="72">
        <f t="shared" si="103"/>
        <v>282</v>
      </c>
      <c r="L453" s="180">
        <f t="shared" si="100"/>
        <v>1648817.3218274356</v>
      </c>
      <c r="M453" s="181">
        <f t="shared" si="100"/>
        <v>24695.103713411776</v>
      </c>
      <c r="N453" s="180">
        <f t="shared" si="100"/>
        <v>6747.0857309375979</v>
      </c>
      <c r="O453" s="132">
        <f t="shared" si="100"/>
        <v>17948.017982474179</v>
      </c>
    </row>
    <row r="454" spans="1:15" x14ac:dyDescent="0.25">
      <c r="A454" s="72">
        <f t="shared" si="101"/>
        <v>283</v>
      </c>
      <c r="B454" s="183">
        <f t="shared" si="96"/>
        <v>1476153.5923929007</v>
      </c>
      <c r="C454" s="184">
        <f>-'Retail &amp; Restaurant'!$E$98/12</f>
        <v>22449.880274367653</v>
      </c>
      <c r="D454" s="183">
        <f>'Retail &amp; Restaurant'!$E$96/12*B453</f>
        <v>6218.2716708185417</v>
      </c>
      <c r="E454" s="185">
        <f t="shared" si="97"/>
        <v>16231.608603549112</v>
      </c>
      <c r="F454" s="72">
        <f t="shared" si="102"/>
        <v>283</v>
      </c>
      <c r="G454" s="180">
        <f t="shared" si="98"/>
        <v>154643.15774436525</v>
      </c>
      <c r="H454" s="186">
        <f>-'Retail &amp; Restaurant'!$E$103/12</f>
        <v>2245.2234390441222</v>
      </c>
      <c r="I454" s="149">
        <f>'Retail &amp; Restaurant'!$E$101/12*G453</f>
        <v>456.26035242370818</v>
      </c>
      <c r="J454" s="187">
        <f t="shared" si="99"/>
        <v>1788.9630866204141</v>
      </c>
      <c r="K454" s="72">
        <f t="shared" si="103"/>
        <v>283</v>
      </c>
      <c r="L454" s="180">
        <f t="shared" si="100"/>
        <v>1630796.750137266</v>
      </c>
      <c r="M454" s="181">
        <f t="shared" si="100"/>
        <v>24695.103713411776</v>
      </c>
      <c r="N454" s="180">
        <f t="shared" si="100"/>
        <v>6674.53202324225</v>
      </c>
      <c r="O454" s="132">
        <f t="shared" si="100"/>
        <v>18020.571690169527</v>
      </c>
    </row>
    <row r="455" spans="1:15" x14ac:dyDescent="0.25">
      <c r="A455" s="72">
        <f t="shared" si="101"/>
        <v>284</v>
      </c>
      <c r="B455" s="183">
        <f t="shared" si="96"/>
        <v>1459854.3520868369</v>
      </c>
      <c r="C455" s="184">
        <f>-'Retail &amp; Restaurant'!$E$98/12</f>
        <v>22449.880274367653</v>
      </c>
      <c r="D455" s="183">
        <f>'Retail &amp; Restaurant'!$E$96/12*B454</f>
        <v>6150.6399683037525</v>
      </c>
      <c r="E455" s="185">
        <f t="shared" si="97"/>
        <v>16299.240306063901</v>
      </c>
      <c r="F455" s="72">
        <f t="shared" si="102"/>
        <v>284</v>
      </c>
      <c r="G455" s="180">
        <f t="shared" si="98"/>
        <v>152848.9768487422</v>
      </c>
      <c r="H455" s="186">
        <f>-'Retail &amp; Restaurant'!$E$103/12</f>
        <v>2245.2234390441222</v>
      </c>
      <c r="I455" s="149">
        <f>'Retail &amp; Restaurant'!$E$101/12*G454</f>
        <v>451.04254342106532</v>
      </c>
      <c r="J455" s="187">
        <f t="shared" si="99"/>
        <v>1794.1808956230568</v>
      </c>
      <c r="K455" s="72">
        <f t="shared" si="103"/>
        <v>284</v>
      </c>
      <c r="L455" s="180">
        <f t="shared" si="100"/>
        <v>1612703.3289355792</v>
      </c>
      <c r="M455" s="181">
        <f t="shared" si="100"/>
        <v>24695.103713411776</v>
      </c>
      <c r="N455" s="180">
        <f t="shared" si="100"/>
        <v>6601.6825117248181</v>
      </c>
      <c r="O455" s="132">
        <f t="shared" si="100"/>
        <v>18093.421201686957</v>
      </c>
    </row>
    <row r="456" spans="1:15" x14ac:dyDescent="0.25">
      <c r="A456" s="72">
        <f t="shared" si="101"/>
        <v>285</v>
      </c>
      <c r="B456" s="183">
        <f t="shared" si="96"/>
        <v>1443487.1982794977</v>
      </c>
      <c r="C456" s="184">
        <f>-'Retail &amp; Restaurant'!$E$98/12</f>
        <v>22449.880274367653</v>
      </c>
      <c r="D456" s="183">
        <f>'Retail &amp; Restaurant'!$E$96/12*B455</f>
        <v>6082.7264670284876</v>
      </c>
      <c r="E456" s="185">
        <f t="shared" si="97"/>
        <v>16367.153807339166</v>
      </c>
      <c r="F456" s="72">
        <f t="shared" si="102"/>
        <v>285</v>
      </c>
      <c r="G456" s="180">
        <f t="shared" si="98"/>
        <v>151049.56292550691</v>
      </c>
      <c r="H456" s="186">
        <f>-'Retail &amp; Restaurant'!$E$103/12</f>
        <v>2245.2234390441222</v>
      </c>
      <c r="I456" s="149">
        <f>'Retail &amp; Restaurant'!$E$101/12*G455</f>
        <v>445.80951580883141</v>
      </c>
      <c r="J456" s="187">
        <f t="shared" si="99"/>
        <v>1799.4139232352909</v>
      </c>
      <c r="K456" s="72">
        <f t="shared" si="103"/>
        <v>285</v>
      </c>
      <c r="L456" s="180">
        <f t="shared" si="100"/>
        <v>1594536.7612050045</v>
      </c>
      <c r="M456" s="181">
        <f t="shared" si="100"/>
        <v>24695.103713411776</v>
      </c>
      <c r="N456" s="180">
        <f t="shared" si="100"/>
        <v>6528.5359828373194</v>
      </c>
      <c r="O456" s="132">
        <f t="shared" si="100"/>
        <v>18166.567730574458</v>
      </c>
    </row>
    <row r="457" spans="1:15" x14ac:dyDescent="0.25">
      <c r="A457" s="72">
        <f t="shared" si="101"/>
        <v>286</v>
      </c>
      <c r="B457" s="183">
        <f t="shared" si="96"/>
        <v>1427051.8479979613</v>
      </c>
      <c r="C457" s="184">
        <f>-'Retail &amp; Restaurant'!$E$98/12</f>
        <v>22449.880274367653</v>
      </c>
      <c r="D457" s="183">
        <f>'Retail &amp; Restaurant'!$E$96/12*B456</f>
        <v>6014.5299928312406</v>
      </c>
      <c r="E457" s="185">
        <f t="shared" si="97"/>
        <v>16435.350281536412</v>
      </c>
      <c r="F457" s="72">
        <f t="shared" si="102"/>
        <v>286</v>
      </c>
      <c r="G457" s="180">
        <f t="shared" si="98"/>
        <v>149244.90071166219</v>
      </c>
      <c r="H457" s="186">
        <f>-'Retail &amp; Restaurant'!$E$103/12</f>
        <v>2245.2234390441222</v>
      </c>
      <c r="I457" s="149">
        <f>'Retail &amp; Restaurant'!$E$101/12*G456</f>
        <v>440.56122519939515</v>
      </c>
      <c r="J457" s="187">
        <f t="shared" si="99"/>
        <v>1804.6622138447269</v>
      </c>
      <c r="K457" s="72">
        <f t="shared" si="103"/>
        <v>286</v>
      </c>
      <c r="L457" s="180">
        <f t="shared" si="100"/>
        <v>1576296.7487096235</v>
      </c>
      <c r="M457" s="181">
        <f t="shared" si="100"/>
        <v>24695.103713411776</v>
      </c>
      <c r="N457" s="180">
        <f t="shared" si="100"/>
        <v>6455.0912180306359</v>
      </c>
      <c r="O457" s="132">
        <f t="shared" si="100"/>
        <v>18240.012495381139</v>
      </c>
    </row>
    <row r="458" spans="1:15" x14ac:dyDescent="0.25">
      <c r="A458" s="72">
        <f t="shared" si="101"/>
        <v>287</v>
      </c>
      <c r="B458" s="183">
        <f t="shared" si="96"/>
        <v>1410548.0170902519</v>
      </c>
      <c r="C458" s="184">
        <f>-'Retail &amp; Restaurant'!$E$98/12</f>
        <v>22449.880274367653</v>
      </c>
      <c r="D458" s="183">
        <f>'Retail &amp; Restaurant'!$E$96/12*B457</f>
        <v>5946.0493666581724</v>
      </c>
      <c r="E458" s="185">
        <f t="shared" si="97"/>
        <v>16503.830907709482</v>
      </c>
      <c r="F458" s="72">
        <f t="shared" si="102"/>
        <v>287</v>
      </c>
      <c r="G458" s="180">
        <f t="shared" si="98"/>
        <v>147434.97489969374</v>
      </c>
      <c r="H458" s="186">
        <f>-'Retail &amp; Restaurant'!$E$103/12</f>
        <v>2245.2234390441222</v>
      </c>
      <c r="I458" s="149">
        <f>'Retail &amp; Restaurant'!$E$101/12*G457</f>
        <v>435.29762707568142</v>
      </c>
      <c r="J458" s="187">
        <f t="shared" si="99"/>
        <v>1809.9258119684407</v>
      </c>
      <c r="K458" s="72">
        <f t="shared" si="103"/>
        <v>287</v>
      </c>
      <c r="L458" s="180">
        <f t="shared" si="100"/>
        <v>1557982.9919899455</v>
      </c>
      <c r="M458" s="181">
        <f t="shared" si="100"/>
        <v>24695.103713411776</v>
      </c>
      <c r="N458" s="180">
        <f t="shared" si="100"/>
        <v>6381.3469937338541</v>
      </c>
      <c r="O458" s="132">
        <f t="shared" si="100"/>
        <v>18313.756719677924</v>
      </c>
    </row>
    <row r="459" spans="1:15" x14ac:dyDescent="0.25">
      <c r="A459" s="72">
        <f t="shared" si="101"/>
        <v>288</v>
      </c>
      <c r="B459" s="183">
        <f t="shared" si="96"/>
        <v>1393975.420220427</v>
      </c>
      <c r="C459" s="184">
        <f>-'Retail &amp; Restaurant'!$E$98/12</f>
        <v>22449.880274367653</v>
      </c>
      <c r="D459" s="183">
        <f>'Retail &amp; Restaurant'!$E$96/12*B458</f>
        <v>5877.2834045427162</v>
      </c>
      <c r="E459" s="185">
        <f t="shared" si="97"/>
        <v>16572.596869824938</v>
      </c>
      <c r="F459" s="72">
        <f t="shared" si="102"/>
        <v>288</v>
      </c>
      <c r="G459" s="180">
        <f t="shared" si="98"/>
        <v>145619.77013744038</v>
      </c>
      <c r="H459" s="186">
        <f>-'Retail &amp; Restaurant'!$E$103/12</f>
        <v>2245.2234390441222</v>
      </c>
      <c r="I459" s="149">
        <f>'Retail &amp; Restaurant'!$E$101/12*G458</f>
        <v>430.01867679077344</v>
      </c>
      <c r="J459" s="187">
        <f t="shared" si="99"/>
        <v>1815.2047622533487</v>
      </c>
      <c r="K459" s="72">
        <f t="shared" si="103"/>
        <v>288</v>
      </c>
      <c r="L459" s="180">
        <f t="shared" si="100"/>
        <v>1539595.1903578674</v>
      </c>
      <c r="M459" s="181">
        <f t="shared" si="100"/>
        <v>24695.103713411776</v>
      </c>
      <c r="N459" s="180">
        <f t="shared" si="100"/>
        <v>6307.3020813334897</v>
      </c>
      <c r="O459" s="132">
        <f t="shared" si="100"/>
        <v>18387.801632078288</v>
      </c>
    </row>
    <row r="460" spans="1:15" x14ac:dyDescent="0.25">
      <c r="A460" s="72">
        <f t="shared" si="101"/>
        <v>289</v>
      </c>
      <c r="B460" s="183">
        <f t="shared" si="96"/>
        <v>1377333.7708636445</v>
      </c>
      <c r="C460" s="184">
        <f>-'Retail &amp; Restaurant'!$E$98/12</f>
        <v>22449.880274367653</v>
      </c>
      <c r="D460" s="183">
        <f>'Retail &amp; Restaurant'!$E$96/12*B459</f>
        <v>5808.2309175851124</v>
      </c>
      <c r="E460" s="185">
        <f t="shared" si="97"/>
        <v>16641.649356782542</v>
      </c>
      <c r="F460" s="72">
        <f t="shared" si="102"/>
        <v>289</v>
      </c>
      <c r="G460" s="180">
        <f t="shared" si="98"/>
        <v>143799.27102796378</v>
      </c>
      <c r="H460" s="186">
        <f>-'Retail &amp; Restaurant'!$E$103/12</f>
        <v>2245.2234390441222</v>
      </c>
      <c r="I460" s="149">
        <f>'Retail &amp; Restaurant'!$E$101/12*G459</f>
        <v>424.72432956753448</v>
      </c>
      <c r="J460" s="187">
        <f t="shared" si="99"/>
        <v>1820.4991094765878</v>
      </c>
      <c r="K460" s="72">
        <f t="shared" si="103"/>
        <v>289</v>
      </c>
      <c r="L460" s="180">
        <f t="shared" si="100"/>
        <v>1521133.0418916084</v>
      </c>
      <c r="M460" s="181">
        <f t="shared" si="100"/>
        <v>24695.103713411776</v>
      </c>
      <c r="N460" s="180">
        <f t="shared" si="100"/>
        <v>6232.9552471526467</v>
      </c>
      <c r="O460" s="132">
        <f t="shared" si="100"/>
        <v>18462.148466259128</v>
      </c>
    </row>
    <row r="461" spans="1:15" x14ac:dyDescent="0.25">
      <c r="A461" s="72">
        <f t="shared" si="101"/>
        <v>290</v>
      </c>
      <c r="B461" s="183">
        <f t="shared" si="96"/>
        <v>1360622.7813012088</v>
      </c>
      <c r="C461" s="184">
        <f>-'Retail &amp; Restaurant'!$E$98/12</f>
        <v>22449.880274367653</v>
      </c>
      <c r="D461" s="183">
        <f>'Retail &amp; Restaurant'!$E$96/12*B460</f>
        <v>5738.8907119318519</v>
      </c>
      <c r="E461" s="185">
        <f t="shared" si="97"/>
        <v>16710.989562435803</v>
      </c>
      <c r="F461" s="72">
        <f t="shared" si="102"/>
        <v>290</v>
      </c>
      <c r="G461" s="180">
        <f t="shared" si="98"/>
        <v>141973.46212941789</v>
      </c>
      <c r="H461" s="186">
        <f>-'Retail &amp; Restaurant'!$E$103/12</f>
        <v>2245.2234390441222</v>
      </c>
      <c r="I461" s="149">
        <f>'Retail &amp; Restaurant'!$E$101/12*G460</f>
        <v>419.41454049822772</v>
      </c>
      <c r="J461" s="187">
        <f t="shared" si="99"/>
        <v>1825.8088985458944</v>
      </c>
      <c r="K461" s="72">
        <f t="shared" si="103"/>
        <v>290</v>
      </c>
      <c r="L461" s="180">
        <f t="shared" si="100"/>
        <v>1502596.2434306266</v>
      </c>
      <c r="M461" s="181">
        <f t="shared" si="100"/>
        <v>24695.103713411776</v>
      </c>
      <c r="N461" s="180">
        <f t="shared" si="100"/>
        <v>6158.3052524300792</v>
      </c>
      <c r="O461" s="132">
        <f t="shared" si="100"/>
        <v>18536.798460981699</v>
      </c>
    </row>
    <row r="462" spans="1:15" x14ac:dyDescent="0.25">
      <c r="A462" s="72">
        <f t="shared" si="101"/>
        <v>291</v>
      </c>
      <c r="B462" s="183">
        <f t="shared" si="96"/>
        <v>1343842.1626155961</v>
      </c>
      <c r="C462" s="184">
        <f>-'Retail &amp; Restaurant'!$E$98/12</f>
        <v>22449.880274367653</v>
      </c>
      <c r="D462" s="183">
        <f>'Retail &amp; Restaurant'!$E$96/12*B461</f>
        <v>5669.2615887550364</v>
      </c>
      <c r="E462" s="185">
        <f t="shared" si="97"/>
        <v>16780.618685612615</v>
      </c>
      <c r="F462" s="72">
        <f t="shared" si="102"/>
        <v>291</v>
      </c>
      <c r="G462" s="180">
        <f t="shared" si="98"/>
        <v>140142.32795491791</v>
      </c>
      <c r="H462" s="186">
        <f>-'Retail &amp; Restaurant'!$E$103/12</f>
        <v>2245.2234390441222</v>
      </c>
      <c r="I462" s="149">
        <f>'Retail &amp; Restaurant'!$E$101/12*G461</f>
        <v>414.08926454413552</v>
      </c>
      <c r="J462" s="187">
        <f t="shared" si="99"/>
        <v>1831.1341744999868</v>
      </c>
      <c r="K462" s="72">
        <f t="shared" si="103"/>
        <v>291</v>
      </c>
      <c r="L462" s="180">
        <f t="shared" si="100"/>
        <v>1483984.490570514</v>
      </c>
      <c r="M462" s="181">
        <f t="shared" si="100"/>
        <v>24695.103713411776</v>
      </c>
      <c r="N462" s="180">
        <f t="shared" si="100"/>
        <v>6083.3508532991718</v>
      </c>
      <c r="O462" s="132">
        <f t="shared" si="100"/>
        <v>18611.752860112603</v>
      </c>
    </row>
    <row r="463" spans="1:15" x14ac:dyDescent="0.25">
      <c r="A463" s="72">
        <f t="shared" si="101"/>
        <v>292</v>
      </c>
      <c r="B463" s="183">
        <f t="shared" si="96"/>
        <v>1326991.62468546</v>
      </c>
      <c r="C463" s="184">
        <f>-'Retail &amp; Restaurant'!$E$98/12</f>
        <v>22449.880274367653</v>
      </c>
      <c r="D463" s="183">
        <f>'Retail &amp; Restaurant'!$E$96/12*B462</f>
        <v>5599.3423442316507</v>
      </c>
      <c r="E463" s="185">
        <f t="shared" si="97"/>
        <v>16850.537930136001</v>
      </c>
      <c r="F463" s="72">
        <f t="shared" si="102"/>
        <v>292</v>
      </c>
      <c r="G463" s="180">
        <f t="shared" si="98"/>
        <v>138305.85297240896</v>
      </c>
      <c r="H463" s="186">
        <f>-'Retail &amp; Restaurant'!$E$103/12</f>
        <v>2245.2234390441222</v>
      </c>
      <c r="I463" s="149">
        <f>'Retail &amp; Restaurant'!$E$101/12*G462</f>
        <v>408.74845653517724</v>
      </c>
      <c r="J463" s="187">
        <f t="shared" si="99"/>
        <v>1836.474982508945</v>
      </c>
      <c r="K463" s="72">
        <f t="shared" si="103"/>
        <v>292</v>
      </c>
      <c r="L463" s="180">
        <f t="shared" si="100"/>
        <v>1465297.477657869</v>
      </c>
      <c r="M463" s="181">
        <f t="shared" si="100"/>
        <v>24695.103713411776</v>
      </c>
      <c r="N463" s="180">
        <f t="shared" si="100"/>
        <v>6008.0908007668277</v>
      </c>
      <c r="O463" s="132">
        <f t="shared" si="100"/>
        <v>18687.012912644946</v>
      </c>
    </row>
    <row r="464" spans="1:15" x14ac:dyDescent="0.25">
      <c r="A464" s="72">
        <f t="shared" si="101"/>
        <v>293</v>
      </c>
      <c r="B464" s="183">
        <f t="shared" si="96"/>
        <v>1310070.876180615</v>
      </c>
      <c r="C464" s="184">
        <f>-'Retail &amp; Restaurant'!$E$98/12</f>
        <v>22449.880274367653</v>
      </c>
      <c r="D464" s="183">
        <f>'Retail &amp; Restaurant'!$E$96/12*B463</f>
        <v>5529.1317695227499</v>
      </c>
      <c r="E464" s="185">
        <f t="shared" si="97"/>
        <v>16920.748504844902</v>
      </c>
      <c r="F464" s="72">
        <f t="shared" si="102"/>
        <v>293</v>
      </c>
      <c r="G464" s="180">
        <f t="shared" si="98"/>
        <v>136464.02160453435</v>
      </c>
      <c r="H464" s="186">
        <f>-'Retail &amp; Restaurant'!$E$103/12</f>
        <v>2245.2234390441222</v>
      </c>
      <c r="I464" s="149">
        <f>'Retail &amp; Restaurant'!$E$101/12*G463</f>
        <v>403.39207116952616</v>
      </c>
      <c r="J464" s="187">
        <f t="shared" si="99"/>
        <v>1841.831367874596</v>
      </c>
      <c r="K464" s="72">
        <f t="shared" si="103"/>
        <v>293</v>
      </c>
      <c r="L464" s="180">
        <f t="shared" si="100"/>
        <v>1446534.8977851495</v>
      </c>
      <c r="M464" s="181">
        <f t="shared" si="100"/>
        <v>24695.103713411776</v>
      </c>
      <c r="N464" s="180">
        <f t="shared" si="100"/>
        <v>5932.5238406922763</v>
      </c>
      <c r="O464" s="132">
        <f t="shared" si="100"/>
        <v>18762.579872719496</v>
      </c>
    </row>
    <row r="465" spans="1:15" x14ac:dyDescent="0.25">
      <c r="A465" s="72">
        <f t="shared" si="101"/>
        <v>294</v>
      </c>
      <c r="B465" s="183">
        <f t="shared" si="96"/>
        <v>1293079.6245569999</v>
      </c>
      <c r="C465" s="184">
        <f>-'Retail &amp; Restaurant'!$E$98/12</f>
        <v>22449.880274367653</v>
      </c>
      <c r="D465" s="183">
        <f>'Retail &amp; Restaurant'!$E$96/12*B464</f>
        <v>5458.6286507525629</v>
      </c>
      <c r="E465" s="185">
        <f t="shared" si="97"/>
        <v>16991.251623615091</v>
      </c>
      <c r="F465" s="72">
        <f t="shared" si="102"/>
        <v>294</v>
      </c>
      <c r="G465" s="180">
        <f t="shared" si="98"/>
        <v>134616.81822850346</v>
      </c>
      <c r="H465" s="186">
        <f>-'Retail &amp; Restaurant'!$E$103/12</f>
        <v>2245.2234390441222</v>
      </c>
      <c r="I465" s="149">
        <f>'Retail &amp; Restaurant'!$E$101/12*G464</f>
        <v>398.02006301322524</v>
      </c>
      <c r="J465" s="187">
        <f t="shared" si="99"/>
        <v>1847.2033760308968</v>
      </c>
      <c r="K465" s="72">
        <f t="shared" si="103"/>
        <v>294</v>
      </c>
      <c r="L465" s="180">
        <f t="shared" si="100"/>
        <v>1427696.4427855033</v>
      </c>
      <c r="M465" s="181">
        <f t="shared" si="100"/>
        <v>24695.103713411776</v>
      </c>
      <c r="N465" s="180">
        <f t="shared" si="100"/>
        <v>5856.6487137657878</v>
      </c>
      <c r="O465" s="132">
        <f t="shared" si="100"/>
        <v>18838.45499964599</v>
      </c>
    </row>
    <row r="466" spans="1:15" x14ac:dyDescent="0.25">
      <c r="A466" s="72">
        <f t="shared" si="101"/>
        <v>295</v>
      </c>
      <c r="B466" s="183">
        <f t="shared" si="96"/>
        <v>1276017.5760516198</v>
      </c>
      <c r="C466" s="184">
        <f>-'Retail &amp; Restaurant'!$E$98/12</f>
        <v>22449.880274367653</v>
      </c>
      <c r="D466" s="183">
        <f>'Retail &amp; Restaurant'!$E$96/12*B465</f>
        <v>5387.8317689874993</v>
      </c>
      <c r="E466" s="185">
        <f t="shared" si="97"/>
        <v>17062.048505380153</v>
      </c>
      <c r="F466" s="72">
        <f t="shared" si="102"/>
        <v>295</v>
      </c>
      <c r="G466" s="180">
        <f t="shared" si="98"/>
        <v>132764.22717595912</v>
      </c>
      <c r="H466" s="186">
        <f>-'Retail &amp; Restaurant'!$E$103/12</f>
        <v>2245.2234390441222</v>
      </c>
      <c r="I466" s="149">
        <f>'Retail &amp; Restaurant'!$E$101/12*G465</f>
        <v>392.63238649980178</v>
      </c>
      <c r="J466" s="187">
        <f t="shared" si="99"/>
        <v>1852.5910525443205</v>
      </c>
      <c r="K466" s="72">
        <f t="shared" si="103"/>
        <v>295</v>
      </c>
      <c r="L466" s="180">
        <f t="shared" si="100"/>
        <v>1408781.803227579</v>
      </c>
      <c r="M466" s="181">
        <f t="shared" si="100"/>
        <v>24695.103713411776</v>
      </c>
      <c r="N466" s="180">
        <f t="shared" si="100"/>
        <v>5780.4641554873015</v>
      </c>
      <c r="O466" s="132">
        <f t="shared" si="100"/>
        <v>18914.639557924475</v>
      </c>
    </row>
    <row r="467" spans="1:15" x14ac:dyDescent="0.25">
      <c r="A467" s="72">
        <f t="shared" si="101"/>
        <v>296</v>
      </c>
      <c r="B467" s="183">
        <f t="shared" si="96"/>
        <v>1258884.4356774674</v>
      </c>
      <c r="C467" s="184">
        <f>-'Retail &amp; Restaurant'!$E$98/12</f>
        <v>22449.880274367653</v>
      </c>
      <c r="D467" s="183">
        <f>'Retail &amp; Restaurant'!$E$96/12*B466</f>
        <v>5316.7399002150823</v>
      </c>
      <c r="E467" s="185">
        <f t="shared" si="97"/>
        <v>17133.140374152572</v>
      </c>
      <c r="F467" s="72">
        <f t="shared" si="102"/>
        <v>296</v>
      </c>
      <c r="G467" s="180">
        <f t="shared" si="98"/>
        <v>130906.23273284489</v>
      </c>
      <c r="H467" s="186">
        <f>-'Retail &amp; Restaurant'!$E$103/12</f>
        <v>2245.2234390441222</v>
      </c>
      <c r="I467" s="149">
        <f>'Retail &amp; Restaurant'!$E$101/12*G466</f>
        <v>387.2289959298808</v>
      </c>
      <c r="J467" s="187">
        <f t="shared" si="99"/>
        <v>1857.9944431142414</v>
      </c>
      <c r="K467" s="72">
        <f t="shared" si="103"/>
        <v>296</v>
      </c>
      <c r="L467" s="180">
        <f t="shared" si="100"/>
        <v>1389790.6684103124</v>
      </c>
      <c r="M467" s="181">
        <f t="shared" si="100"/>
        <v>24695.103713411776</v>
      </c>
      <c r="N467" s="180">
        <f t="shared" si="100"/>
        <v>5703.9688961449629</v>
      </c>
      <c r="O467" s="132">
        <f t="shared" si="100"/>
        <v>18991.134817266815</v>
      </c>
    </row>
    <row r="468" spans="1:15" x14ac:dyDescent="0.25">
      <c r="A468" s="72">
        <f t="shared" si="101"/>
        <v>297</v>
      </c>
      <c r="B468" s="183">
        <f t="shared" si="96"/>
        <v>1241679.9072184225</v>
      </c>
      <c r="C468" s="184">
        <f>-'Retail &amp; Restaurant'!$E$98/12</f>
        <v>22449.880274367653</v>
      </c>
      <c r="D468" s="183">
        <f>'Retail &amp; Restaurant'!$E$96/12*B467</f>
        <v>5245.3518153227806</v>
      </c>
      <c r="E468" s="185">
        <f t="shared" si="97"/>
        <v>17204.528459044872</v>
      </c>
      <c r="F468" s="72">
        <f t="shared" si="102"/>
        <v>297</v>
      </c>
      <c r="G468" s="180">
        <f t="shared" si="98"/>
        <v>129042.81913927157</v>
      </c>
      <c r="H468" s="186">
        <f>-'Retail &amp; Restaurant'!$E$103/12</f>
        <v>2245.2234390441222</v>
      </c>
      <c r="I468" s="149">
        <f>'Retail &amp; Restaurant'!$E$101/12*G467</f>
        <v>381.8098454707976</v>
      </c>
      <c r="J468" s="187">
        <f t="shared" si="99"/>
        <v>1863.4135935733245</v>
      </c>
      <c r="K468" s="72">
        <f t="shared" si="103"/>
        <v>297</v>
      </c>
      <c r="L468" s="180">
        <f t="shared" si="100"/>
        <v>1370722.726357694</v>
      </c>
      <c r="M468" s="181">
        <f t="shared" si="100"/>
        <v>24695.103713411776</v>
      </c>
      <c r="N468" s="180">
        <f t="shared" si="100"/>
        <v>5627.1616607935784</v>
      </c>
      <c r="O468" s="132">
        <f t="shared" si="100"/>
        <v>19067.942052618197</v>
      </c>
    </row>
    <row r="469" spans="1:15" x14ac:dyDescent="0.25">
      <c r="A469" s="72">
        <f t="shared" si="101"/>
        <v>298</v>
      </c>
      <c r="B469" s="183">
        <f t="shared" si="96"/>
        <v>1224403.6932241316</v>
      </c>
      <c r="C469" s="184">
        <f>-'Retail &amp; Restaurant'!$E$98/12</f>
        <v>22449.880274367653</v>
      </c>
      <c r="D469" s="183">
        <f>'Retail &amp; Restaurant'!$E$96/12*B468</f>
        <v>5173.6662800767608</v>
      </c>
      <c r="E469" s="185">
        <f t="shared" si="97"/>
        <v>17276.213994290891</v>
      </c>
      <c r="F469" s="72">
        <f t="shared" si="102"/>
        <v>298</v>
      </c>
      <c r="G469" s="180">
        <f t="shared" si="98"/>
        <v>127173.97058938365</v>
      </c>
      <c r="H469" s="186">
        <f>-'Retail &amp; Restaurant'!$E$103/12</f>
        <v>2245.2234390441222</v>
      </c>
      <c r="I469" s="149">
        <f>'Retail &amp; Restaurant'!$E$101/12*G468</f>
        <v>376.37488915620878</v>
      </c>
      <c r="J469" s="187">
        <f t="shared" si="99"/>
        <v>1868.8485498879134</v>
      </c>
      <c r="K469" s="72">
        <f t="shared" si="103"/>
        <v>298</v>
      </c>
      <c r="L469" s="180">
        <f t="shared" si="100"/>
        <v>1351577.6638135153</v>
      </c>
      <c r="M469" s="181">
        <f t="shared" si="100"/>
        <v>24695.103713411776</v>
      </c>
      <c r="N469" s="180">
        <f t="shared" si="100"/>
        <v>5550.0411692329699</v>
      </c>
      <c r="O469" s="132">
        <f t="shared" si="100"/>
        <v>19145.062544178803</v>
      </c>
    </row>
    <row r="470" spans="1:15" x14ac:dyDescent="0.25">
      <c r="A470" s="72">
        <f t="shared" si="101"/>
        <v>299</v>
      </c>
      <c r="B470" s="183">
        <f t="shared" si="96"/>
        <v>1207055.4950048644</v>
      </c>
      <c r="C470" s="184">
        <f>-'Retail &amp; Restaurant'!$E$98/12</f>
        <v>22449.880274367653</v>
      </c>
      <c r="D470" s="183">
        <f>'Retail &amp; Restaurant'!$E$96/12*B469</f>
        <v>5101.6820551005485</v>
      </c>
      <c r="E470" s="185">
        <f t="shared" si="97"/>
        <v>17348.198219267106</v>
      </c>
      <c r="F470" s="72">
        <f t="shared" si="102"/>
        <v>299</v>
      </c>
      <c r="G470" s="180">
        <f t="shared" si="98"/>
        <v>125299.67123122523</v>
      </c>
      <c r="H470" s="186">
        <f>-'Retail &amp; Restaurant'!$E$103/12</f>
        <v>2245.2234390441222</v>
      </c>
      <c r="I470" s="149">
        <f>'Retail &amp; Restaurant'!$E$101/12*G469</f>
        <v>370.92408088570232</v>
      </c>
      <c r="J470" s="187">
        <f t="shared" si="99"/>
        <v>1874.2993581584199</v>
      </c>
      <c r="K470" s="72">
        <f t="shared" si="103"/>
        <v>299</v>
      </c>
      <c r="L470" s="180">
        <f t="shared" si="100"/>
        <v>1332355.1662360895</v>
      </c>
      <c r="M470" s="181">
        <f t="shared" si="100"/>
        <v>24695.103713411776</v>
      </c>
      <c r="N470" s="180">
        <f t="shared" si="100"/>
        <v>5472.6061359862506</v>
      </c>
      <c r="O470" s="132">
        <f t="shared" si="100"/>
        <v>19222.497577425525</v>
      </c>
    </row>
    <row r="471" spans="1:15" x14ac:dyDescent="0.25">
      <c r="A471" s="72">
        <f t="shared" si="101"/>
        <v>300</v>
      </c>
      <c r="B471" s="183">
        <f t="shared" si="96"/>
        <v>1189635.0126263504</v>
      </c>
      <c r="C471" s="184">
        <f>-'Retail &amp; Restaurant'!$E$98/12</f>
        <v>22449.880274367653</v>
      </c>
      <c r="D471" s="183">
        <f>'Retail &amp; Restaurant'!$E$96/12*B470</f>
        <v>5029.3978958536018</v>
      </c>
      <c r="E471" s="185">
        <f t="shared" si="97"/>
        <v>17420.482378514051</v>
      </c>
      <c r="F471" s="72">
        <f t="shared" si="102"/>
        <v>300</v>
      </c>
      <c r="G471" s="180">
        <f t="shared" si="98"/>
        <v>123419.90516660552</v>
      </c>
      <c r="H471" s="186">
        <f>-'Retail &amp; Restaurant'!$E$103/12</f>
        <v>2245.2234390441222</v>
      </c>
      <c r="I471" s="149">
        <f>'Retail &amp; Restaurant'!$E$101/12*G470</f>
        <v>365.45737442440696</v>
      </c>
      <c r="J471" s="187">
        <f t="shared" si="99"/>
        <v>1879.7660646197153</v>
      </c>
      <c r="K471" s="72">
        <f t="shared" si="103"/>
        <v>300</v>
      </c>
      <c r="L471" s="180">
        <f t="shared" si="100"/>
        <v>1313054.9177929559</v>
      </c>
      <c r="M471" s="181">
        <f t="shared" si="100"/>
        <v>24695.103713411776</v>
      </c>
      <c r="N471" s="180">
        <f t="shared" si="100"/>
        <v>5394.8552702780089</v>
      </c>
      <c r="O471" s="132">
        <f t="shared" si="100"/>
        <v>19300.248443133765</v>
      </c>
    </row>
    <row r="472" spans="1:15" x14ac:dyDescent="0.25">
      <c r="A472" s="72">
        <f t="shared" si="101"/>
        <v>301</v>
      </c>
      <c r="B472" s="183">
        <f t="shared" si="96"/>
        <v>1172141.9449045926</v>
      </c>
      <c r="C472" s="184">
        <f>-'Retail &amp; Restaurant'!$E$98/12</f>
        <v>22449.880274367653</v>
      </c>
      <c r="D472" s="183">
        <f>'Retail &amp; Restaurant'!$E$96/12*B471</f>
        <v>4956.8125526097929</v>
      </c>
      <c r="E472" s="185">
        <f t="shared" si="97"/>
        <v>17493.06772175786</v>
      </c>
      <c r="F472" s="72">
        <f t="shared" si="102"/>
        <v>301</v>
      </c>
      <c r="G472" s="180">
        <f t="shared" si="98"/>
        <v>121534.65645096399</v>
      </c>
      <c r="H472" s="186">
        <f>-'Retail &amp; Restaurant'!$E$103/12</f>
        <v>2245.2234390441222</v>
      </c>
      <c r="I472" s="149">
        <f>'Retail &amp; Restaurant'!$E$101/12*G471</f>
        <v>359.97472340259947</v>
      </c>
      <c r="J472" s="187">
        <f t="shared" si="99"/>
        <v>1885.2487156415227</v>
      </c>
      <c r="K472" s="72">
        <f t="shared" si="103"/>
        <v>301</v>
      </c>
      <c r="L472" s="180">
        <f t="shared" si="100"/>
        <v>1293676.6013555566</v>
      </c>
      <c r="M472" s="181">
        <f t="shared" si="100"/>
        <v>24695.103713411776</v>
      </c>
      <c r="N472" s="180">
        <f t="shared" si="100"/>
        <v>5316.7872760123919</v>
      </c>
      <c r="O472" s="132">
        <f t="shared" si="100"/>
        <v>19378.316437399382</v>
      </c>
    </row>
    <row r="473" spans="1:15" x14ac:dyDescent="0.25">
      <c r="A473" s="72">
        <f t="shared" si="101"/>
        <v>302</v>
      </c>
      <c r="B473" s="183">
        <f t="shared" si="96"/>
        <v>1154575.9894006606</v>
      </c>
      <c r="C473" s="184">
        <f>-'Retail &amp; Restaurant'!$E$98/12</f>
        <v>22449.880274367653</v>
      </c>
      <c r="D473" s="183">
        <f>'Retail &amp; Restaurant'!$E$96/12*B472</f>
        <v>4883.9247704358022</v>
      </c>
      <c r="E473" s="185">
        <f t="shared" si="97"/>
        <v>17565.955503931851</v>
      </c>
      <c r="F473" s="72">
        <f t="shared" si="102"/>
        <v>302</v>
      </c>
      <c r="G473" s="180">
        <f t="shared" si="98"/>
        <v>119643.90909323518</v>
      </c>
      <c r="H473" s="186">
        <f>-'Retail &amp; Restaurant'!$E$103/12</f>
        <v>2245.2234390441222</v>
      </c>
      <c r="I473" s="149">
        <f>'Retail &amp; Restaurant'!$E$101/12*G472</f>
        <v>354.47608131531166</v>
      </c>
      <c r="J473" s="187">
        <f t="shared" si="99"/>
        <v>1890.7473577288106</v>
      </c>
      <c r="K473" s="72">
        <f t="shared" si="103"/>
        <v>302</v>
      </c>
      <c r="L473" s="180">
        <f t="shared" si="100"/>
        <v>1274219.8984938958</v>
      </c>
      <c r="M473" s="181">
        <f t="shared" si="100"/>
        <v>24695.103713411776</v>
      </c>
      <c r="N473" s="180">
        <f t="shared" si="100"/>
        <v>5238.4008517511138</v>
      </c>
      <c r="O473" s="132">
        <f t="shared" si="100"/>
        <v>19456.702861660662</v>
      </c>
    </row>
    <row r="474" spans="1:15" x14ac:dyDescent="0.25">
      <c r="A474" s="72">
        <f t="shared" si="101"/>
        <v>303</v>
      </c>
      <c r="B474" s="183">
        <f t="shared" si="96"/>
        <v>1136936.8424154625</v>
      </c>
      <c r="C474" s="184">
        <f>-'Retail &amp; Restaurant'!$E$98/12</f>
        <v>22449.880274367653</v>
      </c>
      <c r="D474" s="183">
        <f>'Retail &amp; Restaurant'!$E$96/12*B473</f>
        <v>4810.7332891694195</v>
      </c>
      <c r="E474" s="185">
        <f t="shared" si="97"/>
        <v>17639.146985198233</v>
      </c>
      <c r="F474" s="72">
        <f t="shared" si="102"/>
        <v>303</v>
      </c>
      <c r="G474" s="180">
        <f t="shared" si="98"/>
        <v>117747.64705571299</v>
      </c>
      <c r="H474" s="186">
        <f>-'Retail &amp; Restaurant'!$E$103/12</f>
        <v>2245.2234390441222</v>
      </c>
      <c r="I474" s="149">
        <f>'Retail &amp; Restaurant'!$E$101/12*G473</f>
        <v>348.96140152193595</v>
      </c>
      <c r="J474" s="187">
        <f t="shared" si="99"/>
        <v>1896.2620375221863</v>
      </c>
      <c r="K474" s="72">
        <f t="shared" si="103"/>
        <v>303</v>
      </c>
      <c r="L474" s="180">
        <f t="shared" si="100"/>
        <v>1254684.4894711755</v>
      </c>
      <c r="M474" s="181">
        <f t="shared" si="100"/>
        <v>24695.103713411776</v>
      </c>
      <c r="N474" s="180">
        <f t="shared" si="100"/>
        <v>5159.6946906913554</v>
      </c>
      <c r="O474" s="132">
        <f t="shared" si="100"/>
        <v>19535.409022720418</v>
      </c>
    </row>
    <row r="475" spans="1:15" x14ac:dyDescent="0.25">
      <c r="A475" s="72">
        <f t="shared" si="101"/>
        <v>304</v>
      </c>
      <c r="B475" s="183">
        <f t="shared" si="96"/>
        <v>1119224.1989844926</v>
      </c>
      <c r="C475" s="184">
        <f>-'Retail &amp; Restaurant'!$E$98/12</f>
        <v>22449.880274367653</v>
      </c>
      <c r="D475" s="183">
        <f>'Retail &amp; Restaurant'!$E$96/12*B474</f>
        <v>4737.2368433977599</v>
      </c>
      <c r="E475" s="185">
        <f t="shared" si="97"/>
        <v>17712.643430969893</v>
      </c>
      <c r="F475" s="72">
        <f t="shared" si="102"/>
        <v>304</v>
      </c>
      <c r="G475" s="180">
        <f t="shared" si="98"/>
        <v>115845.8542539147</v>
      </c>
      <c r="H475" s="186">
        <f>-'Retail &amp; Restaurant'!$E$103/12</f>
        <v>2245.2234390441222</v>
      </c>
      <c r="I475" s="149">
        <f>'Retail &amp; Restaurant'!$E$101/12*G474</f>
        <v>343.43063724582959</v>
      </c>
      <c r="J475" s="187">
        <f t="shared" si="99"/>
        <v>1901.7928017982927</v>
      </c>
      <c r="K475" s="72">
        <f t="shared" si="103"/>
        <v>304</v>
      </c>
      <c r="L475" s="180">
        <f t="shared" si="100"/>
        <v>1235070.0532384072</v>
      </c>
      <c r="M475" s="181">
        <f t="shared" si="100"/>
        <v>24695.103713411776</v>
      </c>
      <c r="N475" s="180">
        <f t="shared" si="100"/>
        <v>5080.6674806435894</v>
      </c>
      <c r="O475" s="132">
        <f t="shared" si="100"/>
        <v>19614.436232768185</v>
      </c>
    </row>
    <row r="476" spans="1:15" x14ac:dyDescent="0.25">
      <c r="A476" s="72">
        <f t="shared" si="101"/>
        <v>305</v>
      </c>
      <c r="B476" s="183">
        <f t="shared" si="96"/>
        <v>1101437.7528725604</v>
      </c>
      <c r="C476" s="184">
        <f>-'Retail &amp; Restaurant'!$E$98/12</f>
        <v>22449.880274367653</v>
      </c>
      <c r="D476" s="183">
        <f>'Retail &amp; Restaurant'!$E$96/12*B475</f>
        <v>4663.4341624353856</v>
      </c>
      <c r="E476" s="185">
        <f t="shared" si="97"/>
        <v>17786.446111932266</v>
      </c>
      <c r="F476" s="72">
        <f t="shared" si="102"/>
        <v>305</v>
      </c>
      <c r="G476" s="180">
        <f t="shared" si="98"/>
        <v>113938.5145564445</v>
      </c>
      <c r="H476" s="186">
        <f>-'Retail &amp; Restaurant'!$E$103/12</f>
        <v>2245.2234390441222</v>
      </c>
      <c r="I476" s="149">
        <f>'Retail &amp; Restaurant'!$E$101/12*G475</f>
        <v>337.88374157391792</v>
      </c>
      <c r="J476" s="187">
        <f t="shared" si="99"/>
        <v>1907.3396974702043</v>
      </c>
      <c r="K476" s="72">
        <f t="shared" si="103"/>
        <v>305</v>
      </c>
      <c r="L476" s="180">
        <f t="shared" si="100"/>
        <v>1215376.2674290049</v>
      </c>
      <c r="M476" s="181">
        <f t="shared" si="100"/>
        <v>24695.103713411776</v>
      </c>
      <c r="N476" s="180">
        <f t="shared" si="100"/>
        <v>5001.3179040093037</v>
      </c>
      <c r="O476" s="132">
        <f t="shared" si="100"/>
        <v>19693.78580940247</v>
      </c>
    </row>
    <row r="477" spans="1:15" x14ac:dyDescent="0.25">
      <c r="A477" s="72">
        <f t="shared" si="101"/>
        <v>306</v>
      </c>
      <c r="B477" s="183">
        <f t="shared" si="96"/>
        <v>1083577.1965684951</v>
      </c>
      <c r="C477" s="184">
        <f>-'Retail &amp; Restaurant'!$E$98/12</f>
        <v>22449.880274367653</v>
      </c>
      <c r="D477" s="183">
        <f>'Retail &amp; Restaurant'!$E$96/12*B476</f>
        <v>4589.3239703023346</v>
      </c>
      <c r="E477" s="185">
        <f t="shared" si="97"/>
        <v>17860.556304065318</v>
      </c>
      <c r="F477" s="72">
        <f t="shared" si="102"/>
        <v>306</v>
      </c>
      <c r="G477" s="180">
        <f t="shared" si="98"/>
        <v>112025.61178485666</v>
      </c>
      <c r="H477" s="186">
        <f>-'Retail &amp; Restaurant'!$E$103/12</f>
        <v>2245.2234390441222</v>
      </c>
      <c r="I477" s="149">
        <f>'Retail &amp; Restaurant'!$E$101/12*G476</f>
        <v>332.32066745629646</v>
      </c>
      <c r="J477" s="187">
        <f t="shared" si="99"/>
        <v>1912.9027715878258</v>
      </c>
      <c r="K477" s="72">
        <f t="shared" si="103"/>
        <v>306</v>
      </c>
      <c r="L477" s="180">
        <f t="shared" si="100"/>
        <v>1195602.8083533519</v>
      </c>
      <c r="M477" s="181">
        <f t="shared" si="100"/>
        <v>24695.103713411776</v>
      </c>
      <c r="N477" s="180">
        <f t="shared" si="100"/>
        <v>4921.6446377586308</v>
      </c>
      <c r="O477" s="132">
        <f t="shared" si="100"/>
        <v>19773.459075653143</v>
      </c>
    </row>
    <row r="478" spans="1:15" x14ac:dyDescent="0.25">
      <c r="A478" s="72">
        <f t="shared" si="101"/>
        <v>307</v>
      </c>
      <c r="B478" s="183">
        <f t="shared" si="96"/>
        <v>1065642.2212798295</v>
      </c>
      <c r="C478" s="184">
        <f>-'Retail &amp; Restaurant'!$E$98/12</f>
        <v>22449.880274367653</v>
      </c>
      <c r="D478" s="183">
        <f>'Retail &amp; Restaurant'!$E$96/12*B477</f>
        <v>4514.9049857020627</v>
      </c>
      <c r="E478" s="185">
        <f t="shared" si="97"/>
        <v>17934.975288665592</v>
      </c>
      <c r="F478" s="72">
        <f t="shared" si="102"/>
        <v>307</v>
      </c>
      <c r="G478" s="180">
        <f t="shared" si="98"/>
        <v>110107.12971351837</v>
      </c>
      <c r="H478" s="186">
        <f>-'Retail &amp; Restaurant'!$E$103/12</f>
        <v>2245.2234390441222</v>
      </c>
      <c r="I478" s="149">
        <f>'Retail &amp; Restaurant'!$E$101/12*G477</f>
        <v>326.74136770583198</v>
      </c>
      <c r="J478" s="187">
        <f t="shared" si="99"/>
        <v>1918.4820713382901</v>
      </c>
      <c r="K478" s="72">
        <f t="shared" si="103"/>
        <v>307</v>
      </c>
      <c r="L478" s="180">
        <f t="shared" si="100"/>
        <v>1175749.3509933478</v>
      </c>
      <c r="M478" s="181">
        <f t="shared" si="100"/>
        <v>24695.103713411776</v>
      </c>
      <c r="N478" s="180">
        <f t="shared" si="100"/>
        <v>4841.6463534078948</v>
      </c>
      <c r="O478" s="132">
        <f t="shared" si="100"/>
        <v>19853.457360003882</v>
      </c>
    </row>
    <row r="479" spans="1:15" x14ac:dyDescent="0.25">
      <c r="A479" s="72">
        <f t="shared" si="101"/>
        <v>308</v>
      </c>
      <c r="B479" s="183">
        <f t="shared" si="96"/>
        <v>1047632.5169274611</v>
      </c>
      <c r="C479" s="184">
        <f>-'Retail &amp; Restaurant'!$E$98/12</f>
        <v>22449.880274367653</v>
      </c>
      <c r="D479" s="183">
        <f>'Retail &amp; Restaurant'!$E$96/12*B478</f>
        <v>4440.1759219992891</v>
      </c>
      <c r="E479" s="185">
        <f t="shared" si="97"/>
        <v>18009.704352368364</v>
      </c>
      <c r="F479" s="72">
        <f t="shared" si="102"/>
        <v>308</v>
      </c>
      <c r="G479" s="180">
        <f t="shared" si="98"/>
        <v>108183.052069472</v>
      </c>
      <c r="H479" s="186">
        <f>-'Retail &amp; Restaurant'!$E$103/12</f>
        <v>2245.2234390441222</v>
      </c>
      <c r="I479" s="149">
        <f>'Retail &amp; Restaurant'!$E$101/12*G478</f>
        <v>321.14579499776193</v>
      </c>
      <c r="J479" s="187">
        <f t="shared" si="99"/>
        <v>1924.0776440463603</v>
      </c>
      <c r="K479" s="72">
        <f t="shared" si="103"/>
        <v>308</v>
      </c>
      <c r="L479" s="180">
        <f t="shared" si="100"/>
        <v>1155815.5689969331</v>
      </c>
      <c r="M479" s="181">
        <f t="shared" si="100"/>
        <v>24695.103713411776</v>
      </c>
      <c r="N479" s="180">
        <f t="shared" si="100"/>
        <v>4761.3217169970512</v>
      </c>
      <c r="O479" s="132">
        <f t="shared" si="100"/>
        <v>19933.781996414724</v>
      </c>
    </row>
    <row r="480" spans="1:15" x14ac:dyDescent="0.25">
      <c r="A480" s="72">
        <f t="shared" si="101"/>
        <v>309</v>
      </c>
      <c r="B480" s="183">
        <f t="shared" si="96"/>
        <v>1029547.7721402913</v>
      </c>
      <c r="C480" s="184">
        <f>-'Retail &amp; Restaurant'!$E$98/12</f>
        <v>22449.880274367653</v>
      </c>
      <c r="D480" s="183">
        <f>'Retail &amp; Restaurant'!$E$96/12*B479</f>
        <v>4365.1354871977546</v>
      </c>
      <c r="E480" s="185">
        <f t="shared" si="97"/>
        <v>18084.744787169897</v>
      </c>
      <c r="F480" s="72">
        <f t="shared" si="102"/>
        <v>309</v>
      </c>
      <c r="G480" s="180">
        <f t="shared" si="98"/>
        <v>106253.36253229718</v>
      </c>
      <c r="H480" s="186">
        <f>-'Retail &amp; Restaurant'!$E$103/12</f>
        <v>2245.2234390441222</v>
      </c>
      <c r="I480" s="149">
        <f>'Retail &amp; Restaurant'!$E$101/12*G479</f>
        <v>315.53390186929335</v>
      </c>
      <c r="J480" s="187">
        <f t="shared" si="99"/>
        <v>1929.6895371748287</v>
      </c>
      <c r="K480" s="72">
        <f t="shared" si="103"/>
        <v>309</v>
      </c>
      <c r="L480" s="180">
        <f t="shared" si="100"/>
        <v>1135801.1346725884</v>
      </c>
      <c r="M480" s="181">
        <f t="shared" si="100"/>
        <v>24695.103713411776</v>
      </c>
      <c r="N480" s="180">
        <f t="shared" si="100"/>
        <v>4680.6693890670476</v>
      </c>
      <c r="O480" s="132">
        <f t="shared" si="100"/>
        <v>20014.434324344726</v>
      </c>
    </row>
    <row r="481" spans="1:15" x14ac:dyDescent="0.25">
      <c r="A481" s="72">
        <f t="shared" si="101"/>
        <v>310</v>
      </c>
      <c r="B481" s="183">
        <f t="shared" si="96"/>
        <v>1011387.6742498415</v>
      </c>
      <c r="C481" s="184">
        <f>-'Retail &amp; Restaurant'!$E$98/12</f>
        <v>22449.880274367653</v>
      </c>
      <c r="D481" s="183">
        <f>'Retail &amp; Restaurant'!$E$96/12*B480</f>
        <v>4289.78238391788</v>
      </c>
      <c r="E481" s="185">
        <f t="shared" si="97"/>
        <v>18160.097890449775</v>
      </c>
      <c r="F481" s="72">
        <f t="shared" si="102"/>
        <v>310</v>
      </c>
      <c r="G481" s="180">
        <f t="shared" si="98"/>
        <v>104318.04473397226</v>
      </c>
      <c r="H481" s="186">
        <f>-'Retail &amp; Restaurant'!$E$103/12</f>
        <v>2245.2234390441222</v>
      </c>
      <c r="I481" s="149">
        <f>'Retail &amp; Restaurant'!$E$101/12*G480</f>
        <v>309.90564071920011</v>
      </c>
      <c r="J481" s="187">
        <f t="shared" si="99"/>
        <v>1935.317798324922</v>
      </c>
      <c r="K481" s="72">
        <f t="shared" si="103"/>
        <v>310</v>
      </c>
      <c r="L481" s="180">
        <f t="shared" si="100"/>
        <v>1115705.7189838137</v>
      </c>
      <c r="M481" s="181">
        <f t="shared" si="100"/>
        <v>24695.103713411776</v>
      </c>
      <c r="N481" s="180">
        <f t="shared" si="100"/>
        <v>4599.6880246370802</v>
      </c>
      <c r="O481" s="132">
        <f t="shared" si="100"/>
        <v>20095.415688774698</v>
      </c>
    </row>
    <row r="482" spans="1:15" x14ac:dyDescent="0.25">
      <c r="A482" s="72">
        <f t="shared" si="101"/>
        <v>311</v>
      </c>
      <c r="B482" s="183">
        <f t="shared" si="96"/>
        <v>993151.90928484814</v>
      </c>
      <c r="C482" s="184">
        <f>-'Retail &amp; Restaurant'!$E$98/12</f>
        <v>22449.880274367653</v>
      </c>
      <c r="D482" s="183">
        <f>'Retail &amp; Restaurant'!$E$96/12*B481</f>
        <v>4214.1153093743396</v>
      </c>
      <c r="E482" s="185">
        <f t="shared" si="97"/>
        <v>18235.764964993316</v>
      </c>
      <c r="F482" s="72">
        <f t="shared" si="102"/>
        <v>311</v>
      </c>
      <c r="G482" s="180">
        <f t="shared" si="98"/>
        <v>102377.08225873555</v>
      </c>
      <c r="H482" s="186">
        <f>-'Retail &amp; Restaurant'!$E$103/12</f>
        <v>2245.2234390441222</v>
      </c>
      <c r="I482" s="149">
        <f>'Retail &amp; Restaurant'!$E$101/12*G481</f>
        <v>304.2609638074191</v>
      </c>
      <c r="J482" s="187">
        <f t="shared" si="99"/>
        <v>1940.9624752367031</v>
      </c>
      <c r="K482" s="72">
        <f t="shared" si="103"/>
        <v>311</v>
      </c>
      <c r="L482" s="180">
        <f t="shared" si="100"/>
        <v>1095528.9915435836</v>
      </c>
      <c r="M482" s="181">
        <f t="shared" si="100"/>
        <v>24695.103713411776</v>
      </c>
      <c r="N482" s="180">
        <f t="shared" si="100"/>
        <v>4518.3762731817587</v>
      </c>
      <c r="O482" s="132">
        <f t="shared" si="100"/>
        <v>20176.727440230017</v>
      </c>
    </row>
    <row r="483" spans="1:15" x14ac:dyDescent="0.25">
      <c r="A483" s="72">
        <f t="shared" si="101"/>
        <v>312</v>
      </c>
      <c r="B483" s="183">
        <f t="shared" si="96"/>
        <v>974840.16196583398</v>
      </c>
      <c r="C483" s="184">
        <f>-'Retail &amp; Restaurant'!$E$98/12</f>
        <v>22449.880274367653</v>
      </c>
      <c r="D483" s="183">
        <f>'Retail &amp; Restaurant'!$E$96/12*B482</f>
        <v>4138.1329553535343</v>
      </c>
      <c r="E483" s="185">
        <f t="shared" si="97"/>
        <v>18311.747319014117</v>
      </c>
      <c r="F483" s="72">
        <f t="shared" si="102"/>
        <v>312</v>
      </c>
      <c r="G483" s="180">
        <f t="shared" si="98"/>
        <v>100430.45864294608</v>
      </c>
      <c r="H483" s="186">
        <f>-'Retail &amp; Restaurant'!$E$103/12</f>
        <v>2245.2234390441222</v>
      </c>
      <c r="I483" s="149">
        <f>'Retail &amp; Restaurant'!$E$101/12*G482</f>
        <v>298.59982325464534</v>
      </c>
      <c r="J483" s="187">
        <f t="shared" si="99"/>
        <v>1946.6236157894768</v>
      </c>
      <c r="K483" s="72">
        <f t="shared" si="103"/>
        <v>312</v>
      </c>
      <c r="L483" s="180">
        <f t="shared" si="100"/>
        <v>1075270.6206087801</v>
      </c>
      <c r="M483" s="181">
        <f t="shared" si="100"/>
        <v>24695.103713411776</v>
      </c>
      <c r="N483" s="180">
        <f t="shared" si="100"/>
        <v>4436.7327786081796</v>
      </c>
      <c r="O483" s="132">
        <f t="shared" si="100"/>
        <v>20258.370934803595</v>
      </c>
    </row>
    <row r="484" spans="1:15" x14ac:dyDescent="0.25">
      <c r="A484" s="72">
        <f t="shared" si="101"/>
        <v>313</v>
      </c>
      <c r="B484" s="183">
        <f t="shared" si="96"/>
        <v>956452.11569965724</v>
      </c>
      <c r="C484" s="184">
        <f>-'Retail &amp; Restaurant'!$E$98/12</f>
        <v>22449.880274367653</v>
      </c>
      <c r="D484" s="183">
        <f>'Retail &amp; Restaurant'!$E$96/12*B483</f>
        <v>4061.8340081909751</v>
      </c>
      <c r="E484" s="185">
        <f t="shared" si="97"/>
        <v>18388.04626617668</v>
      </c>
      <c r="F484" s="72">
        <f t="shared" si="102"/>
        <v>313</v>
      </c>
      <c r="G484" s="180">
        <f t="shared" si="98"/>
        <v>98478.157374943883</v>
      </c>
      <c r="H484" s="186">
        <f>-'Retail &amp; Restaurant'!$E$103/12</f>
        <v>2245.2234390441222</v>
      </c>
      <c r="I484" s="149">
        <f>'Retail &amp; Restaurant'!$E$101/12*G483</f>
        <v>292.92217104192605</v>
      </c>
      <c r="J484" s="187">
        <f t="shared" si="99"/>
        <v>1952.3012680021961</v>
      </c>
      <c r="K484" s="72">
        <f t="shared" si="103"/>
        <v>313</v>
      </c>
      <c r="L484" s="180">
        <f t="shared" si="100"/>
        <v>1054930.2730746011</v>
      </c>
      <c r="M484" s="181">
        <f t="shared" si="100"/>
        <v>24695.103713411776</v>
      </c>
      <c r="N484" s="180">
        <f t="shared" si="100"/>
        <v>4354.7561792329016</v>
      </c>
      <c r="O484" s="132">
        <f t="shared" si="100"/>
        <v>20340.347534178876</v>
      </c>
    </row>
    <row r="485" spans="1:15" x14ac:dyDescent="0.25">
      <c r="A485" s="72">
        <f t="shared" si="101"/>
        <v>314</v>
      </c>
      <c r="B485" s="183">
        <f t="shared" si="96"/>
        <v>937987.45257403818</v>
      </c>
      <c r="C485" s="184">
        <f>-'Retail &amp; Restaurant'!$E$98/12</f>
        <v>22449.880274367653</v>
      </c>
      <c r="D485" s="183">
        <f>'Retail &amp; Restaurant'!$E$96/12*B484</f>
        <v>3985.2171487485716</v>
      </c>
      <c r="E485" s="185">
        <f t="shared" si="97"/>
        <v>18464.663125619081</v>
      </c>
      <c r="F485" s="72">
        <f t="shared" si="102"/>
        <v>314</v>
      </c>
      <c r="G485" s="180">
        <f t="shared" si="98"/>
        <v>96520.161894910008</v>
      </c>
      <c r="H485" s="186">
        <f>-'Retail &amp; Restaurant'!$E$103/12</f>
        <v>2245.2234390441222</v>
      </c>
      <c r="I485" s="149">
        <f>'Retail &amp; Restaurant'!$E$101/12*G484</f>
        <v>287.22795901025302</v>
      </c>
      <c r="J485" s="187">
        <f t="shared" si="99"/>
        <v>1957.9954800338692</v>
      </c>
      <c r="K485" s="72">
        <f t="shared" si="103"/>
        <v>314</v>
      </c>
      <c r="L485" s="180">
        <f t="shared" si="100"/>
        <v>1034507.6144689482</v>
      </c>
      <c r="M485" s="181">
        <f t="shared" si="100"/>
        <v>24695.103713411776</v>
      </c>
      <c r="N485" s="180">
        <f t="shared" si="100"/>
        <v>4272.4451077588246</v>
      </c>
      <c r="O485" s="132">
        <f t="shared" si="100"/>
        <v>20422.658605652949</v>
      </c>
    </row>
    <row r="486" spans="1:15" x14ac:dyDescent="0.25">
      <c r="A486" s="72">
        <f t="shared" si="101"/>
        <v>315</v>
      </c>
      <c r="B486" s="183">
        <f t="shared" si="96"/>
        <v>919445.8533520624</v>
      </c>
      <c r="C486" s="184">
        <f>-'Retail &amp; Restaurant'!$E$98/12</f>
        <v>22449.880274367653</v>
      </c>
      <c r="D486" s="183">
        <f>'Retail &amp; Restaurant'!$E$96/12*B485</f>
        <v>3908.2810523918256</v>
      </c>
      <c r="E486" s="185">
        <f t="shared" si="97"/>
        <v>18541.599221975826</v>
      </c>
      <c r="F486" s="72">
        <f t="shared" si="102"/>
        <v>315</v>
      </c>
      <c r="G486" s="180">
        <f t="shared" si="98"/>
        <v>94556.455594726038</v>
      </c>
      <c r="H486" s="186">
        <f>-'Retail &amp; Restaurant'!$E$103/12</f>
        <v>2245.2234390441222</v>
      </c>
      <c r="I486" s="149">
        <f>'Retail &amp; Restaurant'!$E$101/12*G485</f>
        <v>281.5171388601542</v>
      </c>
      <c r="J486" s="187">
        <f t="shared" si="99"/>
        <v>1963.7063001839679</v>
      </c>
      <c r="K486" s="72">
        <f t="shared" si="103"/>
        <v>315</v>
      </c>
      <c r="L486" s="180">
        <f t="shared" si="100"/>
        <v>1014002.3089467884</v>
      </c>
      <c r="M486" s="181">
        <f t="shared" si="100"/>
        <v>24695.103713411776</v>
      </c>
      <c r="N486" s="180">
        <f t="shared" si="100"/>
        <v>4189.7981912519799</v>
      </c>
      <c r="O486" s="132">
        <f t="shared" si="100"/>
        <v>20505.305522159793</v>
      </c>
    </row>
    <row r="487" spans="1:15" x14ac:dyDescent="0.25">
      <c r="A487" s="72">
        <f t="shared" si="101"/>
        <v>316</v>
      </c>
      <c r="B487" s="183">
        <f t="shared" si="96"/>
        <v>900826.99746666173</v>
      </c>
      <c r="C487" s="184">
        <f>-'Retail &amp; Restaurant'!$E$98/12</f>
        <v>22449.880274367653</v>
      </c>
      <c r="D487" s="183">
        <f>'Retail &amp; Restaurant'!$E$96/12*B486</f>
        <v>3831.0243889669268</v>
      </c>
      <c r="E487" s="185">
        <f t="shared" si="97"/>
        <v>18618.855885400728</v>
      </c>
      <c r="F487" s="72">
        <f t="shared" si="102"/>
        <v>316</v>
      </c>
      <c r="G487" s="180">
        <f t="shared" si="98"/>
        <v>92587.0218178332</v>
      </c>
      <c r="H487" s="186">
        <f>-'Retail &amp; Restaurant'!$E$103/12</f>
        <v>2245.2234390441222</v>
      </c>
      <c r="I487" s="149">
        <f>'Retail &amp; Restaurant'!$E$101/12*G486</f>
        <v>275.78966215128429</v>
      </c>
      <c r="J487" s="187">
        <f t="shared" si="99"/>
        <v>1969.4337768928378</v>
      </c>
      <c r="K487" s="72">
        <f t="shared" si="103"/>
        <v>316</v>
      </c>
      <c r="L487" s="180">
        <f t="shared" si="100"/>
        <v>993414.01928449492</v>
      </c>
      <c r="M487" s="181">
        <f t="shared" si="100"/>
        <v>24695.103713411776</v>
      </c>
      <c r="N487" s="180">
        <f t="shared" si="100"/>
        <v>4106.814051118211</v>
      </c>
      <c r="O487" s="132">
        <f t="shared" si="100"/>
        <v>20588.289662293566</v>
      </c>
    </row>
    <row r="488" spans="1:15" x14ac:dyDescent="0.25">
      <c r="A488" s="72">
        <f t="shared" si="101"/>
        <v>317</v>
      </c>
      <c r="B488" s="183">
        <f t="shared" si="96"/>
        <v>882130.56301507179</v>
      </c>
      <c r="C488" s="184">
        <f>-'Retail &amp; Restaurant'!$E$98/12</f>
        <v>22449.880274367653</v>
      </c>
      <c r="D488" s="183">
        <f>'Retail &amp; Restaurant'!$E$96/12*B487</f>
        <v>3753.4458227777573</v>
      </c>
      <c r="E488" s="185">
        <f t="shared" si="97"/>
        <v>18696.434451589896</v>
      </c>
      <c r="F488" s="72">
        <f t="shared" si="102"/>
        <v>317</v>
      </c>
      <c r="G488" s="180">
        <f t="shared" si="98"/>
        <v>90611.843859091096</v>
      </c>
      <c r="H488" s="186">
        <f>-'Retail &amp; Restaurant'!$E$103/12</f>
        <v>2245.2234390441222</v>
      </c>
      <c r="I488" s="149">
        <f>'Retail &amp; Restaurant'!$E$101/12*G487</f>
        <v>270.04548030201352</v>
      </c>
      <c r="J488" s="187">
        <f t="shared" si="99"/>
        <v>1975.1779587421088</v>
      </c>
      <c r="K488" s="72">
        <f t="shared" si="103"/>
        <v>317</v>
      </c>
      <c r="L488" s="180">
        <f t="shared" si="100"/>
        <v>972742.40687416284</v>
      </c>
      <c r="M488" s="181">
        <f t="shared" si="100"/>
        <v>24695.103713411776</v>
      </c>
      <c r="N488" s="180">
        <f t="shared" si="100"/>
        <v>4023.4913030797707</v>
      </c>
      <c r="O488" s="132">
        <f t="shared" si="100"/>
        <v>20671.612410332003</v>
      </c>
    </row>
    <row r="489" spans="1:15" x14ac:dyDescent="0.25">
      <c r="A489" s="72">
        <f t="shared" si="101"/>
        <v>318</v>
      </c>
      <c r="B489" s="183">
        <f t="shared" si="96"/>
        <v>863356.22675326699</v>
      </c>
      <c r="C489" s="184">
        <f>-'Retail &amp; Restaurant'!$E$98/12</f>
        <v>22449.880274367653</v>
      </c>
      <c r="D489" s="183">
        <f>'Retail &amp; Restaurant'!$E$96/12*B488</f>
        <v>3675.5440125627993</v>
      </c>
      <c r="E489" s="185">
        <f t="shared" si="97"/>
        <v>18774.336261804856</v>
      </c>
      <c r="F489" s="72">
        <f t="shared" si="102"/>
        <v>318</v>
      </c>
      <c r="G489" s="180">
        <f t="shared" si="98"/>
        <v>88630.904964635993</v>
      </c>
      <c r="H489" s="186">
        <f>-'Retail &amp; Restaurant'!$E$103/12</f>
        <v>2245.2234390441222</v>
      </c>
      <c r="I489" s="149">
        <f>'Retail &amp; Restaurant'!$E$101/12*G488</f>
        <v>264.2845445890157</v>
      </c>
      <c r="J489" s="187">
        <f t="shared" si="99"/>
        <v>1980.9388944551065</v>
      </c>
      <c r="K489" s="72">
        <f t="shared" si="103"/>
        <v>318</v>
      </c>
      <c r="L489" s="180">
        <f t="shared" si="100"/>
        <v>951987.13171790296</v>
      </c>
      <c r="M489" s="181">
        <f t="shared" si="100"/>
        <v>24695.103713411776</v>
      </c>
      <c r="N489" s="180">
        <f t="shared" si="100"/>
        <v>3939.8285571518149</v>
      </c>
      <c r="O489" s="132">
        <f t="shared" si="100"/>
        <v>20755.275156259962</v>
      </c>
    </row>
    <row r="490" spans="1:15" x14ac:dyDescent="0.25">
      <c r="A490" s="72">
        <f t="shared" si="101"/>
        <v>319</v>
      </c>
      <c r="B490" s="183">
        <f t="shared" si="96"/>
        <v>844503.66409037134</v>
      </c>
      <c r="C490" s="184">
        <f>-'Retail &amp; Restaurant'!$E$98/12</f>
        <v>22449.880274367653</v>
      </c>
      <c r="D490" s="183">
        <f>'Retail &amp; Restaurant'!$E$96/12*B489</f>
        <v>3597.3176114719458</v>
      </c>
      <c r="E490" s="185">
        <f t="shared" si="97"/>
        <v>18852.562662895707</v>
      </c>
      <c r="F490" s="72">
        <f t="shared" si="102"/>
        <v>319</v>
      </c>
      <c r="G490" s="180">
        <f t="shared" si="98"/>
        <v>86644.188331738726</v>
      </c>
      <c r="H490" s="186">
        <f>-'Retail &amp; Restaurant'!$E$103/12</f>
        <v>2245.2234390441222</v>
      </c>
      <c r="I490" s="149">
        <f>'Retail &amp; Restaurant'!$E$101/12*G489</f>
        <v>258.50680614685501</v>
      </c>
      <c r="J490" s="187">
        <f t="shared" si="99"/>
        <v>1986.7166328972671</v>
      </c>
      <c r="K490" s="72">
        <f t="shared" si="103"/>
        <v>319</v>
      </c>
      <c r="L490" s="180">
        <f t="shared" si="100"/>
        <v>931147.85242211004</v>
      </c>
      <c r="M490" s="181">
        <f t="shared" si="100"/>
        <v>24695.103713411776</v>
      </c>
      <c r="N490" s="180">
        <f t="shared" si="100"/>
        <v>3855.8244176188009</v>
      </c>
      <c r="O490" s="132">
        <f t="shared" si="100"/>
        <v>20839.279295792974</v>
      </c>
    </row>
    <row r="491" spans="1:15" x14ac:dyDescent="0.25">
      <c r="A491" s="72">
        <f t="shared" si="101"/>
        <v>320</v>
      </c>
      <c r="B491" s="183">
        <f t="shared" si="96"/>
        <v>825572.54908304685</v>
      </c>
      <c r="C491" s="184">
        <f>-'Retail &amp; Restaurant'!$E$98/12</f>
        <v>22449.880274367653</v>
      </c>
      <c r="D491" s="183">
        <f>'Retail &amp; Restaurant'!$E$96/12*B490</f>
        <v>3518.765267043214</v>
      </c>
      <c r="E491" s="185">
        <f t="shared" si="97"/>
        <v>18931.115007324439</v>
      </c>
      <c r="F491" s="72">
        <f t="shared" si="102"/>
        <v>320</v>
      </c>
      <c r="G491" s="180">
        <f t="shared" si="98"/>
        <v>84651.677108662174</v>
      </c>
      <c r="H491" s="186">
        <f>-'Retail &amp; Restaurant'!$E$103/12</f>
        <v>2245.2234390441222</v>
      </c>
      <c r="I491" s="149">
        <f>'Retail &amp; Restaurant'!$E$101/12*G490</f>
        <v>252.7122159675713</v>
      </c>
      <c r="J491" s="187">
        <f t="shared" si="99"/>
        <v>1992.5112230765508</v>
      </c>
      <c r="K491" s="72">
        <f t="shared" si="103"/>
        <v>320</v>
      </c>
      <c r="L491" s="180">
        <f t="shared" si="100"/>
        <v>910224.22619170905</v>
      </c>
      <c r="M491" s="181">
        <f t="shared" si="100"/>
        <v>24695.103713411776</v>
      </c>
      <c r="N491" s="180">
        <f t="shared" si="100"/>
        <v>3771.4774830107854</v>
      </c>
      <c r="O491" s="132">
        <f t="shared" ref="O491:O531" si="104">J491+E491</f>
        <v>20923.626230400991</v>
      </c>
    </row>
    <row r="492" spans="1:15" x14ac:dyDescent="0.25">
      <c r="A492" s="72">
        <f t="shared" si="101"/>
        <v>321</v>
      </c>
      <c r="B492" s="183">
        <f t="shared" ref="B492:B531" si="105">B491-E492</f>
        <v>806562.55442985857</v>
      </c>
      <c r="C492" s="184">
        <f>-'Retail &amp; Restaurant'!$E$98/12</f>
        <v>22449.880274367653</v>
      </c>
      <c r="D492" s="183">
        <f>'Retail &amp; Restaurant'!$E$96/12*B491</f>
        <v>3439.8856211793618</v>
      </c>
      <c r="E492" s="185">
        <f t="shared" ref="E492:E531" si="106">C492-D492</f>
        <v>19009.994653188292</v>
      </c>
      <c r="F492" s="72">
        <f t="shared" si="102"/>
        <v>321</v>
      </c>
      <c r="G492" s="180">
        <f t="shared" ref="G492:G531" si="107">G491-J492</f>
        <v>82653.354394518319</v>
      </c>
      <c r="H492" s="186">
        <f>-'Retail &amp; Restaurant'!$E$103/12</f>
        <v>2245.2234390441222</v>
      </c>
      <c r="I492" s="149">
        <f>'Retail &amp; Restaurant'!$E$101/12*G491</f>
        <v>246.90072490026469</v>
      </c>
      <c r="J492" s="187">
        <f t="shared" ref="J492:J531" si="108">H492-I492</f>
        <v>1998.3227141438574</v>
      </c>
      <c r="K492" s="72">
        <f t="shared" si="103"/>
        <v>321</v>
      </c>
      <c r="L492" s="180">
        <f t="shared" ref="L492:N531" si="109">G492+B492</f>
        <v>889215.90882437688</v>
      </c>
      <c r="M492" s="181">
        <f t="shared" si="109"/>
        <v>24695.103713411776</v>
      </c>
      <c r="N492" s="180">
        <f t="shared" si="109"/>
        <v>3686.7863460796266</v>
      </c>
      <c r="O492" s="132">
        <f t="shared" si="104"/>
        <v>21008.317367332151</v>
      </c>
    </row>
    <row r="493" spans="1:15" x14ac:dyDescent="0.25">
      <c r="A493" s="72">
        <f t="shared" ref="A493:A531" si="110">A492+1</f>
        <v>322</v>
      </c>
      <c r="B493" s="183">
        <f t="shared" si="105"/>
        <v>787473.35146561533</v>
      </c>
      <c r="C493" s="184">
        <f>-'Retail &amp; Restaurant'!$E$98/12</f>
        <v>22449.880274367653</v>
      </c>
      <c r="D493" s="183">
        <f>'Retail &amp; Restaurant'!$E$96/12*B492</f>
        <v>3360.6773101244107</v>
      </c>
      <c r="E493" s="185">
        <f t="shared" si="106"/>
        <v>19089.202964243243</v>
      </c>
      <c r="F493" s="72">
        <f t="shared" ref="F493:F531" si="111">F492+1</f>
        <v>322</v>
      </c>
      <c r="G493" s="180">
        <f t="shared" si="107"/>
        <v>80649.203239124879</v>
      </c>
      <c r="H493" s="186">
        <f>-'Retail &amp; Restaurant'!$E$103/12</f>
        <v>2245.2234390441222</v>
      </c>
      <c r="I493" s="149">
        <f>'Retail &amp; Restaurant'!$E$101/12*G492</f>
        <v>241.07228365067843</v>
      </c>
      <c r="J493" s="187">
        <f t="shared" si="108"/>
        <v>2004.1511553934438</v>
      </c>
      <c r="K493" s="72">
        <f t="shared" ref="K493:K531" si="112">K492+1</f>
        <v>322</v>
      </c>
      <c r="L493" s="180">
        <f t="shared" si="109"/>
        <v>868122.55470474018</v>
      </c>
      <c r="M493" s="181">
        <f t="shared" si="109"/>
        <v>24695.103713411776</v>
      </c>
      <c r="N493" s="180">
        <f t="shared" si="109"/>
        <v>3601.7495937750891</v>
      </c>
      <c r="O493" s="132">
        <f t="shared" si="104"/>
        <v>21093.354119636686</v>
      </c>
    </row>
    <row r="494" spans="1:15" x14ac:dyDescent="0.25">
      <c r="A494" s="72">
        <f t="shared" si="110"/>
        <v>323</v>
      </c>
      <c r="B494" s="183">
        <f t="shared" si="105"/>
        <v>768304.61015568778</v>
      </c>
      <c r="C494" s="184">
        <f>-'Retail &amp; Restaurant'!$E$98/12</f>
        <v>22449.880274367653</v>
      </c>
      <c r="D494" s="183">
        <f>'Retail &amp; Restaurant'!$E$96/12*B493</f>
        <v>3281.1389644400638</v>
      </c>
      <c r="E494" s="185">
        <f t="shared" si="106"/>
        <v>19168.741309927591</v>
      </c>
      <c r="F494" s="72">
        <f t="shared" si="111"/>
        <v>323</v>
      </c>
      <c r="G494" s="180">
        <f t="shared" si="107"/>
        <v>78639.206642861536</v>
      </c>
      <c r="H494" s="186">
        <f>-'Retail &amp; Restaurant'!$E$103/12</f>
        <v>2245.2234390441222</v>
      </c>
      <c r="I494" s="149">
        <f>'Retail &amp; Restaurant'!$E$101/12*G493</f>
        <v>235.22684278078091</v>
      </c>
      <c r="J494" s="187">
        <f t="shared" si="108"/>
        <v>2009.9965962633412</v>
      </c>
      <c r="K494" s="72">
        <f t="shared" si="112"/>
        <v>323</v>
      </c>
      <c r="L494" s="180">
        <f t="shared" si="109"/>
        <v>846943.81679854938</v>
      </c>
      <c r="M494" s="181">
        <f t="shared" si="109"/>
        <v>24695.103713411776</v>
      </c>
      <c r="N494" s="180">
        <f t="shared" si="109"/>
        <v>3516.3658072208445</v>
      </c>
      <c r="O494" s="132">
        <f t="shared" si="104"/>
        <v>21178.737906190931</v>
      </c>
    </row>
    <row r="495" spans="1:15" x14ac:dyDescent="0.25">
      <c r="A495" s="72">
        <f t="shared" si="110"/>
        <v>324</v>
      </c>
      <c r="B495" s="183">
        <f t="shared" si="105"/>
        <v>749055.99909030215</v>
      </c>
      <c r="C495" s="184">
        <f>-'Retail &amp; Restaurant'!$E$98/12</f>
        <v>22449.880274367653</v>
      </c>
      <c r="D495" s="183">
        <f>'Retail &amp; Restaurant'!$E$96/12*B494</f>
        <v>3201.2692089820325</v>
      </c>
      <c r="E495" s="185">
        <f t="shared" si="106"/>
        <v>19248.611065385619</v>
      </c>
      <c r="F495" s="72">
        <f t="shared" si="111"/>
        <v>324</v>
      </c>
      <c r="G495" s="180">
        <f t="shared" si="107"/>
        <v>76623.347556525754</v>
      </c>
      <c r="H495" s="186">
        <f>-'Retail &amp; Restaurant'!$E$103/12</f>
        <v>2245.2234390441222</v>
      </c>
      <c r="I495" s="149">
        <f>'Retail &amp; Restaurant'!$E$101/12*G494</f>
        <v>229.36435270834616</v>
      </c>
      <c r="J495" s="187">
        <f t="shared" si="108"/>
        <v>2015.8590863357761</v>
      </c>
      <c r="K495" s="72">
        <f t="shared" si="112"/>
        <v>324</v>
      </c>
      <c r="L495" s="180">
        <f t="shared" si="109"/>
        <v>825679.34664682788</v>
      </c>
      <c r="M495" s="181">
        <f t="shared" si="109"/>
        <v>24695.103713411776</v>
      </c>
      <c r="N495" s="180">
        <f t="shared" si="109"/>
        <v>3430.6335616903789</v>
      </c>
      <c r="O495" s="132">
        <f t="shared" si="104"/>
        <v>21264.470151721394</v>
      </c>
    </row>
    <row r="496" spans="1:15" x14ac:dyDescent="0.25">
      <c r="A496" s="72">
        <f t="shared" si="110"/>
        <v>325</v>
      </c>
      <c r="B496" s="183">
        <f t="shared" si="105"/>
        <v>729727.1854788108</v>
      </c>
      <c r="C496" s="184">
        <f>-'Retail &amp; Restaurant'!$E$98/12</f>
        <v>22449.880274367653</v>
      </c>
      <c r="D496" s="183">
        <f>'Retail &amp; Restaurant'!$E$96/12*B495</f>
        <v>3121.0666628762588</v>
      </c>
      <c r="E496" s="185">
        <f t="shared" si="106"/>
        <v>19328.813611491394</v>
      </c>
      <c r="F496" s="72">
        <f t="shared" si="111"/>
        <v>325</v>
      </c>
      <c r="G496" s="180">
        <f t="shared" si="107"/>
        <v>74601.608881188164</v>
      </c>
      <c r="H496" s="186">
        <f>-'Retail &amp; Restaurant'!$E$103/12</f>
        <v>2245.2234390441222</v>
      </c>
      <c r="I496" s="149">
        <f>'Retail &amp; Restaurant'!$E$101/12*G495</f>
        <v>223.48476370653347</v>
      </c>
      <c r="J496" s="187">
        <f t="shared" si="108"/>
        <v>2021.7386753375888</v>
      </c>
      <c r="K496" s="72">
        <f t="shared" si="112"/>
        <v>325</v>
      </c>
      <c r="L496" s="180">
        <f t="shared" si="109"/>
        <v>804328.79435999901</v>
      </c>
      <c r="M496" s="181">
        <f t="shared" si="109"/>
        <v>24695.103713411776</v>
      </c>
      <c r="N496" s="180">
        <f t="shared" si="109"/>
        <v>3344.5514265827924</v>
      </c>
      <c r="O496" s="132">
        <f t="shared" si="104"/>
        <v>21350.552286828985</v>
      </c>
    </row>
    <row r="497" spans="1:15" x14ac:dyDescent="0.25">
      <c r="A497" s="72">
        <f t="shared" si="110"/>
        <v>326</v>
      </c>
      <c r="B497" s="183">
        <f t="shared" si="105"/>
        <v>710317.83514393819</v>
      </c>
      <c r="C497" s="184">
        <f>-'Retail &amp; Restaurant'!$E$98/12</f>
        <v>22449.880274367653</v>
      </c>
      <c r="D497" s="183">
        <f>'Retail &amp; Restaurant'!$E$96/12*B496</f>
        <v>3040.5299394950448</v>
      </c>
      <c r="E497" s="185">
        <f t="shared" si="106"/>
        <v>19409.350334872608</v>
      </c>
      <c r="F497" s="72">
        <f t="shared" si="111"/>
        <v>326</v>
      </c>
      <c r="G497" s="180">
        <f t="shared" si="107"/>
        <v>72573.973468047509</v>
      </c>
      <c r="H497" s="186">
        <f>-'Retail &amp; Restaurant'!$E$103/12</f>
        <v>2245.2234390441222</v>
      </c>
      <c r="I497" s="149">
        <f>'Retail &amp; Restaurant'!$E$101/12*G496</f>
        <v>217.58802590346548</v>
      </c>
      <c r="J497" s="187">
        <f t="shared" si="108"/>
        <v>2027.6354131406567</v>
      </c>
      <c r="K497" s="72">
        <f t="shared" si="112"/>
        <v>326</v>
      </c>
      <c r="L497" s="180">
        <f t="shared" si="109"/>
        <v>782891.80861198576</v>
      </c>
      <c r="M497" s="181">
        <f t="shared" si="109"/>
        <v>24695.103713411776</v>
      </c>
      <c r="N497" s="180">
        <f t="shared" si="109"/>
        <v>3258.1179653985105</v>
      </c>
      <c r="O497" s="132">
        <f t="shared" si="104"/>
        <v>21436.985748013263</v>
      </c>
    </row>
    <row r="498" spans="1:15" x14ac:dyDescent="0.25">
      <c r="A498" s="72">
        <f t="shared" si="110"/>
        <v>327</v>
      </c>
      <c r="B498" s="183">
        <f t="shared" si="105"/>
        <v>690827.61251600366</v>
      </c>
      <c r="C498" s="184">
        <f>-'Retail &amp; Restaurant'!$E$98/12</f>
        <v>22449.880274367653</v>
      </c>
      <c r="D498" s="183">
        <f>'Retail &amp; Restaurant'!$E$96/12*B497</f>
        <v>2959.6576464330756</v>
      </c>
      <c r="E498" s="185">
        <f t="shared" si="106"/>
        <v>19490.222627934578</v>
      </c>
      <c r="F498" s="72">
        <f t="shared" si="111"/>
        <v>327</v>
      </c>
      <c r="G498" s="180">
        <f t="shared" si="107"/>
        <v>70540.424118285198</v>
      </c>
      <c r="H498" s="186">
        <f>-'Retail &amp; Restaurant'!$E$103/12</f>
        <v>2245.2234390441222</v>
      </c>
      <c r="I498" s="149">
        <f>'Retail &amp; Restaurant'!$E$101/12*G497</f>
        <v>211.67408928180524</v>
      </c>
      <c r="J498" s="187">
        <f t="shared" si="108"/>
        <v>2033.549349762317</v>
      </c>
      <c r="K498" s="72">
        <f t="shared" si="112"/>
        <v>327</v>
      </c>
      <c r="L498" s="180">
        <f t="shared" si="109"/>
        <v>761368.03663428884</v>
      </c>
      <c r="M498" s="181">
        <f t="shared" si="109"/>
        <v>24695.103713411776</v>
      </c>
      <c r="N498" s="180">
        <f t="shared" si="109"/>
        <v>3171.3317357148808</v>
      </c>
      <c r="O498" s="132">
        <f t="shared" si="104"/>
        <v>21523.771977696895</v>
      </c>
    </row>
    <row r="499" spans="1:15" x14ac:dyDescent="0.25">
      <c r="A499" s="72">
        <f t="shared" si="110"/>
        <v>328</v>
      </c>
      <c r="B499" s="183">
        <f t="shared" si="105"/>
        <v>671256.18062711938</v>
      </c>
      <c r="C499" s="184">
        <f>-'Retail &amp; Restaurant'!$E$98/12</f>
        <v>22449.880274367653</v>
      </c>
      <c r="D499" s="183">
        <f>'Retail &amp; Restaurant'!$E$96/12*B498</f>
        <v>2878.4483854833484</v>
      </c>
      <c r="E499" s="185">
        <f t="shared" si="106"/>
        <v>19571.431888884304</v>
      </c>
      <c r="F499" s="72">
        <f t="shared" si="111"/>
        <v>328</v>
      </c>
      <c r="G499" s="180">
        <f t="shared" si="107"/>
        <v>68500.943582919412</v>
      </c>
      <c r="H499" s="186">
        <f>-'Retail &amp; Restaurant'!$E$103/12</f>
        <v>2245.2234390441222</v>
      </c>
      <c r="I499" s="149">
        <f>'Retail &amp; Restaurant'!$E$101/12*G498</f>
        <v>205.74290367833183</v>
      </c>
      <c r="J499" s="187">
        <f t="shared" si="108"/>
        <v>2039.4805353657903</v>
      </c>
      <c r="K499" s="72">
        <f t="shared" si="112"/>
        <v>328</v>
      </c>
      <c r="L499" s="180">
        <f t="shared" si="109"/>
        <v>739757.1242100388</v>
      </c>
      <c r="M499" s="181">
        <f t="shared" si="109"/>
        <v>24695.103713411776</v>
      </c>
      <c r="N499" s="180">
        <f t="shared" si="109"/>
        <v>3084.1912891616803</v>
      </c>
      <c r="O499" s="132">
        <f t="shared" si="104"/>
        <v>21610.912424250095</v>
      </c>
    </row>
    <row r="500" spans="1:15" x14ac:dyDescent="0.25">
      <c r="A500" s="72">
        <f t="shared" si="110"/>
        <v>329</v>
      </c>
      <c r="B500" s="183">
        <f t="shared" si="105"/>
        <v>651603.20110536471</v>
      </c>
      <c r="C500" s="184">
        <f>-'Retail &amp; Restaurant'!$E$98/12</f>
        <v>22449.880274367653</v>
      </c>
      <c r="D500" s="183">
        <f>'Retail &amp; Restaurant'!$E$96/12*B499</f>
        <v>2796.9007526129972</v>
      </c>
      <c r="E500" s="185">
        <f t="shared" si="106"/>
        <v>19652.979521754656</v>
      </c>
      <c r="F500" s="72">
        <f t="shared" si="111"/>
        <v>329</v>
      </c>
      <c r="G500" s="180">
        <f t="shared" si="107"/>
        <v>66455.514562658806</v>
      </c>
      <c r="H500" s="186">
        <f>-'Retail &amp; Restaurant'!$E$103/12</f>
        <v>2245.2234390441222</v>
      </c>
      <c r="I500" s="149">
        <f>'Retail &amp; Restaurant'!$E$101/12*G499</f>
        <v>199.79441878351497</v>
      </c>
      <c r="J500" s="187">
        <f t="shared" si="108"/>
        <v>2045.4290202606071</v>
      </c>
      <c r="K500" s="72">
        <f t="shared" si="112"/>
        <v>329</v>
      </c>
      <c r="L500" s="180">
        <f t="shared" si="109"/>
        <v>718058.71566802356</v>
      </c>
      <c r="M500" s="181">
        <f t="shared" si="109"/>
        <v>24695.103713411776</v>
      </c>
      <c r="N500" s="180">
        <f t="shared" si="109"/>
        <v>2996.6951713965123</v>
      </c>
      <c r="O500" s="132">
        <f t="shared" si="104"/>
        <v>21698.408542015262</v>
      </c>
    </row>
    <row r="501" spans="1:15" x14ac:dyDescent="0.25">
      <c r="A501" s="72">
        <f t="shared" si="110"/>
        <v>330</v>
      </c>
      <c r="B501" s="183">
        <f t="shared" si="105"/>
        <v>631868.33416893613</v>
      </c>
      <c r="C501" s="184">
        <f>-'Retail &amp; Restaurant'!$E$98/12</f>
        <v>22449.880274367653</v>
      </c>
      <c r="D501" s="183">
        <f>'Retail &amp; Restaurant'!$E$96/12*B500</f>
        <v>2715.0133379390195</v>
      </c>
      <c r="E501" s="185">
        <f t="shared" si="106"/>
        <v>19734.866936428632</v>
      </c>
      <c r="F501" s="72">
        <f t="shared" si="111"/>
        <v>330</v>
      </c>
      <c r="G501" s="180">
        <f t="shared" si="107"/>
        <v>64404.119707755774</v>
      </c>
      <c r="H501" s="186">
        <f>-'Retail &amp; Restaurant'!$E$103/12</f>
        <v>2245.2234390441222</v>
      </c>
      <c r="I501" s="149">
        <f>'Retail &amp; Restaurant'!$E$101/12*G500</f>
        <v>193.82858414108819</v>
      </c>
      <c r="J501" s="187">
        <f t="shared" si="108"/>
        <v>2051.3948549030338</v>
      </c>
      <c r="K501" s="72">
        <f t="shared" si="112"/>
        <v>330</v>
      </c>
      <c r="L501" s="180">
        <f t="shared" si="109"/>
        <v>696272.45387669187</v>
      </c>
      <c r="M501" s="181">
        <f t="shared" si="109"/>
        <v>24695.103713411776</v>
      </c>
      <c r="N501" s="180">
        <f t="shared" si="109"/>
        <v>2908.8419220801079</v>
      </c>
      <c r="O501" s="132">
        <f t="shared" si="104"/>
        <v>21786.261791331664</v>
      </c>
    </row>
    <row r="502" spans="1:15" x14ac:dyDescent="0.25">
      <c r="A502" s="72">
        <f t="shared" si="110"/>
        <v>331</v>
      </c>
      <c r="B502" s="183">
        <f t="shared" si="105"/>
        <v>612051.23862027237</v>
      </c>
      <c r="C502" s="184">
        <f>-'Retail &amp; Restaurant'!$E$98/12</f>
        <v>22449.880274367653</v>
      </c>
      <c r="D502" s="183">
        <f>'Retail &amp; Restaurant'!$E$96/12*B501</f>
        <v>2632.7847257039007</v>
      </c>
      <c r="E502" s="185">
        <f t="shared" si="106"/>
        <v>19817.095548663754</v>
      </c>
      <c r="F502" s="72">
        <f t="shared" si="111"/>
        <v>331</v>
      </c>
      <c r="G502" s="180">
        <f t="shared" si="107"/>
        <v>62346.741617859276</v>
      </c>
      <c r="H502" s="186">
        <f>-'Retail &amp; Restaurant'!$E$103/12</f>
        <v>2245.2234390441222</v>
      </c>
      <c r="I502" s="149">
        <f>'Retail &amp; Restaurant'!$E$101/12*G501</f>
        <v>187.84534914762102</v>
      </c>
      <c r="J502" s="187">
        <f t="shared" si="108"/>
        <v>2057.378089896501</v>
      </c>
      <c r="K502" s="72">
        <f t="shared" si="112"/>
        <v>331</v>
      </c>
      <c r="L502" s="180">
        <f t="shared" si="109"/>
        <v>674397.9802381316</v>
      </c>
      <c r="M502" s="181">
        <f t="shared" si="109"/>
        <v>24695.103713411776</v>
      </c>
      <c r="N502" s="180">
        <f t="shared" si="109"/>
        <v>2820.6300748515218</v>
      </c>
      <c r="O502" s="132">
        <f t="shared" si="104"/>
        <v>21874.473638560255</v>
      </c>
    </row>
    <row r="503" spans="1:15" x14ac:dyDescent="0.25">
      <c r="A503" s="72">
        <f t="shared" si="110"/>
        <v>332</v>
      </c>
      <c r="B503" s="183">
        <f t="shared" si="105"/>
        <v>592151.57184015587</v>
      </c>
      <c r="C503" s="184">
        <f>-'Retail &amp; Restaurant'!$E$98/12</f>
        <v>22449.880274367653</v>
      </c>
      <c r="D503" s="183">
        <f>'Retail &amp; Restaurant'!$E$96/12*B502</f>
        <v>2550.2134942511348</v>
      </c>
      <c r="E503" s="185">
        <f t="shared" si="106"/>
        <v>19899.666780116517</v>
      </c>
      <c r="F503" s="72">
        <f t="shared" si="111"/>
        <v>332</v>
      </c>
      <c r="G503" s="180">
        <f t="shared" si="107"/>
        <v>60283.362841867245</v>
      </c>
      <c r="H503" s="186">
        <f>-'Retail &amp; Restaurant'!$E$103/12</f>
        <v>2245.2234390441222</v>
      </c>
      <c r="I503" s="149">
        <f>'Retail &amp; Restaurant'!$E$101/12*G502</f>
        <v>181.84466305208957</v>
      </c>
      <c r="J503" s="187">
        <f t="shared" si="108"/>
        <v>2063.3787759920324</v>
      </c>
      <c r="K503" s="72">
        <f t="shared" si="112"/>
        <v>332</v>
      </c>
      <c r="L503" s="180">
        <f t="shared" si="109"/>
        <v>652434.93468202313</v>
      </c>
      <c r="M503" s="181">
        <f t="shared" si="109"/>
        <v>24695.103713411776</v>
      </c>
      <c r="N503" s="180">
        <f t="shared" si="109"/>
        <v>2732.0581573032241</v>
      </c>
      <c r="O503" s="132">
        <f t="shared" si="104"/>
        <v>21963.045556108547</v>
      </c>
    </row>
    <row r="504" spans="1:15" x14ac:dyDescent="0.25">
      <c r="A504" s="72">
        <f t="shared" si="110"/>
        <v>333</v>
      </c>
      <c r="B504" s="183">
        <f t="shared" si="105"/>
        <v>572168.9897817889</v>
      </c>
      <c r="C504" s="184">
        <f>-'Retail &amp; Restaurant'!$E$98/12</f>
        <v>22449.880274367653</v>
      </c>
      <c r="D504" s="183">
        <f>'Retail &amp; Restaurant'!$E$96/12*B503</f>
        <v>2467.2982160006495</v>
      </c>
      <c r="E504" s="185">
        <f t="shared" si="106"/>
        <v>19982.582058367003</v>
      </c>
      <c r="F504" s="72">
        <f t="shared" si="111"/>
        <v>333</v>
      </c>
      <c r="G504" s="180">
        <f t="shared" si="107"/>
        <v>58213.965877778566</v>
      </c>
      <c r="H504" s="186">
        <f>-'Retail &amp; Restaurant'!$E$103/12</f>
        <v>2245.2234390441222</v>
      </c>
      <c r="I504" s="149">
        <f>'Retail &amp; Restaurant'!$E$101/12*G503</f>
        <v>175.82647495544614</v>
      </c>
      <c r="J504" s="187">
        <f t="shared" si="108"/>
        <v>2069.3969640886762</v>
      </c>
      <c r="K504" s="72">
        <f t="shared" si="112"/>
        <v>333</v>
      </c>
      <c r="L504" s="180">
        <f t="shared" si="109"/>
        <v>630382.95565956749</v>
      </c>
      <c r="M504" s="181">
        <f t="shared" si="109"/>
        <v>24695.103713411776</v>
      </c>
      <c r="N504" s="180">
        <f t="shared" si="109"/>
        <v>2643.1246909560955</v>
      </c>
      <c r="O504" s="132">
        <f t="shared" si="104"/>
        <v>22051.979022455678</v>
      </c>
    </row>
    <row r="505" spans="1:15" x14ac:dyDescent="0.25">
      <c r="A505" s="72">
        <f t="shared" si="110"/>
        <v>334</v>
      </c>
      <c r="B505" s="183">
        <f t="shared" si="105"/>
        <v>552103.14696484536</v>
      </c>
      <c r="C505" s="184">
        <f>-'Retail &amp; Restaurant'!$E$98/12</f>
        <v>22449.880274367653</v>
      </c>
      <c r="D505" s="183">
        <f>'Retail &amp; Restaurant'!$E$96/12*B504</f>
        <v>2384.0374574241205</v>
      </c>
      <c r="E505" s="185">
        <f t="shared" si="106"/>
        <v>20065.842816943532</v>
      </c>
      <c r="F505" s="72">
        <f t="shared" si="111"/>
        <v>334</v>
      </c>
      <c r="G505" s="180">
        <f t="shared" si="107"/>
        <v>56138.53317254463</v>
      </c>
      <c r="H505" s="186">
        <f>-'Retail &amp; Restaurant'!$E$103/12</f>
        <v>2245.2234390441222</v>
      </c>
      <c r="I505" s="149">
        <f>'Retail &amp; Restaurant'!$E$101/12*G504</f>
        <v>169.7907338101875</v>
      </c>
      <c r="J505" s="187">
        <f t="shared" si="108"/>
        <v>2075.4327052339345</v>
      </c>
      <c r="K505" s="72">
        <f t="shared" si="112"/>
        <v>334</v>
      </c>
      <c r="L505" s="180">
        <f t="shared" si="109"/>
        <v>608241.68013739004</v>
      </c>
      <c r="M505" s="181">
        <f t="shared" si="109"/>
        <v>24695.103713411776</v>
      </c>
      <c r="N505" s="180">
        <f t="shared" si="109"/>
        <v>2553.8281912343082</v>
      </c>
      <c r="O505" s="132">
        <f t="shared" si="104"/>
        <v>22141.275522177468</v>
      </c>
    </row>
    <row r="506" spans="1:15" x14ac:dyDescent="0.25">
      <c r="A506" s="72">
        <f t="shared" si="110"/>
        <v>335</v>
      </c>
      <c r="B506" s="183">
        <f t="shared" si="105"/>
        <v>531953.69646949787</v>
      </c>
      <c r="C506" s="184">
        <f>-'Retail &amp; Restaurant'!$E$98/12</f>
        <v>22449.880274367653</v>
      </c>
      <c r="D506" s="183">
        <f>'Retail &amp; Restaurant'!$E$96/12*B505</f>
        <v>2300.429779020189</v>
      </c>
      <c r="E506" s="185">
        <f t="shared" si="106"/>
        <v>20149.450495347464</v>
      </c>
      <c r="F506" s="72">
        <f t="shared" si="111"/>
        <v>335</v>
      </c>
      <c r="G506" s="180">
        <f t="shared" si="107"/>
        <v>54057.047121920434</v>
      </c>
      <c r="H506" s="186">
        <f>-'Retail &amp; Restaurant'!$E$103/12</f>
        <v>2245.2234390441222</v>
      </c>
      <c r="I506" s="149">
        <f>'Retail &amp; Restaurant'!$E$101/12*G505</f>
        <v>163.73738841992184</v>
      </c>
      <c r="J506" s="187">
        <f t="shared" si="108"/>
        <v>2081.4860506242003</v>
      </c>
      <c r="K506" s="72">
        <f t="shared" si="112"/>
        <v>335</v>
      </c>
      <c r="L506" s="180">
        <f t="shared" si="109"/>
        <v>586010.74359141826</v>
      </c>
      <c r="M506" s="181">
        <f t="shared" si="109"/>
        <v>24695.103713411776</v>
      </c>
      <c r="N506" s="180">
        <f t="shared" si="109"/>
        <v>2464.1671674401109</v>
      </c>
      <c r="O506" s="132">
        <f t="shared" si="104"/>
        <v>22230.936545971665</v>
      </c>
    </row>
    <row r="507" spans="1:15" x14ac:dyDescent="0.25">
      <c r="A507" s="72">
        <f t="shared" si="110"/>
        <v>336</v>
      </c>
      <c r="B507" s="183">
        <f t="shared" si="105"/>
        <v>511720.28993041976</v>
      </c>
      <c r="C507" s="184">
        <f>-'Retail &amp; Restaurant'!$E$98/12</f>
        <v>22449.880274367653</v>
      </c>
      <c r="D507" s="183">
        <f>'Retail &amp; Restaurant'!$E$96/12*B506</f>
        <v>2216.4737352895745</v>
      </c>
      <c r="E507" s="185">
        <f t="shared" si="106"/>
        <v>20233.406539078078</v>
      </c>
      <c r="F507" s="72">
        <f t="shared" si="111"/>
        <v>336</v>
      </c>
      <c r="G507" s="180">
        <f t="shared" si="107"/>
        <v>51969.490070315245</v>
      </c>
      <c r="H507" s="186">
        <f>-'Retail &amp; Restaurant'!$E$103/12</f>
        <v>2245.2234390441222</v>
      </c>
      <c r="I507" s="149">
        <f>'Retail &amp; Restaurant'!$E$101/12*G506</f>
        <v>157.66638743893461</v>
      </c>
      <c r="J507" s="187">
        <f t="shared" si="108"/>
        <v>2087.5570516051876</v>
      </c>
      <c r="K507" s="72">
        <f t="shared" si="112"/>
        <v>336</v>
      </c>
      <c r="L507" s="180">
        <f t="shared" si="109"/>
        <v>563689.78000073496</v>
      </c>
      <c r="M507" s="181">
        <f t="shared" si="109"/>
        <v>24695.103713411776</v>
      </c>
      <c r="N507" s="180">
        <f t="shared" si="109"/>
        <v>2374.1401227285091</v>
      </c>
      <c r="O507" s="132">
        <f t="shared" si="104"/>
        <v>22320.963590683266</v>
      </c>
    </row>
    <row r="508" spans="1:15" x14ac:dyDescent="0.25">
      <c r="A508" s="72">
        <f t="shared" si="110"/>
        <v>337</v>
      </c>
      <c r="B508" s="183">
        <f t="shared" si="105"/>
        <v>491402.57753076218</v>
      </c>
      <c r="C508" s="184">
        <f>-'Retail &amp; Restaurant'!$E$98/12</f>
        <v>22449.880274367653</v>
      </c>
      <c r="D508" s="183">
        <f>'Retail &amp; Restaurant'!$E$96/12*B507</f>
        <v>2132.1678747100823</v>
      </c>
      <c r="E508" s="185">
        <f t="shared" si="106"/>
        <v>20317.712399657572</v>
      </c>
      <c r="F508" s="72">
        <f t="shared" si="111"/>
        <v>337</v>
      </c>
      <c r="G508" s="180">
        <f t="shared" si="107"/>
        <v>49875.844310642875</v>
      </c>
      <c r="H508" s="186">
        <f>-'Retail &amp; Restaurant'!$E$103/12</f>
        <v>2245.2234390441222</v>
      </c>
      <c r="I508" s="149">
        <f>'Retail &amp; Restaurant'!$E$101/12*G507</f>
        <v>151.57767937175279</v>
      </c>
      <c r="J508" s="187">
        <f t="shared" si="108"/>
        <v>2093.6457596723694</v>
      </c>
      <c r="K508" s="72">
        <f t="shared" si="112"/>
        <v>337</v>
      </c>
      <c r="L508" s="180">
        <f t="shared" si="109"/>
        <v>541278.4218414051</v>
      </c>
      <c r="M508" s="181">
        <f t="shared" si="109"/>
        <v>24695.103713411776</v>
      </c>
      <c r="N508" s="180">
        <f t="shared" si="109"/>
        <v>2283.7455540818351</v>
      </c>
      <c r="O508" s="132">
        <f t="shared" si="104"/>
        <v>22411.358159329942</v>
      </c>
    </row>
    <row r="509" spans="1:15" x14ac:dyDescent="0.25">
      <c r="A509" s="72">
        <f t="shared" si="110"/>
        <v>338</v>
      </c>
      <c r="B509" s="183">
        <f t="shared" si="105"/>
        <v>471000.20799610601</v>
      </c>
      <c r="C509" s="184">
        <f>-'Retail &amp; Restaurant'!$E$98/12</f>
        <v>22449.880274367653</v>
      </c>
      <c r="D509" s="183">
        <f>'Retail &amp; Restaurant'!$E$96/12*B508</f>
        <v>2047.5107397115091</v>
      </c>
      <c r="E509" s="185">
        <f t="shared" si="106"/>
        <v>20402.369534656144</v>
      </c>
      <c r="F509" s="72">
        <f t="shared" si="111"/>
        <v>338</v>
      </c>
      <c r="G509" s="180">
        <f t="shared" si="107"/>
        <v>47776.092084171461</v>
      </c>
      <c r="H509" s="186">
        <f>-'Retail &amp; Restaurant'!$E$103/12</f>
        <v>2245.2234390441222</v>
      </c>
      <c r="I509" s="149">
        <f>'Retail &amp; Restaurant'!$E$101/12*G508</f>
        <v>145.4712125727084</v>
      </c>
      <c r="J509" s="187">
        <f t="shared" si="108"/>
        <v>2099.7522264714139</v>
      </c>
      <c r="K509" s="72">
        <f t="shared" si="112"/>
        <v>338</v>
      </c>
      <c r="L509" s="180">
        <f t="shared" si="109"/>
        <v>518776.30008027749</v>
      </c>
      <c r="M509" s="181">
        <f t="shared" si="109"/>
        <v>24695.103713411776</v>
      </c>
      <c r="N509" s="180">
        <f t="shared" si="109"/>
        <v>2192.9819522842176</v>
      </c>
      <c r="O509" s="132">
        <f t="shared" si="104"/>
        <v>22502.121761127557</v>
      </c>
    </row>
    <row r="510" spans="1:15" x14ac:dyDescent="0.25">
      <c r="A510" s="72">
        <f t="shared" si="110"/>
        <v>339</v>
      </c>
      <c r="B510" s="183">
        <f t="shared" si="105"/>
        <v>450512.8285883888</v>
      </c>
      <c r="C510" s="184">
        <f>-'Retail &amp; Restaurant'!$E$98/12</f>
        <v>22449.880274367653</v>
      </c>
      <c r="D510" s="183">
        <f>'Retail &amp; Restaurant'!$E$96/12*B509</f>
        <v>1962.5008666504416</v>
      </c>
      <c r="E510" s="185">
        <f t="shared" si="106"/>
        <v>20487.379407717213</v>
      </c>
      <c r="F510" s="72">
        <f t="shared" si="111"/>
        <v>339</v>
      </c>
      <c r="G510" s="180">
        <f t="shared" si="107"/>
        <v>45670.215580372838</v>
      </c>
      <c r="H510" s="186">
        <f>-'Retail &amp; Restaurant'!$E$103/12</f>
        <v>2245.2234390441222</v>
      </c>
      <c r="I510" s="149">
        <f>'Retail &amp; Restaurant'!$E$101/12*G509</f>
        <v>139.34693524550011</v>
      </c>
      <c r="J510" s="187">
        <f t="shared" si="108"/>
        <v>2105.8765037986223</v>
      </c>
      <c r="K510" s="72">
        <f t="shared" si="112"/>
        <v>339</v>
      </c>
      <c r="L510" s="180">
        <f t="shared" si="109"/>
        <v>496183.04416876164</v>
      </c>
      <c r="M510" s="181">
        <f t="shared" si="109"/>
        <v>24695.103713411776</v>
      </c>
      <c r="N510" s="180">
        <f t="shared" si="109"/>
        <v>2101.8478018959418</v>
      </c>
      <c r="O510" s="132">
        <f t="shared" si="104"/>
        <v>22593.255911515836</v>
      </c>
    </row>
    <row r="511" spans="1:15" x14ac:dyDescent="0.25">
      <c r="A511" s="72">
        <f t="shared" si="110"/>
        <v>340</v>
      </c>
      <c r="B511" s="183">
        <f t="shared" si="105"/>
        <v>429940.08509980608</v>
      </c>
      <c r="C511" s="184">
        <f>-'Retail &amp; Restaurant'!$E$98/12</f>
        <v>22449.880274367653</v>
      </c>
      <c r="D511" s="183">
        <f>'Retail &amp; Restaurant'!$E$96/12*B510</f>
        <v>1877.1367857849534</v>
      </c>
      <c r="E511" s="185">
        <f t="shared" si="106"/>
        <v>20572.743488582699</v>
      </c>
      <c r="F511" s="72">
        <f t="shared" si="111"/>
        <v>340</v>
      </c>
      <c r="G511" s="180">
        <f t="shared" si="107"/>
        <v>43558.19693677147</v>
      </c>
      <c r="H511" s="186">
        <f>-'Retail &amp; Restaurant'!$E$103/12</f>
        <v>2245.2234390441222</v>
      </c>
      <c r="I511" s="149">
        <f>'Retail &amp; Restaurant'!$E$101/12*G510</f>
        <v>133.20479544275412</v>
      </c>
      <c r="J511" s="187">
        <f t="shared" si="108"/>
        <v>2112.0186436013682</v>
      </c>
      <c r="K511" s="72">
        <f t="shared" si="112"/>
        <v>340</v>
      </c>
      <c r="L511" s="180">
        <f t="shared" si="109"/>
        <v>473498.28203657753</v>
      </c>
      <c r="M511" s="181">
        <f t="shared" si="109"/>
        <v>24695.103713411776</v>
      </c>
      <c r="N511" s="180">
        <f t="shared" si="109"/>
        <v>2010.3415812277076</v>
      </c>
      <c r="O511" s="132">
        <f t="shared" si="104"/>
        <v>22684.762132184067</v>
      </c>
    </row>
    <row r="512" spans="1:15" x14ac:dyDescent="0.25">
      <c r="A512" s="72">
        <f t="shared" si="110"/>
        <v>341</v>
      </c>
      <c r="B512" s="183">
        <f t="shared" si="105"/>
        <v>409281.62184668763</v>
      </c>
      <c r="C512" s="184">
        <f>-'Retail &amp; Restaurant'!$E$98/12</f>
        <v>22449.880274367653</v>
      </c>
      <c r="D512" s="183">
        <f>'Retail &amp; Restaurant'!$E$96/12*B511</f>
        <v>1791.417021249192</v>
      </c>
      <c r="E512" s="185">
        <f t="shared" si="106"/>
        <v>20658.463253118462</v>
      </c>
      <c r="F512" s="72">
        <f t="shared" si="111"/>
        <v>341</v>
      </c>
      <c r="G512" s="180">
        <f t="shared" si="107"/>
        <v>41440.018238792931</v>
      </c>
      <c r="H512" s="186">
        <f>-'Retail &amp; Restaurant'!$E$103/12</f>
        <v>2245.2234390441222</v>
      </c>
      <c r="I512" s="149">
        <f>'Retail &amp; Restaurant'!$E$101/12*G511</f>
        <v>127.04474106558347</v>
      </c>
      <c r="J512" s="187">
        <f t="shared" si="108"/>
        <v>2118.1786979785388</v>
      </c>
      <c r="K512" s="72">
        <f t="shared" si="112"/>
        <v>341</v>
      </c>
      <c r="L512" s="180">
        <f t="shared" si="109"/>
        <v>450721.64008548058</v>
      </c>
      <c r="M512" s="181">
        <f t="shared" si="109"/>
        <v>24695.103713411776</v>
      </c>
      <c r="N512" s="180">
        <f t="shared" si="109"/>
        <v>1918.4617623147753</v>
      </c>
      <c r="O512" s="132">
        <f t="shared" si="104"/>
        <v>22776.641951097001</v>
      </c>
    </row>
    <row r="513" spans="1:15" x14ac:dyDescent="0.25">
      <c r="A513" s="72">
        <f t="shared" si="110"/>
        <v>342</v>
      </c>
      <c r="B513" s="183">
        <f t="shared" si="105"/>
        <v>388537.08166334784</v>
      </c>
      <c r="C513" s="184">
        <f>-'Retail &amp; Restaurant'!$E$98/12</f>
        <v>22449.880274367653</v>
      </c>
      <c r="D513" s="183">
        <f>'Retail &amp; Restaurant'!$E$96/12*B512</f>
        <v>1705.3400910278651</v>
      </c>
      <c r="E513" s="185">
        <f t="shared" si="106"/>
        <v>20744.540183339788</v>
      </c>
      <c r="F513" s="72">
        <f t="shared" si="111"/>
        <v>342</v>
      </c>
      <c r="G513" s="180">
        <f t="shared" si="107"/>
        <v>39315.661519611953</v>
      </c>
      <c r="H513" s="186">
        <f>-'Retail &amp; Restaurant'!$E$103/12</f>
        <v>2245.2234390441222</v>
      </c>
      <c r="I513" s="149">
        <f>'Retail &amp; Restaurant'!$E$101/12*G512</f>
        <v>120.86671986314606</v>
      </c>
      <c r="J513" s="187">
        <f t="shared" si="108"/>
        <v>2124.3567191809761</v>
      </c>
      <c r="K513" s="72">
        <f t="shared" si="112"/>
        <v>342</v>
      </c>
      <c r="L513" s="180">
        <f t="shared" si="109"/>
        <v>427852.74318295979</v>
      </c>
      <c r="M513" s="181">
        <f t="shared" si="109"/>
        <v>24695.103713411776</v>
      </c>
      <c r="N513" s="180">
        <f t="shared" si="109"/>
        <v>1826.2068108910112</v>
      </c>
      <c r="O513" s="132">
        <f t="shared" si="104"/>
        <v>22868.896902520763</v>
      </c>
    </row>
    <row r="514" spans="1:15" x14ac:dyDescent="0.25">
      <c r="A514" s="72">
        <f t="shared" si="110"/>
        <v>343</v>
      </c>
      <c r="B514" s="183">
        <f t="shared" si="105"/>
        <v>367706.10589591082</v>
      </c>
      <c r="C514" s="184">
        <f>-'Retail &amp; Restaurant'!$E$98/12</f>
        <v>22449.880274367653</v>
      </c>
      <c r="D514" s="183">
        <f>'Retail &amp; Restaurant'!$E$96/12*B513</f>
        <v>1618.904506930616</v>
      </c>
      <c r="E514" s="185">
        <f t="shared" si="106"/>
        <v>20830.975767437038</v>
      </c>
      <c r="F514" s="72">
        <f t="shared" si="111"/>
        <v>343</v>
      </c>
      <c r="G514" s="180">
        <f t="shared" si="107"/>
        <v>37185.108760000032</v>
      </c>
      <c r="H514" s="186">
        <f>-'Retail &amp; Restaurant'!$E$103/12</f>
        <v>2245.2234390441222</v>
      </c>
      <c r="I514" s="149">
        <f>'Retail &amp; Restaurant'!$E$101/12*G513</f>
        <v>114.67067943220154</v>
      </c>
      <c r="J514" s="187">
        <f t="shared" si="108"/>
        <v>2130.5527596119205</v>
      </c>
      <c r="K514" s="72">
        <f t="shared" si="112"/>
        <v>343</v>
      </c>
      <c r="L514" s="180">
        <f t="shared" si="109"/>
        <v>404891.21465591085</v>
      </c>
      <c r="M514" s="181">
        <f t="shared" si="109"/>
        <v>24695.103713411776</v>
      </c>
      <c r="N514" s="180">
        <f t="shared" si="109"/>
        <v>1733.5751863628175</v>
      </c>
      <c r="O514" s="132">
        <f t="shared" si="104"/>
        <v>22961.528527048958</v>
      </c>
    </row>
    <row r="515" spans="1:15" x14ac:dyDescent="0.25">
      <c r="A515" s="72">
        <f t="shared" si="110"/>
        <v>344</v>
      </c>
      <c r="B515" s="183">
        <f t="shared" si="105"/>
        <v>346788.33439610945</v>
      </c>
      <c r="C515" s="184">
        <f>-'Retail &amp; Restaurant'!$E$98/12</f>
        <v>22449.880274367653</v>
      </c>
      <c r="D515" s="183">
        <f>'Retail &amp; Restaurant'!$E$96/12*B514</f>
        <v>1532.1087745662951</v>
      </c>
      <c r="E515" s="185">
        <f t="shared" si="106"/>
        <v>20917.771499801358</v>
      </c>
      <c r="F515" s="72">
        <f t="shared" si="111"/>
        <v>344</v>
      </c>
      <c r="G515" s="180">
        <f t="shared" si="107"/>
        <v>35048.341888172574</v>
      </c>
      <c r="H515" s="186">
        <f>-'Retail &amp; Restaurant'!$E$103/12</f>
        <v>2245.2234390441222</v>
      </c>
      <c r="I515" s="149">
        <f>'Retail &amp; Restaurant'!$E$101/12*G514</f>
        <v>108.45656721666677</v>
      </c>
      <c r="J515" s="187">
        <f t="shared" si="108"/>
        <v>2136.7668718274554</v>
      </c>
      <c r="K515" s="72">
        <f t="shared" si="112"/>
        <v>344</v>
      </c>
      <c r="L515" s="180">
        <f t="shared" si="109"/>
        <v>381836.676284282</v>
      </c>
      <c r="M515" s="181">
        <f t="shared" si="109"/>
        <v>24695.103713411776</v>
      </c>
      <c r="N515" s="180">
        <f t="shared" si="109"/>
        <v>1640.5653417829619</v>
      </c>
      <c r="O515" s="132">
        <f t="shared" si="104"/>
        <v>23054.538371628812</v>
      </c>
    </row>
    <row r="516" spans="1:15" x14ac:dyDescent="0.25">
      <c r="A516" s="72">
        <f t="shared" si="110"/>
        <v>345</v>
      </c>
      <c r="B516" s="183">
        <f t="shared" si="105"/>
        <v>325783.4055150589</v>
      </c>
      <c r="C516" s="184">
        <f>-'Retail &amp; Restaurant'!$E$98/12</f>
        <v>22449.880274367653</v>
      </c>
      <c r="D516" s="183">
        <f>'Retail &amp; Restaurant'!$E$96/12*B515</f>
        <v>1444.9513933171227</v>
      </c>
      <c r="E516" s="185">
        <f t="shared" si="106"/>
        <v>21004.928881050531</v>
      </c>
      <c r="F516" s="72">
        <f t="shared" si="111"/>
        <v>345</v>
      </c>
      <c r="G516" s="180">
        <f t="shared" si="107"/>
        <v>32905.342779635619</v>
      </c>
      <c r="H516" s="186">
        <f>-'Retail &amp; Restaurant'!$E$103/12</f>
        <v>2245.2234390441222</v>
      </c>
      <c r="I516" s="149">
        <f>'Retail &amp; Restaurant'!$E$101/12*G515</f>
        <v>102.22433050717001</v>
      </c>
      <c r="J516" s="187">
        <f t="shared" si="108"/>
        <v>2142.999108536952</v>
      </c>
      <c r="K516" s="72">
        <f t="shared" si="112"/>
        <v>345</v>
      </c>
      <c r="L516" s="180">
        <f t="shared" si="109"/>
        <v>358688.74829469452</v>
      </c>
      <c r="M516" s="181">
        <f t="shared" si="109"/>
        <v>24695.103713411776</v>
      </c>
      <c r="N516" s="180">
        <f t="shared" si="109"/>
        <v>1547.1757238242926</v>
      </c>
      <c r="O516" s="132">
        <f t="shared" si="104"/>
        <v>23147.927989587482</v>
      </c>
    </row>
    <row r="517" spans="1:15" x14ac:dyDescent="0.25">
      <c r="A517" s="72">
        <f t="shared" si="110"/>
        <v>346</v>
      </c>
      <c r="B517" s="183">
        <f t="shared" si="105"/>
        <v>304690.956097004</v>
      </c>
      <c r="C517" s="184">
        <f>-'Retail &amp; Restaurant'!$E$98/12</f>
        <v>22449.880274367653</v>
      </c>
      <c r="D517" s="183">
        <f>'Retail &amp; Restaurant'!$E$96/12*B516</f>
        <v>1357.4308563127454</v>
      </c>
      <c r="E517" s="185">
        <f t="shared" si="106"/>
        <v>21092.449418054908</v>
      </c>
      <c r="F517" s="72">
        <f t="shared" si="111"/>
        <v>346</v>
      </c>
      <c r="G517" s="180">
        <f t="shared" si="107"/>
        <v>30756.093257032102</v>
      </c>
      <c r="H517" s="186">
        <f>-'Retail &amp; Restaurant'!$E$103/12</f>
        <v>2245.2234390441222</v>
      </c>
      <c r="I517" s="149">
        <f>'Retail &amp; Restaurant'!$E$101/12*G516</f>
        <v>95.973916440603887</v>
      </c>
      <c r="J517" s="187">
        <f t="shared" si="108"/>
        <v>2149.2495226035185</v>
      </c>
      <c r="K517" s="72">
        <f t="shared" si="112"/>
        <v>346</v>
      </c>
      <c r="L517" s="180">
        <f t="shared" si="109"/>
        <v>335447.04935403611</v>
      </c>
      <c r="M517" s="181">
        <f t="shared" si="109"/>
        <v>24695.103713411776</v>
      </c>
      <c r="N517" s="180">
        <f t="shared" si="109"/>
        <v>1453.4047727533493</v>
      </c>
      <c r="O517" s="132">
        <f t="shared" si="104"/>
        <v>23241.698940658425</v>
      </c>
    </row>
    <row r="518" spans="1:15" x14ac:dyDescent="0.25">
      <c r="A518" s="72">
        <f t="shared" si="110"/>
        <v>347</v>
      </c>
      <c r="B518" s="183">
        <f t="shared" si="105"/>
        <v>283510.62147304055</v>
      </c>
      <c r="C518" s="184">
        <f>-'Retail &amp; Restaurant'!$E$98/12</f>
        <v>22449.880274367653</v>
      </c>
      <c r="D518" s="183">
        <f>'Retail &amp; Restaurant'!$E$96/12*B517</f>
        <v>1269.5456504041833</v>
      </c>
      <c r="E518" s="185">
        <f t="shared" si="106"/>
        <v>21180.33462396347</v>
      </c>
      <c r="F518" s="72">
        <f t="shared" si="111"/>
        <v>347</v>
      </c>
      <c r="G518" s="180">
        <f t="shared" si="107"/>
        <v>28600.575089987658</v>
      </c>
      <c r="H518" s="186">
        <f>-'Retail &amp; Restaurant'!$E$103/12</f>
        <v>2245.2234390441222</v>
      </c>
      <c r="I518" s="149">
        <f>'Retail &amp; Restaurant'!$E$101/12*G517</f>
        <v>89.705271999676967</v>
      </c>
      <c r="J518" s="187">
        <f t="shared" si="108"/>
        <v>2155.5181670444454</v>
      </c>
      <c r="K518" s="72">
        <f t="shared" si="112"/>
        <v>347</v>
      </c>
      <c r="L518" s="180">
        <f t="shared" si="109"/>
        <v>312111.19656302821</v>
      </c>
      <c r="M518" s="181">
        <f t="shared" si="109"/>
        <v>24695.103713411776</v>
      </c>
      <c r="N518" s="180">
        <f t="shared" si="109"/>
        <v>1359.2509224038604</v>
      </c>
      <c r="O518" s="132">
        <f t="shared" si="104"/>
        <v>23335.852791007914</v>
      </c>
    </row>
    <row r="519" spans="1:15" x14ac:dyDescent="0.25">
      <c r="A519" s="72">
        <f t="shared" si="110"/>
        <v>348</v>
      </c>
      <c r="B519" s="183">
        <f t="shared" si="105"/>
        <v>262242.03545481054</v>
      </c>
      <c r="C519" s="184">
        <f>-'Retail &amp; Restaurant'!$E$98/12</f>
        <v>22449.880274367653</v>
      </c>
      <c r="D519" s="183">
        <f>'Retail &amp; Restaurant'!$E$96/12*B518</f>
        <v>1181.294256137669</v>
      </c>
      <c r="E519" s="185">
        <f t="shared" si="106"/>
        <v>21268.586018229984</v>
      </c>
      <c r="F519" s="72">
        <f t="shared" si="111"/>
        <v>348</v>
      </c>
      <c r="G519" s="180">
        <f t="shared" si="107"/>
        <v>26438.769994956001</v>
      </c>
      <c r="H519" s="186">
        <f>-'Retail &amp; Restaurant'!$E$103/12</f>
        <v>2245.2234390441222</v>
      </c>
      <c r="I519" s="149">
        <f>'Retail &amp; Restaurant'!$E$101/12*G518</f>
        <v>83.418344012464004</v>
      </c>
      <c r="J519" s="187">
        <f t="shared" si="108"/>
        <v>2161.8050950316583</v>
      </c>
      <c r="K519" s="72">
        <f t="shared" si="112"/>
        <v>348</v>
      </c>
      <c r="L519" s="180">
        <f t="shared" si="109"/>
        <v>288680.80544976651</v>
      </c>
      <c r="M519" s="181">
        <f t="shared" si="109"/>
        <v>24695.103713411776</v>
      </c>
      <c r="N519" s="180">
        <f t="shared" si="109"/>
        <v>1264.7126001501331</v>
      </c>
      <c r="O519" s="132">
        <f t="shared" si="104"/>
        <v>23430.391113261641</v>
      </c>
    </row>
    <row r="520" spans="1:15" x14ac:dyDescent="0.25">
      <c r="A520" s="72">
        <f t="shared" si="110"/>
        <v>349</v>
      </c>
      <c r="B520" s="183">
        <f t="shared" si="105"/>
        <v>240884.83032817126</v>
      </c>
      <c r="C520" s="184">
        <f>-'Retail &amp; Restaurant'!$E$98/12</f>
        <v>22449.880274367653</v>
      </c>
      <c r="D520" s="183">
        <f>'Retail &amp; Restaurant'!$E$96/12*B519</f>
        <v>1092.6751477283772</v>
      </c>
      <c r="E520" s="185">
        <f t="shared" si="106"/>
        <v>21357.205126639277</v>
      </c>
      <c r="F520" s="72">
        <f t="shared" si="111"/>
        <v>349</v>
      </c>
      <c r="G520" s="180">
        <f t="shared" si="107"/>
        <v>24270.659635063836</v>
      </c>
      <c r="H520" s="186">
        <f>-'Retail &amp; Restaurant'!$E$103/12</f>
        <v>2245.2234390441222</v>
      </c>
      <c r="I520" s="149">
        <f>'Retail &amp; Restaurant'!$E$101/12*G519</f>
        <v>77.113079151955006</v>
      </c>
      <c r="J520" s="187">
        <f t="shared" si="108"/>
        <v>2168.1103598921673</v>
      </c>
      <c r="K520" s="72">
        <f t="shared" si="112"/>
        <v>349</v>
      </c>
      <c r="L520" s="180">
        <f t="shared" si="109"/>
        <v>265155.4899632351</v>
      </c>
      <c r="M520" s="181">
        <f t="shared" si="109"/>
        <v>24695.103713411776</v>
      </c>
      <c r="N520" s="180">
        <f t="shared" si="109"/>
        <v>1169.7882268803321</v>
      </c>
      <c r="O520" s="132">
        <f t="shared" si="104"/>
        <v>23525.315486531443</v>
      </c>
    </row>
    <row r="521" spans="1:15" x14ac:dyDescent="0.25">
      <c r="A521" s="72">
        <f t="shared" si="110"/>
        <v>350</v>
      </c>
      <c r="B521" s="183">
        <f t="shared" si="105"/>
        <v>219438.63684683765</v>
      </c>
      <c r="C521" s="184">
        <f>-'Retail &amp; Restaurant'!$E$98/12</f>
        <v>22449.880274367653</v>
      </c>
      <c r="D521" s="183">
        <f>'Retail &amp; Restaurant'!$E$96/12*B520</f>
        <v>1003.6867930340469</v>
      </c>
      <c r="E521" s="185">
        <f t="shared" si="106"/>
        <v>21446.193481333605</v>
      </c>
      <c r="F521" s="72">
        <f t="shared" si="111"/>
        <v>350</v>
      </c>
      <c r="G521" s="180">
        <f t="shared" si="107"/>
        <v>22096.225619955316</v>
      </c>
      <c r="H521" s="186">
        <f>-'Retail &amp; Restaurant'!$E$103/12</f>
        <v>2245.2234390441222</v>
      </c>
      <c r="I521" s="149">
        <f>'Retail &amp; Restaurant'!$E$101/12*G520</f>
        <v>70.789423935602855</v>
      </c>
      <c r="J521" s="187">
        <f t="shared" si="108"/>
        <v>2174.4340151085194</v>
      </c>
      <c r="K521" s="72">
        <f t="shared" si="112"/>
        <v>350</v>
      </c>
      <c r="L521" s="180">
        <f t="shared" si="109"/>
        <v>241534.86246679295</v>
      </c>
      <c r="M521" s="181">
        <f t="shared" si="109"/>
        <v>24695.103713411776</v>
      </c>
      <c r="N521" s="180">
        <f t="shared" si="109"/>
        <v>1074.4762169696498</v>
      </c>
      <c r="O521" s="132">
        <f t="shared" si="104"/>
        <v>23620.627496442125</v>
      </c>
    </row>
    <row r="522" spans="1:15" x14ac:dyDescent="0.25">
      <c r="A522" s="72">
        <f t="shared" si="110"/>
        <v>351</v>
      </c>
      <c r="B522" s="183">
        <f t="shared" si="105"/>
        <v>197903.08422599849</v>
      </c>
      <c r="C522" s="184">
        <f>-'Retail &amp; Restaurant'!$E$98/12</f>
        <v>22449.880274367653</v>
      </c>
      <c r="D522" s="183">
        <f>'Retail &amp; Restaurant'!$E$96/12*B521</f>
        <v>914.32765352849015</v>
      </c>
      <c r="E522" s="185">
        <f t="shared" si="106"/>
        <v>21535.552620839164</v>
      </c>
      <c r="F522" s="72">
        <f t="shared" si="111"/>
        <v>351</v>
      </c>
      <c r="G522" s="180">
        <f t="shared" si="107"/>
        <v>19915.449505636065</v>
      </c>
      <c r="H522" s="186">
        <f>-'Retail &amp; Restaurant'!$E$103/12</f>
        <v>2245.2234390441222</v>
      </c>
      <c r="I522" s="149">
        <f>'Retail &amp; Restaurant'!$E$101/12*G521</f>
        <v>64.447324724869674</v>
      </c>
      <c r="J522" s="187">
        <f t="shared" si="108"/>
        <v>2180.7761143192524</v>
      </c>
      <c r="K522" s="72">
        <f t="shared" si="112"/>
        <v>351</v>
      </c>
      <c r="L522" s="180">
        <f t="shared" si="109"/>
        <v>217818.53373163455</v>
      </c>
      <c r="M522" s="181">
        <f t="shared" si="109"/>
        <v>24695.103713411776</v>
      </c>
      <c r="N522" s="180">
        <f t="shared" si="109"/>
        <v>978.77497825335979</v>
      </c>
      <c r="O522" s="132">
        <f t="shared" si="104"/>
        <v>23716.328735158415</v>
      </c>
    </row>
    <row r="523" spans="1:15" x14ac:dyDescent="0.25">
      <c r="A523" s="72">
        <f t="shared" si="110"/>
        <v>352</v>
      </c>
      <c r="B523" s="183">
        <f t="shared" si="105"/>
        <v>176277.80013590583</v>
      </c>
      <c r="C523" s="184">
        <f>-'Retail &amp; Restaurant'!$E$98/12</f>
        <v>22449.880274367653</v>
      </c>
      <c r="D523" s="183">
        <f>'Retail &amp; Restaurant'!$E$96/12*B522</f>
        <v>824.59618427499367</v>
      </c>
      <c r="E523" s="185">
        <f t="shared" si="106"/>
        <v>21625.28409009266</v>
      </c>
      <c r="F523" s="72">
        <f t="shared" si="111"/>
        <v>352</v>
      </c>
      <c r="G523" s="180">
        <f t="shared" si="107"/>
        <v>17728.312794316713</v>
      </c>
      <c r="H523" s="186">
        <f>-'Retail &amp; Restaurant'!$E$103/12</f>
        <v>2245.2234390441222</v>
      </c>
      <c r="I523" s="149">
        <f>'Retail &amp; Restaurant'!$E$101/12*G522</f>
        <v>58.086727724771855</v>
      </c>
      <c r="J523" s="187">
        <f t="shared" si="108"/>
        <v>2187.1367113193505</v>
      </c>
      <c r="K523" s="72">
        <f t="shared" si="112"/>
        <v>352</v>
      </c>
      <c r="L523" s="180">
        <f t="shared" si="109"/>
        <v>194006.11293022253</v>
      </c>
      <c r="M523" s="181">
        <f t="shared" si="109"/>
        <v>24695.103713411776</v>
      </c>
      <c r="N523" s="180">
        <f t="shared" si="109"/>
        <v>882.68291199976557</v>
      </c>
      <c r="O523" s="132">
        <f t="shared" si="104"/>
        <v>23812.420801412012</v>
      </c>
    </row>
    <row r="524" spans="1:15" x14ac:dyDescent="0.25">
      <c r="A524" s="72">
        <f t="shared" si="110"/>
        <v>353</v>
      </c>
      <c r="B524" s="183">
        <f t="shared" si="105"/>
        <v>154562.41069543778</v>
      </c>
      <c r="C524" s="184">
        <f>-'Retail &amp; Restaurant'!$E$98/12</f>
        <v>22449.880274367653</v>
      </c>
      <c r="D524" s="183">
        <f>'Retail &amp; Restaurant'!$E$96/12*B523</f>
        <v>734.49083389960765</v>
      </c>
      <c r="E524" s="185">
        <f t="shared" si="106"/>
        <v>21715.389440468047</v>
      </c>
      <c r="F524" s="72">
        <f t="shared" si="111"/>
        <v>353</v>
      </c>
      <c r="G524" s="180">
        <f t="shared" si="107"/>
        <v>15534.796934256014</v>
      </c>
      <c r="H524" s="186">
        <f>-'Retail &amp; Restaurant'!$E$103/12</f>
        <v>2245.2234390441222</v>
      </c>
      <c r="I524" s="149">
        <f>'Retail &amp; Restaurant'!$E$101/12*G523</f>
        <v>51.707578983423751</v>
      </c>
      <c r="J524" s="187">
        <f t="shared" si="108"/>
        <v>2193.5158600606983</v>
      </c>
      <c r="K524" s="72">
        <f t="shared" si="112"/>
        <v>353</v>
      </c>
      <c r="L524" s="180">
        <f t="shared" si="109"/>
        <v>170097.20762969379</v>
      </c>
      <c r="M524" s="181">
        <f t="shared" si="109"/>
        <v>24695.103713411776</v>
      </c>
      <c r="N524" s="180">
        <f t="shared" si="109"/>
        <v>786.19841288303144</v>
      </c>
      <c r="O524" s="132">
        <f t="shared" si="104"/>
        <v>23908.905300528746</v>
      </c>
    </row>
    <row r="525" spans="1:15" x14ac:dyDescent="0.25">
      <c r="A525" s="72">
        <f t="shared" si="110"/>
        <v>354</v>
      </c>
      <c r="B525" s="183">
        <f t="shared" si="105"/>
        <v>132756.54046563446</v>
      </c>
      <c r="C525" s="184">
        <f>-'Retail &amp; Restaurant'!$E$98/12</f>
        <v>22449.880274367653</v>
      </c>
      <c r="D525" s="183">
        <f>'Retail &amp; Restaurant'!$E$96/12*B524</f>
        <v>644.01004456432406</v>
      </c>
      <c r="E525" s="185">
        <f t="shared" si="106"/>
        <v>21805.870229803328</v>
      </c>
      <c r="F525" s="72">
        <f t="shared" si="111"/>
        <v>354</v>
      </c>
      <c r="G525" s="180">
        <f t="shared" si="107"/>
        <v>13334.883319603472</v>
      </c>
      <c r="H525" s="186">
        <f>-'Retail &amp; Restaurant'!$E$103/12</f>
        <v>2245.2234390441222</v>
      </c>
      <c r="I525" s="149">
        <f>'Retail &amp; Restaurant'!$E$101/12*G524</f>
        <v>45.309824391580044</v>
      </c>
      <c r="J525" s="187">
        <f t="shared" si="108"/>
        <v>2199.913614652542</v>
      </c>
      <c r="K525" s="72">
        <f t="shared" si="112"/>
        <v>354</v>
      </c>
      <c r="L525" s="180">
        <f t="shared" si="109"/>
        <v>146091.42378523794</v>
      </c>
      <c r="M525" s="181">
        <f t="shared" si="109"/>
        <v>24695.103713411776</v>
      </c>
      <c r="N525" s="180">
        <f t="shared" si="109"/>
        <v>689.3198689559041</v>
      </c>
      <c r="O525" s="132">
        <f t="shared" si="104"/>
        <v>24005.783844455869</v>
      </c>
    </row>
    <row r="526" spans="1:15" x14ac:dyDescent="0.25">
      <c r="A526" s="72">
        <f t="shared" si="110"/>
        <v>355</v>
      </c>
      <c r="B526" s="183">
        <f t="shared" si="105"/>
        <v>110859.81244320696</v>
      </c>
      <c r="C526" s="184">
        <f>-'Retail &amp; Restaurant'!$E$98/12</f>
        <v>22449.880274367653</v>
      </c>
      <c r="D526" s="183">
        <f>'Retail &amp; Restaurant'!$E$96/12*B525</f>
        <v>553.15225194014363</v>
      </c>
      <c r="E526" s="185">
        <f t="shared" si="106"/>
        <v>21896.728022427509</v>
      </c>
      <c r="F526" s="72">
        <f t="shared" si="111"/>
        <v>355</v>
      </c>
      <c r="G526" s="180">
        <f t="shared" si="107"/>
        <v>11128.553290241527</v>
      </c>
      <c r="H526" s="186">
        <f>-'Retail &amp; Restaurant'!$E$103/12</f>
        <v>2245.2234390441222</v>
      </c>
      <c r="I526" s="149">
        <f>'Retail &amp; Restaurant'!$E$101/12*G525</f>
        <v>38.893409682176795</v>
      </c>
      <c r="J526" s="187">
        <f t="shared" si="108"/>
        <v>2206.3300293619454</v>
      </c>
      <c r="K526" s="72">
        <f t="shared" si="112"/>
        <v>355</v>
      </c>
      <c r="L526" s="180">
        <f t="shared" si="109"/>
        <v>121988.36573344849</v>
      </c>
      <c r="M526" s="181">
        <f t="shared" si="109"/>
        <v>24695.103713411776</v>
      </c>
      <c r="N526" s="180">
        <f t="shared" si="109"/>
        <v>592.04566162232038</v>
      </c>
      <c r="O526" s="132">
        <f t="shared" si="104"/>
        <v>24103.058051789456</v>
      </c>
    </row>
    <row r="527" spans="1:15" x14ac:dyDescent="0.25">
      <c r="A527" s="72">
        <f t="shared" si="110"/>
        <v>356</v>
      </c>
      <c r="B527" s="183">
        <f t="shared" si="105"/>
        <v>88871.848054019327</v>
      </c>
      <c r="C527" s="184">
        <f>-'Retail &amp; Restaurant'!$E$98/12</f>
        <v>22449.880274367653</v>
      </c>
      <c r="D527" s="183">
        <f>'Retail &amp; Restaurant'!$E$96/12*B526</f>
        <v>461.91588518002897</v>
      </c>
      <c r="E527" s="185">
        <f t="shared" si="106"/>
        <v>21987.964389187626</v>
      </c>
      <c r="F527" s="72">
        <f t="shared" si="111"/>
        <v>356</v>
      </c>
      <c r="G527" s="180">
        <f t="shared" si="107"/>
        <v>8915.788131627276</v>
      </c>
      <c r="H527" s="186">
        <f>-'Retail &amp; Restaurant'!$E$103/12</f>
        <v>2245.2234390441222</v>
      </c>
      <c r="I527" s="149">
        <f>'Retail &amp; Restaurant'!$E$101/12*G526</f>
        <v>32.458280429871124</v>
      </c>
      <c r="J527" s="187">
        <f t="shared" si="108"/>
        <v>2212.765158614251</v>
      </c>
      <c r="K527" s="72">
        <f t="shared" si="112"/>
        <v>356</v>
      </c>
      <c r="L527" s="180">
        <f t="shared" si="109"/>
        <v>97787.63618564661</v>
      </c>
      <c r="M527" s="181">
        <f t="shared" si="109"/>
        <v>24695.103713411776</v>
      </c>
      <c r="N527" s="180">
        <f t="shared" si="109"/>
        <v>494.3741656099001</v>
      </c>
      <c r="O527" s="132">
        <f t="shared" si="104"/>
        <v>24200.729547801879</v>
      </c>
    </row>
    <row r="528" spans="1:15" x14ac:dyDescent="0.25">
      <c r="A528" s="72">
        <f t="shared" si="110"/>
        <v>357</v>
      </c>
      <c r="B528" s="183">
        <f t="shared" si="105"/>
        <v>66792.267146543425</v>
      </c>
      <c r="C528" s="184">
        <f>-'Retail &amp; Restaurant'!$E$98/12</f>
        <v>22449.880274367653</v>
      </c>
      <c r="D528" s="183">
        <f>'Retail &amp; Restaurant'!$E$96/12*B527</f>
        <v>370.29936689174718</v>
      </c>
      <c r="E528" s="185">
        <f t="shared" si="106"/>
        <v>22079.580907475905</v>
      </c>
      <c r="F528" s="72">
        <f t="shared" si="111"/>
        <v>357</v>
      </c>
      <c r="G528" s="180">
        <f t="shared" si="107"/>
        <v>6696.5690746337332</v>
      </c>
      <c r="H528" s="186">
        <f>-'Retail &amp; Restaurant'!$E$103/12</f>
        <v>2245.2234390441222</v>
      </c>
      <c r="I528" s="149">
        <f>'Retail &amp; Restaurant'!$E$101/12*G527</f>
        <v>26.004382050579558</v>
      </c>
      <c r="J528" s="187">
        <f t="shared" si="108"/>
        <v>2219.2190569935428</v>
      </c>
      <c r="K528" s="72">
        <f t="shared" si="112"/>
        <v>357</v>
      </c>
      <c r="L528" s="180">
        <f t="shared" si="109"/>
        <v>73488.83622117716</v>
      </c>
      <c r="M528" s="181">
        <f t="shared" si="109"/>
        <v>24695.103713411776</v>
      </c>
      <c r="N528" s="180">
        <f t="shared" si="109"/>
        <v>396.30374894232676</v>
      </c>
      <c r="O528" s="132">
        <f t="shared" si="104"/>
        <v>24298.79996446945</v>
      </c>
    </row>
    <row r="529" spans="1:15" x14ac:dyDescent="0.25">
      <c r="A529" s="72">
        <f t="shared" si="110"/>
        <v>358</v>
      </c>
      <c r="B529" s="183">
        <f t="shared" si="105"/>
        <v>44620.687985286364</v>
      </c>
      <c r="C529" s="184">
        <f>-'Retail &amp; Restaurant'!$E$98/12</f>
        <v>22449.880274367653</v>
      </c>
      <c r="D529" s="183">
        <f>'Retail &amp; Restaurant'!$E$96/12*B528</f>
        <v>278.30111311059761</v>
      </c>
      <c r="E529" s="185">
        <f t="shared" si="106"/>
        <v>22171.579161257057</v>
      </c>
      <c r="F529" s="72">
        <f t="shared" si="111"/>
        <v>358</v>
      </c>
      <c r="G529" s="180">
        <f t="shared" si="107"/>
        <v>4470.8772953906264</v>
      </c>
      <c r="H529" s="186">
        <f>-'Retail &amp; Restaurant'!$E$103/12</f>
        <v>2245.2234390441222</v>
      </c>
      <c r="I529" s="149">
        <f>'Retail &amp; Restaurant'!$E$101/12*G528</f>
        <v>19.531659801015056</v>
      </c>
      <c r="J529" s="187">
        <f t="shared" si="108"/>
        <v>2225.6917792431072</v>
      </c>
      <c r="K529" s="72">
        <f t="shared" si="112"/>
        <v>358</v>
      </c>
      <c r="L529" s="180">
        <f t="shared" si="109"/>
        <v>49091.565280676994</v>
      </c>
      <c r="M529" s="181">
        <f t="shared" si="109"/>
        <v>24695.103713411776</v>
      </c>
      <c r="N529" s="180">
        <f t="shared" si="109"/>
        <v>297.83277291161266</v>
      </c>
      <c r="O529" s="132">
        <f t="shared" si="104"/>
        <v>24397.270940500166</v>
      </c>
    </row>
    <row r="530" spans="1:15" x14ac:dyDescent="0.25">
      <c r="A530" s="72">
        <f t="shared" si="110"/>
        <v>359</v>
      </c>
      <c r="B530" s="183">
        <f t="shared" si="105"/>
        <v>22356.727244190737</v>
      </c>
      <c r="C530" s="184">
        <f>-'Retail &amp; Restaurant'!$E$98/12</f>
        <v>22449.880274367653</v>
      </c>
      <c r="D530" s="183">
        <f>'Retail &amp; Restaurant'!$E$96/12*B529</f>
        <v>185.91953327202651</v>
      </c>
      <c r="E530" s="185">
        <f t="shared" si="106"/>
        <v>22263.960741095627</v>
      </c>
      <c r="F530" s="72">
        <f t="shared" si="111"/>
        <v>359</v>
      </c>
      <c r="G530" s="180">
        <f t="shared" si="107"/>
        <v>2238.693915124727</v>
      </c>
      <c r="H530" s="186">
        <f>-'Retail &amp; Restaurant'!$E$103/12</f>
        <v>2245.2234390441222</v>
      </c>
      <c r="I530" s="149">
        <f>'Retail &amp; Restaurant'!$E$101/12*G529</f>
        <v>13.040058778222662</v>
      </c>
      <c r="J530" s="187">
        <f t="shared" si="108"/>
        <v>2232.1833802658994</v>
      </c>
      <c r="K530" s="72">
        <f t="shared" si="112"/>
        <v>359</v>
      </c>
      <c r="L530" s="180">
        <f t="shared" si="109"/>
        <v>24595.421159315465</v>
      </c>
      <c r="M530" s="181">
        <f t="shared" si="109"/>
        <v>24695.103713411776</v>
      </c>
      <c r="N530" s="180">
        <f t="shared" si="109"/>
        <v>198.95959205024917</v>
      </c>
      <c r="O530" s="132">
        <f t="shared" si="104"/>
        <v>24496.144121361525</v>
      </c>
    </row>
    <row r="531" spans="1:15" ht="16.5" thickBot="1" x14ac:dyDescent="0.3">
      <c r="A531" s="73">
        <f t="shared" si="110"/>
        <v>360</v>
      </c>
      <c r="B531" s="191">
        <f t="shared" si="105"/>
        <v>7.2104739956557751E-9</v>
      </c>
      <c r="C531" s="192">
        <f>-'Retail &amp; Restaurant'!$E$98/12</f>
        <v>22449.880274367653</v>
      </c>
      <c r="D531" s="191">
        <f>'Retail &amp; Restaurant'!$E$96/12*B530</f>
        <v>93.15303018412807</v>
      </c>
      <c r="E531" s="193">
        <f t="shared" si="106"/>
        <v>22356.727244183527</v>
      </c>
      <c r="F531" s="73">
        <f t="shared" si="111"/>
        <v>360</v>
      </c>
      <c r="G531" s="188">
        <f t="shared" si="107"/>
        <v>-2.8148861019872129E-10</v>
      </c>
      <c r="H531" s="194">
        <f>-'Retail &amp; Restaurant'!$E$103/12</f>
        <v>2245.2234390441222</v>
      </c>
      <c r="I531" s="195">
        <f>'Retail &amp; Restaurant'!$E$101/12*G530</f>
        <v>6.529523919113787</v>
      </c>
      <c r="J531" s="196">
        <f t="shared" si="108"/>
        <v>2238.6939151250085</v>
      </c>
      <c r="K531" s="73">
        <f t="shared" si="112"/>
        <v>360</v>
      </c>
      <c r="L531" s="188">
        <f t="shared" si="109"/>
        <v>6.9289853854570538E-9</v>
      </c>
      <c r="M531" s="189">
        <f t="shared" si="109"/>
        <v>24695.103713411776</v>
      </c>
      <c r="N531" s="188">
        <f t="shared" si="109"/>
        <v>99.682554103241856</v>
      </c>
      <c r="O531" s="190">
        <f t="shared" si="104"/>
        <v>24595.421159308535</v>
      </c>
    </row>
  </sheetData>
  <sortState ref="I90:I91">
    <sortCondition ref="I87"/>
  </sortState>
  <pageMargins left="0" right="0" top="0" bottom="0" header="0" footer="0"/>
  <pageSetup scale="55"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28"/>
  <sheetViews>
    <sheetView zoomScale="70" zoomScaleNormal="70" zoomScalePageLayoutView="70" workbookViewId="0"/>
  </sheetViews>
  <sheetFormatPr defaultColWidth="8.85546875" defaultRowHeight="15.75" x14ac:dyDescent="0.25"/>
  <cols>
    <col min="1" max="1" width="17.28515625" style="11" customWidth="1"/>
    <col min="2" max="2" width="25.5703125" style="11" customWidth="1"/>
    <col min="3" max="3" width="23.140625" style="11" customWidth="1"/>
    <col min="4" max="4" width="21.42578125" style="11" customWidth="1"/>
    <col min="5" max="5" width="17.85546875" style="11" customWidth="1"/>
    <col min="6" max="6" width="17" style="11" customWidth="1"/>
    <col min="7" max="7" width="14.85546875" style="11" customWidth="1"/>
    <col min="8" max="8" width="13.42578125" style="11" customWidth="1"/>
    <col min="9" max="9" width="13.28515625" style="11" customWidth="1"/>
    <col min="10" max="10" width="15" style="11" customWidth="1"/>
    <col min="11" max="11" width="13.42578125" style="11" customWidth="1"/>
    <col min="12" max="12" width="14.42578125" style="11" customWidth="1"/>
    <col min="13" max="13" width="14.140625" style="11" customWidth="1"/>
    <col min="14" max="14" width="14.85546875" style="11" customWidth="1"/>
    <col min="15" max="15" width="16.28515625" style="11" customWidth="1"/>
    <col min="16" max="16" width="14.7109375" style="11" customWidth="1"/>
    <col min="17" max="17" width="14.140625" style="11" customWidth="1"/>
    <col min="18" max="18" width="16.42578125" style="11" customWidth="1"/>
    <col min="19" max="21" width="14.28515625" style="11" customWidth="1"/>
    <col min="22" max="22" width="17.140625" style="11" customWidth="1"/>
    <col min="23" max="23" width="15.710937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6.855468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545</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431</v>
      </c>
      <c r="I4" s="114"/>
      <c r="J4" s="114"/>
      <c r="K4" s="114"/>
      <c r="L4" s="463">
        <f>C25</f>
        <v>34700000</v>
      </c>
      <c r="M4" s="336"/>
      <c r="S4" s="39"/>
      <c r="Y4" s="39"/>
      <c r="Z4" s="39"/>
      <c r="AA4" s="39"/>
    </row>
    <row r="5" spans="1:27" x14ac:dyDescent="0.25">
      <c r="A5" s="67" t="s">
        <v>37</v>
      </c>
      <c r="B5" s="65"/>
      <c r="C5" s="65"/>
      <c r="D5" s="310">
        <v>0.1</v>
      </c>
      <c r="E5" s="311">
        <f>G127</f>
        <v>0.27590035966426479</v>
      </c>
      <c r="F5" s="290"/>
      <c r="G5" s="336"/>
      <c r="H5" s="17" t="s">
        <v>38</v>
      </c>
      <c r="I5" s="18"/>
      <c r="J5" s="18"/>
      <c r="K5" s="18"/>
      <c r="L5" s="134">
        <f>H73</f>
        <v>0</v>
      </c>
    </row>
    <row r="6" spans="1:27" x14ac:dyDescent="0.25">
      <c r="A6" s="17" t="s">
        <v>416</v>
      </c>
      <c r="B6" s="18"/>
      <c r="C6" s="18"/>
      <c r="D6" s="247">
        <v>0.12</v>
      </c>
      <c r="E6" s="312">
        <f>IF($C$11=10,N140,IF($C$11=15,S140,IF($C$11=20,X140,IF($C$11=25,AC140,IF($C$11=30,AH140)))))</f>
        <v>0.19155661109885491</v>
      </c>
      <c r="F6" s="313">
        <f>IF($C$11=10,N141,IF($C$11=15,S141,IF($C$11=20,X141,IF($C$11=25,AC141,IF($C$11=30,AH141)))))</f>
        <v>17067766.3602762</v>
      </c>
      <c r="H6" s="17" t="s">
        <v>39</v>
      </c>
      <c r="I6" s="24"/>
      <c r="J6" s="24"/>
      <c r="K6" s="24"/>
      <c r="L6" s="134">
        <f>H47</f>
        <v>0</v>
      </c>
    </row>
    <row r="7" spans="1:27" x14ac:dyDescent="0.25">
      <c r="A7" s="17" t="s">
        <v>417</v>
      </c>
      <c r="B7" s="18"/>
      <c r="C7" s="18"/>
      <c r="D7" s="247">
        <v>0.25</v>
      </c>
      <c r="E7" s="312">
        <f>IF($C$11=10,N148,IF($C$11=15,S148,IF($C$11=20,X148,IF($C$11=25,AC148,IF($C$11=30,AH148)))))</f>
        <v>0.34198677630517316</v>
      </c>
      <c r="F7" s="313">
        <f>IF($C$11=10,N149,IF($C$11=15,S149,IF($C$11=20,X149,IF($C$11=25,AC149,IF($C$11=30,AH149)))))</f>
        <v>6004021.4916217178</v>
      </c>
      <c r="G7" s="336"/>
      <c r="H7" s="17" t="s">
        <v>40</v>
      </c>
      <c r="I7" s="24"/>
      <c r="J7" s="24"/>
      <c r="K7" s="24"/>
      <c r="L7" s="134">
        <f>H53</f>
        <v>2000000</v>
      </c>
    </row>
    <row r="8" spans="1:27" x14ac:dyDescent="0.25">
      <c r="A8" s="17" t="s">
        <v>24</v>
      </c>
      <c r="B8" s="18"/>
      <c r="C8" s="18"/>
      <c r="D8" s="100">
        <v>1.25</v>
      </c>
      <c r="E8" s="33">
        <f>G121/G123</f>
        <v>4.1348212989077791</v>
      </c>
      <c r="F8" s="34"/>
      <c r="H8" s="17" t="s">
        <v>533</v>
      </c>
      <c r="I8" s="24"/>
      <c r="J8" s="27"/>
      <c r="K8" s="27"/>
      <c r="L8" s="28">
        <f>SUM(L5:L7)</f>
        <v>2000000</v>
      </c>
      <c r="P8" s="272"/>
    </row>
    <row r="9" spans="1:27" ht="16.5" thickBot="1" x14ac:dyDescent="0.3">
      <c r="A9" s="35" t="s">
        <v>418</v>
      </c>
      <c r="B9" s="36"/>
      <c r="C9" s="36"/>
      <c r="D9" s="37">
        <f>L98</f>
        <v>7.4999999999999997E-2</v>
      </c>
      <c r="E9" s="314">
        <f>IF($C$11=10,N161,IF($C$11=15,S161,IF($C$11=20,X161,IF($C$11=25,AC161,IF($C$11=30,AH161)))))</f>
        <v>0.11899987744893803</v>
      </c>
      <c r="F9" s="315">
        <f>IF($C$11=10,N162,IF($C$11=15,S162,IF($C$11=20,X162,IF($C$11=25,AC162,IF($C$11=30,AH162)))))</f>
        <v>1257371.8980273325</v>
      </c>
      <c r="H9" s="29" t="s">
        <v>432</v>
      </c>
      <c r="I9" s="30"/>
      <c r="J9" s="31"/>
      <c r="K9" s="31"/>
      <c r="L9" s="32">
        <f>L4-L8</f>
        <v>32700000</v>
      </c>
    </row>
    <row r="10" spans="1:27" ht="16.5" thickBot="1" x14ac:dyDescent="0.3">
      <c r="F10" s="38"/>
      <c r="G10" s="38"/>
      <c r="U10" s="23"/>
      <c r="V10" s="263"/>
    </row>
    <row r="11" spans="1:27" ht="16.5" thickBot="1" x14ac:dyDescent="0.3">
      <c r="A11" s="829" t="s">
        <v>427</v>
      </c>
      <c r="B11" s="304"/>
      <c r="C11" s="305">
        <v>10</v>
      </c>
      <c r="D11" s="166" t="s">
        <v>555</v>
      </c>
      <c r="E11" s="38"/>
      <c r="H11" s="344" t="s">
        <v>457</v>
      </c>
      <c r="I11" s="12"/>
      <c r="J11" s="12"/>
      <c r="K11" s="12"/>
      <c r="L11" s="13"/>
      <c r="U11" s="23"/>
      <c r="V11" s="263"/>
    </row>
    <row r="12" spans="1:27" ht="16.5" thickBot="1" x14ac:dyDescent="0.3">
      <c r="H12" s="40" t="s">
        <v>42</v>
      </c>
      <c r="I12" s="15"/>
      <c r="J12" s="15"/>
      <c r="K12" s="15"/>
      <c r="L12" s="246">
        <v>2.5000000000000001E-3</v>
      </c>
      <c r="U12" s="23"/>
      <c r="V12" s="263"/>
    </row>
    <row r="13" spans="1:27" ht="16.5" thickBot="1" x14ac:dyDescent="0.3">
      <c r="A13" s="43" t="s">
        <v>409</v>
      </c>
      <c r="B13" s="51"/>
      <c r="C13" s="359" t="s">
        <v>407</v>
      </c>
      <c r="H13" s="50" t="s">
        <v>131</v>
      </c>
      <c r="I13" s="44"/>
      <c r="J13" s="44"/>
      <c r="K13" s="15"/>
      <c r="L13" s="246">
        <v>2.5000000000000001E-3</v>
      </c>
      <c r="U13" s="23"/>
      <c r="V13" s="263"/>
    </row>
    <row r="14" spans="1:27" ht="16.5" thickBot="1" x14ac:dyDescent="0.3">
      <c r="A14" s="414" t="s">
        <v>408</v>
      </c>
      <c r="B14" s="128"/>
      <c r="C14" s="415">
        <v>0</v>
      </c>
      <c r="D14" s="166" t="s">
        <v>525</v>
      </c>
      <c r="H14" s="43" t="s">
        <v>61</v>
      </c>
      <c r="I14" s="76" t="s">
        <v>81</v>
      </c>
      <c r="J14" s="77" t="s">
        <v>82</v>
      </c>
      <c r="K14" s="77" t="s">
        <v>83</v>
      </c>
      <c r="L14" s="78" t="s">
        <v>84</v>
      </c>
      <c r="U14" s="23"/>
      <c r="V14" s="263"/>
    </row>
    <row r="15" spans="1:27" x14ac:dyDescent="0.25">
      <c r="A15" s="416" t="s">
        <v>528</v>
      </c>
      <c r="B15" s="58"/>
      <c r="C15" s="411"/>
      <c r="H15" s="335" t="s">
        <v>85</v>
      </c>
      <c r="I15" s="310">
        <v>0</v>
      </c>
      <c r="J15" s="310">
        <v>0</v>
      </c>
      <c r="K15" s="363">
        <v>0</v>
      </c>
      <c r="L15" s="364">
        <v>0</v>
      </c>
      <c r="U15" s="23"/>
      <c r="V15" s="263"/>
    </row>
    <row r="16" spans="1:27" x14ac:dyDescent="0.25">
      <c r="A16" s="72" t="s">
        <v>423</v>
      </c>
      <c r="B16" s="24"/>
      <c r="C16" s="252">
        <v>30000000</v>
      </c>
      <c r="D16" s="166" t="s">
        <v>521</v>
      </c>
      <c r="H16" s="72" t="s">
        <v>86</v>
      </c>
      <c r="I16" s="247">
        <v>0</v>
      </c>
      <c r="J16" s="247">
        <v>0</v>
      </c>
      <c r="K16" s="243">
        <v>0</v>
      </c>
      <c r="L16" s="252">
        <v>0</v>
      </c>
      <c r="U16" s="23"/>
      <c r="V16" s="263"/>
    </row>
    <row r="17" spans="1:22" x14ac:dyDescent="0.25">
      <c r="A17" s="72" t="s">
        <v>384</v>
      </c>
      <c r="B17" s="24"/>
      <c r="C17" s="252"/>
      <c r="H17" s="72" t="s">
        <v>87</v>
      </c>
      <c r="I17" s="247">
        <v>0</v>
      </c>
      <c r="J17" s="247">
        <v>0</v>
      </c>
      <c r="K17" s="243">
        <v>0</v>
      </c>
      <c r="L17" s="252">
        <v>0</v>
      </c>
      <c r="U17" s="23"/>
      <c r="V17" s="263"/>
    </row>
    <row r="18" spans="1:22" x14ac:dyDescent="0.25">
      <c r="A18" s="72" t="s">
        <v>389</v>
      </c>
      <c r="B18" s="24"/>
      <c r="C18" s="252">
        <v>500000</v>
      </c>
      <c r="D18" s="166" t="s">
        <v>521</v>
      </c>
      <c r="H18" s="72" t="s">
        <v>88</v>
      </c>
      <c r="I18" s="247">
        <v>0</v>
      </c>
      <c r="J18" s="247">
        <v>0</v>
      </c>
      <c r="K18" s="243">
        <v>0</v>
      </c>
      <c r="L18" s="252">
        <v>0</v>
      </c>
      <c r="U18" s="23"/>
      <c r="V18" s="263"/>
    </row>
    <row r="19" spans="1:22" x14ac:dyDescent="0.25">
      <c r="A19" s="72" t="s">
        <v>385</v>
      </c>
      <c r="B19" s="24"/>
      <c r="C19" s="252">
        <v>500000</v>
      </c>
      <c r="D19" s="166" t="s">
        <v>521</v>
      </c>
      <c r="H19" s="72" t="s">
        <v>89</v>
      </c>
      <c r="I19" s="247">
        <v>0</v>
      </c>
      <c r="J19" s="247">
        <v>0</v>
      </c>
      <c r="K19" s="243">
        <v>0</v>
      </c>
      <c r="L19" s="252">
        <v>0</v>
      </c>
      <c r="U19" s="23"/>
      <c r="V19" s="263"/>
    </row>
    <row r="20" spans="1:22" x14ac:dyDescent="0.25">
      <c r="A20" s="72" t="s">
        <v>386</v>
      </c>
      <c r="B20" s="24"/>
      <c r="C20" s="252">
        <v>1000000</v>
      </c>
      <c r="D20" s="166" t="s">
        <v>521</v>
      </c>
      <c r="H20" s="72" t="s">
        <v>90</v>
      </c>
      <c r="I20" s="247">
        <v>0</v>
      </c>
      <c r="J20" s="247">
        <v>0</v>
      </c>
      <c r="K20" s="243">
        <v>0</v>
      </c>
      <c r="L20" s="252">
        <v>0</v>
      </c>
      <c r="U20" s="23"/>
      <c r="V20" s="263"/>
    </row>
    <row r="21" spans="1:22" x14ac:dyDescent="0.25">
      <c r="A21" s="72" t="s">
        <v>387</v>
      </c>
      <c r="B21" s="24"/>
      <c r="C21" s="252">
        <v>500000</v>
      </c>
      <c r="D21" s="166" t="s">
        <v>521</v>
      </c>
      <c r="H21" s="72" t="s">
        <v>91</v>
      </c>
      <c r="I21" s="247">
        <v>0</v>
      </c>
      <c r="J21" s="247">
        <v>0</v>
      </c>
      <c r="K21" s="243">
        <v>0</v>
      </c>
      <c r="L21" s="252">
        <v>0</v>
      </c>
      <c r="U21" s="23"/>
      <c r="V21" s="263"/>
    </row>
    <row r="22" spans="1:22" x14ac:dyDescent="0.25">
      <c r="A22" s="72" t="s">
        <v>388</v>
      </c>
      <c r="B22" s="24"/>
      <c r="C22" s="252">
        <v>200000</v>
      </c>
      <c r="D22" s="166" t="s">
        <v>521</v>
      </c>
      <c r="H22" s="72" t="s">
        <v>92</v>
      </c>
      <c r="I22" s="247">
        <v>0</v>
      </c>
      <c r="J22" s="247">
        <v>0</v>
      </c>
      <c r="K22" s="243">
        <v>0</v>
      </c>
      <c r="L22" s="252">
        <v>0</v>
      </c>
      <c r="U22" s="23"/>
      <c r="V22" s="263"/>
    </row>
    <row r="23" spans="1:22" x14ac:dyDescent="0.25">
      <c r="A23" s="72" t="s">
        <v>390</v>
      </c>
      <c r="B23" s="24"/>
      <c r="C23" s="134">
        <f>SUM(C18:C22)</f>
        <v>2700000</v>
      </c>
      <c r="H23" s="72" t="s">
        <v>93</v>
      </c>
      <c r="I23" s="247">
        <v>0</v>
      </c>
      <c r="J23" s="247">
        <v>0</v>
      </c>
      <c r="K23" s="243">
        <v>0</v>
      </c>
      <c r="L23" s="252">
        <v>0</v>
      </c>
      <c r="U23" s="23"/>
      <c r="V23" s="263"/>
    </row>
    <row r="24" spans="1:22" x14ac:dyDescent="0.25">
      <c r="A24" s="413" t="s">
        <v>398</v>
      </c>
      <c r="B24" s="27"/>
      <c r="C24" s="252">
        <v>2000000</v>
      </c>
      <c r="D24" s="166" t="s">
        <v>521</v>
      </c>
      <c r="H24" s="72" t="s">
        <v>94</v>
      </c>
      <c r="I24" s="247">
        <v>0</v>
      </c>
      <c r="J24" s="247">
        <v>0</v>
      </c>
      <c r="K24" s="243">
        <v>0</v>
      </c>
      <c r="L24" s="252">
        <v>0</v>
      </c>
      <c r="U24" s="23"/>
      <c r="V24" s="263"/>
    </row>
    <row r="25" spans="1:22" x14ac:dyDescent="0.25">
      <c r="A25" s="418" t="s">
        <v>44</v>
      </c>
      <c r="B25" s="27"/>
      <c r="C25" s="412">
        <f>IF(C14&gt;0,C14,C16+C23+C24)</f>
        <v>34700000</v>
      </c>
      <c r="H25" s="72" t="s">
        <v>239</v>
      </c>
      <c r="I25" s="247">
        <v>0</v>
      </c>
      <c r="J25" s="247">
        <v>0</v>
      </c>
      <c r="K25" s="243">
        <v>0</v>
      </c>
      <c r="L25" s="252">
        <v>0</v>
      </c>
      <c r="U25" s="23"/>
      <c r="V25" s="263"/>
    </row>
    <row r="26" spans="1:22" x14ac:dyDescent="0.25">
      <c r="A26" s="49" t="s">
        <v>533</v>
      </c>
      <c r="B26" s="24"/>
      <c r="C26" s="827">
        <f>L8</f>
        <v>2000000</v>
      </c>
      <c r="D26" s="166" t="s">
        <v>532</v>
      </c>
      <c r="H26" s="72" t="s">
        <v>240</v>
      </c>
      <c r="I26" s="247">
        <v>0</v>
      </c>
      <c r="J26" s="247">
        <v>0</v>
      </c>
      <c r="K26" s="243">
        <v>0</v>
      </c>
      <c r="L26" s="252">
        <v>0</v>
      </c>
      <c r="U26" s="23"/>
      <c r="V26" s="263"/>
    </row>
    <row r="27" spans="1:22" ht="16.5" thickBot="1" x14ac:dyDescent="0.3">
      <c r="A27" s="118" t="s">
        <v>534</v>
      </c>
      <c r="B27" s="36"/>
      <c r="C27" s="421">
        <f>C25-C26</f>
        <v>32700000</v>
      </c>
      <c r="D27" s="336"/>
      <c r="H27" s="72" t="s">
        <v>241</v>
      </c>
      <c r="I27" s="247">
        <v>0</v>
      </c>
      <c r="J27" s="247">
        <v>0</v>
      </c>
      <c r="K27" s="243">
        <v>0</v>
      </c>
      <c r="L27" s="252">
        <v>0</v>
      </c>
      <c r="U27" s="23"/>
      <c r="V27" s="263"/>
    </row>
    <row r="28" spans="1:22" ht="16.5" thickBot="1" x14ac:dyDescent="0.3">
      <c r="H28" s="72" t="s">
        <v>242</v>
      </c>
      <c r="I28" s="247">
        <v>0</v>
      </c>
      <c r="J28" s="247">
        <v>0</v>
      </c>
      <c r="K28" s="243">
        <v>0</v>
      </c>
      <c r="L28" s="252">
        <v>0</v>
      </c>
      <c r="U28" s="23"/>
      <c r="V28" s="263"/>
    </row>
    <row r="29" spans="1:22" ht="16.5" thickBot="1" x14ac:dyDescent="0.3">
      <c r="A29" s="43" t="s">
        <v>400</v>
      </c>
      <c r="B29" s="51"/>
      <c r="C29" s="53"/>
      <c r="H29" s="72" t="s">
        <v>243</v>
      </c>
      <c r="I29" s="247">
        <v>0</v>
      </c>
      <c r="J29" s="247">
        <v>0</v>
      </c>
      <c r="K29" s="243">
        <v>0</v>
      </c>
      <c r="L29" s="252">
        <v>0</v>
      </c>
      <c r="U29" s="23"/>
      <c r="V29" s="263"/>
    </row>
    <row r="30" spans="1:22" x14ac:dyDescent="0.25">
      <c r="A30" s="54" t="s">
        <v>459</v>
      </c>
      <c r="B30" s="24"/>
      <c r="C30" s="422">
        <v>200</v>
      </c>
      <c r="H30" s="72" t="s">
        <v>244</v>
      </c>
      <c r="I30" s="247">
        <v>0</v>
      </c>
      <c r="J30" s="247">
        <v>0</v>
      </c>
      <c r="K30" s="243">
        <v>0</v>
      </c>
      <c r="L30" s="252">
        <v>0</v>
      </c>
      <c r="U30" s="23"/>
      <c r="V30" s="263"/>
    </row>
    <row r="31" spans="1:22" x14ac:dyDescent="0.25">
      <c r="A31" s="54" t="s">
        <v>391</v>
      </c>
      <c r="B31" s="24"/>
      <c r="C31" s="424">
        <v>2</v>
      </c>
      <c r="H31" s="72" t="s">
        <v>245</v>
      </c>
      <c r="I31" s="247">
        <v>0</v>
      </c>
      <c r="J31" s="247">
        <v>0</v>
      </c>
      <c r="K31" s="243">
        <v>0</v>
      </c>
      <c r="L31" s="252">
        <v>0</v>
      </c>
      <c r="U31" s="23"/>
      <c r="V31" s="263"/>
    </row>
    <row r="32" spans="1:22" x14ac:dyDescent="0.25">
      <c r="A32" s="54" t="s">
        <v>392</v>
      </c>
      <c r="B32" s="24"/>
      <c r="C32" s="425">
        <f>C30/C31</f>
        <v>100</v>
      </c>
      <c r="H32" s="72" t="s">
        <v>246</v>
      </c>
      <c r="I32" s="247">
        <v>0</v>
      </c>
      <c r="J32" s="247">
        <v>0</v>
      </c>
      <c r="K32" s="243">
        <v>0</v>
      </c>
      <c r="L32" s="252">
        <v>0</v>
      </c>
      <c r="U32" s="23"/>
      <c r="V32" s="263"/>
    </row>
    <row r="33" spans="1:22" x14ac:dyDescent="0.25">
      <c r="A33" s="54" t="s">
        <v>383</v>
      </c>
      <c r="B33" s="24"/>
      <c r="C33" s="422">
        <v>800</v>
      </c>
      <c r="H33" s="72" t="s">
        <v>247</v>
      </c>
      <c r="I33" s="247">
        <v>0</v>
      </c>
      <c r="J33" s="247">
        <v>0</v>
      </c>
      <c r="K33" s="243">
        <v>0</v>
      </c>
      <c r="L33" s="252">
        <v>0</v>
      </c>
      <c r="U33" s="23"/>
      <c r="V33" s="263"/>
    </row>
    <row r="34" spans="1:22" x14ac:dyDescent="0.25">
      <c r="A34" s="72" t="s">
        <v>50</v>
      </c>
      <c r="B34" s="24"/>
      <c r="C34" s="479">
        <f>C30*C33</f>
        <v>160000</v>
      </c>
      <c r="H34" s="72" t="s">
        <v>248</v>
      </c>
      <c r="I34" s="247">
        <v>0</v>
      </c>
      <c r="J34" s="247">
        <v>0</v>
      </c>
      <c r="K34" s="243">
        <v>0</v>
      </c>
      <c r="L34" s="252">
        <v>0</v>
      </c>
      <c r="U34" s="23"/>
      <c r="V34" s="263"/>
    </row>
    <row r="35" spans="1:22" ht="16.5" thickBot="1" x14ac:dyDescent="0.3">
      <c r="A35" s="73" t="s">
        <v>393</v>
      </c>
      <c r="B35" s="36"/>
      <c r="C35" s="427">
        <f>C34/(C31*43560)</f>
        <v>1.8365472910927456</v>
      </c>
      <c r="H35" s="72" t="s">
        <v>249</v>
      </c>
      <c r="I35" s="247">
        <v>0</v>
      </c>
      <c r="J35" s="247">
        <v>0</v>
      </c>
      <c r="K35" s="243">
        <v>0</v>
      </c>
      <c r="L35" s="252">
        <v>0</v>
      </c>
      <c r="U35" s="23"/>
      <c r="V35" s="263"/>
    </row>
    <row r="36" spans="1:22" ht="16.5" thickBot="1" x14ac:dyDescent="0.3">
      <c r="E36" s="39"/>
      <c r="H36" s="72" t="s">
        <v>250</v>
      </c>
      <c r="I36" s="247">
        <v>0</v>
      </c>
      <c r="J36" s="247">
        <v>0</v>
      </c>
      <c r="K36" s="243">
        <v>0</v>
      </c>
      <c r="L36" s="252">
        <v>0</v>
      </c>
      <c r="U36" s="23"/>
      <c r="V36" s="263"/>
    </row>
    <row r="37" spans="1:22" ht="16.5" thickBot="1" x14ac:dyDescent="0.3">
      <c r="A37" s="43" t="s">
        <v>397</v>
      </c>
      <c r="B37" s="44"/>
      <c r="C37" s="45"/>
      <c r="E37" s="39"/>
      <c r="H37" s="72" t="s">
        <v>251</v>
      </c>
      <c r="I37" s="247">
        <v>0</v>
      </c>
      <c r="J37" s="247">
        <v>0</v>
      </c>
      <c r="K37" s="243">
        <v>0</v>
      </c>
      <c r="L37" s="252">
        <v>0</v>
      </c>
      <c r="U37" s="23"/>
      <c r="V37" s="263"/>
    </row>
    <row r="38" spans="1:22" x14ac:dyDescent="0.25">
      <c r="A38" s="72" t="s">
        <v>136</v>
      </c>
      <c r="B38" s="24"/>
      <c r="C38" s="364">
        <v>145</v>
      </c>
      <c r="E38" s="39"/>
      <c r="H38" s="72" t="s">
        <v>252</v>
      </c>
      <c r="I38" s="247">
        <v>0</v>
      </c>
      <c r="J38" s="247">
        <v>0</v>
      </c>
      <c r="K38" s="243">
        <v>0</v>
      </c>
      <c r="L38" s="252">
        <v>0</v>
      </c>
      <c r="U38" s="23"/>
      <c r="V38" s="263"/>
    </row>
    <row r="39" spans="1:22" x14ac:dyDescent="0.25">
      <c r="A39" s="72" t="s">
        <v>429</v>
      </c>
      <c r="B39" s="18"/>
      <c r="C39" s="835">
        <v>0.05</v>
      </c>
      <c r="E39" s="39"/>
      <c r="H39" s="72" t="s">
        <v>253</v>
      </c>
      <c r="I39" s="247">
        <v>0</v>
      </c>
      <c r="J39" s="247">
        <v>0</v>
      </c>
      <c r="K39" s="243">
        <v>0</v>
      </c>
      <c r="L39" s="252">
        <v>0</v>
      </c>
      <c r="U39" s="23"/>
      <c r="V39" s="263"/>
    </row>
    <row r="40" spans="1:22" x14ac:dyDescent="0.25">
      <c r="A40" s="333" t="s">
        <v>394</v>
      </c>
      <c r="B40" s="18"/>
      <c r="C40" s="250">
        <v>0.25</v>
      </c>
      <c r="E40" s="39"/>
      <c r="H40" s="72" t="s">
        <v>254</v>
      </c>
      <c r="I40" s="247">
        <v>0</v>
      </c>
      <c r="J40" s="247">
        <v>0</v>
      </c>
      <c r="K40" s="243">
        <v>0</v>
      </c>
      <c r="L40" s="252">
        <v>0</v>
      </c>
      <c r="U40" s="23"/>
      <c r="V40" s="263"/>
    </row>
    <row r="41" spans="1:22" x14ac:dyDescent="0.25">
      <c r="A41" s="333" t="s">
        <v>395</v>
      </c>
      <c r="B41" s="18"/>
      <c r="C41" s="250">
        <v>0.02</v>
      </c>
      <c r="D41" s="39"/>
      <c r="E41" s="39"/>
      <c r="H41" s="72" t="s">
        <v>255</v>
      </c>
      <c r="I41" s="247">
        <v>0</v>
      </c>
      <c r="J41" s="247">
        <v>0</v>
      </c>
      <c r="K41" s="243">
        <v>0</v>
      </c>
      <c r="L41" s="252">
        <v>0</v>
      </c>
      <c r="U41" s="23"/>
      <c r="V41" s="263"/>
    </row>
    <row r="42" spans="1:22" ht="16.5" thickBot="1" x14ac:dyDescent="0.3">
      <c r="A42" s="334" t="s">
        <v>405</v>
      </c>
      <c r="B42" s="31"/>
      <c r="C42" s="838">
        <v>0.35</v>
      </c>
      <c r="D42" s="11" t="s">
        <v>406</v>
      </c>
      <c r="H42" s="72" t="s">
        <v>256</v>
      </c>
      <c r="I42" s="247">
        <v>0</v>
      </c>
      <c r="J42" s="247">
        <v>0</v>
      </c>
      <c r="K42" s="243">
        <v>0</v>
      </c>
      <c r="L42" s="252">
        <v>0</v>
      </c>
      <c r="U42" s="23"/>
      <c r="V42" s="263"/>
    </row>
    <row r="43" spans="1:22" s="39" customFormat="1" ht="16.5" thickBot="1" x14ac:dyDescent="0.3">
      <c r="F43" s="11"/>
      <c r="G43" s="11"/>
      <c r="H43" s="72" t="s">
        <v>257</v>
      </c>
      <c r="I43" s="247">
        <v>0</v>
      </c>
      <c r="J43" s="247">
        <v>0</v>
      </c>
      <c r="K43" s="243">
        <v>0</v>
      </c>
      <c r="L43" s="252">
        <v>0</v>
      </c>
      <c r="U43" s="23"/>
      <c r="V43" s="263"/>
    </row>
    <row r="44" spans="1:22" ht="16.5" thickBot="1" x14ac:dyDescent="0.3">
      <c r="A44" s="84" t="s">
        <v>428</v>
      </c>
      <c r="B44" s="85"/>
      <c r="C44" s="52" t="s">
        <v>43</v>
      </c>
      <c r="D44" s="85"/>
      <c r="E44" s="85"/>
      <c r="F44" s="86"/>
      <c r="G44" s="39"/>
      <c r="H44" s="73" t="s">
        <v>258</v>
      </c>
      <c r="I44" s="253">
        <v>0</v>
      </c>
      <c r="J44" s="253">
        <v>0</v>
      </c>
      <c r="K44" s="254">
        <v>0</v>
      </c>
      <c r="L44" s="255">
        <v>0</v>
      </c>
      <c r="U44" s="23"/>
      <c r="V44" s="263"/>
    </row>
    <row r="45" spans="1:22" ht="16.5" thickBot="1" x14ac:dyDescent="0.3">
      <c r="A45" s="87" t="s">
        <v>449</v>
      </c>
      <c r="B45" s="82"/>
      <c r="C45" s="88">
        <f>C27</f>
        <v>32700000</v>
      </c>
      <c r="D45" s="89"/>
      <c r="E45" s="89"/>
      <c r="F45" s="66"/>
      <c r="U45" s="23"/>
      <c r="V45" s="263"/>
    </row>
    <row r="46" spans="1:22" ht="16.5" thickBot="1" x14ac:dyDescent="0.3">
      <c r="A46" s="90" t="s">
        <v>542</v>
      </c>
      <c r="B46" s="24"/>
      <c r="C46" s="200">
        <f>C45/C30</f>
        <v>163500</v>
      </c>
      <c r="D46" s="38"/>
      <c r="E46" s="38"/>
      <c r="F46" s="91"/>
      <c r="H46" s="43" t="s">
        <v>419</v>
      </c>
      <c r="I46" s="44"/>
      <c r="J46" s="44"/>
      <c r="K46" s="44"/>
      <c r="L46" s="45"/>
      <c r="U46" s="23"/>
      <c r="V46" s="263"/>
    </row>
    <row r="47" spans="1:22" ht="16.5" thickBot="1" x14ac:dyDescent="0.3">
      <c r="A47" s="50" t="s">
        <v>45</v>
      </c>
      <c r="B47" s="51"/>
      <c r="C47" s="52" t="s">
        <v>43</v>
      </c>
      <c r="D47" s="52" t="s">
        <v>136</v>
      </c>
      <c r="E47" s="52" t="s">
        <v>137</v>
      </c>
      <c r="F47" s="53" t="s">
        <v>138</v>
      </c>
      <c r="H47" s="273">
        <f>SUM(H48:H52)</f>
        <v>0</v>
      </c>
      <c r="I47" s="274" t="s">
        <v>441</v>
      </c>
      <c r="J47" s="128"/>
      <c r="K47" s="128"/>
      <c r="L47" s="267"/>
      <c r="M47" s="336"/>
      <c r="U47" s="23"/>
      <c r="V47" s="263"/>
    </row>
    <row r="48" spans="1:22" x14ac:dyDescent="0.25">
      <c r="A48" s="54" t="s">
        <v>49</v>
      </c>
      <c r="B48" s="24"/>
      <c r="C48" s="828">
        <f>C30</f>
        <v>200</v>
      </c>
      <c r="D48" s="200" t="s">
        <v>9</v>
      </c>
      <c r="E48" s="39"/>
      <c r="F48" s="366">
        <f>C48*(1-C53)*365</f>
        <v>54750</v>
      </c>
      <c r="H48" s="264">
        <v>0</v>
      </c>
      <c r="I48" s="265" t="s">
        <v>147</v>
      </c>
      <c r="J48" s="24"/>
      <c r="K48" s="24"/>
      <c r="L48" s="275"/>
      <c r="U48" s="23"/>
      <c r="V48" s="263"/>
    </row>
    <row r="49" spans="1:22" x14ac:dyDescent="0.25">
      <c r="A49" s="57" t="s">
        <v>50</v>
      </c>
      <c r="B49" s="58"/>
      <c r="C49" s="93">
        <f>C34</f>
        <v>160000</v>
      </c>
      <c r="D49" s="94">
        <f>C38</f>
        <v>145</v>
      </c>
      <c r="E49" s="95">
        <f>C48*D49*365</f>
        <v>10585000</v>
      </c>
      <c r="F49" s="96"/>
      <c r="H49" s="264">
        <v>0</v>
      </c>
      <c r="I49" s="266" t="s">
        <v>149</v>
      </c>
      <c r="J49" s="24"/>
      <c r="K49" s="24"/>
      <c r="L49" s="275"/>
      <c r="U49" s="23"/>
      <c r="V49" s="263"/>
    </row>
    <row r="50" spans="1:22" x14ac:dyDescent="0.25">
      <c r="A50" s="17" t="s">
        <v>420</v>
      </c>
      <c r="B50" s="18"/>
      <c r="C50" s="97"/>
      <c r="D50" s="98"/>
      <c r="E50" s="98">
        <f>E49</f>
        <v>10585000</v>
      </c>
      <c r="F50" s="91"/>
      <c r="H50" s="264">
        <v>0</v>
      </c>
      <c r="I50" s="265" t="s">
        <v>151</v>
      </c>
      <c r="J50" s="24"/>
      <c r="K50" s="24"/>
      <c r="L50" s="275"/>
    </row>
    <row r="51" spans="1:22" x14ac:dyDescent="0.25">
      <c r="A51" s="17" t="s">
        <v>421</v>
      </c>
      <c r="B51" s="18"/>
      <c r="C51" s="25">
        <f>C39</f>
        <v>0.05</v>
      </c>
      <c r="D51" s="98"/>
      <c r="E51" s="200">
        <f>E50*C51</f>
        <v>529250</v>
      </c>
      <c r="F51" s="91"/>
      <c r="G51" s="39"/>
      <c r="H51" s="264">
        <v>0</v>
      </c>
      <c r="I51" s="265" t="s">
        <v>458</v>
      </c>
      <c r="J51" s="24"/>
      <c r="K51" s="24"/>
      <c r="L51" s="275"/>
      <c r="U51" s="261"/>
      <c r="V51" s="166"/>
    </row>
    <row r="52" spans="1:22" ht="16.5" thickBot="1" x14ac:dyDescent="0.3">
      <c r="A52" s="17" t="s">
        <v>430</v>
      </c>
      <c r="B52" s="18"/>
      <c r="C52" s="247"/>
      <c r="D52" s="98"/>
      <c r="E52" s="98">
        <f>E50+E51</f>
        <v>11114250</v>
      </c>
      <c r="F52" s="91"/>
      <c r="G52" s="39"/>
      <c r="H52" s="264">
        <v>0</v>
      </c>
      <c r="I52" s="265" t="s">
        <v>458</v>
      </c>
      <c r="J52" s="24"/>
      <c r="K52" s="24"/>
      <c r="L52" s="275"/>
      <c r="U52" s="23"/>
      <c r="V52" s="263"/>
    </row>
    <row r="53" spans="1:22" x14ac:dyDescent="0.25">
      <c r="A53" s="59" t="s">
        <v>54</v>
      </c>
      <c r="B53" s="18"/>
      <c r="C53" s="25">
        <f>C40</f>
        <v>0.25</v>
      </c>
      <c r="D53" s="98"/>
      <c r="E53" s="98">
        <f>E52*C53</f>
        <v>2778562.5</v>
      </c>
      <c r="F53" s="91"/>
      <c r="G53" s="39"/>
      <c r="H53" s="273">
        <f>SUM(H54:H72)</f>
        <v>2000000</v>
      </c>
      <c r="I53" s="274" t="s">
        <v>195</v>
      </c>
      <c r="J53" s="128"/>
      <c r="K53" s="128"/>
      <c r="L53" s="267"/>
      <c r="U53" s="23"/>
      <c r="V53" s="263"/>
    </row>
    <row r="54" spans="1:22" x14ac:dyDescent="0.25">
      <c r="A54" s="59" t="s">
        <v>55</v>
      </c>
      <c r="B54" s="18"/>
      <c r="C54" s="25">
        <f>C41</f>
        <v>0.02</v>
      </c>
      <c r="D54" s="98"/>
      <c r="E54" s="98">
        <f>E52*C54</f>
        <v>222285</v>
      </c>
      <c r="F54" s="91"/>
      <c r="G54" s="39"/>
      <c r="H54" s="264">
        <v>0</v>
      </c>
      <c r="I54" s="265" t="s">
        <v>161</v>
      </c>
      <c r="J54" s="24"/>
      <c r="K54" s="24"/>
      <c r="L54" s="275"/>
      <c r="U54" s="23"/>
      <c r="V54" s="263"/>
    </row>
    <row r="55" spans="1:22" x14ac:dyDescent="0.25">
      <c r="A55" s="17" t="s">
        <v>56</v>
      </c>
      <c r="B55" s="18"/>
      <c r="C55" s="247"/>
      <c r="D55" s="98"/>
      <c r="E55" s="98">
        <f>E52-E53-E54</f>
        <v>8113402.5</v>
      </c>
      <c r="F55" s="91"/>
      <c r="G55" s="39"/>
      <c r="H55" s="264">
        <v>0</v>
      </c>
      <c r="I55" s="265" t="s">
        <v>196</v>
      </c>
      <c r="J55" s="24"/>
      <c r="K55" s="24"/>
      <c r="L55" s="275"/>
    </row>
    <row r="56" spans="1:22" ht="16.5" thickBot="1" x14ac:dyDescent="0.3">
      <c r="A56" s="59" t="s">
        <v>422</v>
      </c>
      <c r="B56" s="18"/>
      <c r="C56" s="25">
        <f>C42</f>
        <v>0.35</v>
      </c>
      <c r="D56" s="39"/>
      <c r="E56" s="98">
        <f>C56*E50</f>
        <v>3704749.9999999995</v>
      </c>
      <c r="F56" s="91"/>
      <c r="G56" s="11" t="s">
        <v>9</v>
      </c>
      <c r="H56" s="264">
        <v>0</v>
      </c>
      <c r="I56" s="265" t="s">
        <v>197</v>
      </c>
      <c r="J56" s="24"/>
      <c r="K56" s="24"/>
      <c r="L56" s="275"/>
      <c r="U56" s="261"/>
      <c r="V56" s="166"/>
    </row>
    <row r="57" spans="1:22" ht="16.5" thickBot="1" x14ac:dyDescent="0.3">
      <c r="A57" s="102" t="s">
        <v>4</v>
      </c>
      <c r="B57" s="103"/>
      <c r="C57" s="104"/>
      <c r="D57" s="104"/>
      <c r="E57" s="105">
        <f>E55-E56</f>
        <v>4408652.5</v>
      </c>
      <c r="F57" s="63"/>
      <c r="H57" s="264">
        <v>0</v>
      </c>
      <c r="I57" s="265" t="s">
        <v>204</v>
      </c>
      <c r="J57" s="24"/>
      <c r="K57" s="24"/>
      <c r="L57" s="275"/>
      <c r="U57" s="261"/>
      <c r="V57" s="166"/>
    </row>
    <row r="58" spans="1:22" ht="16.5" thickBot="1" x14ac:dyDescent="0.3">
      <c r="H58" s="264">
        <v>0</v>
      </c>
      <c r="I58" s="265" t="s">
        <v>199</v>
      </c>
      <c r="J58" s="24"/>
      <c r="K58" s="24"/>
      <c r="L58" s="275"/>
      <c r="P58" s="39"/>
      <c r="U58" s="23"/>
      <c r="V58" s="263"/>
    </row>
    <row r="59" spans="1:22" ht="16.5" thickBot="1" x14ac:dyDescent="0.3">
      <c r="A59" s="60" t="s">
        <v>58</v>
      </c>
      <c r="B59" s="61"/>
      <c r="C59" s="62"/>
      <c r="H59" s="264">
        <v>0</v>
      </c>
      <c r="I59" s="265" t="s">
        <v>175</v>
      </c>
      <c r="J59" s="24"/>
      <c r="K59" s="24"/>
      <c r="L59" s="275"/>
      <c r="P59" s="39"/>
      <c r="U59" s="23"/>
      <c r="V59" s="263"/>
    </row>
    <row r="60" spans="1:22" ht="16.5" thickBot="1" x14ac:dyDescent="0.3">
      <c r="A60" s="64" t="s">
        <v>59</v>
      </c>
      <c r="B60" s="65"/>
      <c r="C60" s="106">
        <f>IFERROR(E57/L4,0)</f>
        <v>0.12705050432276657</v>
      </c>
      <c r="H60" s="264">
        <v>0</v>
      </c>
      <c r="I60" s="265" t="s">
        <v>203</v>
      </c>
      <c r="J60" s="24"/>
      <c r="K60" s="24"/>
      <c r="L60" s="275"/>
      <c r="P60" s="39"/>
      <c r="U60" s="23"/>
      <c r="V60" s="263"/>
    </row>
    <row r="61" spans="1:22" x14ac:dyDescent="0.25">
      <c r="A61" s="107" t="s">
        <v>60</v>
      </c>
      <c r="B61" s="108"/>
      <c r="C61" s="109">
        <f>IFERROR(-E102,0)</f>
        <v>1119066.3641188717</v>
      </c>
      <c r="H61" s="264">
        <v>2000000</v>
      </c>
      <c r="I61" s="265" t="s">
        <v>167</v>
      </c>
      <c r="J61" s="24"/>
      <c r="K61" s="24"/>
      <c r="L61" s="275"/>
      <c r="U61" s="23"/>
      <c r="V61" s="263"/>
    </row>
    <row r="62" spans="1:22" ht="16.5" thickBot="1" x14ac:dyDescent="0.3">
      <c r="A62" s="59" t="s">
        <v>436</v>
      </c>
      <c r="B62" s="110"/>
      <c r="C62" s="111">
        <f>E57-C61</f>
        <v>3289586.1358811283</v>
      </c>
      <c r="H62" s="264">
        <v>0</v>
      </c>
      <c r="I62" s="265" t="s">
        <v>200</v>
      </c>
      <c r="J62" s="24"/>
      <c r="K62" s="24"/>
      <c r="L62" s="275"/>
    </row>
    <row r="63" spans="1:22" ht="16.5" thickBot="1" x14ac:dyDescent="0.3">
      <c r="A63" s="102" t="s">
        <v>62</v>
      </c>
      <c r="B63" s="103"/>
      <c r="C63" s="112">
        <f>IFERROR(C62/E105,0)</f>
        <v>0.25871695917271947</v>
      </c>
      <c r="H63" s="264">
        <v>0</v>
      </c>
      <c r="I63" s="265" t="s">
        <v>165</v>
      </c>
      <c r="J63" s="24"/>
      <c r="K63" s="24"/>
      <c r="L63" s="275"/>
    </row>
    <row r="64" spans="1:22" ht="16.5" thickBot="1" x14ac:dyDescent="0.3">
      <c r="A64" s="113" t="s">
        <v>63</v>
      </c>
      <c r="B64" s="114"/>
      <c r="C64" s="63"/>
      <c r="E64" s="38"/>
      <c r="F64" s="38"/>
      <c r="H64" s="396">
        <v>0</v>
      </c>
      <c r="I64" s="46" t="s">
        <v>497</v>
      </c>
      <c r="J64" s="24"/>
      <c r="K64" s="24"/>
      <c r="L64" s="275"/>
    </row>
    <row r="65" spans="1:12" x14ac:dyDescent="0.25">
      <c r="A65" s="59" t="s">
        <v>64</v>
      </c>
      <c r="B65" s="18"/>
      <c r="C65" s="115">
        <f>E57</f>
        <v>4408652.5</v>
      </c>
      <c r="E65" s="38"/>
      <c r="F65" s="38"/>
      <c r="H65" s="264">
        <v>0</v>
      </c>
      <c r="I65" s="265" t="s">
        <v>163</v>
      </c>
      <c r="J65" s="24"/>
      <c r="K65" s="24"/>
      <c r="L65" s="275"/>
    </row>
    <row r="66" spans="1:12" ht="16.5" thickBot="1" x14ac:dyDescent="0.3">
      <c r="A66" s="59" t="s">
        <v>65</v>
      </c>
      <c r="B66" s="18"/>
      <c r="C66" s="250">
        <v>0.1</v>
      </c>
      <c r="E66" s="38"/>
      <c r="F66" s="38"/>
      <c r="H66" s="264">
        <v>0</v>
      </c>
      <c r="I66" s="265" t="s">
        <v>206</v>
      </c>
      <c r="J66" s="24"/>
      <c r="K66" s="24"/>
      <c r="L66" s="275"/>
    </row>
    <row r="67" spans="1:12" ht="16.5" thickBot="1" x14ac:dyDescent="0.3">
      <c r="A67" s="19" t="s">
        <v>66</v>
      </c>
      <c r="B67" s="20"/>
      <c r="C67" s="117">
        <f>IFERROR(C65/C66,0)</f>
        <v>44086525</v>
      </c>
      <c r="E67" s="38"/>
      <c r="F67" s="38"/>
      <c r="H67" s="264">
        <v>0</v>
      </c>
      <c r="I67" s="265" t="s">
        <v>198</v>
      </c>
      <c r="J67" s="24"/>
      <c r="K67" s="24"/>
      <c r="L67" s="275"/>
    </row>
    <row r="68" spans="1:12" ht="16.5" thickBot="1" x14ac:dyDescent="0.3">
      <c r="A68" s="655" t="s">
        <v>559</v>
      </c>
      <c r="B68" s="36"/>
      <c r="C68" s="119">
        <f>C67-C27</f>
        <v>11386525</v>
      </c>
      <c r="E68" s="38"/>
      <c r="F68" s="38"/>
      <c r="H68" s="264">
        <v>0</v>
      </c>
      <c r="I68" s="265" t="s">
        <v>201</v>
      </c>
      <c r="J68" s="24"/>
      <c r="K68" s="24"/>
      <c r="L68" s="275"/>
    </row>
    <row r="69" spans="1:12" ht="16.5" thickBot="1" x14ac:dyDescent="0.3">
      <c r="E69" s="38"/>
      <c r="F69" s="38"/>
      <c r="H69" s="264">
        <v>0</v>
      </c>
      <c r="I69" s="265" t="s">
        <v>205</v>
      </c>
      <c r="J69" s="24"/>
      <c r="K69" s="24"/>
      <c r="L69" s="275"/>
    </row>
    <row r="70" spans="1:12" ht="16.5" thickBot="1" x14ac:dyDescent="0.3">
      <c r="A70" s="79" t="s">
        <v>96</v>
      </c>
      <c r="B70" s="51"/>
      <c r="C70" s="51"/>
      <c r="D70" s="80"/>
      <c r="E70" s="38"/>
      <c r="F70" s="38"/>
      <c r="H70" s="264">
        <v>0</v>
      </c>
      <c r="I70" s="265" t="s">
        <v>207</v>
      </c>
      <c r="J70" s="24"/>
      <c r="K70" s="24"/>
      <c r="L70" s="275"/>
    </row>
    <row r="71" spans="1:12" x14ac:dyDescent="0.25">
      <c r="A71" s="429" t="s">
        <v>425</v>
      </c>
      <c r="B71" s="18"/>
      <c r="C71" s="24" t="s">
        <v>96</v>
      </c>
      <c r="D71" s="250">
        <v>0.03</v>
      </c>
      <c r="E71" s="38"/>
      <c r="F71" s="38"/>
      <c r="H71" s="264">
        <v>0</v>
      </c>
      <c r="I71" s="265" t="s">
        <v>458</v>
      </c>
      <c r="J71" s="24"/>
      <c r="K71" s="24"/>
      <c r="L71" s="275"/>
    </row>
    <row r="72" spans="1:12" ht="16.5" thickBot="1" x14ac:dyDescent="0.3">
      <c r="A72" s="81" t="s">
        <v>438</v>
      </c>
      <c r="B72" s="30"/>
      <c r="C72" s="83" t="s">
        <v>96</v>
      </c>
      <c r="D72" s="257">
        <v>0.03</v>
      </c>
      <c r="E72" s="38"/>
      <c r="F72" s="38"/>
      <c r="H72" s="264">
        <v>0</v>
      </c>
      <c r="I72" s="265" t="s">
        <v>458</v>
      </c>
      <c r="J72" s="24"/>
      <c r="K72" s="24"/>
      <c r="L72" s="275"/>
    </row>
    <row r="73" spans="1:12" ht="16.5" thickBot="1" x14ac:dyDescent="0.3">
      <c r="E73" s="120"/>
      <c r="F73" s="120"/>
      <c r="H73" s="273">
        <f>SUM(H74:H79)</f>
        <v>0</v>
      </c>
      <c r="I73" s="274" t="s">
        <v>208</v>
      </c>
      <c r="J73" s="128"/>
      <c r="K73" s="128"/>
      <c r="L73" s="267"/>
    </row>
    <row r="74" spans="1:12" ht="16.5" thickBot="1" x14ac:dyDescent="0.3">
      <c r="A74" s="79" t="s">
        <v>412</v>
      </c>
      <c r="B74" s="51"/>
      <c r="C74" s="51"/>
      <c r="D74" s="53" t="s">
        <v>85</v>
      </c>
      <c r="E74" s="120"/>
      <c r="F74" s="120"/>
      <c r="H74" s="264">
        <v>0</v>
      </c>
      <c r="I74" s="265" t="s">
        <v>188</v>
      </c>
      <c r="J74" s="24"/>
      <c r="K74" s="24"/>
      <c r="L74" s="275"/>
    </row>
    <row r="75" spans="1:12" x14ac:dyDescent="0.25">
      <c r="A75" s="327" t="s">
        <v>411</v>
      </c>
      <c r="B75" s="122"/>
      <c r="C75" s="128"/>
      <c r="D75" s="476">
        <v>0.08</v>
      </c>
      <c r="E75" s="120"/>
      <c r="F75" s="120"/>
      <c r="H75" s="264">
        <v>0</v>
      </c>
      <c r="I75" s="265" t="s">
        <v>184</v>
      </c>
      <c r="J75" s="24"/>
      <c r="K75" s="24"/>
      <c r="L75" s="275"/>
    </row>
    <row r="76" spans="1:12" ht="16.5" thickBot="1" x14ac:dyDescent="0.3">
      <c r="A76" s="35" t="s">
        <v>410</v>
      </c>
      <c r="B76" s="31"/>
      <c r="C76" s="31"/>
      <c r="D76" s="248">
        <v>0.03</v>
      </c>
      <c r="E76" s="120"/>
      <c r="F76" s="120"/>
      <c r="H76" s="264">
        <v>0</v>
      </c>
      <c r="I76" s="265" t="s">
        <v>186</v>
      </c>
      <c r="J76" s="24"/>
      <c r="K76" s="24"/>
      <c r="L76" s="275"/>
    </row>
    <row r="77" spans="1:12" ht="16.5" thickBot="1" x14ac:dyDescent="0.3">
      <c r="A77" s="101"/>
      <c r="B77" s="101"/>
      <c r="C77" s="101"/>
      <c r="E77" s="120"/>
      <c r="F77" s="120"/>
      <c r="H77" s="394">
        <v>0</v>
      </c>
      <c r="I77" s="46" t="s">
        <v>494</v>
      </c>
      <c r="J77" s="24"/>
      <c r="K77" s="24"/>
      <c r="L77" s="275"/>
    </row>
    <row r="78" spans="1:12" ht="16.5" thickBot="1" x14ac:dyDescent="0.3">
      <c r="A78" s="199" t="s">
        <v>67</v>
      </c>
      <c r="B78" s="51"/>
      <c r="C78" s="45" t="s">
        <v>202</v>
      </c>
      <c r="E78" s="120"/>
      <c r="F78" s="120"/>
      <c r="H78" s="264">
        <v>0</v>
      </c>
      <c r="I78" s="265" t="s">
        <v>458</v>
      </c>
      <c r="J78" s="24"/>
      <c r="K78" s="24"/>
      <c r="L78" s="275"/>
    </row>
    <row r="79" spans="1:12" ht="16.5" thickBot="1" x14ac:dyDescent="0.3">
      <c r="A79" s="64" t="s">
        <v>414</v>
      </c>
      <c r="B79" s="65"/>
      <c r="C79" s="66"/>
      <c r="E79" s="120"/>
      <c r="F79" s="120"/>
      <c r="H79" s="264">
        <v>0</v>
      </c>
      <c r="I79" s="265" t="s">
        <v>458</v>
      </c>
      <c r="J79" s="24"/>
      <c r="K79" s="24"/>
      <c r="L79" s="275"/>
    </row>
    <row r="80" spans="1:12" x14ac:dyDescent="0.25">
      <c r="A80" s="335" t="s">
        <v>413</v>
      </c>
      <c r="B80" s="65"/>
      <c r="C80" s="249">
        <v>0.55000000000000004</v>
      </c>
      <c r="E80" s="120"/>
      <c r="F80" s="120"/>
      <c r="H80" s="273">
        <f>SUM(H81:H88)</f>
        <v>2000000</v>
      </c>
      <c r="I80" s="274" t="s">
        <v>399</v>
      </c>
      <c r="J80" s="128"/>
      <c r="K80" s="128"/>
      <c r="L80" s="267"/>
    </row>
    <row r="81" spans="1:12" x14ac:dyDescent="0.25">
      <c r="A81" s="17" t="s">
        <v>437</v>
      </c>
      <c r="B81" s="18"/>
      <c r="C81" s="132">
        <f>C80*C27</f>
        <v>17985000</v>
      </c>
      <c r="D81" s="261"/>
      <c r="E81" s="120"/>
      <c r="F81" s="120"/>
      <c r="H81" s="264">
        <v>0</v>
      </c>
      <c r="I81" s="265" t="s">
        <v>238</v>
      </c>
      <c r="J81" s="24"/>
      <c r="K81" s="24"/>
      <c r="L81" s="275"/>
    </row>
    <row r="82" spans="1:12" x14ac:dyDescent="0.25">
      <c r="A82" s="17" t="s">
        <v>68</v>
      </c>
      <c r="B82" s="18"/>
      <c r="C82" s="250">
        <v>0.04</v>
      </c>
      <c r="E82" s="120"/>
      <c r="F82" s="120"/>
      <c r="H82" s="264">
        <v>0</v>
      </c>
      <c r="I82" s="265" t="s">
        <v>181</v>
      </c>
      <c r="J82" s="24"/>
      <c r="K82" s="24"/>
      <c r="L82" s="275"/>
    </row>
    <row r="83" spans="1:12" ht="16.5" thickBot="1" x14ac:dyDescent="0.3">
      <c r="A83" s="35" t="s">
        <v>69</v>
      </c>
      <c r="B83" s="31"/>
      <c r="C83" s="251">
        <v>30</v>
      </c>
      <c r="E83" s="120"/>
      <c r="F83" s="120"/>
      <c r="H83" s="396">
        <v>0</v>
      </c>
      <c r="I83" s="265" t="s">
        <v>492</v>
      </c>
      <c r="J83" s="24"/>
      <c r="K83" s="24"/>
      <c r="L83" s="275"/>
    </row>
    <row r="84" spans="1:12" ht="16.5" thickBot="1" x14ac:dyDescent="0.3">
      <c r="A84" s="68" t="s">
        <v>415</v>
      </c>
      <c r="B84" s="31"/>
      <c r="C84" s="69"/>
      <c r="E84" s="120"/>
      <c r="F84" s="120"/>
      <c r="H84" s="264">
        <v>0</v>
      </c>
      <c r="I84" s="265" t="s">
        <v>178</v>
      </c>
      <c r="J84" s="24"/>
      <c r="K84" s="24"/>
      <c r="L84" s="275"/>
    </row>
    <row r="85" spans="1:12" x14ac:dyDescent="0.25">
      <c r="A85" s="438" t="s">
        <v>401</v>
      </c>
      <c r="B85" s="122"/>
      <c r="C85" s="437">
        <f>H80</f>
        <v>2000000</v>
      </c>
      <c r="D85" s="11" t="s">
        <v>524</v>
      </c>
      <c r="E85" s="120"/>
      <c r="F85" s="120"/>
      <c r="H85" s="264">
        <v>2000000</v>
      </c>
      <c r="I85" s="265" t="s">
        <v>180</v>
      </c>
      <c r="J85" s="24"/>
      <c r="K85" s="24"/>
      <c r="L85" s="275"/>
    </row>
    <row r="86" spans="1:12" x14ac:dyDescent="0.25">
      <c r="A86" s="17" t="s">
        <v>68</v>
      </c>
      <c r="B86" s="18"/>
      <c r="C86" s="250">
        <v>0.02</v>
      </c>
      <c r="D86" s="336"/>
      <c r="E86" s="120"/>
      <c r="F86" s="120"/>
      <c r="H86" s="264">
        <v>0</v>
      </c>
      <c r="I86" s="265" t="s">
        <v>209</v>
      </c>
      <c r="J86" s="24"/>
      <c r="K86" s="24"/>
      <c r="L86" s="275"/>
    </row>
    <row r="87" spans="1:12" ht="16.5" thickBot="1" x14ac:dyDescent="0.3">
      <c r="A87" s="35" t="s">
        <v>69</v>
      </c>
      <c r="B87" s="31"/>
      <c r="C87" s="251">
        <v>30</v>
      </c>
      <c r="E87" s="120"/>
      <c r="F87" s="120"/>
      <c r="H87" s="264">
        <v>0</v>
      </c>
      <c r="I87" s="265" t="s">
        <v>458</v>
      </c>
      <c r="J87" s="24"/>
      <c r="K87" s="24"/>
      <c r="L87" s="275"/>
    </row>
    <row r="88" spans="1:12" ht="16.5" thickBot="1" x14ac:dyDescent="0.3">
      <c r="E88" s="120"/>
      <c r="F88" s="120"/>
      <c r="H88" s="264">
        <v>0</v>
      </c>
      <c r="I88" s="265" t="s">
        <v>458</v>
      </c>
      <c r="J88" s="24"/>
      <c r="K88" s="24"/>
      <c r="L88" s="275"/>
    </row>
    <row r="89" spans="1:12" ht="16.5" thickBot="1" x14ac:dyDescent="0.3">
      <c r="A89" s="199" t="s">
        <v>439</v>
      </c>
      <c r="B89" s="51"/>
      <c r="C89" s="51"/>
      <c r="D89" s="51"/>
      <c r="E89" s="80"/>
      <c r="F89" s="120"/>
      <c r="H89" s="273">
        <f>SUM(H90:H91)</f>
        <v>0</v>
      </c>
      <c r="I89" s="274" t="s">
        <v>377</v>
      </c>
      <c r="J89" s="128"/>
      <c r="K89" s="128"/>
      <c r="L89" s="267"/>
    </row>
    <row r="90" spans="1:12" x14ac:dyDescent="0.25">
      <c r="A90" s="121" t="s">
        <v>414</v>
      </c>
      <c r="B90" s="122"/>
      <c r="C90" s="122"/>
      <c r="D90" s="123"/>
      <c r="E90" s="124"/>
      <c r="F90" s="120"/>
      <c r="H90" s="264">
        <v>0</v>
      </c>
      <c r="I90" s="265" t="s">
        <v>379</v>
      </c>
      <c r="J90" s="24"/>
      <c r="K90" s="24"/>
      <c r="L90" s="275"/>
    </row>
    <row r="91" spans="1:12" ht="16.5" thickBot="1" x14ac:dyDescent="0.3">
      <c r="A91" s="17" t="s">
        <v>538</v>
      </c>
      <c r="B91" s="18"/>
      <c r="C91" s="18"/>
      <c r="D91" s="38"/>
      <c r="E91" s="111">
        <f>IF(C67&gt;C45,C45,C67)</f>
        <v>32700000</v>
      </c>
      <c r="F91" s="120"/>
      <c r="H91" s="268">
        <v>0</v>
      </c>
      <c r="I91" s="269" t="s">
        <v>382</v>
      </c>
      <c r="J91" s="36"/>
      <c r="K91" s="36"/>
      <c r="L91" s="277"/>
    </row>
    <row r="92" spans="1:12" ht="16.5" thickBot="1" x14ac:dyDescent="0.3">
      <c r="A92" s="72" t="s">
        <v>518</v>
      </c>
      <c r="B92" s="18"/>
      <c r="C92" s="18"/>
      <c r="D92" s="365">
        <f>C80</f>
        <v>0.55000000000000004</v>
      </c>
      <c r="E92" s="111">
        <f>C81</f>
        <v>17985000</v>
      </c>
      <c r="F92" s="120"/>
    </row>
    <row r="93" spans="1:12" ht="16.5" thickBot="1" x14ac:dyDescent="0.3">
      <c r="A93" s="17" t="s">
        <v>515</v>
      </c>
      <c r="B93" s="18"/>
      <c r="C93" s="18"/>
      <c r="D93" s="38"/>
      <c r="E93" s="116">
        <f>C82</f>
        <v>0.04</v>
      </c>
      <c r="F93" s="120"/>
      <c r="H93" s="70" t="s">
        <v>443</v>
      </c>
      <c r="I93" s="71"/>
      <c r="J93" s="71"/>
      <c r="K93" s="71"/>
      <c r="L93" s="341" t="s">
        <v>407</v>
      </c>
    </row>
    <row r="94" spans="1:12" x14ac:dyDescent="0.25">
      <c r="A94" s="17" t="s">
        <v>516</v>
      </c>
      <c r="B94" s="18"/>
      <c r="C94" s="18"/>
      <c r="D94" s="38"/>
      <c r="E94" s="34">
        <f>C83</f>
        <v>30</v>
      </c>
      <c r="F94" s="120"/>
      <c r="H94" s="72" t="s">
        <v>77</v>
      </c>
      <c r="I94" s="24"/>
      <c r="J94" s="24"/>
      <c r="K94" s="24"/>
      <c r="L94" s="252">
        <v>1000000</v>
      </c>
    </row>
    <row r="95" spans="1:12" ht="16.5" thickBot="1" x14ac:dyDescent="0.3">
      <c r="A95" s="125" t="s">
        <v>519</v>
      </c>
      <c r="B95" s="30"/>
      <c r="C95" s="30"/>
      <c r="D95" s="126"/>
      <c r="E95" s="127">
        <f>IFERROR(PMT(E93/12,E94*12,E92)*12,0)</f>
        <v>-1030357.6906735548</v>
      </c>
      <c r="F95" s="120"/>
      <c r="H95" s="72" t="s">
        <v>78</v>
      </c>
      <c r="I95" s="24"/>
      <c r="J95" s="24"/>
      <c r="K95" s="24"/>
      <c r="L95" s="252">
        <v>50000</v>
      </c>
    </row>
    <row r="96" spans="1:12" ht="16.5" thickBot="1" x14ac:dyDescent="0.3">
      <c r="A96" s="68" t="s">
        <v>522</v>
      </c>
      <c r="B96" s="122"/>
      <c r="C96" s="128"/>
      <c r="D96" s="129"/>
      <c r="E96" s="130"/>
      <c r="H96" s="72" t="s">
        <v>442</v>
      </c>
      <c r="I96" s="24"/>
      <c r="J96" s="24"/>
      <c r="K96" s="24"/>
      <c r="L96" s="252">
        <v>0</v>
      </c>
    </row>
    <row r="97" spans="1:34" x14ac:dyDescent="0.25">
      <c r="A97" s="335" t="s">
        <v>520</v>
      </c>
      <c r="B97" s="430"/>
      <c r="C97" s="430"/>
      <c r="D97" s="39"/>
      <c r="E97" s="431">
        <f>C85</f>
        <v>2000000</v>
      </c>
      <c r="H97" s="72" t="s">
        <v>79</v>
      </c>
      <c r="I97" s="24"/>
      <c r="J97" s="24"/>
      <c r="K97" s="24"/>
      <c r="L97" s="250">
        <v>0.1</v>
      </c>
    </row>
    <row r="98" spans="1:34" ht="16.5" thickBot="1" x14ac:dyDescent="0.3">
      <c r="A98" s="17" t="s">
        <v>515</v>
      </c>
      <c r="B98" s="18"/>
      <c r="C98" s="18"/>
      <c r="D98" s="38"/>
      <c r="E98" s="116">
        <f>C86</f>
        <v>0.02</v>
      </c>
      <c r="H98" s="73" t="s">
        <v>424</v>
      </c>
      <c r="I98" s="36"/>
      <c r="J98" s="36"/>
      <c r="K98" s="36"/>
      <c r="L98" s="248">
        <v>7.4999999999999997E-2</v>
      </c>
    </row>
    <row r="99" spans="1:34" x14ac:dyDescent="0.25">
      <c r="A99" s="17" t="s">
        <v>516</v>
      </c>
      <c r="B99" s="18"/>
      <c r="C99" s="18"/>
      <c r="D99" s="38"/>
      <c r="E99" s="34">
        <f>C87</f>
        <v>30</v>
      </c>
      <c r="F99" s="336"/>
    </row>
    <row r="100" spans="1:34" x14ac:dyDescent="0.25">
      <c r="A100" s="17" t="s">
        <v>519</v>
      </c>
      <c r="B100" s="18"/>
      <c r="C100" s="18"/>
      <c r="D100" s="38"/>
      <c r="E100" s="131">
        <f>IFERROR(PMT(E98/12,E99*12,E97)*12,0)</f>
        <v>-88708.673445316934</v>
      </c>
    </row>
    <row r="101" spans="1:34" x14ac:dyDescent="0.25">
      <c r="A101" s="49" t="s">
        <v>71</v>
      </c>
      <c r="B101" s="24"/>
      <c r="C101" s="24"/>
      <c r="D101" s="39"/>
      <c r="E101" s="132">
        <f>E92+E97</f>
        <v>19985000</v>
      </c>
    </row>
    <row r="102" spans="1:34" ht="16.5" thickBot="1" x14ac:dyDescent="0.3">
      <c r="A102" s="17" t="s">
        <v>539</v>
      </c>
      <c r="B102" s="24"/>
      <c r="C102" s="24"/>
      <c r="D102" s="39"/>
      <c r="E102" s="132">
        <f>E95+E100</f>
        <v>-1119066.3641188717</v>
      </c>
    </row>
    <row r="103" spans="1:34" ht="16.5" thickBot="1" x14ac:dyDescent="0.3">
      <c r="A103" s="102" t="s">
        <v>72</v>
      </c>
      <c r="B103" s="114"/>
      <c r="C103" s="114"/>
      <c r="D103" s="104"/>
      <c r="E103" s="63"/>
    </row>
    <row r="104" spans="1:34" x14ac:dyDescent="0.25">
      <c r="A104" s="17" t="s">
        <v>449</v>
      </c>
      <c r="B104" s="18"/>
      <c r="C104" s="18"/>
      <c r="D104" s="38"/>
      <c r="E104" s="111">
        <f>C27</f>
        <v>32700000</v>
      </c>
      <c r="F104" s="336"/>
    </row>
    <row r="105" spans="1:34" ht="16.5" thickBot="1" x14ac:dyDescent="0.3">
      <c r="A105" s="135" t="s">
        <v>74</v>
      </c>
      <c r="B105" s="136"/>
      <c r="C105" s="136"/>
      <c r="D105" s="137"/>
      <c r="E105" s="138">
        <f>E104-E101</f>
        <v>12715000</v>
      </c>
      <c r="F105" s="336"/>
    </row>
    <row r="107" spans="1:34" ht="16.5" thickBot="1" x14ac:dyDescent="0.3">
      <c r="S107" s="39"/>
    </row>
    <row r="108" spans="1:34" ht="16.5" thickBot="1" x14ac:dyDescent="0.3">
      <c r="A108" s="480" t="s">
        <v>95</v>
      </c>
      <c r="B108" s="481"/>
      <c r="C108" s="481"/>
      <c r="D108" s="481"/>
      <c r="E108" s="482" t="s">
        <v>85</v>
      </c>
      <c r="F108" s="242" t="s">
        <v>86</v>
      </c>
      <c r="G108" s="482" t="s">
        <v>87</v>
      </c>
      <c r="H108" s="242" t="s">
        <v>88</v>
      </c>
      <c r="I108" s="482" t="s">
        <v>89</v>
      </c>
      <c r="J108" s="242" t="s">
        <v>90</v>
      </c>
      <c r="K108" s="482" t="s">
        <v>91</v>
      </c>
      <c r="L108" s="242" t="s">
        <v>92</v>
      </c>
      <c r="M108" s="482" t="s">
        <v>93</v>
      </c>
      <c r="N108" s="482" t="s">
        <v>94</v>
      </c>
      <c r="O108" s="483" t="s">
        <v>239</v>
      </c>
      <c r="P108" s="484" t="s">
        <v>240</v>
      </c>
      <c r="Q108" s="484" t="s">
        <v>241</v>
      </c>
      <c r="R108" s="485" t="s">
        <v>242</v>
      </c>
      <c r="S108" s="484" t="s">
        <v>243</v>
      </c>
      <c r="T108" s="485" t="s">
        <v>244</v>
      </c>
      <c r="U108" s="484" t="s">
        <v>245</v>
      </c>
      <c r="V108" s="485" t="s">
        <v>246</v>
      </c>
      <c r="W108" s="484" t="s">
        <v>247</v>
      </c>
      <c r="X108" s="485" t="s">
        <v>248</v>
      </c>
      <c r="Y108" s="484" t="s">
        <v>249</v>
      </c>
      <c r="Z108" s="485" t="s">
        <v>250</v>
      </c>
      <c r="AA108" s="484" t="s">
        <v>251</v>
      </c>
      <c r="AB108" s="485" t="s">
        <v>252</v>
      </c>
      <c r="AC108" s="484" t="s">
        <v>253</v>
      </c>
      <c r="AD108" s="485" t="s">
        <v>254</v>
      </c>
      <c r="AE108" s="484" t="s">
        <v>255</v>
      </c>
      <c r="AF108" s="485" t="s">
        <v>256</v>
      </c>
      <c r="AG108" s="484" t="s">
        <v>257</v>
      </c>
      <c r="AH108" s="486" t="s">
        <v>258</v>
      </c>
    </row>
    <row r="109" spans="1:34" x14ac:dyDescent="0.25">
      <c r="A109" s="487" t="s">
        <v>425</v>
      </c>
      <c r="B109" s="488"/>
      <c r="C109" s="489" t="s">
        <v>96</v>
      </c>
      <c r="D109" s="25">
        <f>D71</f>
        <v>0.03</v>
      </c>
      <c r="E109" s="203">
        <f>E50</f>
        <v>10585000</v>
      </c>
      <c r="F109" s="98">
        <f t="shared" ref="F109:AH110" si="0">E109*(1+$D$109)</f>
        <v>10902550</v>
      </c>
      <c r="G109" s="203">
        <f t="shared" si="0"/>
        <v>11229626.5</v>
      </c>
      <c r="H109" s="98">
        <f t="shared" si="0"/>
        <v>11566515.295</v>
      </c>
      <c r="I109" s="203">
        <f t="shared" si="0"/>
        <v>11913510.75385</v>
      </c>
      <c r="J109" s="98">
        <f t="shared" si="0"/>
        <v>12270916.076465501</v>
      </c>
      <c r="K109" s="203">
        <f t="shared" si="0"/>
        <v>12639043.558759466</v>
      </c>
      <c r="L109" s="98">
        <f t="shared" si="0"/>
        <v>13018214.865522251</v>
      </c>
      <c r="M109" s="203">
        <f t="shared" si="0"/>
        <v>13408761.311487919</v>
      </c>
      <c r="N109" s="203">
        <f t="shared" si="0"/>
        <v>13811024.150832556</v>
      </c>
      <c r="O109" s="284">
        <f t="shared" si="0"/>
        <v>14225354.875357533</v>
      </c>
      <c r="P109" s="203">
        <f t="shared" si="0"/>
        <v>14652115.52161826</v>
      </c>
      <c r="Q109" s="203">
        <f t="shared" si="0"/>
        <v>15091678.987266809</v>
      </c>
      <c r="R109" s="98">
        <f t="shared" si="0"/>
        <v>15544429.356884813</v>
      </c>
      <c r="S109" s="287">
        <f t="shared" si="0"/>
        <v>16010762.237591358</v>
      </c>
      <c r="T109" s="98">
        <f t="shared" si="0"/>
        <v>16491085.104719099</v>
      </c>
      <c r="U109" s="287">
        <f t="shared" si="0"/>
        <v>16985817.65786067</v>
      </c>
      <c r="V109" s="98">
        <f t="shared" si="0"/>
        <v>17495392.187596492</v>
      </c>
      <c r="W109" s="203">
        <f t="shared" si="0"/>
        <v>18020253.953224387</v>
      </c>
      <c r="X109" s="98">
        <f t="shared" si="0"/>
        <v>18560861.57182112</v>
      </c>
      <c r="Y109" s="203">
        <f t="shared" si="0"/>
        <v>19117687.418975756</v>
      </c>
      <c r="Z109" s="98">
        <f t="shared" si="0"/>
        <v>19691218.04154503</v>
      </c>
      <c r="AA109" s="203">
        <f t="shared" si="0"/>
        <v>20281954.582791381</v>
      </c>
      <c r="AB109" s="98">
        <f t="shared" si="0"/>
        <v>20890413.220275123</v>
      </c>
      <c r="AC109" s="203">
        <f t="shared" si="0"/>
        <v>21517125.616883378</v>
      </c>
      <c r="AD109" s="98">
        <f t="shared" si="0"/>
        <v>22162639.385389879</v>
      </c>
      <c r="AE109" s="203">
        <f t="shared" si="0"/>
        <v>22827518.566951577</v>
      </c>
      <c r="AF109" s="98">
        <f t="shared" si="0"/>
        <v>23512344.123960126</v>
      </c>
      <c r="AG109" s="203">
        <f t="shared" si="0"/>
        <v>24217714.447678931</v>
      </c>
      <c r="AH109" s="217">
        <f t="shared" si="0"/>
        <v>24944245.881109301</v>
      </c>
    </row>
    <row r="110" spans="1:34" x14ac:dyDescent="0.25">
      <c r="A110" s="490" t="s">
        <v>421</v>
      </c>
      <c r="B110" s="491"/>
      <c r="C110" s="491"/>
      <c r="D110" s="278"/>
      <c r="E110" s="352">
        <f>E51</f>
        <v>529250</v>
      </c>
      <c r="F110" s="98">
        <f t="shared" si="0"/>
        <v>545127.5</v>
      </c>
      <c r="G110" s="203">
        <f t="shared" si="0"/>
        <v>561481.32500000007</v>
      </c>
      <c r="H110" s="98">
        <f t="shared" si="0"/>
        <v>578325.76475000009</v>
      </c>
      <c r="I110" s="203">
        <f t="shared" si="0"/>
        <v>595675.53769250016</v>
      </c>
      <c r="J110" s="98">
        <f t="shared" si="0"/>
        <v>613545.80382327514</v>
      </c>
      <c r="K110" s="203">
        <f t="shared" si="0"/>
        <v>631952.17793797341</v>
      </c>
      <c r="L110" s="98">
        <f t="shared" si="0"/>
        <v>650910.7432761126</v>
      </c>
      <c r="M110" s="203">
        <f t="shared" si="0"/>
        <v>670438.06557439594</v>
      </c>
      <c r="N110" s="203">
        <f t="shared" si="0"/>
        <v>690551.20754162781</v>
      </c>
      <c r="O110" s="284">
        <f t="shared" si="0"/>
        <v>711267.74376787664</v>
      </c>
      <c r="P110" s="283">
        <f t="shared" si="0"/>
        <v>732605.77608091291</v>
      </c>
      <c r="Q110" s="203">
        <f t="shared" si="0"/>
        <v>754583.94936334027</v>
      </c>
      <c r="R110" s="98">
        <f t="shared" si="0"/>
        <v>777221.46784424048</v>
      </c>
      <c r="S110" s="203">
        <f t="shared" si="0"/>
        <v>800538.11187956773</v>
      </c>
      <c r="T110" s="284">
        <f t="shared" si="0"/>
        <v>824554.25523595477</v>
      </c>
      <c r="U110" s="203">
        <f t="shared" si="0"/>
        <v>849290.88289303344</v>
      </c>
      <c r="V110" s="98">
        <f t="shared" si="0"/>
        <v>874769.60937982448</v>
      </c>
      <c r="W110" s="203">
        <f t="shared" si="0"/>
        <v>901012.69766121928</v>
      </c>
      <c r="X110" s="98">
        <f t="shared" si="0"/>
        <v>928043.07859105594</v>
      </c>
      <c r="Y110" s="203">
        <f t="shared" si="0"/>
        <v>955884.37094878766</v>
      </c>
      <c r="Z110" s="98">
        <f t="shared" si="0"/>
        <v>984560.90207725135</v>
      </c>
      <c r="AA110" s="203">
        <f t="shared" si="0"/>
        <v>1014097.7291395689</v>
      </c>
      <c r="AB110" s="98">
        <f t="shared" si="0"/>
        <v>1044520.6610137559</v>
      </c>
      <c r="AC110" s="203">
        <f t="shared" si="0"/>
        <v>1075856.2808441687</v>
      </c>
      <c r="AD110" s="98">
        <f t="shared" si="0"/>
        <v>1108131.9692694938</v>
      </c>
      <c r="AE110" s="203">
        <f t="shared" si="0"/>
        <v>1141375.9283475787</v>
      </c>
      <c r="AF110" s="98">
        <f t="shared" si="0"/>
        <v>1175617.2061980062</v>
      </c>
      <c r="AG110" s="203">
        <f t="shared" si="0"/>
        <v>1210885.7223839464</v>
      </c>
      <c r="AH110" s="217">
        <f t="shared" si="0"/>
        <v>1247212.2940554649</v>
      </c>
    </row>
    <row r="111" spans="1:34" ht="16.5" thickBot="1" x14ac:dyDescent="0.3">
      <c r="A111" s="492" t="s">
        <v>444</v>
      </c>
      <c r="B111" s="493"/>
      <c r="C111" s="494"/>
      <c r="D111" s="279"/>
      <c r="E111" s="232">
        <f>E109+E110</f>
        <v>11114250</v>
      </c>
      <c r="F111" s="231">
        <f>F109+F110</f>
        <v>11447677.5</v>
      </c>
      <c r="G111" s="232">
        <f>G109+G110</f>
        <v>11791107.824999999</v>
      </c>
      <c r="H111" s="231">
        <f>H109+H110</f>
        <v>12144841.05975</v>
      </c>
      <c r="I111" s="232">
        <f>I109+I110</f>
        <v>12509186.2915425</v>
      </c>
      <c r="J111" s="231">
        <f t="shared" ref="J111:AH111" si="1">J109+J110</f>
        <v>12884461.880288776</v>
      </c>
      <c r="K111" s="232">
        <f t="shared" si="1"/>
        <v>13270995.736697439</v>
      </c>
      <c r="L111" s="231">
        <f t="shared" si="1"/>
        <v>13669125.608798362</v>
      </c>
      <c r="M111" s="232">
        <f t="shared" si="1"/>
        <v>14079199.377062315</v>
      </c>
      <c r="N111" s="232">
        <f t="shared" si="1"/>
        <v>14501575.358374184</v>
      </c>
      <c r="O111" s="285">
        <f t="shared" si="1"/>
        <v>14936622.619125409</v>
      </c>
      <c r="P111" s="232">
        <f t="shared" si="1"/>
        <v>15384721.297699172</v>
      </c>
      <c r="Q111" s="232">
        <f t="shared" si="1"/>
        <v>15846262.936630148</v>
      </c>
      <c r="R111" s="231">
        <f t="shared" si="1"/>
        <v>16321650.824729053</v>
      </c>
      <c r="S111" s="232">
        <f t="shared" si="1"/>
        <v>16811300.349470925</v>
      </c>
      <c r="T111" s="231">
        <f t="shared" si="1"/>
        <v>17315639.359955054</v>
      </c>
      <c r="U111" s="232">
        <f t="shared" si="1"/>
        <v>17835108.540753704</v>
      </c>
      <c r="V111" s="231">
        <f t="shared" si="1"/>
        <v>18370161.796976317</v>
      </c>
      <c r="W111" s="232">
        <f t="shared" si="1"/>
        <v>18921266.650885608</v>
      </c>
      <c r="X111" s="231">
        <f t="shared" si="1"/>
        <v>19488904.650412176</v>
      </c>
      <c r="Y111" s="232">
        <f t="shared" si="1"/>
        <v>20073571.789924543</v>
      </c>
      <c r="Z111" s="231">
        <f t="shared" si="1"/>
        <v>20675778.94362228</v>
      </c>
      <c r="AA111" s="232">
        <f t="shared" si="1"/>
        <v>21296052.311930951</v>
      </c>
      <c r="AB111" s="231">
        <f t="shared" si="1"/>
        <v>21934933.881288879</v>
      </c>
      <c r="AC111" s="232">
        <f t="shared" si="1"/>
        <v>22592981.897727549</v>
      </c>
      <c r="AD111" s="231">
        <f t="shared" si="1"/>
        <v>23270771.354659375</v>
      </c>
      <c r="AE111" s="232">
        <f t="shared" si="1"/>
        <v>23968894.495299157</v>
      </c>
      <c r="AF111" s="231">
        <f t="shared" si="1"/>
        <v>24687961.330158133</v>
      </c>
      <c r="AG111" s="232">
        <f t="shared" si="1"/>
        <v>25428600.170062877</v>
      </c>
      <c r="AH111" s="245">
        <f t="shared" si="1"/>
        <v>26191458.175164767</v>
      </c>
    </row>
    <row r="112" spans="1:34" x14ac:dyDescent="0.25">
      <c r="A112" s="490" t="s">
        <v>54</v>
      </c>
      <c r="B112" s="488"/>
      <c r="C112" s="491"/>
      <c r="D112" s="280">
        <f>C53</f>
        <v>0.25</v>
      </c>
      <c r="E112" s="203">
        <f t="shared" ref="E112:AH112" si="2">$D$112*E111</f>
        <v>2778562.5</v>
      </c>
      <c r="F112" s="98">
        <f t="shared" si="2"/>
        <v>2861919.375</v>
      </c>
      <c r="G112" s="203">
        <f t="shared" si="2"/>
        <v>2947776.9562499998</v>
      </c>
      <c r="H112" s="98">
        <f t="shared" si="2"/>
        <v>3036210.2649375</v>
      </c>
      <c r="I112" s="203">
        <f t="shared" si="2"/>
        <v>3127296.5728856251</v>
      </c>
      <c r="J112" s="98">
        <f t="shared" si="2"/>
        <v>3221115.470072194</v>
      </c>
      <c r="K112" s="203">
        <f t="shared" si="2"/>
        <v>3317748.9341743598</v>
      </c>
      <c r="L112" s="98">
        <f t="shared" si="2"/>
        <v>3417281.4021995906</v>
      </c>
      <c r="M112" s="203">
        <f t="shared" si="2"/>
        <v>3519799.8442655788</v>
      </c>
      <c r="N112" s="203">
        <f t="shared" si="2"/>
        <v>3625393.839593546</v>
      </c>
      <c r="O112" s="284">
        <f t="shared" si="2"/>
        <v>3734155.6547813523</v>
      </c>
      <c r="P112" s="203">
        <f t="shared" si="2"/>
        <v>3846180.324424793</v>
      </c>
      <c r="Q112" s="203">
        <f t="shared" si="2"/>
        <v>3961565.7341575371</v>
      </c>
      <c r="R112" s="98">
        <f t="shared" si="2"/>
        <v>4080412.7061822633</v>
      </c>
      <c r="S112" s="203">
        <f t="shared" si="2"/>
        <v>4202825.0873677311</v>
      </c>
      <c r="T112" s="98">
        <f t="shared" si="2"/>
        <v>4328909.8399887634</v>
      </c>
      <c r="U112" s="203">
        <f t="shared" si="2"/>
        <v>4458777.1351884259</v>
      </c>
      <c r="V112" s="98">
        <f t="shared" si="2"/>
        <v>4592540.4492440792</v>
      </c>
      <c r="W112" s="203">
        <f t="shared" si="2"/>
        <v>4730316.662721402</v>
      </c>
      <c r="X112" s="98">
        <f t="shared" si="2"/>
        <v>4872226.162603044</v>
      </c>
      <c r="Y112" s="203">
        <f t="shared" si="2"/>
        <v>5018392.9474811358</v>
      </c>
      <c r="Z112" s="98">
        <f t="shared" si="2"/>
        <v>5168944.73590557</v>
      </c>
      <c r="AA112" s="203">
        <f t="shared" si="2"/>
        <v>5324013.0779827377</v>
      </c>
      <c r="AB112" s="98">
        <f t="shared" si="2"/>
        <v>5483733.4703222197</v>
      </c>
      <c r="AC112" s="203">
        <f t="shared" si="2"/>
        <v>5648245.4744318873</v>
      </c>
      <c r="AD112" s="98">
        <f t="shared" si="2"/>
        <v>5817692.8386648437</v>
      </c>
      <c r="AE112" s="203">
        <f t="shared" si="2"/>
        <v>5992223.6238247892</v>
      </c>
      <c r="AF112" s="98">
        <f t="shared" si="2"/>
        <v>6171990.3325395333</v>
      </c>
      <c r="AG112" s="203">
        <f t="shared" si="2"/>
        <v>6357150.0425157193</v>
      </c>
      <c r="AH112" s="217">
        <f t="shared" si="2"/>
        <v>6547864.5437911917</v>
      </c>
    </row>
    <row r="113" spans="1:34" x14ac:dyDescent="0.25">
      <c r="A113" s="490" t="s">
        <v>55</v>
      </c>
      <c r="B113" s="488"/>
      <c r="C113" s="491"/>
      <c r="D113" s="280">
        <f>C54</f>
        <v>0.02</v>
      </c>
      <c r="E113" s="352">
        <f t="shared" ref="E113:AH113" si="3">$D$113*E111</f>
        <v>222285</v>
      </c>
      <c r="F113" s="353">
        <f t="shared" si="3"/>
        <v>228953.55000000002</v>
      </c>
      <c r="G113" s="352">
        <f t="shared" si="3"/>
        <v>235822.15649999998</v>
      </c>
      <c r="H113" s="353">
        <f t="shared" si="3"/>
        <v>242896.821195</v>
      </c>
      <c r="I113" s="352">
        <f t="shared" si="3"/>
        <v>250183.72583085002</v>
      </c>
      <c r="J113" s="353">
        <f t="shared" si="3"/>
        <v>257689.23760577553</v>
      </c>
      <c r="K113" s="352">
        <f t="shared" si="3"/>
        <v>265419.91473394877</v>
      </c>
      <c r="L113" s="353">
        <f t="shared" si="3"/>
        <v>273382.51217596728</v>
      </c>
      <c r="M113" s="352">
        <f t="shared" si="3"/>
        <v>281583.98754124629</v>
      </c>
      <c r="N113" s="352">
        <f t="shared" si="3"/>
        <v>290031.50716748368</v>
      </c>
      <c r="O113" s="354">
        <f t="shared" si="3"/>
        <v>298732.4523825082</v>
      </c>
      <c r="P113" s="352">
        <f t="shared" si="3"/>
        <v>307694.42595398345</v>
      </c>
      <c r="Q113" s="352">
        <f t="shared" si="3"/>
        <v>316925.25873260299</v>
      </c>
      <c r="R113" s="353">
        <f t="shared" si="3"/>
        <v>326433.01649458107</v>
      </c>
      <c r="S113" s="352">
        <f t="shared" si="3"/>
        <v>336226.00698941847</v>
      </c>
      <c r="T113" s="353">
        <f t="shared" si="3"/>
        <v>346312.78719910106</v>
      </c>
      <c r="U113" s="352">
        <f t="shared" si="3"/>
        <v>356702.17081507406</v>
      </c>
      <c r="V113" s="353">
        <f t="shared" si="3"/>
        <v>367403.23593952635</v>
      </c>
      <c r="W113" s="352">
        <f t="shared" si="3"/>
        <v>378425.33301771217</v>
      </c>
      <c r="X113" s="353">
        <f t="shared" si="3"/>
        <v>389778.09300824354</v>
      </c>
      <c r="Y113" s="352">
        <f t="shared" si="3"/>
        <v>401471.43579849089</v>
      </c>
      <c r="Z113" s="353">
        <f t="shared" si="3"/>
        <v>413515.57887244562</v>
      </c>
      <c r="AA113" s="352">
        <f t="shared" si="3"/>
        <v>425921.04623861902</v>
      </c>
      <c r="AB113" s="353">
        <f t="shared" si="3"/>
        <v>438698.67762577761</v>
      </c>
      <c r="AC113" s="352">
        <f t="shared" si="3"/>
        <v>451859.63795455097</v>
      </c>
      <c r="AD113" s="353">
        <f t="shared" si="3"/>
        <v>465415.42709318752</v>
      </c>
      <c r="AE113" s="352">
        <f t="shared" si="3"/>
        <v>479377.88990598312</v>
      </c>
      <c r="AF113" s="353">
        <f t="shared" si="3"/>
        <v>493759.22660316265</v>
      </c>
      <c r="AG113" s="352">
        <f t="shared" si="3"/>
        <v>508572.00340125756</v>
      </c>
      <c r="AH113" s="317">
        <f t="shared" si="3"/>
        <v>523829.16350329533</v>
      </c>
    </row>
    <row r="114" spans="1:34" ht="16.5" thickBot="1" x14ac:dyDescent="0.3">
      <c r="A114" s="492" t="s">
        <v>99</v>
      </c>
      <c r="B114" s="493"/>
      <c r="C114" s="494"/>
      <c r="D114" s="279"/>
      <c r="E114" s="232">
        <f>E111-E112-E113</f>
        <v>8113402.5</v>
      </c>
      <c r="F114" s="231">
        <f>F111-F112-F113</f>
        <v>8356804.5750000002</v>
      </c>
      <c r="G114" s="232">
        <f>G111-G112-G113</f>
        <v>8607508.712249998</v>
      </c>
      <c r="H114" s="231">
        <f>H111-H112-H113</f>
        <v>8865733.9736174997</v>
      </c>
      <c r="I114" s="232">
        <f>I111-I112-I113</f>
        <v>9131705.9928260259</v>
      </c>
      <c r="J114" s="231">
        <f t="shared" ref="J114:AH114" si="4">J111-J112-J113</f>
        <v>9405657.1726108063</v>
      </c>
      <c r="K114" s="232">
        <f t="shared" si="4"/>
        <v>9687826.8877891321</v>
      </c>
      <c r="L114" s="231">
        <f t="shared" si="4"/>
        <v>9978461.6944228038</v>
      </c>
      <c r="M114" s="232">
        <f t="shared" si="4"/>
        <v>10277815.54525549</v>
      </c>
      <c r="N114" s="232">
        <f t="shared" si="4"/>
        <v>10586150.011613153</v>
      </c>
      <c r="O114" s="285">
        <f t="shared" si="4"/>
        <v>10903734.511961548</v>
      </c>
      <c r="P114" s="232">
        <f t="shared" si="4"/>
        <v>11230846.547320396</v>
      </c>
      <c r="Q114" s="232">
        <f t="shared" si="4"/>
        <v>11567771.943740008</v>
      </c>
      <c r="R114" s="231">
        <f t="shared" si="4"/>
        <v>11914805.102052208</v>
      </c>
      <c r="S114" s="232">
        <f t="shared" si="4"/>
        <v>12272249.255113775</v>
      </c>
      <c r="T114" s="231">
        <f t="shared" si="4"/>
        <v>12640416.732767189</v>
      </c>
      <c r="U114" s="232">
        <f t="shared" si="4"/>
        <v>13019629.234750202</v>
      </c>
      <c r="V114" s="231">
        <f t="shared" si="4"/>
        <v>13410218.111792712</v>
      </c>
      <c r="W114" s="232">
        <f t="shared" si="4"/>
        <v>13812524.655146493</v>
      </c>
      <c r="X114" s="231">
        <f t="shared" si="4"/>
        <v>14226900.394800888</v>
      </c>
      <c r="Y114" s="232">
        <f t="shared" si="4"/>
        <v>14653707.406644916</v>
      </c>
      <c r="Z114" s="231">
        <f t="shared" si="4"/>
        <v>15093318.628844265</v>
      </c>
      <c r="AA114" s="232">
        <f t="shared" si="4"/>
        <v>15546118.187709592</v>
      </c>
      <c r="AB114" s="231">
        <f t="shared" si="4"/>
        <v>16012501.733340882</v>
      </c>
      <c r="AC114" s="232">
        <f t="shared" si="4"/>
        <v>16492876.78534111</v>
      </c>
      <c r="AD114" s="231">
        <f t="shared" si="4"/>
        <v>16987663.088901341</v>
      </c>
      <c r="AE114" s="232">
        <f t="shared" si="4"/>
        <v>17497292.981568385</v>
      </c>
      <c r="AF114" s="231">
        <f t="shared" si="4"/>
        <v>18022211.771015439</v>
      </c>
      <c r="AG114" s="232">
        <f t="shared" si="4"/>
        <v>18562878.124145903</v>
      </c>
      <c r="AH114" s="245">
        <f t="shared" si="4"/>
        <v>19119764.46787028</v>
      </c>
    </row>
    <row r="115" spans="1:34" x14ac:dyDescent="0.25">
      <c r="A115" s="490" t="s">
        <v>57</v>
      </c>
      <c r="B115" s="488"/>
      <c r="C115" s="489" t="s">
        <v>96</v>
      </c>
      <c r="D115" s="25">
        <f>D72</f>
        <v>0.03</v>
      </c>
      <c r="E115" s="352">
        <f>E56</f>
        <v>3704749.9999999995</v>
      </c>
      <c r="F115" s="353">
        <f t="shared" ref="F115:AH115" si="5">E115*(1+$D$115)</f>
        <v>3815892.4999999995</v>
      </c>
      <c r="G115" s="352">
        <f t="shared" si="5"/>
        <v>3930369.2749999994</v>
      </c>
      <c r="H115" s="353">
        <f t="shared" si="5"/>
        <v>4048280.3532499997</v>
      </c>
      <c r="I115" s="352">
        <f t="shared" si="5"/>
        <v>4169728.7638474996</v>
      </c>
      <c r="J115" s="353">
        <f t="shared" si="5"/>
        <v>4294820.6267629247</v>
      </c>
      <c r="K115" s="352">
        <f t="shared" si="5"/>
        <v>4423665.245565813</v>
      </c>
      <c r="L115" s="353">
        <f t="shared" si="5"/>
        <v>4556375.2029327871</v>
      </c>
      <c r="M115" s="352">
        <f t="shared" si="5"/>
        <v>4693066.4590207711</v>
      </c>
      <c r="N115" s="352">
        <f t="shared" si="5"/>
        <v>4833858.4527913947</v>
      </c>
      <c r="O115" s="354">
        <f t="shared" si="5"/>
        <v>4978874.206375137</v>
      </c>
      <c r="P115" s="352">
        <f t="shared" si="5"/>
        <v>5128240.4325663913</v>
      </c>
      <c r="Q115" s="352">
        <f t="shared" si="5"/>
        <v>5282087.6455433834</v>
      </c>
      <c r="R115" s="353">
        <f t="shared" si="5"/>
        <v>5440550.2749096854</v>
      </c>
      <c r="S115" s="352">
        <f t="shared" si="5"/>
        <v>5603766.7831569761</v>
      </c>
      <c r="T115" s="353">
        <f t="shared" si="5"/>
        <v>5771879.7866516858</v>
      </c>
      <c r="U115" s="352">
        <f t="shared" si="5"/>
        <v>5945036.180251237</v>
      </c>
      <c r="V115" s="353">
        <f t="shared" si="5"/>
        <v>6123387.2656587744</v>
      </c>
      <c r="W115" s="352">
        <f t="shared" si="5"/>
        <v>6307088.8836285379</v>
      </c>
      <c r="X115" s="353">
        <f t="shared" si="5"/>
        <v>6496301.5501373941</v>
      </c>
      <c r="Y115" s="352">
        <f t="shared" si="5"/>
        <v>6691190.5966415163</v>
      </c>
      <c r="Z115" s="353">
        <f t="shared" si="5"/>
        <v>6891926.3145407615</v>
      </c>
      <c r="AA115" s="352">
        <f t="shared" si="5"/>
        <v>7098684.1039769845</v>
      </c>
      <c r="AB115" s="353">
        <f t="shared" si="5"/>
        <v>7311644.6270962944</v>
      </c>
      <c r="AC115" s="352">
        <f t="shared" si="5"/>
        <v>7530993.965909183</v>
      </c>
      <c r="AD115" s="353">
        <f t="shared" si="5"/>
        <v>7756923.7848864589</v>
      </c>
      <c r="AE115" s="352">
        <f t="shared" si="5"/>
        <v>7989631.4984330526</v>
      </c>
      <c r="AF115" s="353">
        <f t="shared" si="5"/>
        <v>8229320.4433860444</v>
      </c>
      <c r="AG115" s="352">
        <f t="shared" si="5"/>
        <v>8476200.0566876251</v>
      </c>
      <c r="AH115" s="317">
        <f t="shared" si="5"/>
        <v>8730486.0583882537</v>
      </c>
    </row>
    <row r="116" spans="1:34" x14ac:dyDescent="0.25">
      <c r="A116" s="490" t="s">
        <v>100</v>
      </c>
      <c r="B116" s="491"/>
      <c r="C116" s="491"/>
      <c r="D116" s="200"/>
      <c r="E116" s="149">
        <f>$L$12*$C$67*I15</f>
        <v>0</v>
      </c>
      <c r="F116" s="200">
        <f>$L$12*$C$67*(1+$D$109)*I16</f>
        <v>0</v>
      </c>
      <c r="G116" s="149">
        <f>$L$12*$C$67*(1+$D$109)^2*I17</f>
        <v>0</v>
      </c>
      <c r="H116" s="200">
        <f>$L$12*$C$67*(1+$D$109)^3*I18</f>
        <v>0</v>
      </c>
      <c r="I116" s="149">
        <f>$L$12*$C$67*(1+$D$109)^4*I19</f>
        <v>0</v>
      </c>
      <c r="J116" s="200">
        <f>$L$12*$C$67*(1+$D$109)^5*I20</f>
        <v>0</v>
      </c>
      <c r="K116" s="149">
        <f>$L$12*$C$67*(1+$D$109)^6*I21</f>
        <v>0</v>
      </c>
      <c r="L116" s="200">
        <f>$L$12*$C$67*(1+$D$109)^7*I22</f>
        <v>0</v>
      </c>
      <c r="M116" s="149">
        <f>$L$12*$C$67*(1+$D$109)^8*I23</f>
        <v>0</v>
      </c>
      <c r="N116" s="149">
        <f>$L$12*$C$67*(1+$D$109)^9*I24</f>
        <v>0</v>
      </c>
      <c r="O116" s="149">
        <f>$L$12*$C$67*(1+$D$109)^10*I25</f>
        <v>0</v>
      </c>
      <c r="P116" s="149">
        <f>$L$12*$C$67*(1+$D$109)^11*I26</f>
        <v>0</v>
      </c>
      <c r="Q116" s="149">
        <f>$L$12*$C$67*(1+$D$109)^12*I27</f>
        <v>0</v>
      </c>
      <c r="R116" s="149">
        <f>$L$12*$C$67*(1+$D$109)^13*I28</f>
        <v>0</v>
      </c>
      <c r="S116" s="149">
        <f>$L$12*$C$67*(1+$D$109)^14*I29</f>
        <v>0</v>
      </c>
      <c r="T116" s="149">
        <f>$L$12*$C$67*(1+$D$109)^15*I30</f>
        <v>0</v>
      </c>
      <c r="U116" s="149">
        <f>$L$12*$C$67*(1+$D$109)^16*I31</f>
        <v>0</v>
      </c>
      <c r="V116" s="149">
        <f>$L$12*$C$67*(1+$D$109)^17*I32</f>
        <v>0</v>
      </c>
      <c r="W116" s="149">
        <f>$L$12*$C$67*(1+$D$109)^18*I33</f>
        <v>0</v>
      </c>
      <c r="X116" s="149">
        <f>$L$12*$C$67*(1+$D$109)^19*I34</f>
        <v>0</v>
      </c>
      <c r="Y116" s="149">
        <f>$L$12*$C$67*(1+$D$109)^20*I35</f>
        <v>0</v>
      </c>
      <c r="Z116" s="149">
        <f>$L$12*$C$67*(1+$D$109)^21*I36</f>
        <v>0</v>
      </c>
      <c r="AA116" s="149">
        <f>$L$12*$C$67*(1+$D$109)^22*I37</f>
        <v>0</v>
      </c>
      <c r="AB116" s="149">
        <f>$L$12*$C$67*(1+$D$109)^23*I38</f>
        <v>0</v>
      </c>
      <c r="AC116" s="149">
        <f>$L$12*$C$67*(1+$D$109)^24*I39</f>
        <v>0</v>
      </c>
      <c r="AD116" s="149">
        <f>$L$12*$C$67*(1+$D$109)^25*I40</f>
        <v>0</v>
      </c>
      <c r="AE116" s="149">
        <f>$L$12*$C$67*(1+$D$109)^26*I41</f>
        <v>0</v>
      </c>
      <c r="AF116" s="149">
        <f>$L$12*$C$67*(1+$D$109)^27*I42</f>
        <v>0</v>
      </c>
      <c r="AG116" s="149">
        <f>$L$12*$C$67*(1+$D$109)^28*I43</f>
        <v>0</v>
      </c>
      <c r="AH116" s="205">
        <f>$L$12*$C$67*(1+$D$109)^29*I44</f>
        <v>0</v>
      </c>
    </row>
    <row r="117" spans="1:34" x14ac:dyDescent="0.25">
      <c r="A117" s="490" t="s">
        <v>133</v>
      </c>
      <c r="B117" s="491"/>
      <c r="C117" s="491"/>
      <c r="D117" s="200"/>
      <c r="E117" s="149">
        <f>J15*$L$13*E111</f>
        <v>0</v>
      </c>
      <c r="F117" s="149">
        <f>J16*$L$13*F111</f>
        <v>0</v>
      </c>
      <c r="G117" s="149">
        <f>J17*$L$13*G111</f>
        <v>0</v>
      </c>
      <c r="H117" s="149">
        <f>J18*$L$13*H111</f>
        <v>0</v>
      </c>
      <c r="I117" s="149">
        <f>J19*$L$13*I111</f>
        <v>0</v>
      </c>
      <c r="J117" s="149">
        <f>J20*$L$13*J111</f>
        <v>0</v>
      </c>
      <c r="K117" s="149">
        <f>J21*$L$13*K111</f>
        <v>0</v>
      </c>
      <c r="L117" s="149">
        <f>J22*$L$13*L111</f>
        <v>0</v>
      </c>
      <c r="M117" s="149">
        <f>J23*$L$13*M111</f>
        <v>0</v>
      </c>
      <c r="N117" s="149">
        <f>J24*$L$13*N111</f>
        <v>0</v>
      </c>
      <c r="O117" s="149">
        <f>J25*$L$13*O111</f>
        <v>0</v>
      </c>
      <c r="P117" s="149">
        <f>J26*$L$13*P111</f>
        <v>0</v>
      </c>
      <c r="Q117" s="149">
        <f>J27*$L$13*Q111</f>
        <v>0</v>
      </c>
      <c r="R117" s="149">
        <f>J28*$L$13*R111</f>
        <v>0</v>
      </c>
      <c r="S117" s="149">
        <f>J29*$L$13*S111</f>
        <v>0</v>
      </c>
      <c r="T117" s="149">
        <f>J30*$L$13*T111</f>
        <v>0</v>
      </c>
      <c r="U117" s="149">
        <f>J31*$L$13*U111</f>
        <v>0</v>
      </c>
      <c r="V117" s="149">
        <f>J32*$L$13*V111</f>
        <v>0</v>
      </c>
      <c r="W117" s="149">
        <f>J33*$L$13*W111</f>
        <v>0</v>
      </c>
      <c r="X117" s="149">
        <f>J34*$L$13*X111</f>
        <v>0</v>
      </c>
      <c r="Y117" s="149">
        <f>J35*$L$13*Y111</f>
        <v>0</v>
      </c>
      <c r="Z117" s="149">
        <f>J36*$L$13*Z111</f>
        <v>0</v>
      </c>
      <c r="AA117" s="149">
        <f>J37*$L$13*AA111</f>
        <v>0</v>
      </c>
      <c r="AB117" s="149">
        <f>J38*$L$13*AB111</f>
        <v>0</v>
      </c>
      <c r="AC117" s="149">
        <f>J39*$L$13*AC111</f>
        <v>0</v>
      </c>
      <c r="AD117" s="149">
        <f>J40*$L$13*AD111</f>
        <v>0</v>
      </c>
      <c r="AE117" s="149">
        <f>J41*$L$13*AE111</f>
        <v>0</v>
      </c>
      <c r="AF117" s="149">
        <f>J42*$L$13*AF111</f>
        <v>0</v>
      </c>
      <c r="AG117" s="149">
        <f>J43*$L$13*AG111</f>
        <v>0</v>
      </c>
      <c r="AH117" s="205">
        <f>J44*$L$13*AH111</f>
        <v>0</v>
      </c>
    </row>
    <row r="118" spans="1:34" x14ac:dyDescent="0.25">
      <c r="A118" s="490" t="s">
        <v>447</v>
      </c>
      <c r="B118" s="491"/>
      <c r="C118" s="491"/>
      <c r="D118" s="200"/>
      <c r="E118" s="149">
        <f t="shared" ref="E118:AH118" si="6">-$L$95</f>
        <v>-50000</v>
      </c>
      <c r="F118" s="149">
        <f t="shared" si="6"/>
        <v>-50000</v>
      </c>
      <c r="G118" s="149">
        <f t="shared" si="6"/>
        <v>-50000</v>
      </c>
      <c r="H118" s="149">
        <f t="shared" si="6"/>
        <v>-50000</v>
      </c>
      <c r="I118" s="149">
        <f t="shared" si="6"/>
        <v>-50000</v>
      </c>
      <c r="J118" s="149">
        <f t="shared" si="6"/>
        <v>-50000</v>
      </c>
      <c r="K118" s="149">
        <f t="shared" si="6"/>
        <v>-50000</v>
      </c>
      <c r="L118" s="149">
        <f t="shared" si="6"/>
        <v>-50000</v>
      </c>
      <c r="M118" s="149">
        <f t="shared" si="6"/>
        <v>-50000</v>
      </c>
      <c r="N118" s="149">
        <f t="shared" si="6"/>
        <v>-50000</v>
      </c>
      <c r="O118" s="149">
        <f t="shared" si="6"/>
        <v>-50000</v>
      </c>
      <c r="P118" s="149">
        <f t="shared" si="6"/>
        <v>-50000</v>
      </c>
      <c r="Q118" s="149">
        <f t="shared" si="6"/>
        <v>-50000</v>
      </c>
      <c r="R118" s="149">
        <f t="shared" si="6"/>
        <v>-50000</v>
      </c>
      <c r="S118" s="149">
        <f t="shared" si="6"/>
        <v>-50000</v>
      </c>
      <c r="T118" s="149">
        <f t="shared" si="6"/>
        <v>-50000</v>
      </c>
      <c r="U118" s="149">
        <f t="shared" si="6"/>
        <v>-50000</v>
      </c>
      <c r="V118" s="149">
        <f t="shared" si="6"/>
        <v>-50000</v>
      </c>
      <c r="W118" s="149">
        <f t="shared" si="6"/>
        <v>-50000</v>
      </c>
      <c r="X118" s="149">
        <f t="shared" si="6"/>
        <v>-50000</v>
      </c>
      <c r="Y118" s="149">
        <f t="shared" si="6"/>
        <v>-50000</v>
      </c>
      <c r="Z118" s="149">
        <f t="shared" si="6"/>
        <v>-50000</v>
      </c>
      <c r="AA118" s="149">
        <f t="shared" si="6"/>
        <v>-50000</v>
      </c>
      <c r="AB118" s="149">
        <f t="shared" si="6"/>
        <v>-50000</v>
      </c>
      <c r="AC118" s="149">
        <f t="shared" si="6"/>
        <v>-50000</v>
      </c>
      <c r="AD118" s="149">
        <f t="shared" si="6"/>
        <v>-50000</v>
      </c>
      <c r="AE118" s="149">
        <f t="shared" si="6"/>
        <v>-50000</v>
      </c>
      <c r="AF118" s="149">
        <f t="shared" si="6"/>
        <v>-50000</v>
      </c>
      <c r="AG118" s="149">
        <f t="shared" si="6"/>
        <v>-50000</v>
      </c>
      <c r="AH118" s="205">
        <f t="shared" si="6"/>
        <v>-50000</v>
      </c>
    </row>
    <row r="119" spans="1:34" x14ac:dyDescent="0.25">
      <c r="A119" s="490" t="s">
        <v>446</v>
      </c>
      <c r="B119" s="491"/>
      <c r="C119" s="491"/>
      <c r="D119" s="200"/>
      <c r="E119" s="149">
        <f t="shared" ref="E119:AH119" si="7">-$L$96</f>
        <v>0</v>
      </c>
      <c r="F119" s="149">
        <f t="shared" si="7"/>
        <v>0</v>
      </c>
      <c r="G119" s="149">
        <f t="shared" si="7"/>
        <v>0</v>
      </c>
      <c r="H119" s="149">
        <f t="shared" si="7"/>
        <v>0</v>
      </c>
      <c r="I119" s="149">
        <f t="shared" si="7"/>
        <v>0</v>
      </c>
      <c r="J119" s="149">
        <f t="shared" si="7"/>
        <v>0</v>
      </c>
      <c r="K119" s="149">
        <f t="shared" si="7"/>
        <v>0</v>
      </c>
      <c r="L119" s="149">
        <f t="shared" si="7"/>
        <v>0</v>
      </c>
      <c r="M119" s="149">
        <f t="shared" si="7"/>
        <v>0</v>
      </c>
      <c r="N119" s="149">
        <f t="shared" si="7"/>
        <v>0</v>
      </c>
      <c r="O119" s="149">
        <f t="shared" si="7"/>
        <v>0</v>
      </c>
      <c r="P119" s="149">
        <f t="shared" si="7"/>
        <v>0</v>
      </c>
      <c r="Q119" s="149">
        <f t="shared" si="7"/>
        <v>0</v>
      </c>
      <c r="R119" s="149">
        <f t="shared" si="7"/>
        <v>0</v>
      </c>
      <c r="S119" s="149">
        <f t="shared" si="7"/>
        <v>0</v>
      </c>
      <c r="T119" s="149">
        <f t="shared" si="7"/>
        <v>0</v>
      </c>
      <c r="U119" s="149">
        <f t="shared" si="7"/>
        <v>0</v>
      </c>
      <c r="V119" s="149">
        <f t="shared" si="7"/>
        <v>0</v>
      </c>
      <c r="W119" s="149">
        <f t="shared" si="7"/>
        <v>0</v>
      </c>
      <c r="X119" s="149">
        <f t="shared" si="7"/>
        <v>0</v>
      </c>
      <c r="Y119" s="149">
        <f t="shared" si="7"/>
        <v>0</v>
      </c>
      <c r="Z119" s="149">
        <f t="shared" si="7"/>
        <v>0</v>
      </c>
      <c r="AA119" s="149">
        <f t="shared" si="7"/>
        <v>0</v>
      </c>
      <c r="AB119" s="149">
        <f t="shared" si="7"/>
        <v>0</v>
      </c>
      <c r="AC119" s="149">
        <f t="shared" si="7"/>
        <v>0</v>
      </c>
      <c r="AD119" s="149">
        <f t="shared" si="7"/>
        <v>0</v>
      </c>
      <c r="AE119" s="149">
        <f t="shared" si="7"/>
        <v>0</v>
      </c>
      <c r="AF119" s="149">
        <f t="shared" si="7"/>
        <v>0</v>
      </c>
      <c r="AG119" s="149">
        <f t="shared" si="7"/>
        <v>0</v>
      </c>
      <c r="AH119" s="205">
        <f t="shared" si="7"/>
        <v>0</v>
      </c>
    </row>
    <row r="120" spans="1:34" x14ac:dyDescent="0.25">
      <c r="A120" s="490" t="s">
        <v>445</v>
      </c>
      <c r="B120" s="491"/>
      <c r="C120" s="491"/>
      <c r="D120" s="200"/>
      <c r="E120" s="149">
        <f>K15+L15</f>
        <v>0</v>
      </c>
      <c r="F120" s="200">
        <f>K16+L16</f>
        <v>0</v>
      </c>
      <c r="G120" s="149">
        <f>K17+L17</f>
        <v>0</v>
      </c>
      <c r="H120" s="200">
        <f>K18+L18</f>
        <v>0</v>
      </c>
      <c r="I120" s="149">
        <f>K19+L19</f>
        <v>0</v>
      </c>
      <c r="J120" s="200">
        <f>K20+L20</f>
        <v>0</v>
      </c>
      <c r="K120" s="149">
        <f>K21+L21</f>
        <v>0</v>
      </c>
      <c r="L120" s="200">
        <f>K22+L22</f>
        <v>0</v>
      </c>
      <c r="M120" s="149">
        <f>K23+L23</f>
        <v>0</v>
      </c>
      <c r="N120" s="149">
        <f>K24+L24</f>
        <v>0</v>
      </c>
      <c r="O120" s="149">
        <f>K25+L25</f>
        <v>0</v>
      </c>
      <c r="P120" s="149">
        <f>K26+L26</f>
        <v>0</v>
      </c>
      <c r="Q120" s="149">
        <f>K27+L27</f>
        <v>0</v>
      </c>
      <c r="R120" s="149">
        <f>K28+L28</f>
        <v>0</v>
      </c>
      <c r="S120" s="200">
        <f>K29+L29</f>
        <v>0</v>
      </c>
      <c r="T120" s="149">
        <f>K30+L30</f>
        <v>0</v>
      </c>
      <c r="U120" s="200">
        <f>K31+L31</f>
        <v>0</v>
      </c>
      <c r="V120" s="149">
        <f>K32+L32</f>
        <v>0</v>
      </c>
      <c r="W120" s="200">
        <f>K33+L33</f>
        <v>0</v>
      </c>
      <c r="X120" s="149">
        <f>K34+L34</f>
        <v>0</v>
      </c>
      <c r="Y120" s="200">
        <f>K35+L35</f>
        <v>0</v>
      </c>
      <c r="Z120" s="149">
        <f>K36+L36</f>
        <v>0</v>
      </c>
      <c r="AA120" s="200">
        <f>K37+L37</f>
        <v>0</v>
      </c>
      <c r="AB120" s="149">
        <f>K38+L38</f>
        <v>0</v>
      </c>
      <c r="AC120" s="200">
        <f>K39+L39</f>
        <v>0</v>
      </c>
      <c r="AD120" s="149">
        <f>K40+L40</f>
        <v>0</v>
      </c>
      <c r="AE120" s="200">
        <f>K41+L41</f>
        <v>0</v>
      </c>
      <c r="AF120" s="149">
        <f>K42+L42</f>
        <v>0</v>
      </c>
      <c r="AG120" s="200">
        <f>K43+L43</f>
        <v>0</v>
      </c>
      <c r="AH120" s="205">
        <f>K44+L44</f>
        <v>0</v>
      </c>
    </row>
    <row r="121" spans="1:34" ht="16.5" thickBot="1" x14ac:dyDescent="0.3">
      <c r="A121" s="492" t="s">
        <v>64</v>
      </c>
      <c r="B121" s="493"/>
      <c r="C121" s="494"/>
      <c r="D121" s="454"/>
      <c r="E121" s="232">
        <f>E114-E115+E116+E117+E118+E119+E120</f>
        <v>4358652.5</v>
      </c>
      <c r="F121" s="232">
        <f t="shared" ref="F121:AH121" si="8">F114-F115+F116+F117+F118+F119+F120</f>
        <v>4490912.0750000011</v>
      </c>
      <c r="G121" s="232">
        <f t="shared" si="8"/>
        <v>4627139.4372499986</v>
      </c>
      <c r="H121" s="232">
        <f t="shared" si="8"/>
        <v>4767453.6203675</v>
      </c>
      <c r="I121" s="232">
        <f t="shared" si="8"/>
        <v>4911977.2289785258</v>
      </c>
      <c r="J121" s="232">
        <f t="shared" si="8"/>
        <v>5060836.5458478816</v>
      </c>
      <c r="K121" s="232">
        <f t="shared" si="8"/>
        <v>5214161.642223319</v>
      </c>
      <c r="L121" s="232">
        <f t="shared" si="8"/>
        <v>5372086.4914900167</v>
      </c>
      <c r="M121" s="232">
        <f t="shared" si="8"/>
        <v>5534749.0862347186</v>
      </c>
      <c r="N121" s="232">
        <f t="shared" si="8"/>
        <v>5702291.5588217583</v>
      </c>
      <c r="O121" s="232">
        <f t="shared" si="8"/>
        <v>5874860.3055864107</v>
      </c>
      <c r="P121" s="232">
        <f t="shared" si="8"/>
        <v>6052606.1147540044</v>
      </c>
      <c r="Q121" s="232">
        <f t="shared" si="8"/>
        <v>6235684.298196625</v>
      </c>
      <c r="R121" s="232">
        <f t="shared" si="8"/>
        <v>6424254.8271425227</v>
      </c>
      <c r="S121" s="232">
        <f t="shared" si="8"/>
        <v>6618482.4719567988</v>
      </c>
      <c r="T121" s="232">
        <f t="shared" si="8"/>
        <v>6818536.9461155031</v>
      </c>
      <c r="U121" s="232">
        <f t="shared" si="8"/>
        <v>7024593.0544989649</v>
      </c>
      <c r="V121" s="232">
        <f t="shared" si="8"/>
        <v>7236830.8461339371</v>
      </c>
      <c r="W121" s="232">
        <f t="shared" si="8"/>
        <v>7455435.7715179548</v>
      </c>
      <c r="X121" s="232">
        <f t="shared" si="8"/>
        <v>7680598.8446634943</v>
      </c>
      <c r="Y121" s="232">
        <f t="shared" si="8"/>
        <v>7912516.8100033998</v>
      </c>
      <c r="Z121" s="232">
        <f t="shared" si="8"/>
        <v>8151392.3143035034</v>
      </c>
      <c r="AA121" s="232">
        <f t="shared" si="8"/>
        <v>8397434.0837326087</v>
      </c>
      <c r="AB121" s="232">
        <f t="shared" si="8"/>
        <v>8650857.1062445864</v>
      </c>
      <c r="AC121" s="232">
        <f t="shared" si="8"/>
        <v>8911882.8194319271</v>
      </c>
      <c r="AD121" s="232">
        <f t="shared" si="8"/>
        <v>9180739.3040148821</v>
      </c>
      <c r="AE121" s="232">
        <f t="shared" si="8"/>
        <v>9457661.4831353314</v>
      </c>
      <c r="AF121" s="232">
        <f t="shared" si="8"/>
        <v>9742891.3276293948</v>
      </c>
      <c r="AG121" s="232">
        <f t="shared" si="8"/>
        <v>10036678.067458278</v>
      </c>
      <c r="AH121" s="204">
        <f t="shared" si="8"/>
        <v>10339278.409482026</v>
      </c>
    </row>
    <row r="122" spans="1:34" x14ac:dyDescent="0.25">
      <c r="A122" s="490"/>
      <c r="B122" s="488"/>
      <c r="C122" s="491"/>
      <c r="D122" s="98"/>
      <c r="E122" s="203"/>
      <c r="F122" s="98"/>
      <c r="G122" s="203"/>
      <c r="H122" s="98"/>
      <c r="I122" s="203"/>
      <c r="J122" s="98"/>
      <c r="K122" s="203"/>
      <c r="L122" s="98"/>
      <c r="M122" s="203"/>
      <c r="N122" s="203"/>
      <c r="O122" s="200"/>
      <c r="P122" s="149"/>
      <c r="Q122" s="149"/>
      <c r="R122" s="200"/>
      <c r="S122" s="149"/>
      <c r="T122" s="200"/>
      <c r="U122" s="149"/>
      <c r="V122" s="200"/>
      <c r="W122" s="149"/>
      <c r="X122" s="200"/>
      <c r="Y122" s="149"/>
      <c r="Z122" s="200"/>
      <c r="AA122" s="149"/>
      <c r="AB122" s="200"/>
      <c r="AC122" s="149"/>
      <c r="AD122" s="200"/>
      <c r="AE122" s="149"/>
      <c r="AF122" s="200"/>
      <c r="AG122" s="149"/>
      <c r="AH122" s="134"/>
    </row>
    <row r="123" spans="1:34" x14ac:dyDescent="0.25">
      <c r="A123" s="490" t="s">
        <v>101</v>
      </c>
      <c r="B123" s="488"/>
      <c r="C123" s="488"/>
      <c r="D123" s="98"/>
      <c r="E123" s="352">
        <f>-$E$102</f>
        <v>1119066.3641188717</v>
      </c>
      <c r="F123" s="352">
        <f t="shared" ref="F123:AH123" si="9">-$E$102</f>
        <v>1119066.3641188717</v>
      </c>
      <c r="G123" s="352">
        <f t="shared" si="9"/>
        <v>1119066.3641188717</v>
      </c>
      <c r="H123" s="352">
        <f t="shared" si="9"/>
        <v>1119066.3641188717</v>
      </c>
      <c r="I123" s="352">
        <f t="shared" si="9"/>
        <v>1119066.3641188717</v>
      </c>
      <c r="J123" s="352">
        <f t="shared" si="9"/>
        <v>1119066.3641188717</v>
      </c>
      <c r="K123" s="352">
        <f t="shared" si="9"/>
        <v>1119066.3641188717</v>
      </c>
      <c r="L123" s="352">
        <f t="shared" si="9"/>
        <v>1119066.3641188717</v>
      </c>
      <c r="M123" s="352">
        <f t="shared" si="9"/>
        <v>1119066.3641188717</v>
      </c>
      <c r="N123" s="352">
        <f t="shared" si="9"/>
        <v>1119066.3641188717</v>
      </c>
      <c r="O123" s="352">
        <f t="shared" si="9"/>
        <v>1119066.3641188717</v>
      </c>
      <c r="P123" s="352">
        <f t="shared" si="9"/>
        <v>1119066.3641188717</v>
      </c>
      <c r="Q123" s="352">
        <f t="shared" si="9"/>
        <v>1119066.3641188717</v>
      </c>
      <c r="R123" s="352">
        <f t="shared" si="9"/>
        <v>1119066.3641188717</v>
      </c>
      <c r="S123" s="352">
        <f t="shared" si="9"/>
        <v>1119066.3641188717</v>
      </c>
      <c r="T123" s="352">
        <f t="shared" si="9"/>
        <v>1119066.3641188717</v>
      </c>
      <c r="U123" s="352">
        <f t="shared" si="9"/>
        <v>1119066.3641188717</v>
      </c>
      <c r="V123" s="352">
        <f t="shared" si="9"/>
        <v>1119066.3641188717</v>
      </c>
      <c r="W123" s="352">
        <f t="shared" si="9"/>
        <v>1119066.3641188717</v>
      </c>
      <c r="X123" s="352">
        <f t="shared" si="9"/>
        <v>1119066.3641188717</v>
      </c>
      <c r="Y123" s="352">
        <f t="shared" si="9"/>
        <v>1119066.3641188717</v>
      </c>
      <c r="Z123" s="352">
        <f t="shared" si="9"/>
        <v>1119066.3641188717</v>
      </c>
      <c r="AA123" s="352">
        <f t="shared" si="9"/>
        <v>1119066.3641188717</v>
      </c>
      <c r="AB123" s="352">
        <f t="shared" si="9"/>
        <v>1119066.3641188717</v>
      </c>
      <c r="AC123" s="352">
        <f t="shared" si="9"/>
        <v>1119066.3641188717</v>
      </c>
      <c r="AD123" s="352">
        <f t="shared" si="9"/>
        <v>1119066.3641188717</v>
      </c>
      <c r="AE123" s="352">
        <f t="shared" si="9"/>
        <v>1119066.3641188717</v>
      </c>
      <c r="AF123" s="352">
        <f t="shared" si="9"/>
        <v>1119066.3641188717</v>
      </c>
      <c r="AG123" s="352">
        <f t="shared" si="9"/>
        <v>1119066.3641188717</v>
      </c>
      <c r="AH123" s="352">
        <f t="shared" si="9"/>
        <v>1119066.3641188717</v>
      </c>
    </row>
    <row r="124" spans="1:34" ht="16.5" thickBot="1" x14ac:dyDescent="0.3">
      <c r="A124" s="492" t="s">
        <v>436</v>
      </c>
      <c r="B124" s="493"/>
      <c r="C124" s="493"/>
      <c r="D124" s="454"/>
      <c r="E124" s="232">
        <f>E121-E123</f>
        <v>3239586.1358811283</v>
      </c>
      <c r="F124" s="232">
        <f t="shared" ref="F124:AH124" si="10">F121-F123</f>
        <v>3371845.7108811294</v>
      </c>
      <c r="G124" s="232">
        <f t="shared" si="10"/>
        <v>3508073.0731311268</v>
      </c>
      <c r="H124" s="232">
        <f t="shared" si="10"/>
        <v>3648387.2562486283</v>
      </c>
      <c r="I124" s="232">
        <f t="shared" si="10"/>
        <v>3792910.8648596541</v>
      </c>
      <c r="J124" s="232">
        <f t="shared" si="10"/>
        <v>3941770.1817290098</v>
      </c>
      <c r="K124" s="232">
        <f t="shared" si="10"/>
        <v>4095095.2781044473</v>
      </c>
      <c r="L124" s="232">
        <f t="shared" si="10"/>
        <v>4253020.1273711454</v>
      </c>
      <c r="M124" s="232">
        <f t="shared" si="10"/>
        <v>4415682.7221158464</v>
      </c>
      <c r="N124" s="232">
        <f t="shared" si="10"/>
        <v>4583225.194702886</v>
      </c>
      <c r="O124" s="232">
        <f t="shared" si="10"/>
        <v>4755793.9414675385</v>
      </c>
      <c r="P124" s="232">
        <f t="shared" si="10"/>
        <v>4933539.7506351322</v>
      </c>
      <c r="Q124" s="232">
        <f t="shared" si="10"/>
        <v>5116617.9340777528</v>
      </c>
      <c r="R124" s="232">
        <f t="shared" si="10"/>
        <v>5305188.4630236514</v>
      </c>
      <c r="S124" s="232">
        <f t="shared" si="10"/>
        <v>5499416.1078379266</v>
      </c>
      <c r="T124" s="232">
        <f t="shared" si="10"/>
        <v>5699470.5819966309</v>
      </c>
      <c r="U124" s="232">
        <f t="shared" si="10"/>
        <v>5905526.6903800927</v>
      </c>
      <c r="V124" s="232">
        <f t="shared" si="10"/>
        <v>6117764.4820150658</v>
      </c>
      <c r="W124" s="232">
        <f t="shared" si="10"/>
        <v>6336369.4073990826</v>
      </c>
      <c r="X124" s="232">
        <f t="shared" si="10"/>
        <v>6561532.480544623</v>
      </c>
      <c r="Y124" s="232">
        <f t="shared" si="10"/>
        <v>6793450.4458845276</v>
      </c>
      <c r="Z124" s="232">
        <f t="shared" si="10"/>
        <v>7032325.9501846321</v>
      </c>
      <c r="AA124" s="232">
        <f t="shared" si="10"/>
        <v>7278367.7196137365</v>
      </c>
      <c r="AB124" s="232">
        <f t="shared" si="10"/>
        <v>7531790.7421257142</v>
      </c>
      <c r="AC124" s="232">
        <f t="shared" si="10"/>
        <v>7792816.4553130548</v>
      </c>
      <c r="AD124" s="232">
        <f t="shared" si="10"/>
        <v>8061672.9398960099</v>
      </c>
      <c r="AE124" s="232">
        <f t="shared" si="10"/>
        <v>8338595.1190164592</v>
      </c>
      <c r="AF124" s="232">
        <f t="shared" si="10"/>
        <v>8623824.9635105226</v>
      </c>
      <c r="AG124" s="232">
        <f t="shared" si="10"/>
        <v>8917611.7033394054</v>
      </c>
      <c r="AH124" s="232">
        <f t="shared" si="10"/>
        <v>9220212.0453631543</v>
      </c>
    </row>
    <row r="125" spans="1:34" x14ac:dyDescent="0.25">
      <c r="A125" s="487"/>
      <c r="B125" s="488"/>
      <c r="C125" s="488"/>
      <c r="D125" s="98"/>
      <c r="E125" s="495"/>
      <c r="F125" s="201"/>
      <c r="G125" s="495"/>
      <c r="H125" s="201"/>
      <c r="I125" s="495"/>
      <c r="J125" s="201"/>
      <c r="K125" s="495"/>
      <c r="L125" s="201"/>
      <c r="M125" s="495"/>
      <c r="N125" s="495"/>
      <c r="O125" s="200"/>
      <c r="P125" s="149"/>
      <c r="Q125" s="149"/>
      <c r="R125" s="200"/>
      <c r="S125" s="149"/>
      <c r="T125" s="200"/>
      <c r="U125" s="149"/>
      <c r="V125" s="200"/>
      <c r="W125" s="149"/>
      <c r="X125" s="200"/>
      <c r="Y125" s="149"/>
      <c r="Z125" s="200"/>
      <c r="AA125" s="149"/>
      <c r="AB125" s="200"/>
      <c r="AC125" s="149"/>
      <c r="AD125" s="200"/>
      <c r="AE125" s="149"/>
      <c r="AF125" s="200"/>
      <c r="AG125" s="149"/>
      <c r="AH125" s="134"/>
    </row>
    <row r="126" spans="1:34" x14ac:dyDescent="0.25">
      <c r="A126" s="490" t="s">
        <v>6</v>
      </c>
      <c r="B126" s="488"/>
      <c r="C126" s="488"/>
      <c r="D126" s="816"/>
      <c r="E126" s="817">
        <f t="shared" ref="E126:AH126" si="11">IFERROR(E121/$E$104,0)</f>
        <v>0.13329212538226301</v>
      </c>
      <c r="F126" s="816">
        <f t="shared" si="11"/>
        <v>0.13733676070336395</v>
      </c>
      <c r="G126" s="817">
        <f t="shared" si="11"/>
        <v>0.1415027350840978</v>
      </c>
      <c r="H126" s="816">
        <f t="shared" si="11"/>
        <v>0.14579368869625381</v>
      </c>
      <c r="I126" s="817">
        <f t="shared" si="11"/>
        <v>0.1502133709167745</v>
      </c>
      <c r="J126" s="816">
        <f t="shared" si="11"/>
        <v>0.15476564360391076</v>
      </c>
      <c r="K126" s="817">
        <f t="shared" si="11"/>
        <v>0.15945448447166113</v>
      </c>
      <c r="L126" s="816">
        <f t="shared" si="11"/>
        <v>0.16428399056544393</v>
      </c>
      <c r="M126" s="817">
        <f t="shared" si="11"/>
        <v>0.16925838184204031</v>
      </c>
      <c r="N126" s="817">
        <f t="shared" si="11"/>
        <v>0.1743820048569345</v>
      </c>
      <c r="O126" s="816">
        <f t="shared" si="11"/>
        <v>0.17965933656227556</v>
      </c>
      <c r="P126" s="817">
        <f t="shared" si="11"/>
        <v>0.1850949882187769</v>
      </c>
      <c r="Q126" s="817">
        <f t="shared" si="11"/>
        <v>0.19069370942497324</v>
      </c>
      <c r="R126" s="816">
        <f t="shared" si="11"/>
        <v>0.19646039226735543</v>
      </c>
      <c r="S126" s="817">
        <f t="shared" si="11"/>
        <v>0.20240007559500914</v>
      </c>
      <c r="T126" s="816">
        <f t="shared" si="11"/>
        <v>0.20851794942249244</v>
      </c>
      <c r="U126" s="817">
        <f t="shared" si="11"/>
        <v>0.21481935946480016</v>
      </c>
      <c r="V126" s="816">
        <f t="shared" si="11"/>
        <v>0.22130981180837728</v>
      </c>
      <c r="W126" s="817">
        <f t="shared" si="11"/>
        <v>0.22799497772226163</v>
      </c>
      <c r="X126" s="816">
        <f t="shared" si="11"/>
        <v>0.23488069861356251</v>
      </c>
      <c r="Y126" s="817">
        <f t="shared" si="11"/>
        <v>0.24197299113160245</v>
      </c>
      <c r="Z126" s="816">
        <f t="shared" si="11"/>
        <v>0.24927805242518358</v>
      </c>
      <c r="AA126" s="817">
        <f t="shared" si="11"/>
        <v>0.25680226555757213</v>
      </c>
      <c r="AB126" s="816">
        <f t="shared" si="11"/>
        <v>0.26455220508393229</v>
      </c>
      <c r="AC126" s="817">
        <f t="shared" si="11"/>
        <v>0.27253464279608342</v>
      </c>
      <c r="AD126" s="816">
        <f t="shared" si="11"/>
        <v>0.28075655363959884</v>
      </c>
      <c r="AE126" s="817">
        <f t="shared" si="11"/>
        <v>0.28922512180841992</v>
      </c>
      <c r="AF126" s="816">
        <f t="shared" si="11"/>
        <v>0.29794774702230564</v>
      </c>
      <c r="AG126" s="817">
        <f t="shared" si="11"/>
        <v>0.3069320509926079</v>
      </c>
      <c r="AH126" s="818">
        <f t="shared" si="11"/>
        <v>0.31618588408201914</v>
      </c>
    </row>
    <row r="127" spans="1:34" ht="16.5" thickBot="1" x14ac:dyDescent="0.3">
      <c r="A127" s="496" t="s">
        <v>451</v>
      </c>
      <c r="B127" s="497"/>
      <c r="C127" s="498" t="s">
        <v>19</v>
      </c>
      <c r="D127" s="819">
        <f>D5</f>
        <v>0.1</v>
      </c>
      <c r="E127" s="820">
        <f t="shared" ref="E127:AH127" si="12">IFERROR(E124/$E$105,0)</f>
        <v>0.25478459582234592</v>
      </c>
      <c r="F127" s="820">
        <f t="shared" si="12"/>
        <v>0.26518644993166568</v>
      </c>
      <c r="G127" s="820">
        <f t="shared" si="12"/>
        <v>0.27590035966426479</v>
      </c>
      <c r="H127" s="820">
        <f t="shared" si="12"/>
        <v>0.28693568668884217</v>
      </c>
      <c r="I127" s="820">
        <f t="shared" si="12"/>
        <v>0.29830207352415683</v>
      </c>
      <c r="J127" s="820">
        <f t="shared" si="12"/>
        <v>0.31000945196453084</v>
      </c>
      <c r="K127" s="820">
        <f t="shared" si="12"/>
        <v>0.3220680517581162</v>
      </c>
      <c r="L127" s="820">
        <f t="shared" si="12"/>
        <v>0.3344884095455089</v>
      </c>
      <c r="M127" s="820">
        <f t="shared" si="12"/>
        <v>0.34728137806652348</v>
      </c>
      <c r="N127" s="820">
        <f t="shared" si="12"/>
        <v>0.36045813564316836</v>
      </c>
      <c r="O127" s="821">
        <f t="shared" si="12"/>
        <v>0.37403019594711273</v>
      </c>
      <c r="P127" s="820">
        <f t="shared" si="12"/>
        <v>0.38800941806017558</v>
      </c>
      <c r="Q127" s="820">
        <f t="shared" si="12"/>
        <v>0.40240801683663019</v>
      </c>
      <c r="R127" s="821">
        <f t="shared" si="12"/>
        <v>0.41723857357637839</v>
      </c>
      <c r="S127" s="820">
        <f t="shared" si="12"/>
        <v>0.43251404701831903</v>
      </c>
      <c r="T127" s="821">
        <f t="shared" si="12"/>
        <v>0.44824778466351795</v>
      </c>
      <c r="U127" s="820">
        <f t="shared" si="12"/>
        <v>0.46445353443807258</v>
      </c>
      <c r="V127" s="821">
        <f t="shared" si="12"/>
        <v>0.48114545670586439</v>
      </c>
      <c r="W127" s="820">
        <f t="shared" si="12"/>
        <v>0.49833813664168952</v>
      </c>
      <c r="X127" s="821">
        <f t="shared" si="12"/>
        <v>0.51604659697558974</v>
      </c>
      <c r="Y127" s="820">
        <f t="shared" si="12"/>
        <v>0.53428631111950664</v>
      </c>
      <c r="Z127" s="821">
        <f t="shared" si="12"/>
        <v>0.55307321668774145</v>
      </c>
      <c r="AA127" s="820">
        <f t="shared" si="12"/>
        <v>0.57242372942302289</v>
      </c>
      <c r="AB127" s="821">
        <f t="shared" si="12"/>
        <v>0.59235475754036293</v>
      </c>
      <c r="AC127" s="820">
        <f t="shared" si="12"/>
        <v>0.61288371650122331</v>
      </c>
      <c r="AD127" s="821">
        <f t="shared" si="12"/>
        <v>0.63402854423090915</v>
      </c>
      <c r="AE127" s="820">
        <f t="shared" si="12"/>
        <v>0.65580771679248595</v>
      </c>
      <c r="AF127" s="821">
        <f t="shared" si="12"/>
        <v>0.67824026453091013</v>
      </c>
      <c r="AG127" s="820">
        <f t="shared" si="12"/>
        <v>0.70134578870148689</v>
      </c>
      <c r="AH127" s="822">
        <f t="shared" si="12"/>
        <v>0.72514447859718079</v>
      </c>
    </row>
    <row r="128" spans="1:34" ht="16.5" thickBot="1" x14ac:dyDescent="0.3">
      <c r="A128" s="38"/>
      <c r="B128" s="38"/>
      <c r="C128" s="38"/>
      <c r="D128" s="38"/>
      <c r="E128" s="38"/>
      <c r="F128" s="38"/>
      <c r="G128" s="38"/>
      <c r="H128" s="38"/>
      <c r="I128" s="38"/>
      <c r="J128" s="38"/>
      <c r="K128" s="38"/>
      <c r="L128" s="38"/>
      <c r="M128" s="38"/>
      <c r="N128" s="38"/>
    </row>
    <row r="129" spans="1:35" ht="16.5" thickBot="1" x14ac:dyDescent="0.3">
      <c r="A129" s="79" t="s">
        <v>448</v>
      </c>
      <c r="B129" s="51"/>
      <c r="C129" s="51"/>
      <c r="D129" s="360" t="s">
        <v>104</v>
      </c>
      <c r="E129" s="360" t="s">
        <v>85</v>
      </c>
      <c r="F129" s="360" t="s">
        <v>86</v>
      </c>
      <c r="G129" s="360" t="s">
        <v>87</v>
      </c>
      <c r="H129" s="360" t="s">
        <v>88</v>
      </c>
      <c r="I129" s="360" t="s">
        <v>89</v>
      </c>
      <c r="J129" s="360" t="s">
        <v>90</v>
      </c>
      <c r="K129" s="360" t="s">
        <v>91</v>
      </c>
      <c r="L129" s="360" t="s">
        <v>92</v>
      </c>
      <c r="M129" s="360" t="s">
        <v>93</v>
      </c>
      <c r="N129" s="356" t="s">
        <v>94</v>
      </c>
      <c r="O129" s="357" t="s">
        <v>239</v>
      </c>
      <c r="P129" s="358" t="s">
        <v>240</v>
      </c>
      <c r="Q129" s="358" t="s">
        <v>241</v>
      </c>
      <c r="R129" s="340" t="s">
        <v>242</v>
      </c>
      <c r="S129" s="358" t="s">
        <v>243</v>
      </c>
      <c r="T129" s="340" t="s">
        <v>244</v>
      </c>
      <c r="U129" s="358" t="s">
        <v>245</v>
      </c>
      <c r="V129" s="340" t="s">
        <v>246</v>
      </c>
      <c r="W129" s="358" t="s">
        <v>247</v>
      </c>
      <c r="X129" s="340" t="s">
        <v>248</v>
      </c>
      <c r="Y129" s="358" t="s">
        <v>249</v>
      </c>
      <c r="Z129" s="340" t="s">
        <v>250</v>
      </c>
      <c r="AA129" s="358" t="s">
        <v>251</v>
      </c>
      <c r="AB129" s="340" t="s">
        <v>252</v>
      </c>
      <c r="AC129" s="358" t="s">
        <v>253</v>
      </c>
      <c r="AD129" s="340" t="s">
        <v>254</v>
      </c>
      <c r="AE129" s="358" t="s">
        <v>255</v>
      </c>
      <c r="AF129" s="340" t="s">
        <v>256</v>
      </c>
      <c r="AG129" s="358" t="s">
        <v>257</v>
      </c>
      <c r="AH129" s="359" t="s">
        <v>258</v>
      </c>
    </row>
    <row r="130" spans="1:35" x14ac:dyDescent="0.25">
      <c r="A130" s="17" t="s">
        <v>105</v>
      </c>
      <c r="B130" s="18"/>
      <c r="C130" s="24"/>
      <c r="D130" s="342">
        <f>D75</f>
        <v>0.08</v>
      </c>
      <c r="E130" s="336"/>
      <c r="F130" s="477"/>
      <c r="G130" s="143"/>
      <c r="H130" s="143"/>
      <c r="I130" s="142"/>
      <c r="J130" s="144"/>
      <c r="K130" s="144"/>
      <c r="L130" s="144"/>
      <c r="M130" s="144"/>
      <c r="N130" s="98">
        <f>IFERROR(IF($C$11=10,N121/$D$130,0),0)</f>
        <v>71278644.485271975</v>
      </c>
      <c r="O130" s="160"/>
      <c r="P130" s="198"/>
      <c r="Q130" s="160"/>
      <c r="R130" s="198"/>
      <c r="S130" s="203">
        <f>IFERROR(IF($C$11=15,S121/$D$130,0),0)</f>
        <v>0</v>
      </c>
      <c r="T130" s="98"/>
      <c r="U130" s="149"/>
      <c r="V130" s="200"/>
      <c r="W130" s="149"/>
      <c r="X130" s="98">
        <f>IFERROR(IF($C$11=20,X121/$D$130,0),0)</f>
        <v>0</v>
      </c>
      <c r="Y130" s="149"/>
      <c r="Z130" s="200"/>
      <c r="AA130" s="149"/>
      <c r="AB130" s="200"/>
      <c r="AC130" s="203">
        <f>IFERROR(IF($C$11=25,AC121/$D$130,0),0)</f>
        <v>0</v>
      </c>
      <c r="AD130" s="200"/>
      <c r="AE130" s="149"/>
      <c r="AF130" s="200"/>
      <c r="AG130" s="149"/>
      <c r="AH130" s="217">
        <f>IFERROR(IF($C$11=30,AH121/$D$130,0),0)</f>
        <v>0</v>
      </c>
    </row>
    <row r="131" spans="1:35" ht="18" x14ac:dyDescent="0.4">
      <c r="A131" s="17" t="s">
        <v>106</v>
      </c>
      <c r="B131" s="18"/>
      <c r="C131" s="18"/>
      <c r="D131" s="343">
        <f>D76</f>
        <v>0.03</v>
      </c>
      <c r="E131" s="336"/>
      <c r="F131" s="211"/>
      <c r="G131" s="143"/>
      <c r="H131" s="143"/>
      <c r="I131" s="142"/>
      <c r="J131" s="145"/>
      <c r="K131" s="145"/>
      <c r="L131" s="145"/>
      <c r="M131" s="145"/>
      <c r="N131" s="353">
        <f>N130*(1-$D$131)</f>
        <v>69140285.150713816</v>
      </c>
      <c r="O131" s="226"/>
      <c r="P131" s="288"/>
      <c r="Q131" s="226"/>
      <c r="R131" s="288"/>
      <c r="S131" s="352">
        <f>S130*(1-$D$131)</f>
        <v>0</v>
      </c>
      <c r="T131" s="200"/>
      <c r="U131" s="149"/>
      <c r="V131" s="200"/>
      <c r="W131" s="149"/>
      <c r="X131" s="353">
        <f>X130*(1-$D$131)</f>
        <v>0</v>
      </c>
      <c r="Y131" s="149"/>
      <c r="Z131" s="200"/>
      <c r="AA131" s="149"/>
      <c r="AB131" s="200"/>
      <c r="AC131" s="352">
        <f>AC130*(1-$D$131)</f>
        <v>0</v>
      </c>
      <c r="AD131" s="200"/>
      <c r="AE131" s="149"/>
      <c r="AF131" s="200"/>
      <c r="AG131" s="149"/>
      <c r="AH131" s="317">
        <f>AH130*(1-$D$131)</f>
        <v>0</v>
      </c>
    </row>
    <row r="132" spans="1:35" x14ac:dyDescent="0.25">
      <c r="A132" s="17" t="s">
        <v>107</v>
      </c>
      <c r="B132" s="24"/>
      <c r="C132" s="24"/>
      <c r="D132" s="142"/>
      <c r="E132" s="142"/>
      <c r="F132" s="142"/>
      <c r="G132" s="142"/>
      <c r="H132" s="142"/>
      <c r="I132" s="142"/>
      <c r="J132" s="142"/>
      <c r="K132" s="142"/>
      <c r="L132" s="142"/>
      <c r="M132" s="142"/>
      <c r="N132" s="200">
        <f>IF($C$11=10,-AA177,0)</f>
        <v>-15630578.514687991</v>
      </c>
      <c r="O132" s="180"/>
      <c r="P132" s="39"/>
      <c r="Q132" s="159"/>
      <c r="R132" s="39"/>
      <c r="S132" s="149">
        <f>IF($C$11=15,-AA182,0)</f>
        <v>0</v>
      </c>
      <c r="T132" s="200"/>
      <c r="U132" s="149"/>
      <c r="V132" s="200"/>
      <c r="W132" s="149"/>
      <c r="X132" s="200">
        <f>IF($C$11=20,-AA187,0)</f>
        <v>0</v>
      </c>
      <c r="Y132" s="149"/>
      <c r="Z132" s="200"/>
      <c r="AA132" s="149"/>
      <c r="AB132" s="200"/>
      <c r="AC132" s="149">
        <f>IF($C$11=25,-AA192,0)</f>
        <v>0</v>
      </c>
      <c r="AD132" s="200"/>
      <c r="AE132" s="149"/>
      <c r="AF132" s="200"/>
      <c r="AG132" s="149"/>
      <c r="AH132" s="316">
        <f>V197</f>
        <v>1.2787495506927371E-9</v>
      </c>
    </row>
    <row r="133" spans="1:35" ht="16.5" thickBot="1" x14ac:dyDescent="0.3">
      <c r="A133" s="125" t="s">
        <v>108</v>
      </c>
      <c r="B133" s="83"/>
      <c r="C133" s="83"/>
      <c r="D133" s="146"/>
      <c r="E133" s="147"/>
      <c r="F133" s="147"/>
      <c r="G133" s="147"/>
      <c r="H133" s="147"/>
      <c r="I133" s="147"/>
      <c r="J133" s="147"/>
      <c r="K133" s="147"/>
      <c r="L133" s="147"/>
      <c r="M133" s="147"/>
      <c r="N133" s="231">
        <f>N131+N132</f>
        <v>53509706.636025824</v>
      </c>
      <c r="O133" s="214"/>
      <c r="P133" s="215"/>
      <c r="Q133" s="214"/>
      <c r="R133" s="215"/>
      <c r="S133" s="232">
        <f>S131+S132</f>
        <v>0</v>
      </c>
      <c r="T133" s="443"/>
      <c r="U133" s="442"/>
      <c r="V133" s="443"/>
      <c r="W133" s="442"/>
      <c r="X133" s="231">
        <f>X131+X132</f>
        <v>0</v>
      </c>
      <c r="Y133" s="442"/>
      <c r="Z133" s="443"/>
      <c r="AA133" s="442"/>
      <c r="AB133" s="443"/>
      <c r="AC133" s="232">
        <f>AC131+AC132</f>
        <v>0</v>
      </c>
      <c r="AD133" s="443"/>
      <c r="AE133" s="442"/>
      <c r="AF133" s="443"/>
      <c r="AG133" s="442"/>
      <c r="AH133" s="245">
        <f>AH131+AH132</f>
        <v>1.2787495506927371E-9</v>
      </c>
    </row>
    <row r="134" spans="1:35" ht="16.5" thickBot="1" x14ac:dyDescent="0.3"/>
    <row r="135" spans="1:35" ht="16.5" thickBot="1" x14ac:dyDescent="0.3">
      <c r="A135" s="79" t="s">
        <v>433</v>
      </c>
      <c r="B135" s="44"/>
      <c r="C135" s="44"/>
      <c r="D135" s="360" t="s">
        <v>104</v>
      </c>
      <c r="E135" s="355" t="s">
        <v>85</v>
      </c>
      <c r="F135" s="355" t="s">
        <v>86</v>
      </c>
      <c r="G135" s="355" t="s">
        <v>87</v>
      </c>
      <c r="H135" s="355" t="s">
        <v>88</v>
      </c>
      <c r="I135" s="355" t="s">
        <v>89</v>
      </c>
      <c r="J135" s="355" t="s">
        <v>90</v>
      </c>
      <c r="K135" s="355" t="s">
        <v>91</v>
      </c>
      <c r="L135" s="355" t="s">
        <v>92</v>
      </c>
      <c r="M135" s="355" t="s">
        <v>93</v>
      </c>
      <c r="N135" s="356" t="s">
        <v>94</v>
      </c>
      <c r="O135" s="357" t="s">
        <v>239</v>
      </c>
      <c r="P135" s="358" t="s">
        <v>240</v>
      </c>
      <c r="Q135" s="358" t="s">
        <v>241</v>
      </c>
      <c r="R135" s="340" t="s">
        <v>242</v>
      </c>
      <c r="S135" s="358" t="s">
        <v>243</v>
      </c>
      <c r="T135" s="340" t="s">
        <v>244</v>
      </c>
      <c r="U135" s="358" t="s">
        <v>245</v>
      </c>
      <c r="V135" s="340" t="s">
        <v>246</v>
      </c>
      <c r="W135" s="358" t="s">
        <v>247</v>
      </c>
      <c r="X135" s="340" t="s">
        <v>248</v>
      </c>
      <c r="Y135" s="358" t="s">
        <v>249</v>
      </c>
      <c r="Z135" s="340" t="s">
        <v>250</v>
      </c>
      <c r="AA135" s="358" t="s">
        <v>251</v>
      </c>
      <c r="AB135" s="340" t="s">
        <v>252</v>
      </c>
      <c r="AC135" s="358" t="s">
        <v>253</v>
      </c>
      <c r="AD135" s="340" t="s">
        <v>254</v>
      </c>
      <c r="AE135" s="358" t="s">
        <v>255</v>
      </c>
      <c r="AF135" s="340" t="s">
        <v>256</v>
      </c>
      <c r="AG135" s="358" t="s">
        <v>257</v>
      </c>
      <c r="AH135" s="359" t="s">
        <v>258</v>
      </c>
    </row>
    <row r="136" spans="1:35" x14ac:dyDescent="0.25">
      <c r="A136" s="17" t="s">
        <v>449</v>
      </c>
      <c r="B136" s="24"/>
      <c r="C136" s="24"/>
      <c r="D136" s="161">
        <f>-C27</f>
        <v>-32700000</v>
      </c>
      <c r="E136" s="148"/>
      <c r="F136" s="148"/>
      <c r="G136" s="148"/>
      <c r="H136" s="148"/>
      <c r="I136" s="148"/>
      <c r="J136" s="148"/>
      <c r="K136" s="148"/>
      <c r="L136" s="148"/>
      <c r="M136" s="148"/>
      <c r="N136" s="213"/>
      <c r="O136" s="159"/>
      <c r="P136" s="39"/>
      <c r="Q136" s="159"/>
      <c r="R136" s="39"/>
      <c r="S136" s="159"/>
      <c r="T136" s="39"/>
      <c r="U136" s="159"/>
      <c r="V136" s="39"/>
      <c r="W136" s="159"/>
      <c r="X136" s="39"/>
      <c r="Y136" s="159"/>
      <c r="Z136" s="39"/>
      <c r="AA136" s="159"/>
      <c r="AB136" s="39"/>
      <c r="AC136" s="159"/>
      <c r="AD136" s="39"/>
      <c r="AE136" s="159"/>
      <c r="AF136" s="39"/>
      <c r="AG136" s="159"/>
      <c r="AH136" s="26"/>
    </row>
    <row r="137" spans="1:35" x14ac:dyDescent="0.25">
      <c r="A137" s="17" t="s">
        <v>110</v>
      </c>
      <c r="B137" s="24"/>
      <c r="C137" s="24"/>
      <c r="D137" s="161"/>
      <c r="E137" s="149">
        <f t="shared" ref="E137:AH137" si="13">E121</f>
        <v>4358652.5</v>
      </c>
      <c r="F137" s="149">
        <f t="shared" si="13"/>
        <v>4490912.0750000011</v>
      </c>
      <c r="G137" s="149">
        <f t="shared" si="13"/>
        <v>4627139.4372499986</v>
      </c>
      <c r="H137" s="149">
        <f t="shared" si="13"/>
        <v>4767453.6203675</v>
      </c>
      <c r="I137" s="149">
        <f t="shared" si="13"/>
        <v>4911977.2289785258</v>
      </c>
      <c r="J137" s="149">
        <f t="shared" si="13"/>
        <v>5060836.5458478816</v>
      </c>
      <c r="K137" s="149">
        <f t="shared" si="13"/>
        <v>5214161.642223319</v>
      </c>
      <c r="L137" s="149">
        <f t="shared" si="13"/>
        <v>5372086.4914900167</v>
      </c>
      <c r="M137" s="149">
        <f t="shared" si="13"/>
        <v>5534749.0862347186</v>
      </c>
      <c r="N137" s="200">
        <f t="shared" si="13"/>
        <v>5702291.5588217583</v>
      </c>
      <c r="O137" s="149">
        <f t="shared" si="13"/>
        <v>5874860.3055864107</v>
      </c>
      <c r="P137" s="200">
        <f t="shared" si="13"/>
        <v>6052606.1147540044</v>
      </c>
      <c r="Q137" s="149">
        <f t="shared" si="13"/>
        <v>6235684.298196625</v>
      </c>
      <c r="R137" s="200">
        <f t="shared" si="13"/>
        <v>6424254.8271425227</v>
      </c>
      <c r="S137" s="149">
        <f t="shared" si="13"/>
        <v>6618482.4719567988</v>
      </c>
      <c r="T137" s="200">
        <f t="shared" si="13"/>
        <v>6818536.9461155031</v>
      </c>
      <c r="U137" s="149">
        <f t="shared" si="13"/>
        <v>7024593.0544989649</v>
      </c>
      <c r="V137" s="200">
        <f t="shared" si="13"/>
        <v>7236830.8461339371</v>
      </c>
      <c r="W137" s="149">
        <f t="shared" si="13"/>
        <v>7455435.7715179548</v>
      </c>
      <c r="X137" s="200">
        <f t="shared" si="13"/>
        <v>7680598.8446634943</v>
      </c>
      <c r="Y137" s="149">
        <f t="shared" si="13"/>
        <v>7912516.8100033998</v>
      </c>
      <c r="Z137" s="200">
        <f t="shared" si="13"/>
        <v>8151392.3143035034</v>
      </c>
      <c r="AA137" s="149">
        <f t="shared" si="13"/>
        <v>8397434.0837326087</v>
      </c>
      <c r="AB137" s="200">
        <f t="shared" si="13"/>
        <v>8650857.1062445864</v>
      </c>
      <c r="AC137" s="149">
        <f t="shared" si="13"/>
        <v>8911882.8194319271</v>
      </c>
      <c r="AD137" s="200">
        <f t="shared" si="13"/>
        <v>9180739.3040148821</v>
      </c>
      <c r="AE137" s="149">
        <f t="shared" si="13"/>
        <v>9457661.4831353314</v>
      </c>
      <c r="AF137" s="200">
        <f t="shared" si="13"/>
        <v>9742891.3276293948</v>
      </c>
      <c r="AG137" s="149">
        <f t="shared" si="13"/>
        <v>10036678.067458278</v>
      </c>
      <c r="AH137" s="134">
        <f t="shared" si="13"/>
        <v>10339278.409482026</v>
      </c>
    </row>
    <row r="138" spans="1:35" x14ac:dyDescent="0.25">
      <c r="A138" s="17" t="s">
        <v>111</v>
      </c>
      <c r="B138" s="24"/>
      <c r="C138" s="24"/>
      <c r="D138" s="161"/>
      <c r="E138" s="149"/>
      <c r="F138" s="149"/>
      <c r="G138" s="149"/>
      <c r="H138" s="149"/>
      <c r="I138" s="149"/>
      <c r="J138" s="149"/>
      <c r="K138" s="149"/>
      <c r="L138" s="149"/>
      <c r="M138" s="149"/>
      <c r="N138" s="200">
        <f>N131</f>
        <v>69140285.150713816</v>
      </c>
      <c r="O138" s="149"/>
      <c r="P138" s="200"/>
      <c r="Q138" s="149"/>
      <c r="R138" s="200"/>
      <c r="S138" s="149">
        <f>S131</f>
        <v>0</v>
      </c>
      <c r="T138" s="200"/>
      <c r="U138" s="149"/>
      <c r="V138" s="200"/>
      <c r="W138" s="149"/>
      <c r="X138" s="200">
        <f>X131</f>
        <v>0</v>
      </c>
      <c r="Y138" s="149"/>
      <c r="Z138" s="200"/>
      <c r="AA138" s="149"/>
      <c r="AB138" s="200"/>
      <c r="AC138" s="149">
        <f>AC131</f>
        <v>0</v>
      </c>
      <c r="AD138" s="200"/>
      <c r="AE138" s="149"/>
      <c r="AF138" s="200"/>
      <c r="AG138" s="149"/>
      <c r="AH138" s="134">
        <f>AH131</f>
        <v>0</v>
      </c>
    </row>
    <row r="139" spans="1:35" ht="16.5" thickBot="1" x14ac:dyDescent="0.3">
      <c r="A139" s="125" t="s">
        <v>3</v>
      </c>
      <c r="B139" s="83"/>
      <c r="C139" s="83"/>
      <c r="D139" s="441">
        <f>SUM(D136:D138)</f>
        <v>-32700000</v>
      </c>
      <c r="E139" s="442">
        <f>SUM(E136:E138)</f>
        <v>4358652.5</v>
      </c>
      <c r="F139" s="442">
        <f t="shared" ref="F139:AH139" si="14">SUM(F136:F138)</f>
        <v>4490912.0750000011</v>
      </c>
      <c r="G139" s="442">
        <f t="shared" si="14"/>
        <v>4627139.4372499986</v>
      </c>
      <c r="H139" s="442">
        <f t="shared" si="14"/>
        <v>4767453.6203675</v>
      </c>
      <c r="I139" s="442">
        <f t="shared" si="14"/>
        <v>4911977.2289785258</v>
      </c>
      <c r="J139" s="442">
        <f t="shared" si="14"/>
        <v>5060836.5458478816</v>
      </c>
      <c r="K139" s="442">
        <f t="shared" si="14"/>
        <v>5214161.642223319</v>
      </c>
      <c r="L139" s="442">
        <f t="shared" si="14"/>
        <v>5372086.4914900167</v>
      </c>
      <c r="M139" s="442">
        <f t="shared" si="14"/>
        <v>5534749.0862347186</v>
      </c>
      <c r="N139" s="443">
        <f t="shared" si="14"/>
        <v>74842576.709535569</v>
      </c>
      <c r="O139" s="442">
        <f t="shared" si="14"/>
        <v>5874860.3055864107</v>
      </c>
      <c r="P139" s="443">
        <f t="shared" si="14"/>
        <v>6052606.1147540044</v>
      </c>
      <c r="Q139" s="442">
        <f t="shared" si="14"/>
        <v>6235684.298196625</v>
      </c>
      <c r="R139" s="443">
        <f t="shared" si="14"/>
        <v>6424254.8271425227</v>
      </c>
      <c r="S139" s="442">
        <f t="shared" si="14"/>
        <v>6618482.4719567988</v>
      </c>
      <c r="T139" s="443">
        <f t="shared" si="14"/>
        <v>6818536.9461155031</v>
      </c>
      <c r="U139" s="442">
        <f t="shared" si="14"/>
        <v>7024593.0544989649</v>
      </c>
      <c r="V139" s="443">
        <f t="shared" si="14"/>
        <v>7236830.8461339371</v>
      </c>
      <c r="W139" s="442">
        <f t="shared" si="14"/>
        <v>7455435.7715179548</v>
      </c>
      <c r="X139" s="443">
        <f t="shared" si="14"/>
        <v>7680598.8446634943</v>
      </c>
      <c r="Y139" s="442">
        <f t="shared" si="14"/>
        <v>7912516.8100033998</v>
      </c>
      <c r="Z139" s="443">
        <f t="shared" si="14"/>
        <v>8151392.3143035034</v>
      </c>
      <c r="AA139" s="442">
        <f t="shared" si="14"/>
        <v>8397434.0837326087</v>
      </c>
      <c r="AB139" s="443">
        <f t="shared" si="14"/>
        <v>8650857.1062445864</v>
      </c>
      <c r="AC139" s="442">
        <f t="shared" si="14"/>
        <v>8911882.8194319271</v>
      </c>
      <c r="AD139" s="443">
        <f t="shared" si="14"/>
        <v>9180739.3040148821</v>
      </c>
      <c r="AE139" s="442">
        <f t="shared" si="14"/>
        <v>9457661.4831353314</v>
      </c>
      <c r="AF139" s="443">
        <f t="shared" si="14"/>
        <v>9742891.3276293948</v>
      </c>
      <c r="AG139" s="442">
        <f t="shared" si="14"/>
        <v>10036678.067458278</v>
      </c>
      <c r="AH139" s="444">
        <f t="shared" si="14"/>
        <v>10339278.409482026</v>
      </c>
    </row>
    <row r="140" spans="1:35" ht="16.5" thickBot="1" x14ac:dyDescent="0.3">
      <c r="A140" s="19" t="s">
        <v>112</v>
      </c>
      <c r="B140" s="71"/>
      <c r="C140" s="346" t="s">
        <v>19</v>
      </c>
      <c r="D140" s="347">
        <f>D6</f>
        <v>0.12</v>
      </c>
      <c r="E140" s="151"/>
      <c r="F140" s="151"/>
      <c r="G140" s="151"/>
      <c r="H140" s="151"/>
      <c r="I140" s="151"/>
      <c r="J140" s="151"/>
      <c r="K140" s="151"/>
      <c r="L140" s="151"/>
      <c r="M140" s="151"/>
      <c r="N140" s="294">
        <f>IFERROR(IF($C$11=10,IRR(D139:N139),0),0)</f>
        <v>0.19155661109885491</v>
      </c>
      <c r="O140" s="295"/>
      <c r="P140" s="276"/>
      <c r="Q140" s="151"/>
      <c r="R140" s="276"/>
      <c r="S140" s="293">
        <f>IFERROR(IF($C$11=15,IRR(D139:S139),0),0)</f>
        <v>0</v>
      </c>
      <c r="T140" s="296"/>
      <c r="U140" s="151"/>
      <c r="V140" s="276"/>
      <c r="W140" s="151"/>
      <c r="X140" s="292">
        <f>IFERROR(IF($C$11=20,IRR(D139:X139),0),0)</f>
        <v>0</v>
      </c>
      <c r="Y140" s="295"/>
      <c r="Z140" s="276"/>
      <c r="AA140" s="151"/>
      <c r="AB140" s="276"/>
      <c r="AC140" s="293">
        <f>IFERROR(IF($C$11=25,IRR(D139:AC139),0),0)</f>
        <v>0</v>
      </c>
      <c r="AD140" s="296"/>
      <c r="AE140" s="151"/>
      <c r="AF140" s="276"/>
      <c r="AG140" s="151"/>
      <c r="AH140" s="152">
        <f>IFERROR(IF($C$11=30,IRR(D139:AH139),0),0)</f>
        <v>0</v>
      </c>
      <c r="AI140" s="262"/>
    </row>
    <row r="141" spans="1:35" ht="16.5" thickBot="1" x14ac:dyDescent="0.3">
      <c r="A141" s="19" t="s">
        <v>113</v>
      </c>
      <c r="B141" s="114"/>
      <c r="C141" s="346" t="s">
        <v>19</v>
      </c>
      <c r="D141" s="348">
        <f>D6</f>
        <v>0.12</v>
      </c>
      <c r="E141" s="153"/>
      <c r="F141" s="153"/>
      <c r="G141" s="153"/>
      <c r="H141" s="153"/>
      <c r="I141" s="153"/>
      <c r="J141" s="153"/>
      <c r="K141" s="153"/>
      <c r="L141" s="153"/>
      <c r="M141" s="153"/>
      <c r="N141" s="445">
        <f>IF($C$11=10,(NPV(D6,E139:N139))+D139,0)</f>
        <v>17067766.3602762</v>
      </c>
      <c r="O141" s="297"/>
      <c r="P141" s="276"/>
      <c r="Q141" s="151"/>
      <c r="R141" s="276"/>
      <c r="S141" s="448">
        <f>IF($C$11=15,(NPV(D6,E139:S139))+D139,0)</f>
        <v>0</v>
      </c>
      <c r="T141" s="447"/>
      <c r="U141" s="446"/>
      <c r="V141" s="447"/>
      <c r="W141" s="446"/>
      <c r="X141" s="449">
        <f>IF($C$11=20,(NPV(D6,E139:X139))+D139,0)</f>
        <v>0</v>
      </c>
      <c r="Y141" s="446"/>
      <c r="Z141" s="447"/>
      <c r="AA141" s="446"/>
      <c r="AB141" s="447"/>
      <c r="AC141" s="448">
        <f>IF($C$11=25,(NPV(D6,E139:AC139))+D139,0)</f>
        <v>0</v>
      </c>
      <c r="AD141" s="447"/>
      <c r="AE141" s="446"/>
      <c r="AF141" s="447"/>
      <c r="AG141" s="446"/>
      <c r="AH141" s="450">
        <f>IF($C$11=30,(NPV(D6,E139:AH139))+D139,0)</f>
        <v>0</v>
      </c>
      <c r="AI141" s="157"/>
    </row>
    <row r="142" spans="1:35" ht="16.5" thickBot="1" x14ac:dyDescent="0.3">
      <c r="A142" s="154"/>
      <c r="B142" s="38"/>
      <c r="C142" s="38"/>
      <c r="D142" s="38"/>
      <c r="E142" s="38"/>
      <c r="F142" s="38"/>
      <c r="G142" s="38"/>
      <c r="H142" s="38"/>
      <c r="I142" s="38"/>
      <c r="J142" s="38"/>
      <c r="K142" s="38"/>
      <c r="L142" s="38"/>
      <c r="M142" s="38"/>
      <c r="N142" s="155"/>
    </row>
    <row r="143" spans="1:35" ht="16.5" thickBot="1" x14ac:dyDescent="0.3">
      <c r="A143" s="79" t="s">
        <v>434</v>
      </c>
      <c r="B143" s="51"/>
      <c r="C143" s="51"/>
      <c r="D143" s="360" t="s">
        <v>104</v>
      </c>
      <c r="E143" s="360" t="s">
        <v>85</v>
      </c>
      <c r="F143" s="360" t="s">
        <v>86</v>
      </c>
      <c r="G143" s="360" t="s">
        <v>87</v>
      </c>
      <c r="H143" s="360" t="s">
        <v>88</v>
      </c>
      <c r="I143" s="360" t="s">
        <v>89</v>
      </c>
      <c r="J143" s="360" t="s">
        <v>90</v>
      </c>
      <c r="K143" s="360" t="s">
        <v>91</v>
      </c>
      <c r="L143" s="360" t="s">
        <v>92</v>
      </c>
      <c r="M143" s="360" t="s">
        <v>93</v>
      </c>
      <c r="N143" s="356" t="s">
        <v>94</v>
      </c>
      <c r="O143" s="358" t="s">
        <v>239</v>
      </c>
      <c r="P143" s="340" t="s">
        <v>240</v>
      </c>
      <c r="Q143" s="358" t="s">
        <v>241</v>
      </c>
      <c r="R143" s="340" t="s">
        <v>242</v>
      </c>
      <c r="S143" s="358" t="s">
        <v>243</v>
      </c>
      <c r="T143" s="340" t="s">
        <v>244</v>
      </c>
      <c r="U143" s="358" t="s">
        <v>245</v>
      </c>
      <c r="V143" s="340" t="s">
        <v>246</v>
      </c>
      <c r="W143" s="358" t="s">
        <v>247</v>
      </c>
      <c r="X143" s="340" t="s">
        <v>248</v>
      </c>
      <c r="Y143" s="358" t="s">
        <v>249</v>
      </c>
      <c r="Z143" s="340" t="s">
        <v>250</v>
      </c>
      <c r="AA143" s="358" t="s">
        <v>251</v>
      </c>
      <c r="AB143" s="340" t="s">
        <v>252</v>
      </c>
      <c r="AC143" s="358" t="s">
        <v>253</v>
      </c>
      <c r="AD143" s="340" t="s">
        <v>254</v>
      </c>
      <c r="AE143" s="358" t="s">
        <v>255</v>
      </c>
      <c r="AF143" s="340" t="s">
        <v>256</v>
      </c>
      <c r="AG143" s="358" t="s">
        <v>257</v>
      </c>
      <c r="AH143" s="359" t="s">
        <v>258</v>
      </c>
    </row>
    <row r="144" spans="1:35" x14ac:dyDescent="0.25">
      <c r="A144" s="17" t="s">
        <v>450</v>
      </c>
      <c r="B144" s="18"/>
      <c r="C144" s="18"/>
      <c r="D144" s="158">
        <f>-E105</f>
        <v>-12715000</v>
      </c>
      <c r="E144" s="161"/>
      <c r="F144" s="158"/>
      <c r="G144" s="158"/>
      <c r="H144" s="158"/>
      <c r="I144" s="158"/>
      <c r="J144" s="158"/>
      <c r="K144" s="158"/>
      <c r="L144" s="158"/>
      <c r="M144" s="158"/>
      <c r="N144" s="98"/>
      <c r="O144" s="149"/>
      <c r="P144" s="200"/>
      <c r="Q144" s="149"/>
      <c r="R144" s="200"/>
      <c r="S144" s="149"/>
      <c r="T144" s="200"/>
      <c r="U144" s="149"/>
      <c r="V144" s="200"/>
      <c r="W144" s="149"/>
      <c r="X144" s="200"/>
      <c r="Y144" s="149"/>
      <c r="Z144" s="200"/>
      <c r="AA144" s="149"/>
      <c r="AB144" s="200"/>
      <c r="AC144" s="149"/>
      <c r="AD144" s="200"/>
      <c r="AE144" s="149"/>
      <c r="AF144" s="200"/>
      <c r="AG144" s="149"/>
      <c r="AH144" s="134"/>
    </row>
    <row r="145" spans="1:35" x14ac:dyDescent="0.25">
      <c r="A145" s="17" t="s">
        <v>436</v>
      </c>
      <c r="B145" s="18"/>
      <c r="C145" s="18"/>
      <c r="D145" s="158"/>
      <c r="E145" s="158">
        <f t="shared" ref="E145:AH145" si="15">E124</f>
        <v>3239586.1358811283</v>
      </c>
      <c r="F145" s="158">
        <f t="shared" si="15"/>
        <v>3371845.7108811294</v>
      </c>
      <c r="G145" s="158">
        <f t="shared" si="15"/>
        <v>3508073.0731311268</v>
      </c>
      <c r="H145" s="158">
        <f t="shared" si="15"/>
        <v>3648387.2562486283</v>
      </c>
      <c r="I145" s="158">
        <f t="shared" si="15"/>
        <v>3792910.8648596541</v>
      </c>
      <c r="J145" s="158">
        <f t="shared" si="15"/>
        <v>3941770.1817290098</v>
      </c>
      <c r="K145" s="158">
        <f t="shared" si="15"/>
        <v>4095095.2781044473</v>
      </c>
      <c r="L145" s="158">
        <f t="shared" si="15"/>
        <v>4253020.1273711454</v>
      </c>
      <c r="M145" s="158">
        <f t="shared" si="15"/>
        <v>4415682.7221158464</v>
      </c>
      <c r="N145" s="98">
        <f t="shared" si="15"/>
        <v>4583225.194702886</v>
      </c>
      <c r="O145" s="203">
        <f t="shared" si="15"/>
        <v>4755793.9414675385</v>
      </c>
      <c r="P145" s="98">
        <f t="shared" si="15"/>
        <v>4933539.7506351322</v>
      </c>
      <c r="Q145" s="203">
        <f t="shared" si="15"/>
        <v>5116617.9340777528</v>
      </c>
      <c r="R145" s="98">
        <f t="shared" si="15"/>
        <v>5305188.4630236514</v>
      </c>
      <c r="S145" s="203">
        <f t="shared" si="15"/>
        <v>5499416.1078379266</v>
      </c>
      <c r="T145" s="98">
        <f t="shared" si="15"/>
        <v>5699470.5819966309</v>
      </c>
      <c r="U145" s="203">
        <f t="shared" si="15"/>
        <v>5905526.6903800927</v>
      </c>
      <c r="V145" s="98">
        <f t="shared" si="15"/>
        <v>6117764.4820150658</v>
      </c>
      <c r="W145" s="203">
        <f t="shared" si="15"/>
        <v>6336369.4073990826</v>
      </c>
      <c r="X145" s="98">
        <f t="shared" si="15"/>
        <v>6561532.480544623</v>
      </c>
      <c r="Y145" s="203">
        <f t="shared" si="15"/>
        <v>6793450.4458845276</v>
      </c>
      <c r="Z145" s="98">
        <f t="shared" si="15"/>
        <v>7032325.9501846321</v>
      </c>
      <c r="AA145" s="203">
        <f t="shared" si="15"/>
        <v>7278367.7196137365</v>
      </c>
      <c r="AB145" s="98">
        <f t="shared" si="15"/>
        <v>7531790.7421257142</v>
      </c>
      <c r="AC145" s="203">
        <f t="shared" si="15"/>
        <v>7792816.4553130548</v>
      </c>
      <c r="AD145" s="98">
        <f t="shared" si="15"/>
        <v>8061672.9398960099</v>
      </c>
      <c r="AE145" s="203">
        <f t="shared" si="15"/>
        <v>8338595.1190164592</v>
      </c>
      <c r="AF145" s="98">
        <f t="shared" si="15"/>
        <v>8623824.9635105226</v>
      </c>
      <c r="AG145" s="203">
        <f t="shared" si="15"/>
        <v>8917611.7033394054</v>
      </c>
      <c r="AH145" s="217">
        <f t="shared" si="15"/>
        <v>9220212.0453631543</v>
      </c>
    </row>
    <row r="146" spans="1:35" x14ac:dyDescent="0.25">
      <c r="A146" s="17" t="s">
        <v>108</v>
      </c>
      <c r="B146" s="18"/>
      <c r="C146" s="18"/>
      <c r="D146" s="158"/>
      <c r="E146" s="452"/>
      <c r="F146" s="452"/>
      <c r="G146" s="452"/>
      <c r="H146" s="452"/>
      <c r="I146" s="452"/>
      <c r="J146" s="452"/>
      <c r="K146" s="452"/>
      <c r="L146" s="452"/>
      <c r="M146" s="452"/>
      <c r="N146" s="453">
        <f>N133</f>
        <v>53509706.636025824</v>
      </c>
      <c r="O146" s="149"/>
      <c r="P146" s="200"/>
      <c r="Q146" s="149"/>
      <c r="R146" s="200"/>
      <c r="S146" s="149">
        <f>S133</f>
        <v>0</v>
      </c>
      <c r="T146" s="200"/>
      <c r="U146" s="149"/>
      <c r="V146" s="200"/>
      <c r="W146" s="149"/>
      <c r="X146" s="200">
        <f>X133</f>
        <v>0</v>
      </c>
      <c r="Y146" s="149"/>
      <c r="Z146" s="200"/>
      <c r="AA146" s="149"/>
      <c r="AB146" s="200"/>
      <c r="AC146" s="149">
        <f>AC133</f>
        <v>0</v>
      </c>
      <c r="AD146" s="200"/>
      <c r="AE146" s="149"/>
      <c r="AF146" s="200"/>
      <c r="AG146" s="149"/>
      <c r="AH146" s="134">
        <f>AH133</f>
        <v>1.2787495506927371E-9</v>
      </c>
    </row>
    <row r="147" spans="1:35" ht="16.5" thickBot="1" x14ac:dyDescent="0.3">
      <c r="A147" s="125" t="s">
        <v>3</v>
      </c>
      <c r="B147" s="30"/>
      <c r="C147" s="30"/>
      <c r="D147" s="451">
        <f t="shared" ref="D147:AH147" si="16">SUM(D144:D146)</f>
        <v>-12715000</v>
      </c>
      <c r="E147" s="451">
        <f t="shared" si="16"/>
        <v>3239586.1358811283</v>
      </c>
      <c r="F147" s="451">
        <f t="shared" si="16"/>
        <v>3371845.7108811294</v>
      </c>
      <c r="G147" s="451">
        <f t="shared" si="16"/>
        <v>3508073.0731311268</v>
      </c>
      <c r="H147" s="451">
        <f t="shared" si="16"/>
        <v>3648387.2562486283</v>
      </c>
      <c r="I147" s="451">
        <f t="shared" si="16"/>
        <v>3792910.8648596541</v>
      </c>
      <c r="J147" s="451">
        <f t="shared" si="16"/>
        <v>3941770.1817290098</v>
      </c>
      <c r="K147" s="451">
        <f t="shared" si="16"/>
        <v>4095095.2781044473</v>
      </c>
      <c r="L147" s="451">
        <f t="shared" si="16"/>
        <v>4253020.1273711454</v>
      </c>
      <c r="M147" s="451">
        <f t="shared" si="16"/>
        <v>4415682.7221158464</v>
      </c>
      <c r="N147" s="454">
        <f t="shared" si="16"/>
        <v>58092931.83072871</v>
      </c>
      <c r="O147" s="162">
        <f t="shared" si="16"/>
        <v>4755793.9414675385</v>
      </c>
      <c r="P147" s="454">
        <f t="shared" si="16"/>
        <v>4933539.7506351322</v>
      </c>
      <c r="Q147" s="162">
        <f t="shared" si="16"/>
        <v>5116617.9340777528</v>
      </c>
      <c r="R147" s="454">
        <f t="shared" si="16"/>
        <v>5305188.4630236514</v>
      </c>
      <c r="S147" s="162">
        <f t="shared" si="16"/>
        <v>5499416.1078379266</v>
      </c>
      <c r="T147" s="454">
        <f t="shared" si="16"/>
        <v>5699470.5819966309</v>
      </c>
      <c r="U147" s="162">
        <f t="shared" si="16"/>
        <v>5905526.6903800927</v>
      </c>
      <c r="V147" s="454">
        <f t="shared" si="16"/>
        <v>6117764.4820150658</v>
      </c>
      <c r="W147" s="162">
        <f t="shared" si="16"/>
        <v>6336369.4073990826</v>
      </c>
      <c r="X147" s="454">
        <f t="shared" si="16"/>
        <v>6561532.480544623</v>
      </c>
      <c r="Y147" s="162">
        <f t="shared" si="16"/>
        <v>6793450.4458845276</v>
      </c>
      <c r="Z147" s="454">
        <f t="shared" si="16"/>
        <v>7032325.9501846321</v>
      </c>
      <c r="AA147" s="162">
        <f t="shared" si="16"/>
        <v>7278367.7196137365</v>
      </c>
      <c r="AB147" s="454">
        <f t="shared" si="16"/>
        <v>7531790.7421257142</v>
      </c>
      <c r="AC147" s="162">
        <f t="shared" si="16"/>
        <v>7792816.4553130548</v>
      </c>
      <c r="AD147" s="454">
        <f t="shared" si="16"/>
        <v>8061672.9398960099</v>
      </c>
      <c r="AE147" s="162">
        <f t="shared" si="16"/>
        <v>8338595.1190164592</v>
      </c>
      <c r="AF147" s="454">
        <f t="shared" si="16"/>
        <v>8623824.9635105226</v>
      </c>
      <c r="AG147" s="162">
        <f t="shared" si="16"/>
        <v>8917611.7033394054</v>
      </c>
      <c r="AH147" s="455">
        <f t="shared" si="16"/>
        <v>9220212.0453631561</v>
      </c>
    </row>
    <row r="148" spans="1:35" ht="16.5" thickBot="1" x14ac:dyDescent="0.3">
      <c r="A148" s="49" t="s">
        <v>116</v>
      </c>
      <c r="B148" s="139"/>
      <c r="C148" s="346" t="s">
        <v>19</v>
      </c>
      <c r="D148" s="208">
        <f>D7</f>
        <v>0.25</v>
      </c>
      <c r="E148" s="156"/>
      <c r="F148" s="156"/>
      <c r="G148" s="156"/>
      <c r="H148" s="156"/>
      <c r="I148" s="156"/>
      <c r="J148" s="156"/>
      <c r="K148" s="156"/>
      <c r="L148" s="156"/>
      <c r="M148" s="156"/>
      <c r="N148" s="292">
        <f>IFERROR(IF($C$11=10,IRR(D147:N147),0),0)</f>
        <v>0.34198677630517316</v>
      </c>
      <c r="O148" s="299"/>
      <c r="P148" s="141"/>
      <c r="Q148" s="291"/>
      <c r="R148" s="141"/>
      <c r="S148" s="293">
        <f>IFERROR(IF($C$11=15,IRR(D147:S147),0),0)</f>
        <v>0</v>
      </c>
      <c r="T148" s="300"/>
      <c r="U148" s="291"/>
      <c r="V148" s="141"/>
      <c r="W148" s="291"/>
      <c r="X148" s="292">
        <f>IFERROR(IF($C$11=20,IRR(D147:X147),0),0)</f>
        <v>0</v>
      </c>
      <c r="Y148" s="299"/>
      <c r="Z148" s="141"/>
      <c r="AA148" s="291"/>
      <c r="AB148" s="141"/>
      <c r="AC148" s="293">
        <f>IFERROR(IF($C$11=25,IRR(D147:AC147),0),0)</f>
        <v>0</v>
      </c>
      <c r="AD148" s="300"/>
      <c r="AE148" s="291"/>
      <c r="AF148" s="141"/>
      <c r="AG148" s="291"/>
      <c r="AH148" s="152">
        <f>IFERROR(IF($C$11=30,IRR(D147:AH147),0),0)</f>
        <v>0</v>
      </c>
      <c r="AI148" s="262"/>
    </row>
    <row r="149" spans="1:35" ht="16.5" thickBot="1" x14ac:dyDescent="0.3">
      <c r="A149" s="19" t="s">
        <v>117</v>
      </c>
      <c r="B149" s="71"/>
      <c r="C149" s="346" t="s">
        <v>19</v>
      </c>
      <c r="D149" s="347">
        <f>D7</f>
        <v>0.25</v>
      </c>
      <c r="E149" s="150"/>
      <c r="F149" s="150"/>
      <c r="G149" s="150"/>
      <c r="H149" s="150"/>
      <c r="I149" s="150"/>
      <c r="J149" s="150"/>
      <c r="K149" s="150"/>
      <c r="L149" s="150"/>
      <c r="M149" s="150"/>
      <c r="N149" s="449">
        <f>IF($C$11=10,(NPV(D7,E147:N147))+D147,0)</f>
        <v>6004021.4916217178</v>
      </c>
      <c r="O149" s="195"/>
      <c r="P149" s="306"/>
      <c r="Q149" s="195"/>
      <c r="R149" s="306"/>
      <c r="S149" s="456">
        <f>IF($C$11=15,(NPV(D7,E147:S147))+D147,0)</f>
        <v>0</v>
      </c>
      <c r="T149" s="306"/>
      <c r="U149" s="195"/>
      <c r="V149" s="306"/>
      <c r="W149" s="195"/>
      <c r="X149" s="445">
        <f>IF($C$11=20,(NPV(D7,E147:X147))+D147,0)</f>
        <v>0</v>
      </c>
      <c r="Y149" s="195"/>
      <c r="Z149" s="306"/>
      <c r="AA149" s="195"/>
      <c r="AB149" s="306"/>
      <c r="AC149" s="456">
        <f>IF($C$11=25,(NPV(D7,E147:AC147))+D147,0)</f>
        <v>0</v>
      </c>
      <c r="AD149" s="306"/>
      <c r="AE149" s="195"/>
      <c r="AF149" s="306"/>
      <c r="AG149" s="195"/>
      <c r="AH149" s="457">
        <f>IF($C$11=30,(NPV(D7,E147:AH147))+D147,0)</f>
        <v>0</v>
      </c>
      <c r="AI149" s="157"/>
    </row>
    <row r="150" spans="1:35" ht="16.5" thickBot="1" x14ac:dyDescent="0.3">
      <c r="A150" s="154"/>
      <c r="N150" s="157"/>
    </row>
    <row r="151" spans="1:35" ht="16.5" thickBot="1" x14ac:dyDescent="0.3">
      <c r="A151" s="79" t="s">
        <v>435</v>
      </c>
      <c r="B151" s="51"/>
      <c r="C151" s="51"/>
      <c r="D151" s="360" t="s">
        <v>104</v>
      </c>
      <c r="E151" s="355" t="s">
        <v>85</v>
      </c>
      <c r="F151" s="355" t="s">
        <v>86</v>
      </c>
      <c r="G151" s="355" t="s">
        <v>87</v>
      </c>
      <c r="H151" s="355" t="s">
        <v>88</v>
      </c>
      <c r="I151" s="355" t="s">
        <v>89</v>
      </c>
      <c r="J151" s="355" t="s">
        <v>90</v>
      </c>
      <c r="K151" s="355" t="s">
        <v>91</v>
      </c>
      <c r="L151" s="355" t="s">
        <v>92</v>
      </c>
      <c r="M151" s="361" t="s">
        <v>93</v>
      </c>
      <c r="N151" s="356" t="s">
        <v>94</v>
      </c>
      <c r="O151" s="358" t="s">
        <v>239</v>
      </c>
      <c r="P151" s="340" t="s">
        <v>240</v>
      </c>
      <c r="Q151" s="358" t="s">
        <v>241</v>
      </c>
      <c r="R151" s="340" t="s">
        <v>242</v>
      </c>
      <c r="S151" s="358" t="s">
        <v>243</v>
      </c>
      <c r="T151" s="340" t="s">
        <v>244</v>
      </c>
      <c r="U151" s="358" t="s">
        <v>245</v>
      </c>
      <c r="V151" s="340" t="s">
        <v>246</v>
      </c>
      <c r="W151" s="358" t="s">
        <v>247</v>
      </c>
      <c r="X151" s="340" t="s">
        <v>248</v>
      </c>
      <c r="Y151" s="358" t="s">
        <v>249</v>
      </c>
      <c r="Z151" s="340" t="s">
        <v>250</v>
      </c>
      <c r="AA151" s="358" t="s">
        <v>251</v>
      </c>
      <c r="AB151" s="340" t="s">
        <v>252</v>
      </c>
      <c r="AC151" s="358" t="s">
        <v>253</v>
      </c>
      <c r="AD151" s="340" t="s">
        <v>254</v>
      </c>
      <c r="AE151" s="358" t="s">
        <v>255</v>
      </c>
      <c r="AF151" s="340" t="s">
        <v>256</v>
      </c>
      <c r="AG151" s="358" t="s">
        <v>257</v>
      </c>
      <c r="AH151" s="359" t="s">
        <v>258</v>
      </c>
    </row>
    <row r="152" spans="1:35" x14ac:dyDescent="0.25">
      <c r="A152" s="17" t="s">
        <v>452</v>
      </c>
      <c r="B152" s="18"/>
      <c r="C152" s="18"/>
      <c r="D152" s="158">
        <f>-E97</f>
        <v>-2000000</v>
      </c>
      <c r="E152" s="243"/>
      <c r="F152" s="203"/>
      <c r="G152" s="203"/>
      <c r="H152" s="203"/>
      <c r="I152" s="203"/>
      <c r="J152" s="203"/>
      <c r="K152" s="203"/>
      <c r="L152" s="203"/>
      <c r="M152" s="203"/>
      <c r="N152" s="98"/>
      <c r="O152" s="149"/>
      <c r="P152" s="200"/>
      <c r="Q152" s="149"/>
      <c r="R152" s="200"/>
      <c r="S152" s="149"/>
      <c r="T152" s="200"/>
      <c r="U152" s="149"/>
      <c r="V152" s="200"/>
      <c r="W152" s="149"/>
      <c r="X152" s="200"/>
      <c r="Y152" s="149"/>
      <c r="Z152" s="200"/>
      <c r="AA152" s="149"/>
      <c r="AB152" s="200"/>
      <c r="AC152" s="149"/>
      <c r="AD152" s="200"/>
      <c r="AE152" s="149"/>
      <c r="AF152" s="200"/>
      <c r="AG152" s="149"/>
      <c r="AH152" s="134"/>
    </row>
    <row r="153" spans="1:35" x14ac:dyDescent="0.25">
      <c r="A153" s="72" t="s">
        <v>77</v>
      </c>
      <c r="B153" s="18"/>
      <c r="C153" s="18"/>
      <c r="D153" s="158">
        <f>-L94</f>
        <v>-1000000</v>
      </c>
      <c r="E153" s="458"/>
      <c r="F153" s="203"/>
      <c r="G153" s="203"/>
      <c r="H153" s="203"/>
      <c r="I153" s="203"/>
      <c r="J153" s="203"/>
      <c r="K153" s="203"/>
      <c r="L153" s="203"/>
      <c r="M153" s="203"/>
      <c r="N153" s="98"/>
      <c r="O153" s="149"/>
      <c r="P153" s="200"/>
      <c r="Q153" s="149"/>
      <c r="R153" s="200"/>
      <c r="S153" s="149"/>
      <c r="T153" s="200"/>
      <c r="U153" s="149"/>
      <c r="V153" s="200"/>
      <c r="W153" s="149"/>
      <c r="X153" s="200"/>
      <c r="Y153" s="149"/>
      <c r="Z153" s="200"/>
      <c r="AA153" s="149"/>
      <c r="AB153" s="200"/>
      <c r="AC153" s="149"/>
      <c r="AD153" s="200"/>
      <c r="AE153" s="149"/>
      <c r="AF153" s="200"/>
      <c r="AG153" s="149"/>
      <c r="AH153" s="134"/>
    </row>
    <row r="154" spans="1:35" x14ac:dyDescent="0.25">
      <c r="A154" s="72" t="s">
        <v>453</v>
      </c>
      <c r="B154" s="18"/>
      <c r="C154" s="18"/>
      <c r="D154" s="158">
        <f>D152+D153</f>
        <v>-3000000</v>
      </c>
      <c r="E154" s="458"/>
      <c r="F154" s="203"/>
      <c r="G154" s="203"/>
      <c r="H154" s="203"/>
      <c r="I154" s="203"/>
      <c r="J154" s="203"/>
      <c r="K154" s="203"/>
      <c r="L154" s="203"/>
      <c r="M154" s="203"/>
      <c r="N154" s="98"/>
      <c r="O154" s="149"/>
      <c r="P154" s="200"/>
      <c r="Q154" s="149"/>
      <c r="R154" s="200"/>
      <c r="S154" s="149"/>
      <c r="T154" s="200"/>
      <c r="U154" s="149"/>
      <c r="V154" s="200"/>
      <c r="W154" s="149"/>
      <c r="X154" s="200"/>
      <c r="Y154" s="149"/>
      <c r="Z154" s="200"/>
      <c r="AA154" s="149"/>
      <c r="AB154" s="200"/>
      <c r="AC154" s="149"/>
      <c r="AD154" s="200"/>
      <c r="AE154" s="149"/>
      <c r="AF154" s="200"/>
      <c r="AG154" s="149"/>
      <c r="AH154" s="134"/>
    </row>
    <row r="155" spans="1:35" x14ac:dyDescent="0.25">
      <c r="A155" s="17" t="s">
        <v>454</v>
      </c>
      <c r="B155" s="18"/>
      <c r="C155" s="18"/>
      <c r="D155" s="158"/>
      <c r="E155" s="203">
        <f t="shared" ref="E155:AH155" si="17">-$E$100</f>
        <v>88708.673445316934</v>
      </c>
      <c r="F155" s="203">
        <f t="shared" si="17"/>
        <v>88708.673445316934</v>
      </c>
      <c r="G155" s="203">
        <f t="shared" si="17"/>
        <v>88708.673445316934</v>
      </c>
      <c r="H155" s="203">
        <f t="shared" si="17"/>
        <v>88708.673445316934</v>
      </c>
      <c r="I155" s="203">
        <f t="shared" si="17"/>
        <v>88708.673445316934</v>
      </c>
      <c r="J155" s="203">
        <f t="shared" si="17"/>
        <v>88708.673445316934</v>
      </c>
      <c r="K155" s="203">
        <f t="shared" si="17"/>
        <v>88708.673445316934</v>
      </c>
      <c r="L155" s="203">
        <f t="shared" si="17"/>
        <v>88708.673445316934</v>
      </c>
      <c r="M155" s="203">
        <f t="shared" si="17"/>
        <v>88708.673445316934</v>
      </c>
      <c r="N155" s="98">
        <f t="shared" si="17"/>
        <v>88708.673445316934</v>
      </c>
      <c r="O155" s="203">
        <f t="shared" si="17"/>
        <v>88708.673445316934</v>
      </c>
      <c r="P155" s="98">
        <f t="shared" si="17"/>
        <v>88708.673445316934</v>
      </c>
      <c r="Q155" s="203">
        <f t="shared" si="17"/>
        <v>88708.673445316934</v>
      </c>
      <c r="R155" s="98">
        <f t="shared" si="17"/>
        <v>88708.673445316934</v>
      </c>
      <c r="S155" s="203">
        <f t="shared" si="17"/>
        <v>88708.673445316934</v>
      </c>
      <c r="T155" s="98">
        <f t="shared" si="17"/>
        <v>88708.673445316934</v>
      </c>
      <c r="U155" s="203">
        <f t="shared" si="17"/>
        <v>88708.673445316934</v>
      </c>
      <c r="V155" s="98">
        <f t="shared" si="17"/>
        <v>88708.673445316934</v>
      </c>
      <c r="W155" s="203">
        <f t="shared" si="17"/>
        <v>88708.673445316934</v>
      </c>
      <c r="X155" s="98">
        <f t="shared" si="17"/>
        <v>88708.673445316934</v>
      </c>
      <c r="Y155" s="203">
        <f t="shared" si="17"/>
        <v>88708.673445316934</v>
      </c>
      <c r="Z155" s="98">
        <f t="shared" si="17"/>
        <v>88708.673445316934</v>
      </c>
      <c r="AA155" s="203">
        <f t="shared" si="17"/>
        <v>88708.673445316934</v>
      </c>
      <c r="AB155" s="98">
        <f t="shared" si="17"/>
        <v>88708.673445316934</v>
      </c>
      <c r="AC155" s="203">
        <f t="shared" si="17"/>
        <v>88708.673445316934</v>
      </c>
      <c r="AD155" s="98">
        <f t="shared" si="17"/>
        <v>88708.673445316934</v>
      </c>
      <c r="AE155" s="203">
        <f t="shared" si="17"/>
        <v>88708.673445316934</v>
      </c>
      <c r="AF155" s="98">
        <f t="shared" si="17"/>
        <v>88708.673445316934</v>
      </c>
      <c r="AG155" s="203">
        <f t="shared" si="17"/>
        <v>88708.673445316934</v>
      </c>
      <c r="AH155" s="217">
        <f t="shared" si="17"/>
        <v>88708.673445316934</v>
      </c>
    </row>
    <row r="156" spans="1:35" x14ac:dyDescent="0.25">
      <c r="A156" s="17" t="s">
        <v>455</v>
      </c>
      <c r="B156" s="18"/>
      <c r="C156" s="18"/>
      <c r="D156" s="158"/>
      <c r="E156" s="352">
        <f t="shared" ref="E156:AH156" si="18">$L$95</f>
        <v>50000</v>
      </c>
      <c r="F156" s="352">
        <f t="shared" si="18"/>
        <v>50000</v>
      </c>
      <c r="G156" s="352">
        <f t="shared" si="18"/>
        <v>50000</v>
      </c>
      <c r="H156" s="352">
        <f t="shared" si="18"/>
        <v>50000</v>
      </c>
      <c r="I156" s="352">
        <f t="shared" si="18"/>
        <v>50000</v>
      </c>
      <c r="J156" s="352">
        <f t="shared" si="18"/>
        <v>50000</v>
      </c>
      <c r="K156" s="352">
        <f t="shared" si="18"/>
        <v>50000</v>
      </c>
      <c r="L156" s="352">
        <f t="shared" si="18"/>
        <v>50000</v>
      </c>
      <c r="M156" s="352">
        <f t="shared" si="18"/>
        <v>50000</v>
      </c>
      <c r="N156" s="352">
        <f t="shared" si="18"/>
        <v>50000</v>
      </c>
      <c r="O156" s="352">
        <f t="shared" si="18"/>
        <v>50000</v>
      </c>
      <c r="P156" s="352">
        <f t="shared" si="18"/>
        <v>50000</v>
      </c>
      <c r="Q156" s="352">
        <f t="shared" si="18"/>
        <v>50000</v>
      </c>
      <c r="R156" s="352">
        <f t="shared" si="18"/>
        <v>50000</v>
      </c>
      <c r="S156" s="352">
        <f t="shared" si="18"/>
        <v>50000</v>
      </c>
      <c r="T156" s="352">
        <f t="shared" si="18"/>
        <v>50000</v>
      </c>
      <c r="U156" s="352">
        <f t="shared" si="18"/>
        <v>50000</v>
      </c>
      <c r="V156" s="352">
        <f t="shared" si="18"/>
        <v>50000</v>
      </c>
      <c r="W156" s="352">
        <f t="shared" si="18"/>
        <v>50000</v>
      </c>
      <c r="X156" s="352">
        <f t="shared" si="18"/>
        <v>50000</v>
      </c>
      <c r="Y156" s="352">
        <f t="shared" si="18"/>
        <v>50000</v>
      </c>
      <c r="Z156" s="352">
        <f t="shared" si="18"/>
        <v>50000</v>
      </c>
      <c r="AA156" s="352">
        <f t="shared" si="18"/>
        <v>50000</v>
      </c>
      <c r="AB156" s="352">
        <f t="shared" si="18"/>
        <v>50000</v>
      </c>
      <c r="AC156" s="352">
        <f t="shared" si="18"/>
        <v>50000</v>
      </c>
      <c r="AD156" s="352">
        <f t="shared" si="18"/>
        <v>50000</v>
      </c>
      <c r="AE156" s="352">
        <f t="shared" si="18"/>
        <v>50000</v>
      </c>
      <c r="AF156" s="352">
        <f t="shared" si="18"/>
        <v>50000</v>
      </c>
      <c r="AG156" s="352">
        <f t="shared" si="18"/>
        <v>50000</v>
      </c>
      <c r="AH156" s="459">
        <f t="shared" si="18"/>
        <v>50000</v>
      </c>
    </row>
    <row r="157" spans="1:35" x14ac:dyDescent="0.25">
      <c r="A157" s="17" t="s">
        <v>456</v>
      </c>
      <c r="B157" s="18"/>
      <c r="C157" s="18"/>
      <c r="D157" s="158"/>
      <c r="E157" s="352">
        <f t="shared" ref="E157:AH157" si="19">$L$96</f>
        <v>0</v>
      </c>
      <c r="F157" s="352">
        <f t="shared" si="19"/>
        <v>0</v>
      </c>
      <c r="G157" s="352">
        <f t="shared" si="19"/>
        <v>0</v>
      </c>
      <c r="H157" s="352">
        <f t="shared" si="19"/>
        <v>0</v>
      </c>
      <c r="I157" s="352">
        <f t="shared" si="19"/>
        <v>0</v>
      </c>
      <c r="J157" s="352">
        <f t="shared" si="19"/>
        <v>0</v>
      </c>
      <c r="K157" s="352">
        <f t="shared" si="19"/>
        <v>0</v>
      </c>
      <c r="L157" s="352">
        <f t="shared" si="19"/>
        <v>0</v>
      </c>
      <c r="M157" s="352">
        <f t="shared" si="19"/>
        <v>0</v>
      </c>
      <c r="N157" s="352">
        <f t="shared" si="19"/>
        <v>0</v>
      </c>
      <c r="O157" s="352">
        <f t="shared" si="19"/>
        <v>0</v>
      </c>
      <c r="P157" s="352">
        <f t="shared" si="19"/>
        <v>0</v>
      </c>
      <c r="Q157" s="352">
        <f t="shared" si="19"/>
        <v>0</v>
      </c>
      <c r="R157" s="352">
        <f t="shared" si="19"/>
        <v>0</v>
      </c>
      <c r="S157" s="352">
        <f t="shared" si="19"/>
        <v>0</v>
      </c>
      <c r="T157" s="352">
        <f t="shared" si="19"/>
        <v>0</v>
      </c>
      <c r="U157" s="352">
        <f t="shared" si="19"/>
        <v>0</v>
      </c>
      <c r="V157" s="352">
        <f t="shared" si="19"/>
        <v>0</v>
      </c>
      <c r="W157" s="352">
        <f t="shared" si="19"/>
        <v>0</v>
      </c>
      <c r="X157" s="352">
        <f t="shared" si="19"/>
        <v>0</v>
      </c>
      <c r="Y157" s="352">
        <f t="shared" si="19"/>
        <v>0</v>
      </c>
      <c r="Z157" s="352">
        <f t="shared" si="19"/>
        <v>0</v>
      </c>
      <c r="AA157" s="352">
        <f t="shared" si="19"/>
        <v>0</v>
      </c>
      <c r="AB157" s="352">
        <f t="shared" si="19"/>
        <v>0</v>
      </c>
      <c r="AC157" s="352">
        <f t="shared" si="19"/>
        <v>0</v>
      </c>
      <c r="AD157" s="352">
        <f t="shared" si="19"/>
        <v>0</v>
      </c>
      <c r="AE157" s="352">
        <f t="shared" si="19"/>
        <v>0</v>
      </c>
      <c r="AF157" s="352">
        <f t="shared" si="19"/>
        <v>0</v>
      </c>
      <c r="AG157" s="352">
        <f t="shared" si="19"/>
        <v>0</v>
      </c>
      <c r="AH157" s="459">
        <f t="shared" si="19"/>
        <v>0</v>
      </c>
    </row>
    <row r="158" spans="1:35" x14ac:dyDescent="0.25">
      <c r="A158" s="17" t="s">
        <v>121</v>
      </c>
      <c r="B158" s="24"/>
      <c r="C158" s="24"/>
      <c r="D158" s="161"/>
      <c r="E158" s="149"/>
      <c r="F158" s="149"/>
      <c r="G158" s="149"/>
      <c r="H158" s="149"/>
      <c r="I158" s="149"/>
      <c r="J158" s="149"/>
      <c r="K158" s="149"/>
      <c r="L158" s="149"/>
      <c r="M158" s="149"/>
      <c r="N158" s="200">
        <f>N146*$L$97</f>
        <v>5350970.6636025831</v>
      </c>
      <c r="O158" s="149"/>
      <c r="P158" s="200"/>
      <c r="Q158" s="149"/>
      <c r="R158" s="200"/>
      <c r="S158" s="200">
        <f>S146*$L$97</f>
        <v>0</v>
      </c>
      <c r="T158" s="200"/>
      <c r="U158" s="149"/>
      <c r="V158" s="200"/>
      <c r="W158" s="149"/>
      <c r="X158" s="200">
        <f>X146*$L$97</f>
        <v>0</v>
      </c>
      <c r="Y158" s="149"/>
      <c r="Z158" s="200"/>
      <c r="AA158" s="149"/>
      <c r="AB158" s="200"/>
      <c r="AC158" s="200">
        <f>AC146*$L$97</f>
        <v>0</v>
      </c>
      <c r="AD158" s="200"/>
      <c r="AE158" s="149"/>
      <c r="AF158" s="200"/>
      <c r="AG158" s="149"/>
      <c r="AH158" s="134">
        <f>AH146*$L$97</f>
        <v>1.2787495506927371E-10</v>
      </c>
    </row>
    <row r="159" spans="1:35" x14ac:dyDescent="0.25">
      <c r="A159" s="17" t="s">
        <v>122</v>
      </c>
      <c r="B159" s="24"/>
      <c r="C159" s="24"/>
      <c r="D159" s="161"/>
      <c r="E159" s="149"/>
      <c r="F159" s="149"/>
      <c r="G159" s="149"/>
      <c r="H159" s="149"/>
      <c r="I159" s="149"/>
      <c r="J159" s="149"/>
      <c r="K159" s="149"/>
      <c r="L159" s="149"/>
      <c r="M159" s="149"/>
      <c r="N159" s="200">
        <f>IF($C$11=10,V177,0)</f>
        <v>1461283.4504851061</v>
      </c>
      <c r="O159" s="149"/>
      <c r="P159" s="201"/>
      <c r="Q159" s="149"/>
      <c r="R159" s="200"/>
      <c r="S159" s="149">
        <f>IF($C$11=15,V182,0)</f>
        <v>0</v>
      </c>
      <c r="T159" s="200"/>
      <c r="U159" s="149"/>
      <c r="V159" s="200"/>
      <c r="W159" s="149"/>
      <c r="X159" s="200">
        <f>IF($C$11=20,V187,0)</f>
        <v>0</v>
      </c>
      <c r="Y159" s="149"/>
      <c r="Z159" s="200"/>
      <c r="AA159" s="149"/>
      <c r="AB159" s="200"/>
      <c r="AC159" s="149">
        <f>IF($C$11=25,V192,0)</f>
        <v>0</v>
      </c>
      <c r="AD159" s="200"/>
      <c r="AE159" s="149"/>
      <c r="AF159" s="200"/>
      <c r="AG159" s="149"/>
      <c r="AH159" s="134">
        <f>IF($C$11=30,V197,0)</f>
        <v>0</v>
      </c>
    </row>
    <row r="160" spans="1:35" ht="16.5" thickBot="1" x14ac:dyDescent="0.3">
      <c r="A160" s="125" t="s">
        <v>3</v>
      </c>
      <c r="B160" s="30"/>
      <c r="C160" s="30"/>
      <c r="D160" s="451">
        <f>D154</f>
        <v>-3000000</v>
      </c>
      <c r="E160" s="162">
        <f>SUM(E155:E159)</f>
        <v>138708.67344531693</v>
      </c>
      <c r="F160" s="162">
        <f t="shared" ref="F160:AH160" si="20">SUM(F155:F159)</f>
        <v>138708.67344531693</v>
      </c>
      <c r="G160" s="162">
        <f t="shared" si="20"/>
        <v>138708.67344531693</v>
      </c>
      <c r="H160" s="162">
        <f t="shared" si="20"/>
        <v>138708.67344531693</v>
      </c>
      <c r="I160" s="162">
        <f t="shared" si="20"/>
        <v>138708.67344531693</v>
      </c>
      <c r="J160" s="162">
        <f t="shared" si="20"/>
        <v>138708.67344531693</v>
      </c>
      <c r="K160" s="162">
        <f t="shared" si="20"/>
        <v>138708.67344531693</v>
      </c>
      <c r="L160" s="162">
        <f t="shared" si="20"/>
        <v>138708.67344531693</v>
      </c>
      <c r="M160" s="162">
        <f t="shared" si="20"/>
        <v>138708.67344531693</v>
      </c>
      <c r="N160" s="162">
        <f t="shared" si="20"/>
        <v>6950962.7875330057</v>
      </c>
      <c r="O160" s="162">
        <f t="shared" si="20"/>
        <v>138708.67344531693</v>
      </c>
      <c r="P160" s="162">
        <f t="shared" si="20"/>
        <v>138708.67344531693</v>
      </c>
      <c r="Q160" s="162">
        <f t="shared" si="20"/>
        <v>138708.67344531693</v>
      </c>
      <c r="R160" s="162">
        <f t="shared" si="20"/>
        <v>138708.67344531693</v>
      </c>
      <c r="S160" s="162">
        <f t="shared" si="20"/>
        <v>138708.67344531693</v>
      </c>
      <c r="T160" s="162">
        <f t="shared" si="20"/>
        <v>138708.67344531693</v>
      </c>
      <c r="U160" s="162">
        <f t="shared" si="20"/>
        <v>138708.67344531693</v>
      </c>
      <c r="V160" s="162">
        <f t="shared" si="20"/>
        <v>138708.67344531693</v>
      </c>
      <c r="W160" s="162">
        <f t="shared" si="20"/>
        <v>138708.67344531693</v>
      </c>
      <c r="X160" s="162">
        <f t="shared" si="20"/>
        <v>138708.67344531693</v>
      </c>
      <c r="Y160" s="162">
        <f t="shared" si="20"/>
        <v>138708.67344531693</v>
      </c>
      <c r="Z160" s="162">
        <f t="shared" si="20"/>
        <v>138708.67344531693</v>
      </c>
      <c r="AA160" s="162">
        <f t="shared" si="20"/>
        <v>138708.67344531693</v>
      </c>
      <c r="AB160" s="162">
        <f t="shared" si="20"/>
        <v>138708.67344531693</v>
      </c>
      <c r="AC160" s="162">
        <f t="shared" si="20"/>
        <v>138708.67344531693</v>
      </c>
      <c r="AD160" s="162">
        <f t="shared" si="20"/>
        <v>138708.67344531693</v>
      </c>
      <c r="AE160" s="162">
        <f t="shared" si="20"/>
        <v>138708.67344531693</v>
      </c>
      <c r="AF160" s="162">
        <f t="shared" si="20"/>
        <v>138708.67344531693</v>
      </c>
      <c r="AG160" s="162">
        <f t="shared" si="20"/>
        <v>138708.67344531693</v>
      </c>
      <c r="AH160" s="440">
        <f t="shared" si="20"/>
        <v>138708.67344531705</v>
      </c>
    </row>
    <row r="161" spans="1:35" ht="16.5" thickBot="1" x14ac:dyDescent="0.3">
      <c r="A161" s="19" t="s">
        <v>116</v>
      </c>
      <c r="B161" s="20"/>
      <c r="C161" s="346" t="s">
        <v>19</v>
      </c>
      <c r="D161" s="347">
        <f>D9</f>
        <v>7.4999999999999997E-2</v>
      </c>
      <c r="E161" s="163"/>
      <c r="F161" s="163"/>
      <c r="G161" s="163"/>
      <c r="H161" s="163"/>
      <c r="I161" s="163"/>
      <c r="J161" s="163"/>
      <c r="K161" s="163"/>
      <c r="L161" s="163"/>
      <c r="M161" s="163"/>
      <c r="N161" s="292">
        <f>IFERROR(IF($C$11=10,IRR(D160:N160),0),0)</f>
        <v>0.11899987744893803</v>
      </c>
      <c r="O161" s="299"/>
      <c r="P161" s="141"/>
      <c r="Q161" s="291"/>
      <c r="R161" s="141"/>
      <c r="S161" s="293">
        <f>IFERROR(IF($C$11=15,IRR(D160:S160),0),0)</f>
        <v>0</v>
      </c>
      <c r="T161" s="300"/>
      <c r="U161" s="291"/>
      <c r="V161" s="141"/>
      <c r="W161" s="291"/>
      <c r="X161" s="292">
        <f>IFERROR(IF($C$11=20,IRR(D160:X160),0),0)</f>
        <v>0</v>
      </c>
      <c r="Y161" s="299"/>
      <c r="Z161" s="141"/>
      <c r="AA161" s="291"/>
      <c r="AB161" s="141"/>
      <c r="AC161" s="293">
        <f>IFERROR(IF($C$11=25,IRR(D160:AC160),0),0)</f>
        <v>0</v>
      </c>
      <c r="AD161" s="300"/>
      <c r="AE161" s="291"/>
      <c r="AF161" s="141"/>
      <c r="AG161" s="291"/>
      <c r="AH161" s="152">
        <f>IFERROR(IF($C$11=30,IRR(D160:AH160),0),0)</f>
        <v>0</v>
      </c>
      <c r="AI161" s="262"/>
    </row>
    <row r="162" spans="1:35" ht="16.5" thickBot="1" x14ac:dyDescent="0.3">
      <c r="A162" s="118" t="s">
        <v>117</v>
      </c>
      <c r="B162" s="31"/>
      <c r="C162" s="346" t="s">
        <v>19</v>
      </c>
      <c r="D162" s="351">
        <f>D9</f>
        <v>7.4999999999999997E-2</v>
      </c>
      <c r="E162" s="164"/>
      <c r="F162" s="460"/>
      <c r="G162" s="460"/>
      <c r="H162" s="460"/>
      <c r="I162" s="460"/>
      <c r="J162" s="460"/>
      <c r="K162" s="460"/>
      <c r="L162" s="460"/>
      <c r="M162" s="460"/>
      <c r="N162" s="445">
        <f>IF(C11=10,(NPV(L98,E160:N160))+D160,0)</f>
        <v>1257371.8980273325</v>
      </c>
      <c r="O162" s="446"/>
      <c r="P162" s="447"/>
      <c r="Q162" s="446"/>
      <c r="R162" s="447"/>
      <c r="S162" s="448">
        <f>IF($C$11=15,(NPV(L98,E160:S160))+D160,0)</f>
        <v>0</v>
      </c>
      <c r="T162" s="447"/>
      <c r="U162" s="446"/>
      <c r="V162" s="447"/>
      <c r="W162" s="446"/>
      <c r="X162" s="449">
        <f>IF($C$11=20,(NPV(L98,E160:X160))+D160,0)</f>
        <v>0</v>
      </c>
      <c r="Y162" s="446"/>
      <c r="Z162" s="447"/>
      <c r="AA162" s="446"/>
      <c r="AB162" s="447"/>
      <c r="AC162" s="448">
        <f>IF($C$11=25,(NPV(L98,E160:AC160))+D160,0)</f>
        <v>0</v>
      </c>
      <c r="AD162" s="447"/>
      <c r="AE162" s="446"/>
      <c r="AF162" s="447"/>
      <c r="AG162" s="446"/>
      <c r="AH162" s="450">
        <f>IF($C$11=30,(NPV(L98,E160:AH160))+D160,0)</f>
        <v>0</v>
      </c>
      <c r="AI162" s="157"/>
    </row>
    <row r="163" spans="1:35" x14ac:dyDescent="0.25">
      <c r="D163" s="165"/>
    </row>
    <row r="164" spans="1:35" ht="16.5" thickBot="1" x14ac:dyDescent="0.3">
      <c r="A164" s="166" t="s">
        <v>123</v>
      </c>
      <c r="D164" s="165"/>
    </row>
    <row r="165" spans="1:35" ht="16.5" thickBot="1" x14ac:dyDescent="0.3">
      <c r="A165" s="50" t="s">
        <v>540</v>
      </c>
      <c r="B165" s="44"/>
      <c r="C165" s="44"/>
      <c r="D165" s="44"/>
      <c r="E165" s="45"/>
      <c r="F165" s="50" t="s">
        <v>541</v>
      </c>
      <c r="G165" s="44"/>
      <c r="H165" s="44"/>
      <c r="I165" s="44"/>
      <c r="J165" s="45"/>
      <c r="K165" s="50" t="s">
        <v>124</v>
      </c>
      <c r="L165" s="44"/>
      <c r="M165" s="44"/>
      <c r="N165" s="44"/>
      <c r="O165" s="45"/>
      <c r="P165" s="50" t="s">
        <v>235</v>
      </c>
      <c r="Q165" s="44"/>
      <c r="R165" s="44"/>
      <c r="S165" s="44"/>
      <c r="T165" s="45"/>
      <c r="U165" s="50" t="s">
        <v>236</v>
      </c>
      <c r="V165" s="44"/>
      <c r="W165" s="44"/>
      <c r="X165" s="44"/>
      <c r="Y165" s="45"/>
      <c r="Z165" s="50" t="s">
        <v>237</v>
      </c>
      <c r="AA165" s="44"/>
      <c r="AB165" s="44"/>
      <c r="AC165" s="44"/>
      <c r="AD165" s="45"/>
    </row>
    <row r="166" spans="1:35" x14ac:dyDescent="0.25">
      <c r="A166" s="167"/>
      <c r="B166" s="168"/>
      <c r="C166" s="168"/>
      <c r="D166" s="168"/>
      <c r="E166" s="169"/>
      <c r="F166" s="167"/>
      <c r="G166" s="168"/>
      <c r="H166" s="168"/>
      <c r="I166" s="168"/>
      <c r="J166" s="169"/>
      <c r="K166" s="167"/>
      <c r="L166" s="168"/>
      <c r="M166" s="168"/>
      <c r="N166" s="168"/>
      <c r="O166" s="170"/>
      <c r="P166" s="218"/>
      <c r="Q166" s="171"/>
      <c r="R166" s="171"/>
      <c r="S166" s="171"/>
      <c r="T166" s="172"/>
      <c r="U166" s="218"/>
      <c r="V166" s="171"/>
      <c r="W166" s="171"/>
      <c r="X166" s="171"/>
      <c r="Y166" s="172"/>
      <c r="Z166" s="218"/>
      <c r="AA166" s="171"/>
      <c r="AB166" s="171"/>
      <c r="AC166" s="171"/>
      <c r="AD166" s="172"/>
    </row>
    <row r="167" spans="1:35" ht="16.5" thickBot="1" x14ac:dyDescent="0.3">
      <c r="A167" s="173" t="s">
        <v>125</v>
      </c>
      <c r="B167" s="174" t="s">
        <v>126</v>
      </c>
      <c r="C167" s="175" t="s">
        <v>127</v>
      </c>
      <c r="D167" s="174" t="s">
        <v>128</v>
      </c>
      <c r="E167" s="176" t="s">
        <v>129</v>
      </c>
      <c r="F167" s="173" t="s">
        <v>125</v>
      </c>
      <c r="G167" s="174" t="s">
        <v>126</v>
      </c>
      <c r="H167" s="175" t="s">
        <v>127</v>
      </c>
      <c r="I167" s="174" t="s">
        <v>128</v>
      </c>
      <c r="J167" s="176" t="s">
        <v>129</v>
      </c>
      <c r="K167" s="173" t="s">
        <v>125</v>
      </c>
      <c r="L167" s="174" t="s">
        <v>126</v>
      </c>
      <c r="M167" s="175" t="s">
        <v>127</v>
      </c>
      <c r="N167" s="174" t="s">
        <v>128</v>
      </c>
      <c r="O167" s="176" t="s">
        <v>129</v>
      </c>
      <c r="P167" s="173" t="s">
        <v>130</v>
      </c>
      <c r="Q167" s="177" t="s">
        <v>126</v>
      </c>
      <c r="R167" s="178" t="s">
        <v>127</v>
      </c>
      <c r="S167" s="177" t="s">
        <v>128</v>
      </c>
      <c r="T167" s="179" t="s">
        <v>129</v>
      </c>
      <c r="U167" s="173" t="s">
        <v>130</v>
      </c>
      <c r="V167" s="177" t="s">
        <v>126</v>
      </c>
      <c r="W167" s="178" t="s">
        <v>127</v>
      </c>
      <c r="X167" s="177" t="s">
        <v>128</v>
      </c>
      <c r="Y167" s="179" t="s">
        <v>129</v>
      </c>
      <c r="Z167" s="173" t="s">
        <v>130</v>
      </c>
      <c r="AA167" s="177" t="s">
        <v>126</v>
      </c>
      <c r="AB167" s="178" t="s">
        <v>127</v>
      </c>
      <c r="AC167" s="177" t="s">
        <v>128</v>
      </c>
      <c r="AD167" s="179" t="s">
        <v>129</v>
      </c>
    </row>
    <row r="168" spans="1:35" x14ac:dyDescent="0.25">
      <c r="A168" s="72">
        <v>0</v>
      </c>
      <c r="B168" s="180">
        <f>E92</f>
        <v>17985000</v>
      </c>
      <c r="C168" s="39"/>
      <c r="D168" s="159"/>
      <c r="E168" s="26"/>
      <c r="F168" s="72">
        <v>0</v>
      </c>
      <c r="G168" s="180">
        <f>E97</f>
        <v>2000000</v>
      </c>
      <c r="H168" s="39"/>
      <c r="I168" s="159"/>
      <c r="J168" s="26"/>
      <c r="K168" s="72">
        <v>0</v>
      </c>
      <c r="L168" s="180">
        <f>B168+G168</f>
        <v>19985000</v>
      </c>
      <c r="M168" s="39"/>
      <c r="N168" s="159"/>
      <c r="O168" s="26"/>
      <c r="P168" s="72">
        <v>1</v>
      </c>
      <c r="Q168" s="149">
        <f>B180</f>
        <v>17668277.597479623</v>
      </c>
      <c r="R168" s="200">
        <f>SUM(C169:C180)</f>
        <v>1030357.6906735548</v>
      </c>
      <c r="S168" s="259">
        <f>SUM(D169:D180)</f>
        <v>713635.28815317247</v>
      </c>
      <c r="T168" s="134">
        <f>SUM(E169:E180)</f>
        <v>316722.40252038237</v>
      </c>
      <c r="U168" s="72">
        <v>1</v>
      </c>
      <c r="V168" s="180">
        <f>G180</f>
        <v>1950842.3405202809</v>
      </c>
      <c r="W168" s="181">
        <f>SUM(H169:H180)</f>
        <v>88708.673445316948</v>
      </c>
      <c r="X168" s="182">
        <f>SUM(I169:I180)</f>
        <v>39551.013965598177</v>
      </c>
      <c r="Y168" s="132">
        <f>SUM(J169:J180)</f>
        <v>49157.65947971875</v>
      </c>
      <c r="Z168" s="72">
        <v>1</v>
      </c>
      <c r="AA168" s="180">
        <f>Q168+V168</f>
        <v>19619119.937999904</v>
      </c>
      <c r="AB168" s="180">
        <f t="shared" ref="AB168:AD183" si="21">R168+W168</f>
        <v>1119066.3641188717</v>
      </c>
      <c r="AC168" s="180">
        <f t="shared" si="21"/>
        <v>753186.30211877066</v>
      </c>
      <c r="AD168" s="212">
        <f t="shared" si="21"/>
        <v>365880.06200010114</v>
      </c>
    </row>
    <row r="169" spans="1:35" x14ac:dyDescent="0.25">
      <c r="A169" s="72">
        <v>1</v>
      </c>
      <c r="B169" s="183">
        <f t="shared" ref="B169:B232" si="22">B168-E169</f>
        <v>17959086.859110538</v>
      </c>
      <c r="C169" s="184">
        <f>-Hotel!$E$95/12</f>
        <v>85863.140889462898</v>
      </c>
      <c r="D169" s="183">
        <f>Hotel!$E$93/12*B168</f>
        <v>59950.000000000007</v>
      </c>
      <c r="E169" s="185">
        <f t="shared" ref="E169:E232" si="23">C169-D169</f>
        <v>25913.140889462891</v>
      </c>
      <c r="F169" s="72">
        <v>1</v>
      </c>
      <c r="G169" s="180">
        <f t="shared" ref="G169:G232" si="24">G168-J169</f>
        <v>1995940.9438795568</v>
      </c>
      <c r="H169" s="186">
        <f>-Hotel!$E$100/12</f>
        <v>7392.3894537764108</v>
      </c>
      <c r="I169" s="149">
        <f>Hotel!$E$98/12*G168</f>
        <v>3333.3333333333335</v>
      </c>
      <c r="J169" s="187">
        <f t="shared" ref="J169:J232" si="25">H169-I169</f>
        <v>4059.0561204430774</v>
      </c>
      <c r="K169" s="72">
        <v>1</v>
      </c>
      <c r="L169" s="180">
        <f t="shared" ref="L169:O232" si="26">G169+B169</f>
        <v>19955027.802990094</v>
      </c>
      <c r="M169" s="181">
        <f t="shared" si="26"/>
        <v>93255.530343239312</v>
      </c>
      <c r="N169" s="180">
        <f t="shared" si="26"/>
        <v>63283.333333333343</v>
      </c>
      <c r="O169" s="132">
        <f t="shared" si="26"/>
        <v>29972.197009905969</v>
      </c>
      <c r="P169" s="72">
        <v>2</v>
      </c>
      <c r="Q169" s="149">
        <f>B192</f>
        <v>17338651.435603287</v>
      </c>
      <c r="R169" s="200">
        <f>SUM(C181:C192)</f>
        <v>1030357.6906735548</v>
      </c>
      <c r="S169" s="149">
        <f>SUM(D181:D192)</f>
        <v>700731.52879722929</v>
      </c>
      <c r="T169" s="134">
        <f>SUM(E181:E192)</f>
        <v>329626.1618763255</v>
      </c>
      <c r="U169" s="72">
        <v>2</v>
      </c>
      <c r="V169" s="180">
        <f>G192</f>
        <v>1900692.4653571532</v>
      </c>
      <c r="W169" s="181">
        <f>SUM(H181:H192)</f>
        <v>88708.673445316948</v>
      </c>
      <c r="X169" s="180">
        <f>SUM(I181:I192)</f>
        <v>38558.798282189404</v>
      </c>
      <c r="Y169" s="132">
        <f>SUM(J181:J192)</f>
        <v>50149.875163127523</v>
      </c>
      <c r="Z169" s="72">
        <v>2</v>
      </c>
      <c r="AA169" s="180">
        <f t="shared" ref="AA169:AD184" si="27">Q169+V169</f>
        <v>19239343.900960442</v>
      </c>
      <c r="AB169" s="180">
        <f t="shared" si="21"/>
        <v>1119066.3641188717</v>
      </c>
      <c r="AC169" s="180">
        <f t="shared" si="21"/>
        <v>739290.3270794187</v>
      </c>
      <c r="AD169" s="212">
        <f t="shared" si="21"/>
        <v>379776.03703945305</v>
      </c>
    </row>
    <row r="170" spans="1:35" x14ac:dyDescent="0.25">
      <c r="A170" s="72">
        <f t="shared" ref="A170:A233" si="28">A169+1</f>
        <v>2</v>
      </c>
      <c r="B170" s="183">
        <f t="shared" si="22"/>
        <v>17933087.341084778</v>
      </c>
      <c r="C170" s="184">
        <f>-Hotel!$E$95/12</f>
        <v>85863.140889462898</v>
      </c>
      <c r="D170" s="183">
        <f>Hotel!$E$93/12*B169</f>
        <v>59863.622863701799</v>
      </c>
      <c r="E170" s="185">
        <f t="shared" si="23"/>
        <v>25999.518025761099</v>
      </c>
      <c r="F170" s="72">
        <f t="shared" ref="F170:F233" si="29">F169+1</f>
        <v>2</v>
      </c>
      <c r="G170" s="180">
        <f t="shared" si="24"/>
        <v>1991875.1226655797</v>
      </c>
      <c r="H170" s="186">
        <f>-Hotel!$E$100/12</f>
        <v>7392.3894537764108</v>
      </c>
      <c r="I170" s="149">
        <f>Hotel!$E$98/12*G169</f>
        <v>3326.5682397992614</v>
      </c>
      <c r="J170" s="187">
        <f t="shared" si="25"/>
        <v>4065.8212139771495</v>
      </c>
      <c r="K170" s="72">
        <f t="shared" ref="K170:K233" si="30">K169+1</f>
        <v>2</v>
      </c>
      <c r="L170" s="180">
        <f t="shared" si="26"/>
        <v>19924962.463750359</v>
      </c>
      <c r="M170" s="181">
        <f t="shared" si="26"/>
        <v>93255.530343239312</v>
      </c>
      <c r="N170" s="180">
        <f t="shared" si="26"/>
        <v>63190.191103501063</v>
      </c>
      <c r="O170" s="132">
        <f t="shared" si="26"/>
        <v>30065.339239738249</v>
      </c>
      <c r="P170" s="72">
        <v>3</v>
      </c>
      <c r="Q170" s="149">
        <f>B204</f>
        <v>16995595.795305394</v>
      </c>
      <c r="R170" s="200">
        <f>SUM(C193:C204)</f>
        <v>1030357.6906735548</v>
      </c>
      <c r="S170" s="149">
        <f>SUM(D193:D204)</f>
        <v>687302.05037565925</v>
      </c>
      <c r="T170" s="134">
        <f>SUM(E193:E204)</f>
        <v>343055.64029789547</v>
      </c>
      <c r="U170" s="72">
        <v>3</v>
      </c>
      <c r="V170" s="180">
        <f>G204</f>
        <v>1849530.3472763503</v>
      </c>
      <c r="W170" s="181">
        <f>SUM(H193:H204)</f>
        <v>88708.673445316948</v>
      </c>
      <c r="X170" s="180">
        <f>SUM(I193:I204)</f>
        <v>37546.555364513944</v>
      </c>
      <c r="Y170" s="132">
        <f>SUM(J193:J204)</f>
        <v>51162.118080802975</v>
      </c>
      <c r="Z170" s="72">
        <v>3</v>
      </c>
      <c r="AA170" s="180">
        <f t="shared" si="27"/>
        <v>18845126.142581742</v>
      </c>
      <c r="AB170" s="180">
        <f t="shared" si="21"/>
        <v>1119066.3641188717</v>
      </c>
      <c r="AC170" s="180">
        <f t="shared" si="21"/>
        <v>724848.60574017325</v>
      </c>
      <c r="AD170" s="212">
        <f t="shared" si="21"/>
        <v>394217.75837869843</v>
      </c>
    </row>
    <row r="171" spans="1:35" x14ac:dyDescent="0.25">
      <c r="A171" s="72">
        <f t="shared" si="28"/>
        <v>3</v>
      </c>
      <c r="B171" s="183">
        <f t="shared" si="22"/>
        <v>17907001.157998931</v>
      </c>
      <c r="C171" s="184">
        <f>-Hotel!$E$95/12</f>
        <v>85863.140889462898</v>
      </c>
      <c r="D171" s="183">
        <f>Hotel!$E$93/12*B170</f>
        <v>59776.957803615929</v>
      </c>
      <c r="E171" s="185">
        <f t="shared" si="23"/>
        <v>26086.183085846969</v>
      </c>
      <c r="F171" s="72">
        <f t="shared" si="29"/>
        <v>3</v>
      </c>
      <c r="G171" s="180">
        <f t="shared" si="24"/>
        <v>1987802.5250829125</v>
      </c>
      <c r="H171" s="186">
        <f>-Hotel!$E$100/12</f>
        <v>7392.3894537764108</v>
      </c>
      <c r="I171" s="149">
        <f>Hotel!$E$98/12*G170</f>
        <v>3319.7918711092998</v>
      </c>
      <c r="J171" s="187">
        <f t="shared" si="25"/>
        <v>4072.5975826671111</v>
      </c>
      <c r="K171" s="72">
        <f t="shared" si="30"/>
        <v>3</v>
      </c>
      <c r="L171" s="180">
        <f t="shared" si="26"/>
        <v>19894803.683081843</v>
      </c>
      <c r="M171" s="181">
        <f t="shared" si="26"/>
        <v>93255.530343239312</v>
      </c>
      <c r="N171" s="180">
        <f t="shared" si="26"/>
        <v>63096.74967472523</v>
      </c>
      <c r="O171" s="132">
        <f t="shared" si="26"/>
        <v>30158.780668514082</v>
      </c>
      <c r="P171" s="72">
        <v>4</v>
      </c>
      <c r="Q171" s="149">
        <f>B216</f>
        <v>16638563.538914423</v>
      </c>
      <c r="R171" s="200">
        <f>SUM(C205:C216)</f>
        <v>1030357.6906735548</v>
      </c>
      <c r="S171" s="149">
        <f>SUM(D205:D216)</f>
        <v>673325.43428258668</v>
      </c>
      <c r="T171" s="134">
        <f>SUM(E205:E216)</f>
        <v>357032.2563909681</v>
      </c>
      <c r="U171" s="72">
        <v>4</v>
      </c>
      <c r="V171" s="180">
        <f>G216</f>
        <v>1797335.5548067857</v>
      </c>
      <c r="W171" s="181">
        <f>SUM(H205:H216)</f>
        <v>88708.673445316948</v>
      </c>
      <c r="X171" s="180">
        <f>SUM(I205:I216)</f>
        <v>36513.88097575205</v>
      </c>
      <c r="Y171" s="132">
        <f>SUM(J205:J216)</f>
        <v>52194.792469564876</v>
      </c>
      <c r="Z171" s="72">
        <v>4</v>
      </c>
      <c r="AA171" s="180">
        <f t="shared" si="27"/>
        <v>18435899.093721211</v>
      </c>
      <c r="AB171" s="180">
        <f t="shared" si="21"/>
        <v>1119066.3641188717</v>
      </c>
      <c r="AC171" s="180">
        <f t="shared" si="21"/>
        <v>709839.3152583387</v>
      </c>
      <c r="AD171" s="212">
        <f t="shared" si="21"/>
        <v>409227.04886053299</v>
      </c>
    </row>
    <row r="172" spans="1:35" x14ac:dyDescent="0.25">
      <c r="A172" s="72">
        <f t="shared" si="28"/>
        <v>4</v>
      </c>
      <c r="B172" s="183">
        <f t="shared" si="22"/>
        <v>17880828.020969465</v>
      </c>
      <c r="C172" s="184">
        <f>-Hotel!$E$95/12</f>
        <v>85863.140889462898</v>
      </c>
      <c r="D172" s="183">
        <f>Hotel!$E$93/12*B171</f>
        <v>59690.003859996439</v>
      </c>
      <c r="E172" s="185">
        <f t="shared" si="23"/>
        <v>26173.137029466459</v>
      </c>
      <c r="F172" s="72">
        <f t="shared" si="29"/>
        <v>4</v>
      </c>
      <c r="G172" s="180">
        <f t="shared" si="24"/>
        <v>1983723.1398376077</v>
      </c>
      <c r="H172" s="186">
        <f>-Hotel!$E$100/12</f>
        <v>7392.3894537764108</v>
      </c>
      <c r="I172" s="149">
        <f>Hotel!$E$98/12*G171</f>
        <v>3313.004208471521</v>
      </c>
      <c r="J172" s="187">
        <f t="shared" si="25"/>
        <v>4079.3852453048898</v>
      </c>
      <c r="K172" s="72">
        <f t="shared" si="30"/>
        <v>4</v>
      </c>
      <c r="L172" s="180">
        <f t="shared" si="26"/>
        <v>19864551.160807073</v>
      </c>
      <c r="M172" s="181">
        <f t="shared" si="26"/>
        <v>93255.530343239312</v>
      </c>
      <c r="N172" s="180">
        <f t="shared" si="26"/>
        <v>63003.008068467963</v>
      </c>
      <c r="O172" s="132">
        <f t="shared" si="26"/>
        <v>30252.522274771349</v>
      </c>
      <c r="P172" s="72">
        <v>5</v>
      </c>
      <c r="Q172" s="149">
        <f>B228</f>
        <v>16266985.237525955</v>
      </c>
      <c r="R172" s="200">
        <f>SUM(C217:C228)</f>
        <v>1030357.6906735548</v>
      </c>
      <c r="S172" s="149">
        <f>SUM(D217:D228)</f>
        <v>658779.38928508456</v>
      </c>
      <c r="T172" s="134">
        <f>SUM(E217:E228)</f>
        <v>371578.30138847022</v>
      </c>
      <c r="U172" s="72">
        <v>5</v>
      </c>
      <c r="V172" s="180">
        <f>G228</f>
        <v>1744087.2440812932</v>
      </c>
      <c r="W172" s="181">
        <f>SUM(H217:H228)</f>
        <v>88708.673445316948</v>
      </c>
      <c r="X172" s="180">
        <f>SUM(I217:I228)</f>
        <v>35460.362719824225</v>
      </c>
      <c r="Y172" s="132">
        <f>SUM(J217:J228)</f>
        <v>53248.310725492709</v>
      </c>
      <c r="Z172" s="72">
        <v>5</v>
      </c>
      <c r="AA172" s="180">
        <f t="shared" si="27"/>
        <v>18011072.481607247</v>
      </c>
      <c r="AB172" s="180">
        <f t="shared" si="21"/>
        <v>1119066.3641188717</v>
      </c>
      <c r="AC172" s="180">
        <f t="shared" si="21"/>
        <v>694239.75200490875</v>
      </c>
      <c r="AD172" s="212">
        <f t="shared" si="21"/>
        <v>424826.61211396294</v>
      </c>
    </row>
    <row r="173" spans="1:35" x14ac:dyDescent="0.25">
      <c r="A173" s="72">
        <f t="shared" si="28"/>
        <v>5</v>
      </c>
      <c r="B173" s="183">
        <f t="shared" si="22"/>
        <v>17854567.640149903</v>
      </c>
      <c r="C173" s="184">
        <f>-Hotel!$E$95/12</f>
        <v>85863.140889462898</v>
      </c>
      <c r="D173" s="183">
        <f>Hotel!$E$93/12*B172</f>
        <v>59602.760069898221</v>
      </c>
      <c r="E173" s="185">
        <f t="shared" si="23"/>
        <v>26260.380819564678</v>
      </c>
      <c r="F173" s="72">
        <f t="shared" si="29"/>
        <v>5</v>
      </c>
      <c r="G173" s="180">
        <f t="shared" si="24"/>
        <v>1979636.9556168939</v>
      </c>
      <c r="H173" s="186">
        <f>-Hotel!$E$100/12</f>
        <v>7392.3894537764108</v>
      </c>
      <c r="I173" s="149">
        <f>Hotel!$E$98/12*G172</f>
        <v>3306.2052330626798</v>
      </c>
      <c r="J173" s="187">
        <f t="shared" si="25"/>
        <v>4086.1842207137311</v>
      </c>
      <c r="K173" s="72">
        <f t="shared" si="30"/>
        <v>5</v>
      </c>
      <c r="L173" s="180">
        <f t="shared" si="26"/>
        <v>19834204.595766798</v>
      </c>
      <c r="M173" s="181">
        <f t="shared" si="26"/>
        <v>93255.530343239312</v>
      </c>
      <c r="N173" s="180">
        <f t="shared" si="26"/>
        <v>62908.965302960904</v>
      </c>
      <c r="O173" s="132">
        <f t="shared" si="26"/>
        <v>30346.565040278409</v>
      </c>
      <c r="P173" s="72">
        <v>6</v>
      </c>
      <c r="Q173" s="149">
        <f>B240</f>
        <v>15880268.262823405</v>
      </c>
      <c r="R173" s="200">
        <f>SUM(C229:C240)</f>
        <v>1030357.6906735548</v>
      </c>
      <c r="S173" s="149">
        <f>SUM(D229:D240)</f>
        <v>643640.71597100375</v>
      </c>
      <c r="T173" s="134">
        <f>SUM(E229:E240)</f>
        <v>386716.97470255109</v>
      </c>
      <c r="U173" s="72">
        <v>6</v>
      </c>
      <c r="V173" s="180">
        <f>G240</f>
        <v>1689764.1505126781</v>
      </c>
      <c r="W173" s="181">
        <f>SUM(H229:H240)</f>
        <v>88708.673445316948</v>
      </c>
      <c r="X173" s="180">
        <f>SUM(I229:I240)</f>
        <v>34385.579876701777</v>
      </c>
      <c r="Y173" s="132">
        <f>SUM(J229:J240)</f>
        <v>54323.09356861515</v>
      </c>
      <c r="Z173" s="72">
        <v>6</v>
      </c>
      <c r="AA173" s="180">
        <f t="shared" si="27"/>
        <v>17570032.413336083</v>
      </c>
      <c r="AB173" s="180">
        <f t="shared" si="21"/>
        <v>1119066.3641188717</v>
      </c>
      <c r="AC173" s="180">
        <f t="shared" si="21"/>
        <v>678026.29584770557</v>
      </c>
      <c r="AD173" s="212">
        <f t="shared" si="21"/>
        <v>441040.06827116624</v>
      </c>
    </row>
    <row r="174" spans="1:35" x14ac:dyDescent="0.25">
      <c r="A174" s="72">
        <f t="shared" si="28"/>
        <v>6</v>
      </c>
      <c r="B174" s="183">
        <f t="shared" si="22"/>
        <v>17828219.724727605</v>
      </c>
      <c r="C174" s="184">
        <f>-Hotel!$E$95/12</f>
        <v>85863.140889462898</v>
      </c>
      <c r="D174" s="183">
        <f>Hotel!$E$93/12*B173</f>
        <v>59515.225467166347</v>
      </c>
      <c r="E174" s="185">
        <f t="shared" si="23"/>
        <v>26347.915422296552</v>
      </c>
      <c r="F174" s="72">
        <f t="shared" si="29"/>
        <v>6</v>
      </c>
      <c r="G174" s="180">
        <f t="shared" si="24"/>
        <v>1975543.9610891456</v>
      </c>
      <c r="H174" s="186">
        <f>-Hotel!$E$100/12</f>
        <v>7392.3894537764108</v>
      </c>
      <c r="I174" s="149">
        <f>Hotel!$E$98/12*G173</f>
        <v>3299.394926028157</v>
      </c>
      <c r="J174" s="187">
        <f t="shared" si="25"/>
        <v>4092.9945277482539</v>
      </c>
      <c r="K174" s="72">
        <f t="shared" si="30"/>
        <v>6</v>
      </c>
      <c r="L174" s="180">
        <f t="shared" si="26"/>
        <v>19803763.68581675</v>
      </c>
      <c r="M174" s="181">
        <f t="shared" si="26"/>
        <v>93255.530343239312</v>
      </c>
      <c r="N174" s="180">
        <f t="shared" si="26"/>
        <v>62814.620393194506</v>
      </c>
      <c r="O174" s="132">
        <f t="shared" si="26"/>
        <v>30440.909950044806</v>
      </c>
      <c r="P174" s="72">
        <v>7</v>
      </c>
      <c r="Q174" s="149">
        <f>B252</f>
        <v>15477795.841898201</v>
      </c>
      <c r="R174" s="200">
        <f>SUM(C241:C252)</f>
        <v>1030357.6906735548</v>
      </c>
      <c r="S174" s="149">
        <f>SUM(D241:D252)</f>
        <v>627885.26974834863</v>
      </c>
      <c r="T174" s="134">
        <f>SUM(E241:E252)</f>
        <v>402472.42092520616</v>
      </c>
      <c r="U174" s="72">
        <v>7</v>
      </c>
      <c r="V174" s="180">
        <f>G252</f>
        <v>1634344.5803017546</v>
      </c>
      <c r="W174" s="181">
        <f>SUM(H241:H252)</f>
        <v>88708.673445316948</v>
      </c>
      <c r="X174" s="180">
        <f>SUM(I241:I252)</f>
        <v>33289.103234393377</v>
      </c>
      <c r="Y174" s="132">
        <f>SUM(J241:J252)</f>
        <v>55419.570210923557</v>
      </c>
      <c r="Z174" s="72">
        <v>7</v>
      </c>
      <c r="AA174" s="180">
        <f t="shared" si="27"/>
        <v>17112140.422199957</v>
      </c>
      <c r="AB174" s="180">
        <f t="shared" si="21"/>
        <v>1119066.3641188717</v>
      </c>
      <c r="AC174" s="180">
        <f t="shared" si="21"/>
        <v>661174.37298274203</v>
      </c>
      <c r="AD174" s="212">
        <f t="shared" si="21"/>
        <v>457891.99113612971</v>
      </c>
    </row>
    <row r="175" spans="1:35" x14ac:dyDescent="0.25">
      <c r="A175" s="72">
        <f t="shared" si="28"/>
        <v>7</v>
      </c>
      <c r="B175" s="183">
        <f t="shared" si="22"/>
        <v>17801783.982920568</v>
      </c>
      <c r="C175" s="184">
        <f>-Hotel!$E$95/12</f>
        <v>85863.140889462898</v>
      </c>
      <c r="D175" s="183">
        <f>Hotel!$E$93/12*B174</f>
        <v>59427.399082425349</v>
      </c>
      <c r="E175" s="185">
        <f t="shared" si="23"/>
        <v>26435.74180703755</v>
      </c>
      <c r="F175" s="72">
        <f t="shared" si="29"/>
        <v>7</v>
      </c>
      <c r="G175" s="180">
        <f t="shared" si="24"/>
        <v>1971444.1449038512</v>
      </c>
      <c r="H175" s="186">
        <f>-Hotel!$E$100/12</f>
        <v>7392.3894537764108</v>
      </c>
      <c r="I175" s="149">
        <f>Hotel!$E$98/12*G174</f>
        <v>3292.5732684819095</v>
      </c>
      <c r="J175" s="187">
        <f t="shared" si="25"/>
        <v>4099.8161852945013</v>
      </c>
      <c r="K175" s="72">
        <f t="shared" si="30"/>
        <v>7</v>
      </c>
      <c r="L175" s="180">
        <f t="shared" si="26"/>
        <v>19773228.127824418</v>
      </c>
      <c r="M175" s="181">
        <f t="shared" si="26"/>
        <v>93255.530343239312</v>
      </c>
      <c r="N175" s="180">
        <f t="shared" si="26"/>
        <v>62719.972350907257</v>
      </c>
      <c r="O175" s="132">
        <f t="shared" si="26"/>
        <v>30535.557992332051</v>
      </c>
      <c r="P175" s="72">
        <v>8</v>
      </c>
      <c r="Q175" s="149">
        <f>B264</f>
        <v>15058926.07356184</v>
      </c>
      <c r="R175" s="200">
        <f>SUM(C253:C264)</f>
        <v>1030357.6906735548</v>
      </c>
      <c r="S175" s="149">
        <f>SUM(D253:D264)</f>
        <v>611487.92233719281</v>
      </c>
      <c r="T175" s="134">
        <f>SUM(E253:E264)</f>
        <v>418869.76833636197</v>
      </c>
      <c r="U175" s="72">
        <v>8</v>
      </c>
      <c r="V175" s="180">
        <f>G264</f>
        <v>1577806.4017739778</v>
      </c>
      <c r="W175" s="181">
        <f>SUM(H253:H264)</f>
        <v>88708.673445316948</v>
      </c>
      <c r="X175" s="180">
        <f>SUM(I253:I264)</f>
        <v>32170.494917540156</v>
      </c>
      <c r="Y175" s="132">
        <f>SUM(J253:J264)</f>
        <v>56538.17852777677</v>
      </c>
      <c r="Z175" s="72">
        <v>8</v>
      </c>
      <c r="AA175" s="180">
        <f t="shared" si="27"/>
        <v>16636732.475335818</v>
      </c>
      <c r="AB175" s="180">
        <f t="shared" si="21"/>
        <v>1119066.3641188717</v>
      </c>
      <c r="AC175" s="180">
        <f t="shared" si="21"/>
        <v>643658.41725473292</v>
      </c>
      <c r="AD175" s="212">
        <f t="shared" si="21"/>
        <v>475407.94686413876</v>
      </c>
    </row>
    <row r="176" spans="1:35" x14ac:dyDescent="0.25">
      <c r="A176" s="72">
        <f t="shared" si="28"/>
        <v>8</v>
      </c>
      <c r="B176" s="183">
        <f t="shared" si="22"/>
        <v>17775260.121974174</v>
      </c>
      <c r="C176" s="184">
        <f>-Hotel!$E$95/12</f>
        <v>85863.140889462898</v>
      </c>
      <c r="D176" s="183">
        <f>Hotel!$E$93/12*B175</f>
        <v>59339.279943068563</v>
      </c>
      <c r="E176" s="185">
        <f t="shared" si="23"/>
        <v>26523.860946394336</v>
      </c>
      <c r="F176" s="72">
        <f t="shared" si="29"/>
        <v>8</v>
      </c>
      <c r="G176" s="180">
        <f t="shared" si="24"/>
        <v>1967337.4956915812</v>
      </c>
      <c r="H176" s="186">
        <f>-Hotel!$E$100/12</f>
        <v>7392.3894537764108</v>
      </c>
      <c r="I176" s="149">
        <f>Hotel!$E$98/12*G175</f>
        <v>3285.7402415064189</v>
      </c>
      <c r="J176" s="187">
        <f t="shared" si="25"/>
        <v>4106.6492122699919</v>
      </c>
      <c r="K176" s="72">
        <f t="shared" si="30"/>
        <v>8</v>
      </c>
      <c r="L176" s="180">
        <f t="shared" si="26"/>
        <v>19742597.617665756</v>
      </c>
      <c r="M176" s="181">
        <f t="shared" si="26"/>
        <v>93255.530343239312</v>
      </c>
      <c r="N176" s="180">
        <f t="shared" si="26"/>
        <v>62625.020184574983</v>
      </c>
      <c r="O176" s="132">
        <f t="shared" si="26"/>
        <v>30630.510158664329</v>
      </c>
      <c r="P176" s="72">
        <v>9</v>
      </c>
      <c r="Q176" s="149">
        <f>B276</f>
        <v>14622990.904581001</v>
      </c>
      <c r="R176" s="200">
        <f>SUM(C265:C276)</f>
        <v>1030357.6906735548</v>
      </c>
      <c r="S176" s="149">
        <f>SUM(D265:D276)</f>
        <v>594422.52169271465</v>
      </c>
      <c r="T176" s="134">
        <f>SUM(E265:E276)</f>
        <v>435935.16898084019</v>
      </c>
      <c r="U176" s="72">
        <v>9</v>
      </c>
      <c r="V176" s="180">
        <f>G276</f>
        <v>1520127.0365412128</v>
      </c>
      <c r="W176" s="181">
        <f>SUM(H265:H276)</f>
        <v>88708.673445316948</v>
      </c>
      <c r="X176" s="180">
        <f>SUM(I265:I276)</f>
        <v>31029.308212551299</v>
      </c>
      <c r="Y176" s="132">
        <f>SUM(J265:J276)</f>
        <v>57679.365232765638</v>
      </c>
      <c r="Z176" s="72">
        <v>9</v>
      </c>
      <c r="AA176" s="180">
        <f t="shared" si="27"/>
        <v>16143117.941122213</v>
      </c>
      <c r="AB176" s="180">
        <f t="shared" si="21"/>
        <v>1119066.3641188717</v>
      </c>
      <c r="AC176" s="180">
        <f t="shared" si="21"/>
        <v>625451.82990526594</v>
      </c>
      <c r="AD176" s="212">
        <f t="shared" si="21"/>
        <v>493614.5342136058</v>
      </c>
    </row>
    <row r="177" spans="1:30" x14ac:dyDescent="0.25">
      <c r="A177" s="72">
        <f t="shared" si="28"/>
        <v>9</v>
      </c>
      <c r="B177" s="183">
        <f t="shared" si="22"/>
        <v>17748647.848157957</v>
      </c>
      <c r="C177" s="184">
        <f>-Hotel!$E$95/12</f>
        <v>85863.140889462898</v>
      </c>
      <c r="D177" s="183">
        <f>Hotel!$E$93/12*B176</f>
        <v>59250.867073247253</v>
      </c>
      <c r="E177" s="185">
        <f t="shared" si="23"/>
        <v>26612.273816215646</v>
      </c>
      <c r="F177" s="72">
        <f t="shared" si="29"/>
        <v>9</v>
      </c>
      <c r="G177" s="180">
        <f t="shared" si="24"/>
        <v>1963224.0020639573</v>
      </c>
      <c r="H177" s="186">
        <f>-Hotel!$E$100/12</f>
        <v>7392.3894537764108</v>
      </c>
      <c r="I177" s="149">
        <f>Hotel!$E$98/12*G176</f>
        <v>3278.8958261526354</v>
      </c>
      <c r="J177" s="187">
        <f t="shared" si="25"/>
        <v>4113.493627623775</v>
      </c>
      <c r="K177" s="72">
        <f t="shared" si="30"/>
        <v>9</v>
      </c>
      <c r="L177" s="180">
        <f t="shared" si="26"/>
        <v>19711871.850221913</v>
      </c>
      <c r="M177" s="181">
        <f t="shared" si="26"/>
        <v>93255.530343239312</v>
      </c>
      <c r="N177" s="180">
        <f t="shared" si="26"/>
        <v>62529.762899399888</v>
      </c>
      <c r="O177" s="132">
        <f t="shared" si="26"/>
        <v>30725.767443839421</v>
      </c>
      <c r="P177" s="258">
        <v>10</v>
      </c>
      <c r="Q177" s="161">
        <f>B288</f>
        <v>14169295.064202884</v>
      </c>
      <c r="R177" s="149">
        <f>SUM(C277:C288)</f>
        <v>1030357.6906735548</v>
      </c>
      <c r="S177" s="161">
        <f>SUM(D277:D288)</f>
        <v>576661.8502954361</v>
      </c>
      <c r="T177" s="134">
        <f>SUM(E277:E288)</f>
        <v>453695.8403781188</v>
      </c>
      <c r="U177" s="72">
        <v>10</v>
      </c>
      <c r="V177" s="180">
        <f>G288</f>
        <v>1461283.4504851061</v>
      </c>
      <c r="W177" s="260">
        <f>SUM(H277:H288)</f>
        <v>88708.673445316948</v>
      </c>
      <c r="X177" s="180">
        <f>SUM(I277:I288)</f>
        <v>29865.087389209941</v>
      </c>
      <c r="Y177" s="132">
        <f>SUM(J277:J288)</f>
        <v>58843.586056106986</v>
      </c>
      <c r="Z177" s="258">
        <v>10</v>
      </c>
      <c r="AA177" s="180">
        <f t="shared" si="27"/>
        <v>15630578.514687991</v>
      </c>
      <c r="AB177" s="180">
        <f t="shared" si="21"/>
        <v>1119066.3641188717</v>
      </c>
      <c r="AC177" s="180">
        <f t="shared" si="21"/>
        <v>606526.93768464599</v>
      </c>
      <c r="AD177" s="212">
        <f t="shared" si="21"/>
        <v>512539.42643422575</v>
      </c>
    </row>
    <row r="178" spans="1:30" x14ac:dyDescent="0.25">
      <c r="A178" s="72">
        <f t="shared" si="28"/>
        <v>10</v>
      </c>
      <c r="B178" s="183">
        <f t="shared" si="22"/>
        <v>17721946.866762355</v>
      </c>
      <c r="C178" s="184">
        <f>-Hotel!$E$95/12</f>
        <v>85863.140889462898</v>
      </c>
      <c r="D178" s="183">
        <f>Hotel!$E$93/12*B177</f>
        <v>59162.159493859865</v>
      </c>
      <c r="E178" s="185">
        <f t="shared" si="23"/>
        <v>26700.981395603034</v>
      </c>
      <c r="F178" s="72">
        <f t="shared" si="29"/>
        <v>10</v>
      </c>
      <c r="G178" s="180">
        <f t="shared" si="24"/>
        <v>1959103.6526136207</v>
      </c>
      <c r="H178" s="186">
        <f>-Hotel!$E$100/12</f>
        <v>7392.3894537764108</v>
      </c>
      <c r="I178" s="149">
        <f>Hotel!$E$98/12*G177</f>
        <v>3272.040003439929</v>
      </c>
      <c r="J178" s="187">
        <f t="shared" si="25"/>
        <v>4120.3494503364818</v>
      </c>
      <c r="K178" s="72">
        <f t="shared" si="30"/>
        <v>10</v>
      </c>
      <c r="L178" s="180">
        <f t="shared" si="26"/>
        <v>19681050.519375976</v>
      </c>
      <c r="M178" s="181">
        <f t="shared" si="26"/>
        <v>93255.530343239312</v>
      </c>
      <c r="N178" s="180">
        <f t="shared" si="26"/>
        <v>62434.199497299793</v>
      </c>
      <c r="O178" s="132">
        <f t="shared" si="26"/>
        <v>30821.330845939516</v>
      </c>
      <c r="P178" s="258">
        <v>11</v>
      </c>
      <c r="Q178" s="149">
        <f>B300</f>
        <v>13697114.955271473</v>
      </c>
      <c r="R178" s="149">
        <f>SUM(C289:C300)</f>
        <v>1030357.6906735548</v>
      </c>
      <c r="S178" s="161">
        <f>SUM(D289:D300)</f>
        <v>558177.58174214093</v>
      </c>
      <c r="T178" s="200">
        <f>SUM(E289:E300)</f>
        <v>472180.10893141385</v>
      </c>
      <c r="U178" s="258">
        <v>11</v>
      </c>
      <c r="V178" s="183">
        <f>G300</f>
        <v>1401252.1445584674</v>
      </c>
      <c r="W178" s="184">
        <f>SUM(H289:H300)</f>
        <v>88708.673445316948</v>
      </c>
      <c r="X178" s="183">
        <f t="shared" ref="X178:Y178" si="31">SUM(I289:I300)</f>
        <v>28677.367518678446</v>
      </c>
      <c r="Y178" s="184">
        <f t="shared" si="31"/>
        <v>60031.305926638481</v>
      </c>
      <c r="Z178" s="72">
        <v>11</v>
      </c>
      <c r="AA178" s="180">
        <f t="shared" si="27"/>
        <v>15098367.09982994</v>
      </c>
      <c r="AB178" s="180">
        <f t="shared" si="21"/>
        <v>1119066.3641188717</v>
      </c>
      <c r="AC178" s="180">
        <f t="shared" si="21"/>
        <v>586854.94926081935</v>
      </c>
      <c r="AD178" s="212">
        <f t="shared" si="21"/>
        <v>532211.41485805227</v>
      </c>
    </row>
    <row r="179" spans="1:30" x14ac:dyDescent="0.25">
      <c r="A179" s="72">
        <f t="shared" si="28"/>
        <v>11</v>
      </c>
      <c r="B179" s="183">
        <f t="shared" si="22"/>
        <v>17695156.882095434</v>
      </c>
      <c r="C179" s="184">
        <f>-Hotel!$E$95/12</f>
        <v>85863.140889462898</v>
      </c>
      <c r="D179" s="183">
        <f>Hotel!$E$93/12*B178</f>
        <v>59073.156222541184</v>
      </c>
      <c r="E179" s="185">
        <f t="shared" si="23"/>
        <v>26789.984666921715</v>
      </c>
      <c r="F179" s="72">
        <f t="shared" si="29"/>
        <v>11</v>
      </c>
      <c r="G179" s="180">
        <f t="shared" si="24"/>
        <v>1954976.4359142003</v>
      </c>
      <c r="H179" s="186">
        <f>-Hotel!$E$100/12</f>
        <v>7392.3894537764108</v>
      </c>
      <c r="I179" s="149">
        <f>Hotel!$E$98/12*G178</f>
        <v>3265.1727543560346</v>
      </c>
      <c r="J179" s="187">
        <f t="shared" si="25"/>
        <v>4127.2166994203762</v>
      </c>
      <c r="K179" s="72">
        <f t="shared" si="30"/>
        <v>11</v>
      </c>
      <c r="L179" s="180">
        <f t="shared" si="26"/>
        <v>19650133.318009634</v>
      </c>
      <c r="M179" s="181">
        <f t="shared" si="26"/>
        <v>93255.530343239312</v>
      </c>
      <c r="N179" s="180">
        <f t="shared" si="26"/>
        <v>62338.328976897217</v>
      </c>
      <c r="O179" s="132">
        <f t="shared" si="26"/>
        <v>30917.201366342091</v>
      </c>
      <c r="P179" s="258">
        <v>12</v>
      </c>
      <c r="Q179" s="149">
        <f>B312</f>
        <v>13205697.500166157</v>
      </c>
      <c r="R179" s="149">
        <f>SUM(C301:C312)</f>
        <v>1030357.6906735548</v>
      </c>
      <c r="S179" s="161">
        <f t="shared" ref="S179:T179" si="32">SUM(D301:D312)</f>
        <v>538940.23556824075</v>
      </c>
      <c r="T179" s="200">
        <f t="shared" si="32"/>
        <v>491417.45510531391</v>
      </c>
      <c r="U179" s="258">
        <v>12</v>
      </c>
      <c r="V179" s="183">
        <f>G312</f>
        <v>1340009.1454009805</v>
      </c>
      <c r="W179" s="184">
        <f>SUM(H301:H312)</f>
        <v>88708.673445316948</v>
      </c>
      <c r="X179" s="183">
        <f t="shared" ref="X179:Y179" si="33">SUM(I301:I312)</f>
        <v>27465.674287830156</v>
      </c>
      <c r="Y179" s="184">
        <f t="shared" si="33"/>
        <v>61242.999157486774</v>
      </c>
      <c r="Z179" s="72">
        <v>12</v>
      </c>
      <c r="AA179" s="180">
        <f t="shared" si="27"/>
        <v>14545706.645567138</v>
      </c>
      <c r="AB179" s="180">
        <f t="shared" si="21"/>
        <v>1119066.3641188717</v>
      </c>
      <c r="AC179" s="180">
        <f t="shared" si="21"/>
        <v>566405.90985607088</v>
      </c>
      <c r="AD179" s="212">
        <f t="shared" si="21"/>
        <v>552660.45426280075</v>
      </c>
    </row>
    <row r="180" spans="1:30" x14ac:dyDescent="0.25">
      <c r="A180" s="72">
        <f t="shared" si="28"/>
        <v>12</v>
      </c>
      <c r="B180" s="183">
        <f t="shared" si="22"/>
        <v>17668277.597479623</v>
      </c>
      <c r="C180" s="184">
        <f>-Hotel!$E$95/12</f>
        <v>85863.140889462898</v>
      </c>
      <c r="D180" s="183">
        <f>Hotel!$E$93/12*B179</f>
        <v>58983.85627365145</v>
      </c>
      <c r="E180" s="185">
        <f t="shared" si="23"/>
        <v>26879.284615811448</v>
      </c>
      <c r="F180" s="72">
        <f t="shared" si="29"/>
        <v>12</v>
      </c>
      <c r="G180" s="180">
        <f t="shared" si="24"/>
        <v>1950842.3405202809</v>
      </c>
      <c r="H180" s="186">
        <f>-Hotel!$E$100/12</f>
        <v>7392.3894537764108</v>
      </c>
      <c r="I180" s="149">
        <f>Hotel!$E$98/12*G179</f>
        <v>3258.2940598570008</v>
      </c>
      <c r="J180" s="187">
        <f t="shared" si="25"/>
        <v>4134.0953939194096</v>
      </c>
      <c r="K180" s="72">
        <f t="shared" si="30"/>
        <v>12</v>
      </c>
      <c r="L180" s="180">
        <f t="shared" si="26"/>
        <v>19619119.937999904</v>
      </c>
      <c r="M180" s="181">
        <f t="shared" si="26"/>
        <v>93255.530343239312</v>
      </c>
      <c r="N180" s="180">
        <f t="shared" si="26"/>
        <v>62242.150333508449</v>
      </c>
      <c r="O180" s="132">
        <f t="shared" si="26"/>
        <v>31013.380009730856</v>
      </c>
      <c r="P180" s="258">
        <v>13</v>
      </c>
      <c r="Q180" s="149">
        <f>B324</f>
        <v>12694258.939722136</v>
      </c>
      <c r="R180" s="149">
        <f>SUM(C313:C324)</f>
        <v>1030357.6906735548</v>
      </c>
      <c r="S180" s="161">
        <f t="shared" ref="S180:T180" si="34">SUM(D313:D324)</f>
        <v>518919.13022953382</v>
      </c>
      <c r="T180" s="200">
        <f t="shared" si="34"/>
        <v>511438.56044402096</v>
      </c>
      <c r="U180" s="258">
        <v>13</v>
      </c>
      <c r="V180" s="183">
        <f>G324</f>
        <v>1277529.995765497</v>
      </c>
      <c r="W180" s="184">
        <f>SUM(H313:H324)</f>
        <v>88708.673445316948</v>
      </c>
      <c r="X180" s="183">
        <f t="shared" ref="X180:Y180" si="35">SUM(I313:I324)</f>
        <v>26229.523809833554</v>
      </c>
      <c r="Y180" s="184">
        <f t="shared" si="35"/>
        <v>62479.149635483373</v>
      </c>
      <c r="Z180" s="72">
        <v>13</v>
      </c>
      <c r="AA180" s="180">
        <f t="shared" si="27"/>
        <v>13971788.935487632</v>
      </c>
      <c r="AB180" s="180">
        <f t="shared" si="21"/>
        <v>1119066.3641188717</v>
      </c>
      <c r="AC180" s="180">
        <f t="shared" si="21"/>
        <v>545148.65403936733</v>
      </c>
      <c r="AD180" s="212">
        <f t="shared" si="21"/>
        <v>573917.71007950429</v>
      </c>
    </row>
    <row r="181" spans="1:30" x14ac:dyDescent="0.25">
      <c r="A181" s="72">
        <f t="shared" si="28"/>
        <v>13</v>
      </c>
      <c r="B181" s="183">
        <f t="shared" si="22"/>
        <v>17641308.715248425</v>
      </c>
      <c r="C181" s="184">
        <f>-Hotel!$E$95/12</f>
        <v>85863.140889462898</v>
      </c>
      <c r="D181" s="183">
        <f>Hotel!$E$93/12*B180</f>
        <v>58894.258658265411</v>
      </c>
      <c r="E181" s="185">
        <f t="shared" si="23"/>
        <v>26968.882231197487</v>
      </c>
      <c r="F181" s="72">
        <f t="shared" si="29"/>
        <v>13</v>
      </c>
      <c r="G181" s="180">
        <f t="shared" si="24"/>
        <v>1946701.3549673716</v>
      </c>
      <c r="H181" s="186">
        <f>-Hotel!$E$100/12</f>
        <v>7392.3894537764108</v>
      </c>
      <c r="I181" s="149">
        <f>Hotel!$E$98/12*G180</f>
        <v>3251.4039008671348</v>
      </c>
      <c r="J181" s="187">
        <f t="shared" si="25"/>
        <v>4140.9855529092765</v>
      </c>
      <c r="K181" s="72">
        <f t="shared" si="30"/>
        <v>13</v>
      </c>
      <c r="L181" s="180">
        <f t="shared" si="26"/>
        <v>19588010.070215795</v>
      </c>
      <c r="M181" s="181">
        <f t="shared" si="26"/>
        <v>93255.530343239312</v>
      </c>
      <c r="N181" s="180">
        <f t="shared" si="26"/>
        <v>62145.662559132543</v>
      </c>
      <c r="O181" s="132">
        <f t="shared" si="26"/>
        <v>31109.867784106762</v>
      </c>
      <c r="P181" s="258">
        <v>14</v>
      </c>
      <c r="Q181" s="149">
        <f>B336</f>
        <v>12161983.583216947</v>
      </c>
      <c r="R181" s="149">
        <f>SUM(C325:C336)</f>
        <v>1030357.6906735548</v>
      </c>
      <c r="S181" s="161">
        <f t="shared" ref="S181:T181" si="36">SUM(D325:D336)</f>
        <v>498082.33416836825</v>
      </c>
      <c r="T181" s="200">
        <f t="shared" si="36"/>
        <v>532275.35650518653</v>
      </c>
      <c r="U181" s="258">
        <v>14</v>
      </c>
      <c r="V181" s="183">
        <f>G336</f>
        <v>1213789.7447510932</v>
      </c>
      <c r="W181" s="184">
        <f>SUM(H325:H336)</f>
        <v>88708.673445316948</v>
      </c>
      <c r="X181" s="183">
        <f t="shared" ref="X181:Y181" si="37">SUM(I325:I336)</f>
        <v>24968.422430913211</v>
      </c>
      <c r="Y181" s="184">
        <f t="shared" si="37"/>
        <v>63740.251014403722</v>
      </c>
      <c r="Z181" s="72">
        <v>14</v>
      </c>
      <c r="AA181" s="180">
        <f t="shared" si="27"/>
        <v>13375773.32796804</v>
      </c>
      <c r="AB181" s="180">
        <f t="shared" si="21"/>
        <v>1119066.3641188717</v>
      </c>
      <c r="AC181" s="180">
        <f t="shared" si="21"/>
        <v>523050.75659928145</v>
      </c>
      <c r="AD181" s="212">
        <f t="shared" si="21"/>
        <v>596015.6075195903</v>
      </c>
    </row>
    <row r="182" spans="1:30" x14ac:dyDescent="0.25">
      <c r="A182" s="72">
        <f t="shared" si="28"/>
        <v>14</v>
      </c>
      <c r="B182" s="183">
        <f t="shared" si="22"/>
        <v>17614249.936743122</v>
      </c>
      <c r="C182" s="184">
        <f>-Hotel!$E$95/12</f>
        <v>85863.140889462898</v>
      </c>
      <c r="D182" s="183">
        <f>Hotel!$E$93/12*B181</f>
        <v>58804.362384161417</v>
      </c>
      <c r="E182" s="185">
        <f t="shared" si="23"/>
        <v>27058.778505301481</v>
      </c>
      <c r="F182" s="72">
        <f t="shared" si="29"/>
        <v>14</v>
      </c>
      <c r="G182" s="180">
        <f t="shared" si="24"/>
        <v>1942553.467771874</v>
      </c>
      <c r="H182" s="186">
        <f>-Hotel!$E$100/12</f>
        <v>7392.3894537764108</v>
      </c>
      <c r="I182" s="149">
        <f>Hotel!$E$98/12*G181</f>
        <v>3244.5022582789529</v>
      </c>
      <c r="J182" s="187">
        <f t="shared" si="25"/>
        <v>4147.8871954974584</v>
      </c>
      <c r="K182" s="72">
        <f t="shared" si="30"/>
        <v>14</v>
      </c>
      <c r="L182" s="180">
        <f t="shared" si="26"/>
        <v>19556803.404514994</v>
      </c>
      <c r="M182" s="181">
        <f t="shared" si="26"/>
        <v>93255.530343239312</v>
      </c>
      <c r="N182" s="180">
        <f t="shared" si="26"/>
        <v>62048.864642440371</v>
      </c>
      <c r="O182" s="132">
        <f t="shared" si="26"/>
        <v>31206.665700798942</v>
      </c>
      <c r="P182" s="258">
        <v>15</v>
      </c>
      <c r="Q182" s="149">
        <f>B348</f>
        <v>11608022.507429557</v>
      </c>
      <c r="R182" s="149">
        <f>SUM(C337:C348)</f>
        <v>1030357.6906735548</v>
      </c>
      <c r="S182" s="161">
        <f t="shared" ref="S182:T182" si="38">SUM(D337:D348)</f>
        <v>476396.61488616583</v>
      </c>
      <c r="T182" s="200">
        <f t="shared" si="38"/>
        <v>553961.07578738895</v>
      </c>
      <c r="U182" s="258">
        <v>15</v>
      </c>
      <c r="V182" s="183">
        <f>G348</f>
        <v>1148762.9378389867</v>
      </c>
      <c r="W182" s="184">
        <f>SUM(H337:H348)</f>
        <v>88708.673445316948</v>
      </c>
      <c r="X182" s="183">
        <f t="shared" ref="X182:Y182" si="39">SUM(I337:I348)</f>
        <v>23681.866533210316</v>
      </c>
      <c r="Y182" s="184">
        <f t="shared" si="39"/>
        <v>65026.806912106615</v>
      </c>
      <c r="Z182" s="72">
        <v>15</v>
      </c>
      <c r="AA182" s="180">
        <f t="shared" si="27"/>
        <v>12756785.445268543</v>
      </c>
      <c r="AB182" s="180">
        <f t="shared" si="21"/>
        <v>1119066.3641188717</v>
      </c>
      <c r="AC182" s="180">
        <f t="shared" si="21"/>
        <v>500078.48141937616</v>
      </c>
      <c r="AD182" s="212">
        <f t="shared" si="21"/>
        <v>618987.88269949553</v>
      </c>
    </row>
    <row r="183" spans="1:30" x14ac:dyDescent="0.25">
      <c r="A183" s="72">
        <f t="shared" si="28"/>
        <v>15</v>
      </c>
      <c r="B183" s="183">
        <f t="shared" si="22"/>
        <v>17587100.962309469</v>
      </c>
      <c r="C183" s="184">
        <f>-Hotel!$E$95/12</f>
        <v>85863.140889462898</v>
      </c>
      <c r="D183" s="183">
        <f>Hotel!$E$93/12*B182</f>
        <v>58714.166455810409</v>
      </c>
      <c r="E183" s="185">
        <f t="shared" si="23"/>
        <v>27148.974433652489</v>
      </c>
      <c r="F183" s="72">
        <f t="shared" si="29"/>
        <v>15</v>
      </c>
      <c r="G183" s="180">
        <f t="shared" si="24"/>
        <v>1938398.6674310507</v>
      </c>
      <c r="H183" s="186">
        <f>-Hotel!$E$100/12</f>
        <v>7392.3894537764108</v>
      </c>
      <c r="I183" s="149">
        <f>Hotel!$E$98/12*G182</f>
        <v>3237.5891129531237</v>
      </c>
      <c r="J183" s="187">
        <f t="shared" si="25"/>
        <v>4154.8003408232871</v>
      </c>
      <c r="K183" s="72">
        <f t="shared" si="30"/>
        <v>15</v>
      </c>
      <c r="L183" s="180">
        <f t="shared" si="26"/>
        <v>19525499.629740518</v>
      </c>
      <c r="M183" s="181">
        <f t="shared" si="26"/>
        <v>93255.530343239312</v>
      </c>
      <c r="N183" s="180">
        <f t="shared" si="26"/>
        <v>61951.755568763532</v>
      </c>
      <c r="O183" s="132">
        <f t="shared" si="26"/>
        <v>31303.774774475776</v>
      </c>
      <c r="P183" s="258">
        <v>16</v>
      </c>
      <c r="Q183" s="149">
        <f>B360</f>
        <v>11031492.202697083</v>
      </c>
      <c r="R183" s="149">
        <f>SUM(C349:C360)</f>
        <v>1030357.6906735548</v>
      </c>
      <c r="S183" s="161">
        <f t="shared" ref="S183:T183" si="40">SUM(D349:D360)</f>
        <v>453827.38594108116</v>
      </c>
      <c r="T183" s="200">
        <f t="shared" si="40"/>
        <v>576530.30473247368</v>
      </c>
      <c r="U183" s="258">
        <v>16</v>
      </c>
      <c r="V183" s="183">
        <f>G360</f>
        <v>1082423.606727334</v>
      </c>
      <c r="W183" s="184">
        <f>SUM(H349:H360)</f>
        <v>88708.673445316948</v>
      </c>
      <c r="X183" s="183">
        <f t="shared" ref="X183:Y183" si="41">SUM(I349:I360)</f>
        <v>22369.342333664044</v>
      </c>
      <c r="Y183" s="184">
        <f t="shared" si="41"/>
        <v>66339.331111652878</v>
      </c>
      <c r="Z183" s="72">
        <v>16</v>
      </c>
      <c r="AA183" s="180">
        <f t="shared" si="27"/>
        <v>12113915.809424417</v>
      </c>
      <c r="AB183" s="180">
        <f t="shared" si="21"/>
        <v>1119066.3641188717</v>
      </c>
      <c r="AC183" s="180">
        <f t="shared" si="21"/>
        <v>476196.72827474523</v>
      </c>
      <c r="AD183" s="212">
        <f t="shared" si="21"/>
        <v>642869.63584412658</v>
      </c>
    </row>
    <row r="184" spans="1:30" x14ac:dyDescent="0.25">
      <c r="A184" s="72">
        <f t="shared" si="28"/>
        <v>16</v>
      </c>
      <c r="B184" s="183">
        <f t="shared" si="22"/>
        <v>17559861.491294369</v>
      </c>
      <c r="C184" s="184">
        <f>-Hotel!$E$95/12</f>
        <v>85863.140889462898</v>
      </c>
      <c r="D184" s="183">
        <f>Hotel!$E$93/12*B183</f>
        <v>58623.669874364896</v>
      </c>
      <c r="E184" s="185">
        <f t="shared" si="23"/>
        <v>27239.471015098003</v>
      </c>
      <c r="F184" s="72">
        <f t="shared" si="29"/>
        <v>16</v>
      </c>
      <c r="G184" s="180">
        <f t="shared" si="24"/>
        <v>1934236.9424229928</v>
      </c>
      <c r="H184" s="186">
        <f>-Hotel!$E$100/12</f>
        <v>7392.3894537764108</v>
      </c>
      <c r="I184" s="149">
        <f>Hotel!$E$98/12*G183</f>
        <v>3230.6644457184179</v>
      </c>
      <c r="J184" s="187">
        <f t="shared" si="25"/>
        <v>4161.7250080579925</v>
      </c>
      <c r="K184" s="72">
        <f t="shared" si="30"/>
        <v>16</v>
      </c>
      <c r="L184" s="180">
        <f t="shared" si="26"/>
        <v>19494098.433717363</v>
      </c>
      <c r="M184" s="181">
        <f t="shared" si="26"/>
        <v>93255.530343239312</v>
      </c>
      <c r="N184" s="180">
        <f t="shared" si="26"/>
        <v>61854.334320083311</v>
      </c>
      <c r="O184" s="132">
        <f t="shared" si="26"/>
        <v>31401.196023155993</v>
      </c>
      <c r="P184" s="258">
        <v>17</v>
      </c>
      <c r="Q184" s="149">
        <f>B372</f>
        <v>10431473.163809787</v>
      </c>
      <c r="R184" s="149">
        <f>SUM(C361:C372)</f>
        <v>1030357.6906735548</v>
      </c>
      <c r="S184" s="161">
        <f t="shared" ref="S184:T184" si="42">SUM(D361:D372)</f>
        <v>430338.65178626357</v>
      </c>
      <c r="T184" s="200">
        <f t="shared" si="42"/>
        <v>600019.03888729133</v>
      </c>
      <c r="U184" s="258">
        <v>17</v>
      </c>
      <c r="V184" s="183">
        <f>G372</f>
        <v>1014745.2589608507</v>
      </c>
      <c r="W184" s="184">
        <f>SUM(H361:H372)</f>
        <v>88708.673445316948</v>
      </c>
      <c r="X184" s="183">
        <f t="shared" ref="X184:Y184" si="43">SUM(I361:I372)</f>
        <v>21030.325678833564</v>
      </c>
      <c r="Y184" s="184">
        <f t="shared" si="43"/>
        <v>67678.347766483363</v>
      </c>
      <c r="Z184" s="72">
        <v>17</v>
      </c>
      <c r="AA184" s="180">
        <f t="shared" si="27"/>
        <v>11446218.422770638</v>
      </c>
      <c r="AB184" s="180">
        <f t="shared" si="27"/>
        <v>1119066.3641188717</v>
      </c>
      <c r="AC184" s="180">
        <f t="shared" si="27"/>
        <v>451368.97746509715</v>
      </c>
      <c r="AD184" s="212">
        <f t="shared" si="27"/>
        <v>667697.38665377465</v>
      </c>
    </row>
    <row r="185" spans="1:30" x14ac:dyDescent="0.25">
      <c r="A185" s="72">
        <f t="shared" si="28"/>
        <v>17</v>
      </c>
      <c r="B185" s="183">
        <f t="shared" si="22"/>
        <v>17532531.222042553</v>
      </c>
      <c r="C185" s="184">
        <f>-Hotel!$E$95/12</f>
        <v>85863.140889462898</v>
      </c>
      <c r="D185" s="183">
        <f>Hotel!$E$93/12*B184</f>
        <v>58532.871637647899</v>
      </c>
      <c r="E185" s="185">
        <f t="shared" si="23"/>
        <v>27330.269251815</v>
      </c>
      <c r="F185" s="72">
        <f t="shared" si="29"/>
        <v>17</v>
      </c>
      <c r="G185" s="180">
        <f t="shared" si="24"/>
        <v>1930068.281206588</v>
      </c>
      <c r="H185" s="186">
        <f>-Hotel!$E$100/12</f>
        <v>7392.3894537764108</v>
      </c>
      <c r="I185" s="149">
        <f>Hotel!$E$98/12*G184</f>
        <v>3223.7282373716548</v>
      </c>
      <c r="J185" s="187">
        <f t="shared" si="25"/>
        <v>4168.6612164047565</v>
      </c>
      <c r="K185" s="72">
        <f t="shared" si="30"/>
        <v>17</v>
      </c>
      <c r="L185" s="180">
        <f t="shared" si="26"/>
        <v>19462599.503249142</v>
      </c>
      <c r="M185" s="181">
        <f t="shared" si="26"/>
        <v>93255.530343239312</v>
      </c>
      <c r="N185" s="180">
        <f t="shared" si="26"/>
        <v>61756.59987501955</v>
      </c>
      <c r="O185" s="132">
        <f t="shared" si="26"/>
        <v>31498.930468219754</v>
      </c>
      <c r="P185" s="258">
        <v>18</v>
      </c>
      <c r="Q185" s="149">
        <f>B384</f>
        <v>9807008.4234969802</v>
      </c>
      <c r="R185" s="149">
        <f>SUM(C373:C384)</f>
        <v>1030357.6906735548</v>
      </c>
      <c r="S185" s="161">
        <f t="shared" ref="S185:T185" si="44">SUM(D373:D384)</f>
        <v>405892.95036074601</v>
      </c>
      <c r="T185" s="200">
        <f t="shared" si="44"/>
        <v>624464.74031280878</v>
      </c>
      <c r="U185" s="258">
        <v>18</v>
      </c>
      <c r="V185" s="183">
        <f>G384</f>
        <v>945700.86735111219</v>
      </c>
      <c r="W185" s="184">
        <f>SUM(H373:H384)</f>
        <v>88708.673445316948</v>
      </c>
      <c r="X185" s="183">
        <f t="shared" ref="X185:Y185" si="45">SUM(I373:I384)</f>
        <v>19664.281835578517</v>
      </c>
      <c r="Y185" s="184">
        <f t="shared" si="45"/>
        <v>69044.391609738406</v>
      </c>
      <c r="Z185" s="72">
        <v>18</v>
      </c>
      <c r="AA185" s="180">
        <f t="shared" ref="AA185:AD197" si="46">Q185+V185</f>
        <v>10752709.290848093</v>
      </c>
      <c r="AB185" s="180">
        <f t="shared" si="46"/>
        <v>1119066.3641188717</v>
      </c>
      <c r="AC185" s="180">
        <f t="shared" si="46"/>
        <v>425557.2321963245</v>
      </c>
      <c r="AD185" s="212">
        <f t="shared" si="46"/>
        <v>693509.13192254724</v>
      </c>
    </row>
    <row r="186" spans="1:30" x14ac:dyDescent="0.25">
      <c r="A186" s="72">
        <f t="shared" si="28"/>
        <v>18</v>
      </c>
      <c r="B186" s="183">
        <f t="shared" si="22"/>
        <v>17505109.851893231</v>
      </c>
      <c r="C186" s="184">
        <f>-Hotel!$E$95/12</f>
        <v>85863.140889462898</v>
      </c>
      <c r="D186" s="183">
        <f>Hotel!$E$93/12*B185</f>
        <v>58441.770740141845</v>
      </c>
      <c r="E186" s="185">
        <f t="shared" si="23"/>
        <v>27421.370149321054</v>
      </c>
      <c r="F186" s="72">
        <f t="shared" si="29"/>
        <v>18</v>
      </c>
      <c r="G186" s="180">
        <f t="shared" si="24"/>
        <v>1925892.6722214893</v>
      </c>
      <c r="H186" s="186">
        <f>-Hotel!$E$100/12</f>
        <v>7392.3894537764108</v>
      </c>
      <c r="I186" s="149">
        <f>Hotel!$E$98/12*G185</f>
        <v>3216.7804686776467</v>
      </c>
      <c r="J186" s="187">
        <f t="shared" si="25"/>
        <v>4175.6089850987646</v>
      </c>
      <c r="K186" s="72">
        <f t="shared" si="30"/>
        <v>18</v>
      </c>
      <c r="L186" s="180">
        <f t="shared" si="26"/>
        <v>19431002.524114721</v>
      </c>
      <c r="M186" s="181">
        <f t="shared" si="26"/>
        <v>93255.530343239312</v>
      </c>
      <c r="N186" s="180">
        <f t="shared" si="26"/>
        <v>61658.551208819488</v>
      </c>
      <c r="O186" s="132">
        <f t="shared" si="26"/>
        <v>31596.979134419817</v>
      </c>
      <c r="P186" s="258">
        <v>19</v>
      </c>
      <c r="Q186" s="149">
        <f>B396</f>
        <v>9157102.0261648241</v>
      </c>
      <c r="R186" s="149">
        <f>SUM(C385:C396)</f>
        <v>1030357.6906735548</v>
      </c>
      <c r="S186" s="161">
        <f t="shared" ref="S186:T186" si="47">SUM(D385:D396)</f>
        <v>380451.29334139643</v>
      </c>
      <c r="T186" s="200">
        <f t="shared" si="47"/>
        <v>649906.39733215829</v>
      </c>
      <c r="U186" s="258">
        <v>19</v>
      </c>
      <c r="V186" s="183">
        <f>G396</f>
        <v>875262.85918331007</v>
      </c>
      <c r="W186" s="184">
        <f>SUM(H385:H396)</f>
        <v>88708.673445316948</v>
      </c>
      <c r="X186" s="183">
        <f t="shared" ref="X186:Y186" si="48">SUM(I385:I396)</f>
        <v>18270.665277514698</v>
      </c>
      <c r="Y186" s="184">
        <f t="shared" si="48"/>
        <v>70438.008167802225</v>
      </c>
      <c r="Z186" s="72">
        <v>19</v>
      </c>
      <c r="AA186" s="180">
        <f t="shared" si="46"/>
        <v>10032364.885348134</v>
      </c>
      <c r="AB186" s="180">
        <f t="shared" si="46"/>
        <v>1119066.3641188717</v>
      </c>
      <c r="AC186" s="180">
        <f t="shared" si="46"/>
        <v>398721.95861891116</v>
      </c>
      <c r="AD186" s="212">
        <f t="shared" si="46"/>
        <v>720344.40549996053</v>
      </c>
    </row>
    <row r="187" spans="1:30" x14ac:dyDescent="0.25">
      <c r="A187" s="72">
        <f t="shared" si="28"/>
        <v>19</v>
      </c>
      <c r="B187" s="183">
        <f t="shared" si="22"/>
        <v>17477597.077176746</v>
      </c>
      <c r="C187" s="184">
        <f>-Hotel!$E$95/12</f>
        <v>85863.140889462898</v>
      </c>
      <c r="D187" s="183">
        <f>Hotel!$E$93/12*B186</f>
        <v>58350.366172977439</v>
      </c>
      <c r="E187" s="185">
        <f t="shared" si="23"/>
        <v>27512.774716485459</v>
      </c>
      <c r="F187" s="72">
        <f t="shared" si="29"/>
        <v>19</v>
      </c>
      <c r="G187" s="180">
        <f t="shared" si="24"/>
        <v>1921710.1038880821</v>
      </c>
      <c r="H187" s="186">
        <f>-Hotel!$E$100/12</f>
        <v>7392.3894537764108</v>
      </c>
      <c r="I187" s="149">
        <f>Hotel!$E$98/12*G186</f>
        <v>3209.821120369149</v>
      </c>
      <c r="J187" s="187">
        <f t="shared" si="25"/>
        <v>4182.5683334072619</v>
      </c>
      <c r="K187" s="72">
        <f t="shared" si="30"/>
        <v>19</v>
      </c>
      <c r="L187" s="180">
        <f t="shared" si="26"/>
        <v>19399307.181064829</v>
      </c>
      <c r="M187" s="181">
        <f t="shared" si="26"/>
        <v>93255.530343239312</v>
      </c>
      <c r="N187" s="180">
        <f t="shared" si="26"/>
        <v>61560.187293346586</v>
      </c>
      <c r="O187" s="132">
        <f t="shared" si="26"/>
        <v>31695.343049892719</v>
      </c>
      <c r="P187" s="258">
        <v>20</v>
      </c>
      <c r="Q187" s="149">
        <f>B408</f>
        <v>8480717.4394519106</v>
      </c>
      <c r="R187" s="149">
        <f>SUM(C397:C408)</f>
        <v>1030357.6906735548</v>
      </c>
      <c r="S187" s="161">
        <f t="shared" ref="S187:T187" si="49">SUM(D397:D408)</f>
        <v>353973.10396064247</v>
      </c>
      <c r="T187" s="200">
        <f t="shared" si="49"/>
        <v>676384.58671291242</v>
      </c>
      <c r="U187" s="258">
        <v>20</v>
      </c>
      <c r="V187" s="183">
        <f>G408</f>
        <v>803403.1052051523</v>
      </c>
      <c r="W187" s="184">
        <f>SUM(H397:H408)</f>
        <v>88708.673445316948</v>
      </c>
      <c r="X187" s="183">
        <f t="shared" ref="X187:Y187" si="50">SUM(I397:I408)</f>
        <v>16848.919467159278</v>
      </c>
      <c r="Y187" s="184">
        <f t="shared" si="50"/>
        <v>71859.753978157663</v>
      </c>
      <c r="Z187" s="258">
        <v>20</v>
      </c>
      <c r="AA187" s="180">
        <f t="shared" si="46"/>
        <v>9284120.5446570627</v>
      </c>
      <c r="AB187" s="180">
        <f t="shared" si="46"/>
        <v>1119066.3641188717</v>
      </c>
      <c r="AC187" s="180">
        <f t="shared" si="46"/>
        <v>370822.02342780173</v>
      </c>
      <c r="AD187" s="212">
        <f t="shared" si="46"/>
        <v>748244.34069107007</v>
      </c>
    </row>
    <row r="188" spans="1:30" x14ac:dyDescent="0.25">
      <c r="A188" s="72">
        <f t="shared" si="28"/>
        <v>20</v>
      </c>
      <c r="B188" s="183">
        <f t="shared" si="22"/>
        <v>17449992.593211204</v>
      </c>
      <c r="C188" s="184">
        <f>-Hotel!$E$95/12</f>
        <v>85863.140889462898</v>
      </c>
      <c r="D188" s="183">
        <f>Hotel!$E$93/12*B187</f>
        <v>58258.656923922492</v>
      </c>
      <c r="E188" s="185">
        <f t="shared" si="23"/>
        <v>27604.483965540407</v>
      </c>
      <c r="F188" s="72">
        <f t="shared" si="29"/>
        <v>20</v>
      </c>
      <c r="G188" s="180">
        <f t="shared" si="24"/>
        <v>1917520.5646074524</v>
      </c>
      <c r="H188" s="186">
        <f>-Hotel!$E$100/12</f>
        <v>7392.3894537764108</v>
      </c>
      <c r="I188" s="149">
        <f>Hotel!$E$98/12*G187</f>
        <v>3202.8501731468036</v>
      </c>
      <c r="J188" s="187">
        <f t="shared" si="25"/>
        <v>4189.5392806296077</v>
      </c>
      <c r="K188" s="72">
        <f t="shared" si="30"/>
        <v>20</v>
      </c>
      <c r="L188" s="180">
        <f t="shared" si="26"/>
        <v>19367513.157818656</v>
      </c>
      <c r="M188" s="181">
        <f t="shared" si="26"/>
        <v>93255.530343239312</v>
      </c>
      <c r="N188" s="180">
        <f t="shared" si="26"/>
        <v>61461.507097069298</v>
      </c>
      <c r="O188" s="132">
        <f t="shared" si="26"/>
        <v>31794.023246170014</v>
      </c>
      <c r="P188" s="258">
        <v>21</v>
      </c>
      <c r="Q188" s="149">
        <f>B420</f>
        <v>7776775.9010691484</v>
      </c>
      <c r="R188" s="149">
        <f>SUM(C409:C420)</f>
        <v>1030357.6906735548</v>
      </c>
      <c r="S188" s="161">
        <f t="shared" ref="S188:T188" si="51">SUM(D409:D420)</f>
        <v>326416.15229079407</v>
      </c>
      <c r="T188" s="200">
        <f t="shared" si="51"/>
        <v>703941.53838276071</v>
      </c>
      <c r="U188" s="258">
        <v>21</v>
      </c>
      <c r="V188" s="183">
        <f>G420</f>
        <v>730092.90839351458</v>
      </c>
      <c r="W188" s="184">
        <f>SUM(H409:H420)</f>
        <v>88708.673445316948</v>
      </c>
      <c r="X188" s="183">
        <f t="shared" ref="X188:Y188" si="52">SUM(I409:I420)</f>
        <v>15398.476633678969</v>
      </c>
      <c r="Y188" s="184">
        <f t="shared" si="52"/>
        <v>73310.196811637972</v>
      </c>
      <c r="Z188" s="72">
        <v>21</v>
      </c>
      <c r="AA188" s="180">
        <f t="shared" si="46"/>
        <v>8506868.8094626628</v>
      </c>
      <c r="AB188" s="180">
        <f t="shared" si="46"/>
        <v>1119066.3641188717</v>
      </c>
      <c r="AC188" s="180">
        <f t="shared" si="46"/>
        <v>341814.62892447301</v>
      </c>
      <c r="AD188" s="212">
        <f t="shared" si="46"/>
        <v>777251.73519439867</v>
      </c>
    </row>
    <row r="189" spans="1:30" x14ac:dyDescent="0.25">
      <c r="A189" s="72">
        <f t="shared" si="28"/>
        <v>21</v>
      </c>
      <c r="B189" s="183">
        <f t="shared" si="22"/>
        <v>17422296.094299112</v>
      </c>
      <c r="C189" s="184">
        <f>-Hotel!$E$95/12</f>
        <v>85863.140889462898</v>
      </c>
      <c r="D189" s="183">
        <f>Hotel!$E$93/12*B188</f>
        <v>58166.64197737068</v>
      </c>
      <c r="E189" s="185">
        <f t="shared" si="23"/>
        <v>27696.498912092218</v>
      </c>
      <c r="F189" s="72">
        <f t="shared" si="29"/>
        <v>21</v>
      </c>
      <c r="G189" s="180">
        <f t="shared" si="24"/>
        <v>1913324.0427613549</v>
      </c>
      <c r="H189" s="186">
        <f>-Hotel!$E$100/12</f>
        <v>7392.3894537764108</v>
      </c>
      <c r="I189" s="149">
        <f>Hotel!$E$98/12*G188</f>
        <v>3195.8676076790875</v>
      </c>
      <c r="J189" s="187">
        <f t="shared" si="25"/>
        <v>4196.5218460973229</v>
      </c>
      <c r="K189" s="72">
        <f t="shared" si="30"/>
        <v>21</v>
      </c>
      <c r="L189" s="180">
        <f t="shared" si="26"/>
        <v>19335620.137060467</v>
      </c>
      <c r="M189" s="181">
        <f t="shared" si="26"/>
        <v>93255.530343239312</v>
      </c>
      <c r="N189" s="180">
        <f t="shared" si="26"/>
        <v>61362.509585049767</v>
      </c>
      <c r="O189" s="132">
        <f t="shared" si="26"/>
        <v>31893.020758189541</v>
      </c>
      <c r="P189" s="258">
        <v>22</v>
      </c>
      <c r="Q189" s="149">
        <f>B432</f>
        <v>7044154.6982873427</v>
      </c>
      <c r="R189" s="149">
        <f>SUM(C421:C432)</f>
        <v>1030357.6906735548</v>
      </c>
      <c r="S189" s="161">
        <f t="shared" ref="S189:T189" si="53">SUM(D421:D432)</f>
        <v>297736.48789175006</v>
      </c>
      <c r="T189" s="200">
        <f t="shared" si="53"/>
        <v>732621.20278180472</v>
      </c>
      <c r="U189" s="258">
        <v>22</v>
      </c>
      <c r="V189" s="183">
        <f>G432</f>
        <v>655302.99249434972</v>
      </c>
      <c r="W189" s="184">
        <f>SUM(H421:H432)</f>
        <v>88708.673445316948</v>
      </c>
      <c r="X189" s="183">
        <f t="shared" ref="X189:Y189" si="54">SUM(I421:I432)</f>
        <v>13918.757546152008</v>
      </c>
      <c r="Y189" s="184">
        <f t="shared" si="54"/>
        <v>74789.915899164916</v>
      </c>
      <c r="Z189" s="72">
        <v>22</v>
      </c>
      <c r="AA189" s="180">
        <f t="shared" si="46"/>
        <v>7699457.690781692</v>
      </c>
      <c r="AB189" s="180">
        <f t="shared" si="46"/>
        <v>1119066.3641188717</v>
      </c>
      <c r="AC189" s="180">
        <f t="shared" si="46"/>
        <v>311655.24543790205</v>
      </c>
      <c r="AD189" s="212">
        <f t="shared" si="46"/>
        <v>807411.11868096958</v>
      </c>
    </row>
    <row r="190" spans="1:30" x14ac:dyDescent="0.25">
      <c r="A190" s="72">
        <f t="shared" si="28"/>
        <v>22</v>
      </c>
      <c r="B190" s="183">
        <f t="shared" si="22"/>
        <v>17394507.273723979</v>
      </c>
      <c r="C190" s="184">
        <f>-Hotel!$E$95/12</f>
        <v>85863.140889462898</v>
      </c>
      <c r="D190" s="183">
        <f>Hotel!$E$93/12*B189</f>
        <v>58074.320314330376</v>
      </c>
      <c r="E190" s="185">
        <f t="shared" si="23"/>
        <v>27788.820575132522</v>
      </c>
      <c r="F190" s="72">
        <f t="shared" si="29"/>
        <v>22</v>
      </c>
      <c r="G190" s="180">
        <f t="shared" si="24"/>
        <v>1909120.5267121808</v>
      </c>
      <c r="H190" s="186">
        <f>-Hotel!$E$100/12</f>
        <v>7392.3894537764108</v>
      </c>
      <c r="I190" s="149">
        <f>Hotel!$E$98/12*G189</f>
        <v>3188.8734046022582</v>
      </c>
      <c r="J190" s="187">
        <f t="shared" si="25"/>
        <v>4203.5160491741526</v>
      </c>
      <c r="K190" s="72">
        <f t="shared" si="30"/>
        <v>22</v>
      </c>
      <c r="L190" s="180">
        <f t="shared" si="26"/>
        <v>19303627.800436158</v>
      </c>
      <c r="M190" s="181">
        <f t="shared" si="26"/>
        <v>93255.530343239312</v>
      </c>
      <c r="N190" s="180">
        <f t="shared" si="26"/>
        <v>61263.193718932635</v>
      </c>
      <c r="O190" s="132">
        <f t="shared" si="26"/>
        <v>31992.336624306674</v>
      </c>
      <c r="P190" s="258">
        <v>23</v>
      </c>
      <c r="Q190" s="149">
        <f>B444</f>
        <v>6281685.3773284554</v>
      </c>
      <c r="R190" s="149">
        <f>SUM(C433:C444)</f>
        <v>1030357.6906735548</v>
      </c>
      <c r="S190" s="161">
        <f t="shared" ref="S190:T190" si="55">SUM(D433:D444)</f>
        <v>267888.36971466726</v>
      </c>
      <c r="T190" s="200">
        <f t="shared" si="55"/>
        <v>762469.32095888746</v>
      </c>
      <c r="U190" s="258">
        <v>23</v>
      </c>
      <c r="V190" s="183">
        <f>G444</f>
        <v>579003.49033128622</v>
      </c>
      <c r="W190" s="184">
        <f>SUM(H433:H444)</f>
        <v>88708.673445316948</v>
      </c>
      <c r="X190" s="183">
        <f t="shared" ref="X190:Y190" si="56">SUM(I433:I444)</f>
        <v>12409.171282253694</v>
      </c>
      <c r="Y190" s="184">
        <f t="shared" si="56"/>
        <v>76299.50216306324</v>
      </c>
      <c r="Z190" s="72">
        <v>23</v>
      </c>
      <c r="AA190" s="180">
        <f t="shared" si="46"/>
        <v>6860688.867659742</v>
      </c>
      <c r="AB190" s="180">
        <f t="shared" si="46"/>
        <v>1119066.3641188717</v>
      </c>
      <c r="AC190" s="180">
        <f t="shared" si="46"/>
        <v>280297.54099692096</v>
      </c>
      <c r="AD190" s="212">
        <f t="shared" si="46"/>
        <v>838768.82312195073</v>
      </c>
    </row>
    <row r="191" spans="1:30" x14ac:dyDescent="0.25">
      <c r="A191" s="72">
        <f t="shared" si="28"/>
        <v>23</v>
      </c>
      <c r="B191" s="183">
        <f t="shared" si="22"/>
        <v>17366625.823746927</v>
      </c>
      <c r="C191" s="184">
        <f>-Hotel!$E$95/12</f>
        <v>85863.140889462898</v>
      </c>
      <c r="D191" s="183">
        <f>Hotel!$E$93/12*B190</f>
        <v>57981.690912413265</v>
      </c>
      <c r="E191" s="185">
        <f t="shared" si="23"/>
        <v>27881.449977049633</v>
      </c>
      <c r="F191" s="72">
        <f t="shared" si="29"/>
        <v>23</v>
      </c>
      <c r="G191" s="180">
        <f t="shared" si="24"/>
        <v>1904910.0048029248</v>
      </c>
      <c r="H191" s="186">
        <f>-Hotel!$E$100/12</f>
        <v>7392.3894537764108</v>
      </c>
      <c r="I191" s="149">
        <f>Hotel!$E$98/12*G190</f>
        <v>3181.8675445203016</v>
      </c>
      <c r="J191" s="187">
        <f t="shared" si="25"/>
        <v>4210.5219092561092</v>
      </c>
      <c r="K191" s="72">
        <f t="shared" si="30"/>
        <v>23</v>
      </c>
      <c r="L191" s="180">
        <f t="shared" si="26"/>
        <v>19271535.828549851</v>
      </c>
      <c r="M191" s="181">
        <f t="shared" si="26"/>
        <v>93255.530343239312</v>
      </c>
      <c r="N191" s="180">
        <f t="shared" si="26"/>
        <v>61163.55845693357</v>
      </c>
      <c r="O191" s="132">
        <f t="shared" si="26"/>
        <v>32091.971886305742</v>
      </c>
      <c r="P191" s="258">
        <v>24</v>
      </c>
      <c r="Q191" s="149">
        <f>B456</f>
        <v>5488151.8798046997</v>
      </c>
      <c r="R191" s="149">
        <f>SUM(C445:C456)</f>
        <v>1030357.6906735548</v>
      </c>
      <c r="S191" s="161">
        <f t="shared" ref="S191:T191" si="57">SUM(D445:D456)</f>
        <v>236824.19314979788</v>
      </c>
      <c r="T191" s="200">
        <f t="shared" si="57"/>
        <v>793533.49752375693</v>
      </c>
      <c r="U191" s="258">
        <v>24</v>
      </c>
      <c r="V191" s="183">
        <f>G456</f>
        <v>501163.93187824218</v>
      </c>
      <c r="W191" s="184">
        <f>SUM(H445:H456)</f>
        <v>88708.673445316948</v>
      </c>
      <c r="X191" s="183">
        <f t="shared" ref="X191:Y191" si="58">SUM(I445:I456)</f>
        <v>10869.11499227294</v>
      </c>
      <c r="Y191" s="184">
        <f t="shared" si="58"/>
        <v>77839.558453043981</v>
      </c>
      <c r="Z191" s="72">
        <v>24</v>
      </c>
      <c r="AA191" s="180">
        <f t="shared" si="46"/>
        <v>5989315.8116829414</v>
      </c>
      <c r="AB191" s="180">
        <f t="shared" si="46"/>
        <v>1119066.3641188717</v>
      </c>
      <c r="AC191" s="180">
        <f t="shared" si="46"/>
        <v>247693.30814207083</v>
      </c>
      <c r="AD191" s="212">
        <f t="shared" si="46"/>
        <v>871373.05597680085</v>
      </c>
    </row>
    <row r="192" spans="1:30" x14ac:dyDescent="0.25">
      <c r="A192" s="72">
        <f t="shared" si="28"/>
        <v>24</v>
      </c>
      <c r="B192" s="183">
        <f t="shared" si="22"/>
        <v>17338651.435603287</v>
      </c>
      <c r="C192" s="184">
        <f>-Hotel!$E$95/12</f>
        <v>85863.140889462898</v>
      </c>
      <c r="D192" s="183">
        <f>Hotel!$E$93/12*B191</f>
        <v>57888.752745823091</v>
      </c>
      <c r="E192" s="185">
        <f t="shared" si="23"/>
        <v>27974.388143639808</v>
      </c>
      <c r="F192" s="72">
        <f t="shared" si="29"/>
        <v>24</v>
      </c>
      <c r="G192" s="180">
        <f t="shared" si="24"/>
        <v>1900692.4653571532</v>
      </c>
      <c r="H192" s="186">
        <f>-Hotel!$E$100/12</f>
        <v>7392.3894537764108</v>
      </c>
      <c r="I192" s="149">
        <f>Hotel!$E$98/12*G191</f>
        <v>3174.8500080048748</v>
      </c>
      <c r="J192" s="187">
        <f t="shared" si="25"/>
        <v>4217.5394457715356</v>
      </c>
      <c r="K192" s="72">
        <f t="shared" si="30"/>
        <v>24</v>
      </c>
      <c r="L192" s="180">
        <f t="shared" si="26"/>
        <v>19239343.900960442</v>
      </c>
      <c r="M192" s="181">
        <f t="shared" si="26"/>
        <v>93255.530343239312</v>
      </c>
      <c r="N192" s="180">
        <f t="shared" si="26"/>
        <v>61063.602753827967</v>
      </c>
      <c r="O192" s="132">
        <f t="shared" si="26"/>
        <v>32191.927589411345</v>
      </c>
      <c r="P192" s="258">
        <v>25</v>
      </c>
      <c r="Q192" s="149">
        <f>B468</f>
        <v>4662288.603233288</v>
      </c>
      <c r="R192" s="149">
        <f>SUM(C457:C468)</f>
        <v>1030357.6906735548</v>
      </c>
      <c r="S192" s="161">
        <f t="shared" ref="S192:T192" si="59">SUM(D457:D468)</f>
        <v>204494.41410214303</v>
      </c>
      <c r="T192" s="200">
        <f t="shared" si="59"/>
        <v>825863.27657141176</v>
      </c>
      <c r="U192" s="258">
        <v>25</v>
      </c>
      <c r="V192" s="183">
        <f>G468</f>
        <v>421753.23209129082</v>
      </c>
      <c r="W192" s="184">
        <f>SUM(H457:H468)</f>
        <v>88708.673445316948</v>
      </c>
      <c r="X192" s="183">
        <f t="shared" ref="X192:Y192" si="60">SUM(I457:I468)</f>
        <v>9297.9736583656868</v>
      </c>
      <c r="Y192" s="184">
        <f t="shared" si="60"/>
        <v>79410.699786951242</v>
      </c>
      <c r="Z192" s="72">
        <v>25</v>
      </c>
      <c r="AA192" s="180">
        <f t="shared" si="46"/>
        <v>5084041.8353245789</v>
      </c>
      <c r="AB192" s="180">
        <f t="shared" si="46"/>
        <v>1119066.3641188717</v>
      </c>
      <c r="AC192" s="180">
        <f t="shared" si="46"/>
        <v>213792.38776050872</v>
      </c>
      <c r="AD192" s="212">
        <f t="shared" si="46"/>
        <v>905273.97635836294</v>
      </c>
    </row>
    <row r="193" spans="1:30" x14ac:dyDescent="0.25">
      <c r="A193" s="72">
        <f t="shared" si="28"/>
        <v>25</v>
      </c>
      <c r="B193" s="183">
        <f t="shared" si="22"/>
        <v>17310583.799499169</v>
      </c>
      <c r="C193" s="184">
        <f>-Hotel!$E$95/12</f>
        <v>85863.140889462898</v>
      </c>
      <c r="D193" s="183">
        <f>Hotel!$E$93/12*B192</f>
        <v>57795.504785344296</v>
      </c>
      <c r="E193" s="185">
        <f t="shared" si="23"/>
        <v>28067.636104118603</v>
      </c>
      <c r="F193" s="72">
        <f t="shared" si="29"/>
        <v>25</v>
      </c>
      <c r="G193" s="180">
        <f t="shared" si="24"/>
        <v>1896467.8966789721</v>
      </c>
      <c r="H193" s="186">
        <f>-Hotel!$E$100/12</f>
        <v>7392.3894537764108</v>
      </c>
      <c r="I193" s="149">
        <f>Hotel!$E$98/12*G192</f>
        <v>3167.8207755952558</v>
      </c>
      <c r="J193" s="187">
        <f t="shared" si="25"/>
        <v>4224.5686781811546</v>
      </c>
      <c r="K193" s="72">
        <f t="shared" si="30"/>
        <v>25</v>
      </c>
      <c r="L193" s="180">
        <f t="shared" si="26"/>
        <v>19207051.696178142</v>
      </c>
      <c r="M193" s="181">
        <f t="shared" si="26"/>
        <v>93255.530343239312</v>
      </c>
      <c r="N193" s="180">
        <f t="shared" si="26"/>
        <v>60963.325560939549</v>
      </c>
      <c r="O193" s="132">
        <f t="shared" si="26"/>
        <v>32292.204782299756</v>
      </c>
      <c r="P193" s="258">
        <v>26</v>
      </c>
      <c r="Q193" s="149">
        <f>B480</f>
        <v>3802778.3825335633</v>
      </c>
      <c r="R193" s="149">
        <f>SUM(C469:C480)</f>
        <v>1030357.6906735548</v>
      </c>
      <c r="S193" s="161">
        <f t="shared" ref="S193:T193" si="61">SUM(D469:D480)</f>
        <v>170847.46997383068</v>
      </c>
      <c r="T193" s="200">
        <f t="shared" si="61"/>
        <v>859510.22069972404</v>
      </c>
      <c r="U193" s="258">
        <v>26</v>
      </c>
      <c r="V193" s="183">
        <f>G480</f>
        <v>340739.67849492282</v>
      </c>
      <c r="W193" s="184">
        <f>SUM(H469:H480)</f>
        <v>88708.673445316948</v>
      </c>
      <c r="X193" s="183">
        <f t="shared" ref="X193:Y193" si="62">SUM(I469:I480)</f>
        <v>7695.1198489489416</v>
      </c>
      <c r="Y193" s="184">
        <f t="shared" si="62"/>
        <v>81013.553596367987</v>
      </c>
      <c r="Z193" s="72">
        <v>26</v>
      </c>
      <c r="AA193" s="180">
        <f t="shared" si="46"/>
        <v>4143518.0610284861</v>
      </c>
      <c r="AB193" s="180">
        <f t="shared" si="46"/>
        <v>1119066.3641188717</v>
      </c>
      <c r="AC193" s="180">
        <f t="shared" si="46"/>
        <v>178542.58982277961</v>
      </c>
      <c r="AD193" s="212">
        <f t="shared" si="46"/>
        <v>940523.77429609199</v>
      </c>
    </row>
    <row r="194" spans="1:30" x14ac:dyDescent="0.25">
      <c r="A194" s="72">
        <f t="shared" si="28"/>
        <v>26</v>
      </c>
      <c r="B194" s="183">
        <f t="shared" si="22"/>
        <v>17282422.604608037</v>
      </c>
      <c r="C194" s="184">
        <f>-Hotel!$E$95/12</f>
        <v>85863.140889462898</v>
      </c>
      <c r="D194" s="183">
        <f>Hotel!$E$93/12*B193</f>
        <v>57701.945998330564</v>
      </c>
      <c r="E194" s="185">
        <f t="shared" si="23"/>
        <v>28161.194891132334</v>
      </c>
      <c r="F194" s="72">
        <f t="shared" si="29"/>
        <v>26</v>
      </c>
      <c r="G194" s="180">
        <f t="shared" si="24"/>
        <v>1892236.2870529939</v>
      </c>
      <c r="H194" s="186">
        <f>-Hotel!$E$100/12</f>
        <v>7392.3894537764108</v>
      </c>
      <c r="I194" s="149">
        <f>Hotel!$E$98/12*G193</f>
        <v>3160.779827798287</v>
      </c>
      <c r="J194" s="187">
        <f t="shared" si="25"/>
        <v>4231.6096259781243</v>
      </c>
      <c r="K194" s="72">
        <f t="shared" si="30"/>
        <v>26</v>
      </c>
      <c r="L194" s="180">
        <f t="shared" si="26"/>
        <v>19174658.891661029</v>
      </c>
      <c r="M194" s="181">
        <f t="shared" si="26"/>
        <v>93255.530343239312</v>
      </c>
      <c r="N194" s="180">
        <f t="shared" si="26"/>
        <v>60862.725826128852</v>
      </c>
      <c r="O194" s="132">
        <f t="shared" si="26"/>
        <v>32392.80451711046</v>
      </c>
      <c r="P194" s="258">
        <v>27</v>
      </c>
      <c r="Q194" s="149">
        <f>B492</f>
        <v>2908250.3892872031</v>
      </c>
      <c r="R194" s="149">
        <f>SUM(C481:C492)</f>
        <v>1030357.6906735548</v>
      </c>
      <c r="S194" s="161">
        <f t="shared" ref="S194:T194" si="63">SUM(D481:D492)</f>
        <v>135829.697427195</v>
      </c>
      <c r="T194" s="200">
        <f t="shared" si="63"/>
        <v>894527.99324635998</v>
      </c>
      <c r="U194" s="258">
        <v>27</v>
      </c>
      <c r="V194" s="183">
        <f>G492</f>
        <v>258090.91851774335</v>
      </c>
      <c r="W194" s="184">
        <f>SUM(H481:H492)</f>
        <v>88708.673445316948</v>
      </c>
      <c r="X194" s="183">
        <f t="shared" ref="X194:Y194" si="64">SUM(I481:I492)</f>
        <v>6059.9134681374799</v>
      </c>
      <c r="Y194" s="184">
        <f t="shared" si="64"/>
        <v>82648.759977179448</v>
      </c>
      <c r="Z194" s="72">
        <v>27</v>
      </c>
      <c r="AA194" s="180">
        <f t="shared" si="46"/>
        <v>3166341.3078049463</v>
      </c>
      <c r="AB194" s="180">
        <f t="shared" si="46"/>
        <v>1119066.3641188717</v>
      </c>
      <c r="AC194" s="180">
        <f t="shared" si="46"/>
        <v>141889.61089533247</v>
      </c>
      <c r="AD194" s="212">
        <f t="shared" si="46"/>
        <v>977176.75322353945</v>
      </c>
    </row>
    <row r="195" spans="1:30" x14ac:dyDescent="0.25">
      <c r="A195" s="72">
        <f t="shared" si="28"/>
        <v>27</v>
      </c>
      <c r="B195" s="183">
        <f t="shared" si="22"/>
        <v>17254167.539067268</v>
      </c>
      <c r="C195" s="184">
        <f>-Hotel!$E$95/12</f>
        <v>85863.140889462898</v>
      </c>
      <c r="D195" s="183">
        <f>Hotel!$E$93/12*B194</f>
        <v>57608.075348693455</v>
      </c>
      <c r="E195" s="185">
        <f t="shared" si="23"/>
        <v>28255.065540769443</v>
      </c>
      <c r="F195" s="72">
        <f t="shared" si="29"/>
        <v>27</v>
      </c>
      <c r="G195" s="180">
        <f t="shared" si="24"/>
        <v>1887997.6247443059</v>
      </c>
      <c r="H195" s="186">
        <f>-Hotel!$E$100/12</f>
        <v>7392.3894537764108</v>
      </c>
      <c r="I195" s="149">
        <f>Hotel!$E$98/12*G194</f>
        <v>3153.7271450883231</v>
      </c>
      <c r="J195" s="187">
        <f t="shared" si="25"/>
        <v>4238.6623086880882</v>
      </c>
      <c r="K195" s="72">
        <f t="shared" si="30"/>
        <v>27</v>
      </c>
      <c r="L195" s="180">
        <f t="shared" si="26"/>
        <v>19142165.163811576</v>
      </c>
      <c r="M195" s="181">
        <f t="shared" si="26"/>
        <v>93255.530343239312</v>
      </c>
      <c r="N195" s="180">
        <f t="shared" si="26"/>
        <v>60761.802493781775</v>
      </c>
      <c r="O195" s="132">
        <f t="shared" si="26"/>
        <v>32493.727849457529</v>
      </c>
      <c r="P195" s="258">
        <v>28</v>
      </c>
      <c r="Q195" s="149">
        <f>B504</f>
        <v>1977277.945411043</v>
      </c>
      <c r="R195" s="149">
        <f>SUM(C493:C504)</f>
        <v>1030357.6906735548</v>
      </c>
      <c r="S195" s="161">
        <f t="shared" ref="S195:T195" si="65">SUM(D493:D504)</f>
        <v>99385.246797395113</v>
      </c>
      <c r="T195" s="200">
        <f t="shared" si="65"/>
        <v>930972.44387615973</v>
      </c>
      <c r="U195" s="258">
        <v>28</v>
      </c>
      <c r="V195" s="183">
        <f>G504</f>
        <v>173773.94657254941</v>
      </c>
      <c r="W195" s="184">
        <f>SUM(H493:H504)</f>
        <v>88708.673445316948</v>
      </c>
      <c r="X195" s="183">
        <f t="shared" ref="X195:Y195" si="66">SUM(I493:I504)</f>
        <v>4391.7015001230575</v>
      </c>
      <c r="Y195" s="184">
        <f t="shared" si="66"/>
        <v>84316.971945193873</v>
      </c>
      <c r="Z195" s="72">
        <v>28</v>
      </c>
      <c r="AA195" s="180">
        <f t="shared" si="46"/>
        <v>2151051.8919835924</v>
      </c>
      <c r="AB195" s="180">
        <f t="shared" si="46"/>
        <v>1119066.3641188717</v>
      </c>
      <c r="AC195" s="180">
        <f t="shared" si="46"/>
        <v>103776.94829751817</v>
      </c>
      <c r="AD195" s="212">
        <f t="shared" si="46"/>
        <v>1015289.4158213536</v>
      </c>
    </row>
    <row r="196" spans="1:30" x14ac:dyDescent="0.25">
      <c r="A196" s="72">
        <f t="shared" si="28"/>
        <v>28</v>
      </c>
      <c r="B196" s="183">
        <f t="shared" si="22"/>
        <v>17225818.289974697</v>
      </c>
      <c r="C196" s="184">
        <f>-Hotel!$E$95/12</f>
        <v>85863.140889462898</v>
      </c>
      <c r="D196" s="183">
        <f>Hotel!$E$93/12*B195</f>
        <v>57513.891796890901</v>
      </c>
      <c r="E196" s="185">
        <f t="shared" si="23"/>
        <v>28349.249092571998</v>
      </c>
      <c r="F196" s="72">
        <f t="shared" si="29"/>
        <v>28</v>
      </c>
      <c r="G196" s="180">
        <f t="shared" si="24"/>
        <v>1883751.8979984366</v>
      </c>
      <c r="H196" s="186">
        <f>-Hotel!$E$100/12</f>
        <v>7392.3894537764108</v>
      </c>
      <c r="I196" s="149">
        <f>Hotel!$E$98/12*G195</f>
        <v>3146.6627079071768</v>
      </c>
      <c r="J196" s="187">
        <f t="shared" si="25"/>
        <v>4245.726745869234</v>
      </c>
      <c r="K196" s="72">
        <f t="shared" si="30"/>
        <v>28</v>
      </c>
      <c r="L196" s="180">
        <f t="shared" si="26"/>
        <v>19109570.187973134</v>
      </c>
      <c r="M196" s="181">
        <f t="shared" si="26"/>
        <v>93255.530343239312</v>
      </c>
      <c r="N196" s="180">
        <f t="shared" si="26"/>
        <v>60660.554504798078</v>
      </c>
      <c r="O196" s="132">
        <f t="shared" si="26"/>
        <v>32594.975838441231</v>
      </c>
      <c r="P196" s="258">
        <v>29</v>
      </c>
      <c r="Q196" s="149">
        <f>B516</f>
        <v>1008376.2477555614</v>
      </c>
      <c r="R196" s="149">
        <f>SUM(C505:C516)</f>
        <v>1030357.6906735548</v>
      </c>
      <c r="S196" s="161">
        <f t="shared" ref="S196:T196" si="67">SUM(D505:D516)</f>
        <v>61455.993018073103</v>
      </c>
      <c r="T196" s="200">
        <f t="shared" si="67"/>
        <v>968901.69765548164</v>
      </c>
      <c r="U196" s="258">
        <v>29</v>
      </c>
      <c r="V196" s="183">
        <f>G516</f>
        <v>87755.090875626556</v>
      </c>
      <c r="W196" s="184">
        <f>SUM(H505:H516)</f>
        <v>88708.673445316948</v>
      </c>
      <c r="X196" s="183">
        <f t="shared" ref="X196:Y196" si="68">SUM(I505:I516)</f>
        <v>2689.8177483940958</v>
      </c>
      <c r="Y196" s="184">
        <f t="shared" si="68"/>
        <v>86018.855696922838</v>
      </c>
      <c r="Z196" s="72">
        <v>29</v>
      </c>
      <c r="AA196" s="180">
        <f t="shared" si="46"/>
        <v>1096131.338631188</v>
      </c>
      <c r="AB196" s="180">
        <f t="shared" si="46"/>
        <v>1119066.3641188717</v>
      </c>
      <c r="AC196" s="180">
        <f t="shared" si="46"/>
        <v>64145.810766467199</v>
      </c>
      <c r="AD196" s="212">
        <f t="shared" si="46"/>
        <v>1054920.5533524044</v>
      </c>
    </row>
    <row r="197" spans="1:30" ht="16.5" thickBot="1" x14ac:dyDescent="0.3">
      <c r="A197" s="72">
        <f t="shared" si="28"/>
        <v>29</v>
      </c>
      <c r="B197" s="183">
        <f t="shared" si="22"/>
        <v>17197374.543385148</v>
      </c>
      <c r="C197" s="184">
        <f>-Hotel!$E$95/12</f>
        <v>85863.140889462898</v>
      </c>
      <c r="D197" s="183">
        <f>Hotel!$E$93/12*B196</f>
        <v>57419.394299915657</v>
      </c>
      <c r="E197" s="185">
        <f t="shared" si="23"/>
        <v>28443.746589547241</v>
      </c>
      <c r="F197" s="72">
        <f t="shared" si="29"/>
        <v>29</v>
      </c>
      <c r="G197" s="180">
        <f t="shared" si="24"/>
        <v>1879499.0950413242</v>
      </c>
      <c r="H197" s="186">
        <f>-Hotel!$E$100/12</f>
        <v>7392.3894537764108</v>
      </c>
      <c r="I197" s="149">
        <f>Hotel!$E$98/12*G196</f>
        <v>3139.5864966640611</v>
      </c>
      <c r="J197" s="187">
        <f t="shared" si="25"/>
        <v>4252.8029571123498</v>
      </c>
      <c r="K197" s="72">
        <f t="shared" si="30"/>
        <v>29</v>
      </c>
      <c r="L197" s="180">
        <f t="shared" si="26"/>
        <v>19076873.638426472</v>
      </c>
      <c r="M197" s="181">
        <f t="shared" si="26"/>
        <v>93255.530343239312</v>
      </c>
      <c r="N197" s="180">
        <f t="shared" si="26"/>
        <v>60558.980796579715</v>
      </c>
      <c r="O197" s="132">
        <f t="shared" si="26"/>
        <v>32696.549546659589</v>
      </c>
      <c r="P197" s="307">
        <v>30</v>
      </c>
      <c r="Q197" s="195">
        <f>B528</f>
        <v>-8.0326572060585022E-9</v>
      </c>
      <c r="R197" s="195">
        <f>SUM(C517:C528)</f>
        <v>1030357.6906735548</v>
      </c>
      <c r="S197" s="308">
        <f t="shared" ref="S197:T197" si="69">SUM(D517:D528)</f>
        <v>21981.442917985245</v>
      </c>
      <c r="T197" s="306">
        <f t="shared" si="69"/>
        <v>1008376.2477555694</v>
      </c>
      <c r="U197" s="307">
        <v>30</v>
      </c>
      <c r="V197" s="191">
        <f>G528</f>
        <v>1.2787495506927371E-9</v>
      </c>
      <c r="W197" s="309">
        <f>SUM(H517:H528)</f>
        <v>88708.673445316948</v>
      </c>
      <c r="X197" s="191">
        <f t="shared" ref="X197:Y197" si="70">SUM(I517:I528)</f>
        <v>953.58256969166951</v>
      </c>
      <c r="Y197" s="192">
        <f t="shared" si="70"/>
        <v>87755.090875625247</v>
      </c>
      <c r="Z197" s="307">
        <v>30</v>
      </c>
      <c r="AA197" s="188">
        <f t="shared" si="46"/>
        <v>-6.7539076553657651E-9</v>
      </c>
      <c r="AB197" s="188">
        <f t="shared" si="46"/>
        <v>1119066.3641188717</v>
      </c>
      <c r="AC197" s="188">
        <f t="shared" si="46"/>
        <v>22935.025487676914</v>
      </c>
      <c r="AD197" s="244">
        <f t="shared" si="46"/>
        <v>1096131.3386311946</v>
      </c>
    </row>
    <row r="198" spans="1:30" x14ac:dyDescent="0.25">
      <c r="A198" s="72">
        <f t="shared" si="28"/>
        <v>30</v>
      </c>
      <c r="B198" s="183">
        <f t="shared" si="22"/>
        <v>17168835.984306969</v>
      </c>
      <c r="C198" s="184">
        <f>-Hotel!$E$95/12</f>
        <v>85863.140889462898</v>
      </c>
      <c r="D198" s="183">
        <f>Hotel!$E$93/12*B197</f>
        <v>57324.581811283831</v>
      </c>
      <c r="E198" s="185">
        <f t="shared" si="23"/>
        <v>28538.559078179067</v>
      </c>
      <c r="F198" s="72">
        <f t="shared" si="29"/>
        <v>30</v>
      </c>
      <c r="G198" s="180">
        <f t="shared" si="24"/>
        <v>1875239.2040792832</v>
      </c>
      <c r="H198" s="186">
        <f>-Hotel!$E$100/12</f>
        <v>7392.3894537764108</v>
      </c>
      <c r="I198" s="149">
        <f>Hotel!$E$98/12*G197</f>
        <v>3132.4984917355405</v>
      </c>
      <c r="J198" s="187">
        <f t="shared" si="25"/>
        <v>4259.8909620408704</v>
      </c>
      <c r="K198" s="72">
        <f t="shared" si="30"/>
        <v>30</v>
      </c>
      <c r="L198" s="180">
        <f t="shared" si="26"/>
        <v>19044075.18838625</v>
      </c>
      <c r="M198" s="181">
        <f t="shared" si="26"/>
        <v>93255.530343239312</v>
      </c>
      <c r="N198" s="180">
        <f t="shared" si="26"/>
        <v>60457.080303019371</v>
      </c>
      <c r="O198" s="132">
        <f t="shared" si="26"/>
        <v>32798.450040219934</v>
      </c>
    </row>
    <row r="199" spans="1:30" x14ac:dyDescent="0.25">
      <c r="A199" s="72">
        <f t="shared" si="28"/>
        <v>31</v>
      </c>
      <c r="B199" s="183">
        <f t="shared" si="22"/>
        <v>17140202.296698529</v>
      </c>
      <c r="C199" s="184">
        <f>-Hotel!$E$95/12</f>
        <v>85863.140889462898</v>
      </c>
      <c r="D199" s="183">
        <f>Hotel!$E$93/12*B198</f>
        <v>57229.453281023234</v>
      </c>
      <c r="E199" s="185">
        <f t="shared" si="23"/>
        <v>28633.687608439664</v>
      </c>
      <c r="F199" s="72">
        <f t="shared" si="29"/>
        <v>31</v>
      </c>
      <c r="G199" s="180">
        <f t="shared" si="24"/>
        <v>1870972.2132989722</v>
      </c>
      <c r="H199" s="186">
        <f>-Hotel!$E$100/12</f>
        <v>7392.3894537764108</v>
      </c>
      <c r="I199" s="149">
        <f>Hotel!$E$98/12*G198</f>
        <v>3125.3986734654723</v>
      </c>
      <c r="J199" s="187">
        <f t="shared" si="25"/>
        <v>4266.9907803109381</v>
      </c>
      <c r="K199" s="72">
        <f t="shared" si="30"/>
        <v>31</v>
      </c>
      <c r="L199" s="180">
        <f t="shared" si="26"/>
        <v>19011174.509997502</v>
      </c>
      <c r="M199" s="181">
        <f t="shared" si="26"/>
        <v>93255.530343239312</v>
      </c>
      <c r="N199" s="180">
        <f t="shared" si="26"/>
        <v>60354.851954488709</v>
      </c>
      <c r="O199" s="132">
        <f t="shared" si="26"/>
        <v>32900.678388750603</v>
      </c>
    </row>
    <row r="200" spans="1:30" x14ac:dyDescent="0.25">
      <c r="A200" s="72">
        <f t="shared" si="28"/>
        <v>32</v>
      </c>
      <c r="B200" s="183">
        <f t="shared" si="22"/>
        <v>17111473.163464729</v>
      </c>
      <c r="C200" s="184">
        <f>-Hotel!$E$95/12</f>
        <v>85863.140889462898</v>
      </c>
      <c r="D200" s="183">
        <f>Hotel!$E$93/12*B199</f>
        <v>57134.007655661771</v>
      </c>
      <c r="E200" s="185">
        <f t="shared" si="23"/>
        <v>28729.133233801127</v>
      </c>
      <c r="F200" s="72">
        <f t="shared" si="29"/>
        <v>32</v>
      </c>
      <c r="G200" s="180">
        <f t="shared" si="24"/>
        <v>1866698.1108673608</v>
      </c>
      <c r="H200" s="186">
        <f>-Hotel!$E$100/12</f>
        <v>7392.3894537764108</v>
      </c>
      <c r="I200" s="149">
        <f>Hotel!$E$98/12*G199</f>
        <v>3118.2870221649541</v>
      </c>
      <c r="J200" s="187">
        <f t="shared" si="25"/>
        <v>4274.1024316114563</v>
      </c>
      <c r="K200" s="72">
        <f t="shared" si="30"/>
        <v>32</v>
      </c>
      <c r="L200" s="180">
        <f t="shared" si="26"/>
        <v>18978171.274332091</v>
      </c>
      <c r="M200" s="181">
        <f t="shared" si="26"/>
        <v>93255.530343239312</v>
      </c>
      <c r="N200" s="180">
        <f t="shared" si="26"/>
        <v>60252.294677826729</v>
      </c>
      <c r="O200" s="132">
        <f t="shared" si="26"/>
        <v>33003.235665412583</v>
      </c>
    </row>
    <row r="201" spans="1:30" x14ac:dyDescent="0.25">
      <c r="A201" s="72">
        <f t="shared" si="28"/>
        <v>33</v>
      </c>
      <c r="B201" s="183">
        <f t="shared" si="22"/>
        <v>17082648.266453482</v>
      </c>
      <c r="C201" s="184">
        <f>-Hotel!$E$95/12</f>
        <v>85863.140889462898</v>
      </c>
      <c r="D201" s="183">
        <f>Hotel!$E$93/12*B200</f>
        <v>57038.24387821577</v>
      </c>
      <c r="E201" s="185">
        <f t="shared" si="23"/>
        <v>28824.897011247129</v>
      </c>
      <c r="F201" s="72">
        <f t="shared" si="29"/>
        <v>33</v>
      </c>
      <c r="G201" s="180">
        <f t="shared" si="24"/>
        <v>1862416.8849316968</v>
      </c>
      <c r="H201" s="186">
        <f>-Hotel!$E$100/12</f>
        <v>7392.3894537764108</v>
      </c>
      <c r="I201" s="149">
        <f>Hotel!$E$98/12*G200</f>
        <v>3111.1635181122683</v>
      </c>
      <c r="J201" s="187">
        <f t="shared" si="25"/>
        <v>4281.2259356641425</v>
      </c>
      <c r="K201" s="72">
        <f t="shared" si="30"/>
        <v>33</v>
      </c>
      <c r="L201" s="180">
        <f t="shared" si="26"/>
        <v>18945065.151385181</v>
      </c>
      <c r="M201" s="181">
        <f t="shared" si="26"/>
        <v>93255.530343239312</v>
      </c>
      <c r="N201" s="180">
        <f t="shared" si="26"/>
        <v>60149.407396328039</v>
      </c>
      <c r="O201" s="132">
        <f t="shared" si="26"/>
        <v>33106.122946911273</v>
      </c>
    </row>
    <row r="202" spans="1:30" x14ac:dyDescent="0.25">
      <c r="A202" s="72">
        <f t="shared" si="28"/>
        <v>34</v>
      </c>
      <c r="B202" s="183">
        <f t="shared" si="22"/>
        <v>17053727.286452197</v>
      </c>
      <c r="C202" s="184">
        <f>-Hotel!$E$95/12</f>
        <v>85863.140889462898</v>
      </c>
      <c r="D202" s="183">
        <f>Hotel!$E$93/12*B201</f>
        <v>56942.160888178281</v>
      </c>
      <c r="E202" s="185">
        <f t="shared" si="23"/>
        <v>28920.980001284617</v>
      </c>
      <c r="F202" s="72">
        <f t="shared" si="29"/>
        <v>34</v>
      </c>
      <c r="G202" s="180">
        <f t="shared" si="24"/>
        <v>1858128.5236194732</v>
      </c>
      <c r="H202" s="186">
        <f>-Hotel!$E$100/12</f>
        <v>7392.3894537764108</v>
      </c>
      <c r="I202" s="149">
        <f>Hotel!$E$98/12*G201</f>
        <v>3104.0281415528284</v>
      </c>
      <c r="J202" s="187">
        <f t="shared" si="25"/>
        <v>4288.361312223582</v>
      </c>
      <c r="K202" s="72">
        <f t="shared" si="30"/>
        <v>34</v>
      </c>
      <c r="L202" s="180">
        <f t="shared" si="26"/>
        <v>18911855.81007167</v>
      </c>
      <c r="M202" s="181">
        <f t="shared" si="26"/>
        <v>93255.530343239312</v>
      </c>
      <c r="N202" s="180">
        <f t="shared" si="26"/>
        <v>60046.189029731111</v>
      </c>
      <c r="O202" s="132">
        <f t="shared" si="26"/>
        <v>33209.341313508201</v>
      </c>
    </row>
    <row r="203" spans="1:30" x14ac:dyDescent="0.25">
      <c r="A203" s="72">
        <f t="shared" si="28"/>
        <v>35</v>
      </c>
      <c r="B203" s="183">
        <f t="shared" si="22"/>
        <v>17024709.903184243</v>
      </c>
      <c r="C203" s="184">
        <f>-Hotel!$E$95/12</f>
        <v>85863.140889462898</v>
      </c>
      <c r="D203" s="183">
        <f>Hotel!$E$93/12*B202</f>
        <v>56845.757621507328</v>
      </c>
      <c r="E203" s="185">
        <f t="shared" si="23"/>
        <v>29017.383267955571</v>
      </c>
      <c r="F203" s="72">
        <f t="shared" si="29"/>
        <v>35</v>
      </c>
      <c r="G203" s="180">
        <f t="shared" si="24"/>
        <v>1853833.015038396</v>
      </c>
      <c r="H203" s="186">
        <f>-Hotel!$E$100/12</f>
        <v>7392.3894537764108</v>
      </c>
      <c r="I203" s="149">
        <f>Hotel!$E$98/12*G202</f>
        <v>3096.8808726991224</v>
      </c>
      <c r="J203" s="187">
        <f t="shared" si="25"/>
        <v>4295.5085810772889</v>
      </c>
      <c r="K203" s="72">
        <f t="shared" si="30"/>
        <v>35</v>
      </c>
      <c r="L203" s="180">
        <f t="shared" si="26"/>
        <v>18878542.91822264</v>
      </c>
      <c r="M203" s="181">
        <f t="shared" si="26"/>
        <v>93255.530343239312</v>
      </c>
      <c r="N203" s="180">
        <f t="shared" si="26"/>
        <v>59942.638494206447</v>
      </c>
      <c r="O203" s="132">
        <f t="shared" si="26"/>
        <v>33312.891849032858</v>
      </c>
    </row>
    <row r="204" spans="1:30" x14ac:dyDescent="0.25">
      <c r="A204" s="72">
        <f t="shared" si="28"/>
        <v>36</v>
      </c>
      <c r="B204" s="183">
        <f t="shared" si="22"/>
        <v>16995595.795305394</v>
      </c>
      <c r="C204" s="184">
        <f>-Hotel!$E$95/12</f>
        <v>85863.140889462898</v>
      </c>
      <c r="D204" s="183">
        <f>Hotel!$E$93/12*B203</f>
        <v>56749.033010614148</v>
      </c>
      <c r="E204" s="185">
        <f t="shared" si="23"/>
        <v>29114.10787884875</v>
      </c>
      <c r="F204" s="72">
        <f t="shared" si="29"/>
        <v>36</v>
      </c>
      <c r="G204" s="180">
        <f t="shared" si="24"/>
        <v>1849530.3472763503</v>
      </c>
      <c r="H204" s="186">
        <f>-Hotel!$E$100/12</f>
        <v>7392.3894537764108</v>
      </c>
      <c r="I204" s="149">
        <f>Hotel!$E$98/12*G203</f>
        <v>3089.72169173066</v>
      </c>
      <c r="J204" s="187">
        <f t="shared" si="25"/>
        <v>4302.6677620457504</v>
      </c>
      <c r="K204" s="72">
        <f t="shared" si="30"/>
        <v>36</v>
      </c>
      <c r="L204" s="180">
        <f t="shared" si="26"/>
        <v>18845126.142581742</v>
      </c>
      <c r="M204" s="181">
        <f t="shared" si="26"/>
        <v>93255.530343239312</v>
      </c>
      <c r="N204" s="180">
        <f t="shared" si="26"/>
        <v>59838.754702344806</v>
      </c>
      <c r="O204" s="132">
        <f t="shared" si="26"/>
        <v>33416.775640894499</v>
      </c>
    </row>
    <row r="205" spans="1:30" x14ac:dyDescent="0.25">
      <c r="A205" s="72">
        <f t="shared" si="28"/>
        <v>37</v>
      </c>
      <c r="B205" s="183">
        <f t="shared" si="22"/>
        <v>16966384.640400283</v>
      </c>
      <c r="C205" s="184">
        <f>-Hotel!$E$95/12</f>
        <v>85863.140889462898</v>
      </c>
      <c r="D205" s="183">
        <f>Hotel!$E$93/12*B204</f>
        <v>56651.985984351319</v>
      </c>
      <c r="E205" s="185">
        <f t="shared" si="23"/>
        <v>29211.15490511158</v>
      </c>
      <c r="F205" s="72">
        <f t="shared" si="29"/>
        <v>37</v>
      </c>
      <c r="G205" s="180">
        <f t="shared" si="24"/>
        <v>1845220.5084013678</v>
      </c>
      <c r="H205" s="186">
        <f>-Hotel!$E$100/12</f>
        <v>7392.3894537764108</v>
      </c>
      <c r="I205" s="149">
        <f>Hotel!$E$98/12*G204</f>
        <v>3082.5505787939173</v>
      </c>
      <c r="J205" s="187">
        <f t="shared" si="25"/>
        <v>4309.8388749824935</v>
      </c>
      <c r="K205" s="72">
        <f t="shared" si="30"/>
        <v>37</v>
      </c>
      <c r="L205" s="180">
        <f t="shared" si="26"/>
        <v>18811605.148801651</v>
      </c>
      <c r="M205" s="181">
        <f t="shared" si="26"/>
        <v>93255.530343239312</v>
      </c>
      <c r="N205" s="180">
        <f t="shared" si="26"/>
        <v>59734.536563145237</v>
      </c>
      <c r="O205" s="132">
        <f t="shared" si="26"/>
        <v>33520.993780094075</v>
      </c>
    </row>
    <row r="206" spans="1:30" x14ac:dyDescent="0.25">
      <c r="A206" s="72">
        <f t="shared" si="28"/>
        <v>38</v>
      </c>
      <c r="B206" s="183">
        <f t="shared" si="22"/>
        <v>16937076.11497882</v>
      </c>
      <c r="C206" s="184">
        <f>-Hotel!$E$95/12</f>
        <v>85863.140889462898</v>
      </c>
      <c r="D206" s="183">
        <f>Hotel!$E$93/12*B205</f>
        <v>56554.615468000949</v>
      </c>
      <c r="E206" s="185">
        <f t="shared" si="23"/>
        <v>29308.525421461949</v>
      </c>
      <c r="F206" s="72">
        <f t="shared" si="29"/>
        <v>38</v>
      </c>
      <c r="G206" s="180">
        <f t="shared" si="24"/>
        <v>1840903.4864615938</v>
      </c>
      <c r="H206" s="186">
        <f>-Hotel!$E$100/12</f>
        <v>7392.3894537764108</v>
      </c>
      <c r="I206" s="149">
        <f>Hotel!$E$98/12*G205</f>
        <v>3075.3675140022797</v>
      </c>
      <c r="J206" s="187">
        <f t="shared" si="25"/>
        <v>4317.0219397741312</v>
      </c>
      <c r="K206" s="72">
        <f t="shared" si="30"/>
        <v>38</v>
      </c>
      <c r="L206" s="180">
        <f t="shared" si="26"/>
        <v>18777979.601440415</v>
      </c>
      <c r="M206" s="181">
        <f t="shared" si="26"/>
        <v>93255.530343239312</v>
      </c>
      <c r="N206" s="180">
        <f t="shared" si="26"/>
        <v>59629.982982003232</v>
      </c>
      <c r="O206" s="132">
        <f t="shared" si="26"/>
        <v>33625.54736123608</v>
      </c>
    </row>
    <row r="207" spans="1:30" x14ac:dyDescent="0.25">
      <c r="A207" s="72">
        <f t="shared" si="28"/>
        <v>39</v>
      </c>
      <c r="B207" s="183">
        <f t="shared" si="22"/>
        <v>16907669.894472621</v>
      </c>
      <c r="C207" s="184">
        <f>-Hotel!$E$95/12</f>
        <v>85863.140889462898</v>
      </c>
      <c r="D207" s="183">
        <f>Hotel!$E$93/12*B206</f>
        <v>56456.920383262739</v>
      </c>
      <c r="E207" s="185">
        <f t="shared" si="23"/>
        <v>29406.220506200159</v>
      </c>
      <c r="F207" s="72">
        <f t="shared" si="29"/>
        <v>39</v>
      </c>
      <c r="G207" s="180">
        <f t="shared" si="24"/>
        <v>1836579.2694852534</v>
      </c>
      <c r="H207" s="186">
        <f>-Hotel!$E$100/12</f>
        <v>7392.3894537764108</v>
      </c>
      <c r="I207" s="149">
        <f>Hotel!$E$98/12*G206</f>
        <v>3068.17247743599</v>
      </c>
      <c r="J207" s="187">
        <f t="shared" si="25"/>
        <v>4324.2169763404208</v>
      </c>
      <c r="K207" s="72">
        <f t="shared" si="30"/>
        <v>39</v>
      </c>
      <c r="L207" s="180">
        <f t="shared" si="26"/>
        <v>18744249.163957875</v>
      </c>
      <c r="M207" s="181">
        <f t="shared" si="26"/>
        <v>93255.530343239312</v>
      </c>
      <c r="N207" s="180">
        <f t="shared" si="26"/>
        <v>59525.092860698729</v>
      </c>
      <c r="O207" s="132">
        <f t="shared" si="26"/>
        <v>33730.437482540583</v>
      </c>
    </row>
    <row r="208" spans="1:30" x14ac:dyDescent="0.25">
      <c r="A208" s="72">
        <f t="shared" si="28"/>
        <v>40</v>
      </c>
      <c r="B208" s="183">
        <f t="shared" si="22"/>
        <v>16878165.653231401</v>
      </c>
      <c r="C208" s="184">
        <f>-Hotel!$E$95/12</f>
        <v>85863.140889462898</v>
      </c>
      <c r="D208" s="183">
        <f>Hotel!$E$93/12*B207</f>
        <v>56358.899648242077</v>
      </c>
      <c r="E208" s="185">
        <f t="shared" si="23"/>
        <v>29504.241241220821</v>
      </c>
      <c r="F208" s="72">
        <f t="shared" si="29"/>
        <v>40</v>
      </c>
      <c r="G208" s="180">
        <f t="shared" si="24"/>
        <v>1832247.845480619</v>
      </c>
      <c r="H208" s="186">
        <f>-Hotel!$E$100/12</f>
        <v>7392.3894537764108</v>
      </c>
      <c r="I208" s="149">
        <f>Hotel!$E$98/12*G207</f>
        <v>3060.9654491420893</v>
      </c>
      <c r="J208" s="187">
        <f t="shared" si="25"/>
        <v>4331.424004634322</v>
      </c>
      <c r="K208" s="72">
        <f t="shared" si="30"/>
        <v>40</v>
      </c>
      <c r="L208" s="180">
        <f t="shared" si="26"/>
        <v>18710413.498712018</v>
      </c>
      <c r="M208" s="181">
        <f t="shared" si="26"/>
        <v>93255.530343239312</v>
      </c>
      <c r="N208" s="180">
        <f t="shared" si="26"/>
        <v>59419.865097384165</v>
      </c>
      <c r="O208" s="132">
        <f t="shared" si="26"/>
        <v>33835.66524585514</v>
      </c>
    </row>
    <row r="209" spans="1:15" x14ac:dyDescent="0.25">
      <c r="A209" s="72">
        <f t="shared" si="28"/>
        <v>41</v>
      </c>
      <c r="B209" s="183">
        <f t="shared" si="22"/>
        <v>16848563.064519376</v>
      </c>
      <c r="C209" s="184">
        <f>-Hotel!$E$95/12</f>
        <v>85863.140889462898</v>
      </c>
      <c r="D209" s="183">
        <f>Hotel!$E$93/12*B208</f>
        <v>56260.55217743801</v>
      </c>
      <c r="E209" s="185">
        <f t="shared" si="23"/>
        <v>29602.588712024888</v>
      </c>
      <c r="F209" s="72">
        <f t="shared" si="29"/>
        <v>41</v>
      </c>
      <c r="G209" s="180">
        <f t="shared" si="24"/>
        <v>1827909.2024359771</v>
      </c>
      <c r="H209" s="186">
        <f>-Hotel!$E$100/12</f>
        <v>7392.3894537764108</v>
      </c>
      <c r="I209" s="149">
        <f>Hotel!$E$98/12*G208</f>
        <v>3053.746409134365</v>
      </c>
      <c r="J209" s="187">
        <f t="shared" si="25"/>
        <v>4338.6430446420454</v>
      </c>
      <c r="K209" s="72">
        <f t="shared" si="30"/>
        <v>41</v>
      </c>
      <c r="L209" s="180">
        <f t="shared" si="26"/>
        <v>18676472.266955353</v>
      </c>
      <c r="M209" s="181">
        <f t="shared" si="26"/>
        <v>93255.530343239312</v>
      </c>
      <c r="N209" s="180">
        <f t="shared" si="26"/>
        <v>59314.298586572375</v>
      </c>
      <c r="O209" s="132">
        <f t="shared" si="26"/>
        <v>33941.231756666937</v>
      </c>
    </row>
    <row r="210" spans="1:15" x14ac:dyDescent="0.25">
      <c r="A210" s="72">
        <f t="shared" si="28"/>
        <v>42</v>
      </c>
      <c r="B210" s="183">
        <f t="shared" si="22"/>
        <v>16818861.800511643</v>
      </c>
      <c r="C210" s="184">
        <f>-Hotel!$E$95/12</f>
        <v>85863.140889462898</v>
      </c>
      <c r="D210" s="183">
        <f>Hotel!$E$93/12*B209</f>
        <v>56161.876881731252</v>
      </c>
      <c r="E210" s="185">
        <f t="shared" si="23"/>
        <v>29701.264007731646</v>
      </c>
      <c r="F210" s="72">
        <f t="shared" si="29"/>
        <v>42</v>
      </c>
      <c r="G210" s="180">
        <f t="shared" si="24"/>
        <v>1823563.328319594</v>
      </c>
      <c r="H210" s="186">
        <f>-Hotel!$E$100/12</f>
        <v>7392.3894537764108</v>
      </c>
      <c r="I210" s="149">
        <f>Hotel!$E$98/12*G209</f>
        <v>3046.5153373932953</v>
      </c>
      <c r="J210" s="187">
        <f t="shared" si="25"/>
        <v>4345.8741163831155</v>
      </c>
      <c r="K210" s="72">
        <f t="shared" si="30"/>
        <v>42</v>
      </c>
      <c r="L210" s="180">
        <f t="shared" si="26"/>
        <v>18642425.128831238</v>
      </c>
      <c r="M210" s="181">
        <f t="shared" si="26"/>
        <v>93255.530343239312</v>
      </c>
      <c r="N210" s="180">
        <f t="shared" si="26"/>
        <v>59208.392219124551</v>
      </c>
      <c r="O210" s="132">
        <f t="shared" si="26"/>
        <v>34047.138124114761</v>
      </c>
    </row>
    <row r="211" spans="1:15" x14ac:dyDescent="0.25">
      <c r="A211" s="72">
        <f t="shared" si="28"/>
        <v>43</v>
      </c>
      <c r="B211" s="183">
        <f t="shared" si="22"/>
        <v>16789061.532290552</v>
      </c>
      <c r="C211" s="184">
        <f>-Hotel!$E$95/12</f>
        <v>85863.140889462898</v>
      </c>
      <c r="D211" s="183">
        <f>Hotel!$E$93/12*B210</f>
        <v>56062.872668372147</v>
      </c>
      <c r="E211" s="185">
        <f t="shared" si="23"/>
        <v>29800.268221090751</v>
      </c>
      <c r="F211" s="72">
        <f t="shared" si="29"/>
        <v>43</v>
      </c>
      <c r="G211" s="180">
        <f t="shared" si="24"/>
        <v>1819210.2110796836</v>
      </c>
      <c r="H211" s="186">
        <f>-Hotel!$E$100/12</f>
        <v>7392.3894537764108</v>
      </c>
      <c r="I211" s="149">
        <f>Hotel!$E$98/12*G210</f>
        <v>3039.2722138659901</v>
      </c>
      <c r="J211" s="187">
        <f t="shared" si="25"/>
        <v>4353.1172399104207</v>
      </c>
      <c r="K211" s="72">
        <f t="shared" si="30"/>
        <v>43</v>
      </c>
      <c r="L211" s="180">
        <f t="shared" si="26"/>
        <v>18608271.743370235</v>
      </c>
      <c r="M211" s="181">
        <f t="shared" si="26"/>
        <v>93255.530343239312</v>
      </c>
      <c r="N211" s="180">
        <f t="shared" si="26"/>
        <v>59102.144882238135</v>
      </c>
      <c r="O211" s="132">
        <f t="shared" si="26"/>
        <v>34153.385461001169</v>
      </c>
    </row>
    <row r="212" spans="1:15" x14ac:dyDescent="0.25">
      <c r="A212" s="72">
        <f t="shared" si="28"/>
        <v>44</v>
      </c>
      <c r="B212" s="183">
        <f t="shared" si="22"/>
        <v>16759161.929842057</v>
      </c>
      <c r="C212" s="184">
        <f>-Hotel!$E$95/12</f>
        <v>85863.140889462898</v>
      </c>
      <c r="D212" s="183">
        <f>Hotel!$E$93/12*B211</f>
        <v>55963.538440968507</v>
      </c>
      <c r="E212" s="185">
        <f t="shared" si="23"/>
        <v>29899.602448494392</v>
      </c>
      <c r="F212" s="72">
        <f t="shared" si="29"/>
        <v>44</v>
      </c>
      <c r="G212" s="180">
        <f t="shared" si="24"/>
        <v>1814849.8386443735</v>
      </c>
      <c r="H212" s="186">
        <f>-Hotel!$E$100/12</f>
        <v>7392.3894537764108</v>
      </c>
      <c r="I212" s="149">
        <f>Hotel!$E$98/12*G211</f>
        <v>3032.0170184661397</v>
      </c>
      <c r="J212" s="187">
        <f t="shared" si="25"/>
        <v>4360.3724353102716</v>
      </c>
      <c r="K212" s="72">
        <f t="shared" si="30"/>
        <v>44</v>
      </c>
      <c r="L212" s="180">
        <f t="shared" si="26"/>
        <v>18574011.768486429</v>
      </c>
      <c r="M212" s="181">
        <f t="shared" si="26"/>
        <v>93255.530343239312</v>
      </c>
      <c r="N212" s="180">
        <f t="shared" si="26"/>
        <v>58995.555459434647</v>
      </c>
      <c r="O212" s="132">
        <f t="shared" si="26"/>
        <v>34259.974883804665</v>
      </c>
    </row>
    <row r="213" spans="1:15" x14ac:dyDescent="0.25">
      <c r="A213" s="72">
        <f t="shared" si="28"/>
        <v>45</v>
      </c>
      <c r="B213" s="183">
        <f t="shared" si="22"/>
        <v>16729162.662052067</v>
      </c>
      <c r="C213" s="184">
        <f>-Hotel!$E$95/12</f>
        <v>85863.140889462898</v>
      </c>
      <c r="D213" s="183">
        <f>Hotel!$E$93/12*B212</f>
        <v>55863.873099473523</v>
      </c>
      <c r="E213" s="185">
        <f t="shared" si="23"/>
        <v>29999.267789989375</v>
      </c>
      <c r="F213" s="72">
        <f t="shared" si="29"/>
        <v>45</v>
      </c>
      <c r="G213" s="180">
        <f t="shared" si="24"/>
        <v>1810482.1989216709</v>
      </c>
      <c r="H213" s="186">
        <f>-Hotel!$E$100/12</f>
        <v>7392.3894537764108</v>
      </c>
      <c r="I213" s="149">
        <f>Hotel!$E$98/12*G212</f>
        <v>3024.7497310739559</v>
      </c>
      <c r="J213" s="187">
        <f t="shared" si="25"/>
        <v>4367.6397227024554</v>
      </c>
      <c r="K213" s="72">
        <f t="shared" si="30"/>
        <v>45</v>
      </c>
      <c r="L213" s="180">
        <f t="shared" si="26"/>
        <v>18539644.860973738</v>
      </c>
      <c r="M213" s="181">
        <f t="shared" si="26"/>
        <v>93255.530343239312</v>
      </c>
      <c r="N213" s="180">
        <f t="shared" si="26"/>
        <v>58888.62283054748</v>
      </c>
      <c r="O213" s="132">
        <f t="shared" si="26"/>
        <v>34366.907512691832</v>
      </c>
    </row>
    <row r="214" spans="1:15" x14ac:dyDescent="0.25">
      <c r="A214" s="72">
        <f t="shared" si="28"/>
        <v>46</v>
      </c>
      <c r="B214" s="183">
        <f t="shared" si="22"/>
        <v>16699063.396702778</v>
      </c>
      <c r="C214" s="184">
        <f>-Hotel!$E$95/12</f>
        <v>85863.140889462898</v>
      </c>
      <c r="D214" s="183">
        <f>Hotel!$E$93/12*B213</f>
        <v>55763.875540173562</v>
      </c>
      <c r="E214" s="185">
        <f t="shared" si="23"/>
        <v>30099.265349289337</v>
      </c>
      <c r="F214" s="72">
        <f t="shared" si="29"/>
        <v>46</v>
      </c>
      <c r="G214" s="180">
        <f t="shared" si="24"/>
        <v>1806107.2797994306</v>
      </c>
      <c r="H214" s="186">
        <f>-Hotel!$E$100/12</f>
        <v>7392.3894537764108</v>
      </c>
      <c r="I214" s="149">
        <f>Hotel!$E$98/12*G213</f>
        <v>3017.4703315361185</v>
      </c>
      <c r="J214" s="187">
        <f t="shared" si="25"/>
        <v>4374.9191222402924</v>
      </c>
      <c r="K214" s="72">
        <f t="shared" si="30"/>
        <v>46</v>
      </c>
      <c r="L214" s="180">
        <f t="shared" si="26"/>
        <v>18505170.676502209</v>
      </c>
      <c r="M214" s="181">
        <f t="shared" si="26"/>
        <v>93255.530343239312</v>
      </c>
      <c r="N214" s="180">
        <f t="shared" si="26"/>
        <v>58781.34587170968</v>
      </c>
      <c r="O214" s="132">
        <f t="shared" si="26"/>
        <v>34474.184471529632</v>
      </c>
    </row>
    <row r="215" spans="1:15" x14ac:dyDescent="0.25">
      <c r="A215" s="72">
        <f t="shared" si="28"/>
        <v>47</v>
      </c>
      <c r="B215" s="183">
        <f t="shared" si="22"/>
        <v>16668863.800468991</v>
      </c>
      <c r="C215" s="184">
        <f>-Hotel!$E$95/12</f>
        <v>85863.140889462898</v>
      </c>
      <c r="D215" s="183">
        <f>Hotel!$E$93/12*B214</f>
        <v>55663.544655675927</v>
      </c>
      <c r="E215" s="185">
        <f t="shared" si="23"/>
        <v>30199.596233786971</v>
      </c>
      <c r="F215" s="72">
        <f t="shared" si="29"/>
        <v>47</v>
      </c>
      <c r="G215" s="180">
        <f t="shared" si="24"/>
        <v>1801725.06914532</v>
      </c>
      <c r="H215" s="186">
        <f>-Hotel!$E$100/12</f>
        <v>7392.3894537764108</v>
      </c>
      <c r="I215" s="149">
        <f>Hotel!$E$98/12*G214</f>
        <v>3010.1787996657181</v>
      </c>
      <c r="J215" s="187">
        <f t="shared" si="25"/>
        <v>4382.2106541106932</v>
      </c>
      <c r="K215" s="72">
        <f t="shared" si="30"/>
        <v>47</v>
      </c>
      <c r="L215" s="180">
        <f t="shared" si="26"/>
        <v>18470588.869614311</v>
      </c>
      <c r="M215" s="181">
        <f t="shared" si="26"/>
        <v>93255.530343239312</v>
      </c>
      <c r="N215" s="180">
        <f t="shared" si="26"/>
        <v>58673.723455341642</v>
      </c>
      <c r="O215" s="132">
        <f t="shared" si="26"/>
        <v>34581.806887897663</v>
      </c>
    </row>
    <row r="216" spans="1:15" x14ac:dyDescent="0.25">
      <c r="A216" s="72">
        <f t="shared" si="28"/>
        <v>48</v>
      </c>
      <c r="B216" s="183">
        <f t="shared" si="22"/>
        <v>16638563.538914423</v>
      </c>
      <c r="C216" s="184">
        <f>-Hotel!$E$95/12</f>
        <v>85863.140889462898</v>
      </c>
      <c r="D216" s="183">
        <f>Hotel!$E$93/12*B215</f>
        <v>55562.879334896636</v>
      </c>
      <c r="E216" s="185">
        <f t="shared" si="23"/>
        <v>30300.261554566263</v>
      </c>
      <c r="F216" s="72">
        <f t="shared" si="29"/>
        <v>48</v>
      </c>
      <c r="G216" s="180">
        <f t="shared" si="24"/>
        <v>1797335.5548067857</v>
      </c>
      <c r="H216" s="186">
        <f>-Hotel!$E$100/12</f>
        <v>7392.3894537764108</v>
      </c>
      <c r="I216" s="149">
        <f>Hotel!$E$98/12*G215</f>
        <v>3002.8751152422001</v>
      </c>
      <c r="J216" s="187">
        <f t="shared" si="25"/>
        <v>4389.5143385342108</v>
      </c>
      <c r="K216" s="72">
        <f t="shared" si="30"/>
        <v>48</v>
      </c>
      <c r="L216" s="180">
        <f t="shared" si="26"/>
        <v>18435899.093721211</v>
      </c>
      <c r="M216" s="181">
        <f t="shared" si="26"/>
        <v>93255.530343239312</v>
      </c>
      <c r="N216" s="180">
        <f t="shared" si="26"/>
        <v>58565.754450138833</v>
      </c>
      <c r="O216" s="132">
        <f t="shared" si="26"/>
        <v>34689.775893100472</v>
      </c>
    </row>
    <row r="217" spans="1:15" x14ac:dyDescent="0.25">
      <c r="A217" s="72">
        <f t="shared" si="28"/>
        <v>49</v>
      </c>
      <c r="B217" s="183">
        <f t="shared" si="22"/>
        <v>16608162.276488008</v>
      </c>
      <c r="C217" s="184">
        <f>-Hotel!$E$95/12</f>
        <v>85863.140889462898</v>
      </c>
      <c r="D217" s="183">
        <f>Hotel!$E$93/12*B216</f>
        <v>55461.87846304808</v>
      </c>
      <c r="E217" s="185">
        <f t="shared" si="23"/>
        <v>30401.262426414818</v>
      </c>
      <c r="F217" s="72">
        <f t="shared" si="29"/>
        <v>49</v>
      </c>
      <c r="G217" s="180">
        <f t="shared" si="24"/>
        <v>1792938.7246110206</v>
      </c>
      <c r="H217" s="186">
        <f>-Hotel!$E$100/12</f>
        <v>7392.3894537764108</v>
      </c>
      <c r="I217" s="149">
        <f>Hotel!$E$98/12*G216</f>
        <v>2995.5592580113098</v>
      </c>
      <c r="J217" s="187">
        <f t="shared" si="25"/>
        <v>4396.8301957651011</v>
      </c>
      <c r="K217" s="72">
        <f t="shared" si="30"/>
        <v>49</v>
      </c>
      <c r="L217" s="180">
        <f t="shared" si="26"/>
        <v>18401101.001099028</v>
      </c>
      <c r="M217" s="181">
        <f t="shared" si="26"/>
        <v>93255.530343239312</v>
      </c>
      <c r="N217" s="180">
        <f t="shared" si="26"/>
        <v>58457.437721059388</v>
      </c>
      <c r="O217" s="132">
        <f t="shared" si="26"/>
        <v>34798.092622179916</v>
      </c>
    </row>
    <row r="218" spans="1:15" x14ac:dyDescent="0.25">
      <c r="A218" s="72">
        <f t="shared" si="28"/>
        <v>50</v>
      </c>
      <c r="B218" s="183">
        <f t="shared" si="22"/>
        <v>16577659.676520173</v>
      </c>
      <c r="C218" s="184">
        <f>-Hotel!$E$95/12</f>
        <v>85863.140889462898</v>
      </c>
      <c r="D218" s="183">
        <f>Hotel!$E$93/12*B217</f>
        <v>55360.5409216267</v>
      </c>
      <c r="E218" s="185">
        <f t="shared" si="23"/>
        <v>30502.599967836199</v>
      </c>
      <c r="F218" s="72">
        <f t="shared" si="29"/>
        <v>50</v>
      </c>
      <c r="G218" s="180">
        <f t="shared" si="24"/>
        <v>1788534.5663649293</v>
      </c>
      <c r="H218" s="186">
        <f>-Hotel!$E$100/12</f>
        <v>7392.3894537764108</v>
      </c>
      <c r="I218" s="149">
        <f>Hotel!$E$98/12*G217</f>
        <v>2988.2312076850344</v>
      </c>
      <c r="J218" s="187">
        <f t="shared" si="25"/>
        <v>4404.158246091376</v>
      </c>
      <c r="K218" s="72">
        <f t="shared" si="30"/>
        <v>50</v>
      </c>
      <c r="L218" s="180">
        <f t="shared" si="26"/>
        <v>18366194.242885102</v>
      </c>
      <c r="M218" s="181">
        <f t="shared" si="26"/>
        <v>93255.530343239312</v>
      </c>
      <c r="N218" s="180">
        <f t="shared" si="26"/>
        <v>58348.772129311736</v>
      </c>
      <c r="O218" s="132">
        <f t="shared" si="26"/>
        <v>34906.758213927576</v>
      </c>
    </row>
    <row r="219" spans="1:15" x14ac:dyDescent="0.25">
      <c r="A219" s="72">
        <f t="shared" si="28"/>
        <v>51</v>
      </c>
      <c r="B219" s="183">
        <f t="shared" si="22"/>
        <v>16547055.401219111</v>
      </c>
      <c r="C219" s="184">
        <f>-Hotel!$E$95/12</f>
        <v>85863.140889462898</v>
      </c>
      <c r="D219" s="183">
        <f>Hotel!$E$93/12*B218</f>
        <v>55258.865588400578</v>
      </c>
      <c r="E219" s="185">
        <f t="shared" si="23"/>
        <v>30604.27530106232</v>
      </c>
      <c r="F219" s="72">
        <f t="shared" si="29"/>
        <v>51</v>
      </c>
      <c r="G219" s="180">
        <f t="shared" si="24"/>
        <v>1784123.0678550946</v>
      </c>
      <c r="H219" s="186">
        <f>-Hotel!$E$100/12</f>
        <v>7392.3894537764108</v>
      </c>
      <c r="I219" s="149">
        <f>Hotel!$E$98/12*G218</f>
        <v>2980.8909439415493</v>
      </c>
      <c r="J219" s="187">
        <f t="shared" si="25"/>
        <v>4411.4985098348616</v>
      </c>
      <c r="K219" s="72">
        <f t="shared" si="30"/>
        <v>51</v>
      </c>
      <c r="L219" s="180">
        <f t="shared" si="26"/>
        <v>18331178.469074205</v>
      </c>
      <c r="M219" s="181">
        <f t="shared" si="26"/>
        <v>93255.530343239312</v>
      </c>
      <c r="N219" s="180">
        <f t="shared" si="26"/>
        <v>58239.75653234213</v>
      </c>
      <c r="O219" s="132">
        <f t="shared" si="26"/>
        <v>35015.773810897183</v>
      </c>
    </row>
    <row r="220" spans="1:15" x14ac:dyDescent="0.25">
      <c r="A220" s="72">
        <f t="shared" si="28"/>
        <v>52</v>
      </c>
      <c r="B220" s="183">
        <f t="shared" si="22"/>
        <v>16516349.111667044</v>
      </c>
      <c r="C220" s="184">
        <f>-Hotel!$E$95/12</f>
        <v>85863.140889462898</v>
      </c>
      <c r="D220" s="183">
        <f>Hotel!$E$93/12*B219</f>
        <v>55156.851337397042</v>
      </c>
      <c r="E220" s="185">
        <f t="shared" si="23"/>
        <v>30706.289552065857</v>
      </c>
      <c r="F220" s="72">
        <f t="shared" si="29"/>
        <v>52</v>
      </c>
      <c r="G220" s="180">
        <f t="shared" si="24"/>
        <v>1779704.2168477434</v>
      </c>
      <c r="H220" s="186">
        <f>-Hotel!$E$100/12</f>
        <v>7392.3894537764108</v>
      </c>
      <c r="I220" s="149">
        <f>Hotel!$E$98/12*G219</f>
        <v>2973.5384464251579</v>
      </c>
      <c r="J220" s="187">
        <f t="shared" si="25"/>
        <v>4418.8510073512534</v>
      </c>
      <c r="K220" s="72">
        <f t="shared" si="30"/>
        <v>52</v>
      </c>
      <c r="L220" s="180">
        <f t="shared" si="26"/>
        <v>18296053.328514788</v>
      </c>
      <c r="M220" s="181">
        <f t="shared" si="26"/>
        <v>93255.530343239312</v>
      </c>
      <c r="N220" s="180">
        <f t="shared" si="26"/>
        <v>58130.389783822196</v>
      </c>
      <c r="O220" s="132">
        <f t="shared" si="26"/>
        <v>35125.140559417108</v>
      </c>
    </row>
    <row r="221" spans="1:15" x14ac:dyDescent="0.25">
      <c r="A221" s="72">
        <f t="shared" si="28"/>
        <v>53</v>
      </c>
      <c r="B221" s="183">
        <f t="shared" si="22"/>
        <v>16485540.467816472</v>
      </c>
      <c r="C221" s="184">
        <f>-Hotel!$E$95/12</f>
        <v>85863.140889462898</v>
      </c>
      <c r="D221" s="183">
        <f>Hotel!$E$93/12*B220</f>
        <v>55054.497038890149</v>
      </c>
      <c r="E221" s="185">
        <f t="shared" si="23"/>
        <v>30808.643850572749</v>
      </c>
      <c r="F221" s="72">
        <f t="shared" si="29"/>
        <v>53</v>
      </c>
      <c r="G221" s="180">
        <f t="shared" si="24"/>
        <v>1775278.0010887133</v>
      </c>
      <c r="H221" s="186">
        <f>-Hotel!$E$100/12</f>
        <v>7392.3894537764108</v>
      </c>
      <c r="I221" s="149">
        <f>Hotel!$E$98/12*G220</f>
        <v>2966.1736947462391</v>
      </c>
      <c r="J221" s="187">
        <f t="shared" si="25"/>
        <v>4426.2157590301722</v>
      </c>
      <c r="K221" s="72">
        <f t="shared" si="30"/>
        <v>53</v>
      </c>
      <c r="L221" s="180">
        <f t="shared" si="26"/>
        <v>18260818.468905184</v>
      </c>
      <c r="M221" s="181">
        <f t="shared" si="26"/>
        <v>93255.530343239312</v>
      </c>
      <c r="N221" s="180">
        <f t="shared" si="26"/>
        <v>58020.670733636391</v>
      </c>
      <c r="O221" s="132">
        <f t="shared" si="26"/>
        <v>35234.859609602921</v>
      </c>
    </row>
    <row r="222" spans="1:15" x14ac:dyDescent="0.25">
      <c r="A222" s="72">
        <f t="shared" si="28"/>
        <v>54</v>
      </c>
      <c r="B222" s="183">
        <f t="shared" si="22"/>
        <v>16454629.128486397</v>
      </c>
      <c r="C222" s="184">
        <f>-Hotel!$E$95/12</f>
        <v>85863.140889462898</v>
      </c>
      <c r="D222" s="183">
        <f>Hotel!$E$93/12*B221</f>
        <v>54951.801559388245</v>
      </c>
      <c r="E222" s="185">
        <f t="shared" si="23"/>
        <v>30911.339330074654</v>
      </c>
      <c r="F222" s="72">
        <f t="shared" si="29"/>
        <v>54</v>
      </c>
      <c r="G222" s="180">
        <f t="shared" si="24"/>
        <v>1770844.408303418</v>
      </c>
      <c r="H222" s="186">
        <f>-Hotel!$E$100/12</f>
        <v>7392.3894537764108</v>
      </c>
      <c r="I222" s="149">
        <f>Hotel!$E$98/12*G221</f>
        <v>2958.796668481189</v>
      </c>
      <c r="J222" s="187">
        <f t="shared" si="25"/>
        <v>4433.5927852952218</v>
      </c>
      <c r="K222" s="72">
        <f t="shared" si="30"/>
        <v>54</v>
      </c>
      <c r="L222" s="180">
        <f t="shared" si="26"/>
        <v>18225473.536789816</v>
      </c>
      <c r="M222" s="181">
        <f t="shared" si="26"/>
        <v>93255.530343239312</v>
      </c>
      <c r="N222" s="180">
        <f t="shared" si="26"/>
        <v>57910.598227869436</v>
      </c>
      <c r="O222" s="132">
        <f t="shared" si="26"/>
        <v>35344.932115369877</v>
      </c>
    </row>
    <row r="223" spans="1:15" x14ac:dyDescent="0.25">
      <c r="A223" s="72">
        <f t="shared" si="28"/>
        <v>55</v>
      </c>
      <c r="B223" s="183">
        <f t="shared" si="22"/>
        <v>16423614.751358556</v>
      </c>
      <c r="C223" s="184">
        <f>-Hotel!$E$95/12</f>
        <v>85863.140889462898</v>
      </c>
      <c r="D223" s="183">
        <f>Hotel!$E$93/12*B222</f>
        <v>54848.763761621325</v>
      </c>
      <c r="E223" s="185">
        <f t="shared" si="23"/>
        <v>31014.377127841573</v>
      </c>
      <c r="F223" s="72">
        <f t="shared" si="29"/>
        <v>55</v>
      </c>
      <c r="G223" s="180">
        <f t="shared" si="24"/>
        <v>1766403.4261968138</v>
      </c>
      <c r="H223" s="186">
        <f>-Hotel!$E$100/12</f>
        <v>7392.3894537764108</v>
      </c>
      <c r="I223" s="149">
        <f>Hotel!$E$98/12*G222</f>
        <v>2951.4073471723636</v>
      </c>
      <c r="J223" s="187">
        <f t="shared" si="25"/>
        <v>4440.9821066040477</v>
      </c>
      <c r="K223" s="72">
        <f t="shared" si="30"/>
        <v>55</v>
      </c>
      <c r="L223" s="180">
        <f t="shared" si="26"/>
        <v>18190018.177555371</v>
      </c>
      <c r="M223" s="181">
        <f t="shared" si="26"/>
        <v>93255.530343239312</v>
      </c>
      <c r="N223" s="180">
        <f t="shared" si="26"/>
        <v>57800.171108793686</v>
      </c>
      <c r="O223" s="132">
        <f t="shared" si="26"/>
        <v>35455.359234445619</v>
      </c>
    </row>
    <row r="224" spans="1:15" x14ac:dyDescent="0.25">
      <c r="A224" s="72">
        <f t="shared" si="28"/>
        <v>56</v>
      </c>
      <c r="B224" s="183">
        <f t="shared" si="22"/>
        <v>16392496.992973622</v>
      </c>
      <c r="C224" s="184">
        <f>-Hotel!$E$95/12</f>
        <v>85863.140889462898</v>
      </c>
      <c r="D224" s="183">
        <f>Hotel!$E$93/12*B223</f>
        <v>54745.382504528519</v>
      </c>
      <c r="E224" s="185">
        <f t="shared" si="23"/>
        <v>31117.758384934379</v>
      </c>
      <c r="F224" s="72">
        <f t="shared" si="29"/>
        <v>56</v>
      </c>
      <c r="G224" s="180">
        <f t="shared" si="24"/>
        <v>1761955.0424533654</v>
      </c>
      <c r="H224" s="186">
        <f>-Hotel!$E$100/12</f>
        <v>7392.3894537764108</v>
      </c>
      <c r="I224" s="149">
        <f>Hotel!$E$98/12*G223</f>
        <v>2944.0057103280233</v>
      </c>
      <c r="J224" s="187">
        <f t="shared" si="25"/>
        <v>4448.3837434483876</v>
      </c>
      <c r="K224" s="72">
        <f t="shared" si="30"/>
        <v>56</v>
      </c>
      <c r="L224" s="180">
        <f t="shared" si="26"/>
        <v>18154452.035426989</v>
      </c>
      <c r="M224" s="181">
        <f t="shared" si="26"/>
        <v>93255.530343239312</v>
      </c>
      <c r="N224" s="180">
        <f t="shared" si="26"/>
        <v>57689.388214856546</v>
      </c>
      <c r="O224" s="132">
        <f t="shared" si="26"/>
        <v>35566.142128382766</v>
      </c>
    </row>
    <row r="225" spans="1:15" x14ac:dyDescent="0.25">
      <c r="A225" s="72">
        <f t="shared" si="28"/>
        <v>57</v>
      </c>
      <c r="B225" s="183">
        <f t="shared" si="22"/>
        <v>16361275.508727405</v>
      </c>
      <c r="C225" s="184">
        <f>-Hotel!$E$95/12</f>
        <v>85863.140889462898</v>
      </c>
      <c r="D225" s="183">
        <f>Hotel!$E$93/12*B224</f>
        <v>54641.656643245413</v>
      </c>
      <c r="E225" s="185">
        <f t="shared" si="23"/>
        <v>31221.484246217486</v>
      </c>
      <c r="F225" s="72">
        <f t="shared" si="29"/>
        <v>57</v>
      </c>
      <c r="G225" s="180">
        <f t="shared" si="24"/>
        <v>1757499.2447370114</v>
      </c>
      <c r="H225" s="186">
        <f>-Hotel!$E$100/12</f>
        <v>7392.3894537764108</v>
      </c>
      <c r="I225" s="149">
        <f>Hotel!$E$98/12*G224</f>
        <v>2936.5917374222759</v>
      </c>
      <c r="J225" s="187">
        <f t="shared" si="25"/>
        <v>4455.7977163541345</v>
      </c>
      <c r="K225" s="72">
        <f t="shared" si="30"/>
        <v>57</v>
      </c>
      <c r="L225" s="180">
        <f t="shared" si="26"/>
        <v>18118774.753464416</v>
      </c>
      <c r="M225" s="181">
        <f t="shared" si="26"/>
        <v>93255.530343239312</v>
      </c>
      <c r="N225" s="180">
        <f t="shared" si="26"/>
        <v>57578.24838066769</v>
      </c>
      <c r="O225" s="132">
        <f t="shared" si="26"/>
        <v>35677.281962571622</v>
      </c>
    </row>
    <row r="226" spans="1:15" x14ac:dyDescent="0.25">
      <c r="A226" s="72">
        <f t="shared" si="28"/>
        <v>58</v>
      </c>
      <c r="B226" s="183">
        <f t="shared" si="22"/>
        <v>16329949.952867033</v>
      </c>
      <c r="C226" s="184">
        <f>-Hotel!$E$95/12</f>
        <v>85863.140889462898</v>
      </c>
      <c r="D226" s="183">
        <f>Hotel!$E$93/12*B225</f>
        <v>54537.585029091351</v>
      </c>
      <c r="E226" s="185">
        <f t="shared" si="23"/>
        <v>31325.555860371547</v>
      </c>
      <c r="F226" s="72">
        <f t="shared" si="29"/>
        <v>58</v>
      </c>
      <c r="G226" s="180">
        <f t="shared" si="24"/>
        <v>1753036.0206911301</v>
      </c>
      <c r="H226" s="186">
        <f>-Hotel!$E$100/12</f>
        <v>7392.3894537764108</v>
      </c>
      <c r="I226" s="149">
        <f>Hotel!$E$98/12*G225</f>
        <v>2929.1654078950191</v>
      </c>
      <c r="J226" s="187">
        <f t="shared" si="25"/>
        <v>4463.2240458813922</v>
      </c>
      <c r="K226" s="72">
        <f t="shared" si="30"/>
        <v>58</v>
      </c>
      <c r="L226" s="180">
        <f t="shared" si="26"/>
        <v>18082985.973558161</v>
      </c>
      <c r="M226" s="181">
        <f t="shared" si="26"/>
        <v>93255.530343239312</v>
      </c>
      <c r="N226" s="180">
        <f t="shared" si="26"/>
        <v>57466.750436986367</v>
      </c>
      <c r="O226" s="132">
        <f t="shared" si="26"/>
        <v>35788.779906252938</v>
      </c>
    </row>
    <row r="227" spans="1:15" x14ac:dyDescent="0.25">
      <c r="A227" s="72">
        <f t="shared" si="28"/>
        <v>59</v>
      </c>
      <c r="B227" s="183">
        <f t="shared" si="22"/>
        <v>16298519.978487127</v>
      </c>
      <c r="C227" s="184">
        <f>-Hotel!$E$95/12</f>
        <v>85863.140889462898</v>
      </c>
      <c r="D227" s="183">
        <f>Hotel!$E$93/12*B226</f>
        <v>54433.166509556781</v>
      </c>
      <c r="E227" s="185">
        <f t="shared" si="23"/>
        <v>31429.974379906118</v>
      </c>
      <c r="F227" s="72">
        <f t="shared" si="29"/>
        <v>59</v>
      </c>
      <c r="G227" s="180">
        <f t="shared" si="24"/>
        <v>1748565.3579385055</v>
      </c>
      <c r="H227" s="186">
        <f>-Hotel!$E$100/12</f>
        <v>7392.3894537764108</v>
      </c>
      <c r="I227" s="149">
        <f>Hotel!$E$98/12*G226</f>
        <v>2921.7267011518838</v>
      </c>
      <c r="J227" s="187">
        <f t="shared" si="25"/>
        <v>4470.6627526245265</v>
      </c>
      <c r="K227" s="72">
        <f t="shared" si="30"/>
        <v>59</v>
      </c>
      <c r="L227" s="180">
        <f t="shared" si="26"/>
        <v>18047085.336425632</v>
      </c>
      <c r="M227" s="181">
        <f t="shared" si="26"/>
        <v>93255.530343239312</v>
      </c>
      <c r="N227" s="180">
        <f t="shared" si="26"/>
        <v>57354.893210708666</v>
      </c>
      <c r="O227" s="132">
        <f t="shared" si="26"/>
        <v>35900.637132530646</v>
      </c>
    </row>
    <row r="228" spans="1:15" x14ac:dyDescent="0.25">
      <c r="A228" s="72">
        <f t="shared" si="28"/>
        <v>60</v>
      </c>
      <c r="B228" s="183">
        <f t="shared" si="22"/>
        <v>16266985.237525955</v>
      </c>
      <c r="C228" s="184">
        <f>-Hotel!$E$95/12</f>
        <v>85863.140889462898</v>
      </c>
      <c r="D228" s="183">
        <f>Hotel!$E$93/12*B227</f>
        <v>54328.399928290426</v>
      </c>
      <c r="E228" s="185">
        <f t="shared" si="23"/>
        <v>31534.740961172472</v>
      </c>
      <c r="F228" s="72">
        <f t="shared" si="29"/>
        <v>60</v>
      </c>
      <c r="G228" s="180">
        <f t="shared" si="24"/>
        <v>1744087.2440812932</v>
      </c>
      <c r="H228" s="186">
        <f>-Hotel!$E$100/12</f>
        <v>7392.3894537764108</v>
      </c>
      <c r="I228" s="149">
        <f>Hotel!$E$98/12*G227</f>
        <v>2914.2755965641759</v>
      </c>
      <c r="J228" s="187">
        <f t="shared" si="25"/>
        <v>4478.1138572122345</v>
      </c>
      <c r="K228" s="72">
        <f t="shared" si="30"/>
        <v>60</v>
      </c>
      <c r="L228" s="180">
        <f t="shared" si="26"/>
        <v>18011072.481607247</v>
      </c>
      <c r="M228" s="181">
        <f t="shared" si="26"/>
        <v>93255.530343239312</v>
      </c>
      <c r="N228" s="180">
        <f t="shared" si="26"/>
        <v>57242.675524854603</v>
      </c>
      <c r="O228" s="132">
        <f t="shared" si="26"/>
        <v>36012.854818384709</v>
      </c>
    </row>
    <row r="229" spans="1:15" x14ac:dyDescent="0.25">
      <c r="A229" s="72">
        <f t="shared" si="28"/>
        <v>61</v>
      </c>
      <c r="B229" s="183">
        <f t="shared" si="22"/>
        <v>16235345.380761579</v>
      </c>
      <c r="C229" s="184">
        <f>-Hotel!$E$95/12</f>
        <v>85863.140889462898</v>
      </c>
      <c r="D229" s="183">
        <f>Hotel!$E$93/12*B228</f>
        <v>54223.284125086517</v>
      </c>
      <c r="E229" s="185">
        <f t="shared" si="23"/>
        <v>31639.856764376382</v>
      </c>
      <c r="F229" s="72">
        <f t="shared" si="29"/>
        <v>61</v>
      </c>
      <c r="G229" s="180">
        <f t="shared" si="24"/>
        <v>1739601.6667009857</v>
      </c>
      <c r="H229" s="186">
        <f>-Hotel!$E$100/12</f>
        <v>7392.3894537764108</v>
      </c>
      <c r="I229" s="149">
        <f>Hotel!$E$98/12*G228</f>
        <v>2906.8120734688223</v>
      </c>
      <c r="J229" s="187">
        <f t="shared" si="25"/>
        <v>4485.5773803075881</v>
      </c>
      <c r="K229" s="72">
        <f t="shared" si="30"/>
        <v>61</v>
      </c>
      <c r="L229" s="180">
        <f t="shared" si="26"/>
        <v>17974947.047462564</v>
      </c>
      <c r="M229" s="181">
        <f t="shared" si="26"/>
        <v>93255.530343239312</v>
      </c>
      <c r="N229" s="180">
        <f t="shared" si="26"/>
        <v>57130.096198555337</v>
      </c>
      <c r="O229" s="132">
        <f t="shared" si="26"/>
        <v>36125.434144683968</v>
      </c>
    </row>
    <row r="230" spans="1:15" x14ac:dyDescent="0.25">
      <c r="A230" s="72">
        <f t="shared" si="28"/>
        <v>62</v>
      </c>
      <c r="B230" s="183">
        <f t="shared" si="22"/>
        <v>16203600.057807988</v>
      </c>
      <c r="C230" s="184">
        <f>-Hotel!$E$95/12</f>
        <v>85863.140889462898</v>
      </c>
      <c r="D230" s="183">
        <f>Hotel!$E$93/12*B229</f>
        <v>54117.817935871935</v>
      </c>
      <c r="E230" s="185">
        <f t="shared" si="23"/>
        <v>31745.322953590963</v>
      </c>
      <c r="F230" s="72">
        <f t="shared" si="29"/>
        <v>62</v>
      </c>
      <c r="G230" s="180">
        <f t="shared" si="24"/>
        <v>1735108.6133583777</v>
      </c>
      <c r="H230" s="186">
        <f>-Hotel!$E$100/12</f>
        <v>7392.3894537764108</v>
      </c>
      <c r="I230" s="149">
        <f>Hotel!$E$98/12*G229</f>
        <v>2899.3361111683098</v>
      </c>
      <c r="J230" s="187">
        <f t="shared" si="25"/>
        <v>4493.053342608101</v>
      </c>
      <c r="K230" s="72">
        <f t="shared" si="30"/>
        <v>62</v>
      </c>
      <c r="L230" s="180">
        <f t="shared" si="26"/>
        <v>17938708.671166364</v>
      </c>
      <c r="M230" s="181">
        <f t="shared" si="26"/>
        <v>93255.530343239312</v>
      </c>
      <c r="N230" s="180">
        <f t="shared" si="26"/>
        <v>57017.154047040247</v>
      </c>
      <c r="O230" s="132">
        <f t="shared" si="26"/>
        <v>36238.376296199065</v>
      </c>
    </row>
    <row r="231" spans="1:15" x14ac:dyDescent="0.25">
      <c r="A231" s="72">
        <f t="shared" si="28"/>
        <v>63</v>
      </c>
      <c r="B231" s="183">
        <f t="shared" si="22"/>
        <v>16171748.917111218</v>
      </c>
      <c r="C231" s="184">
        <f>-Hotel!$E$95/12</f>
        <v>85863.140889462898</v>
      </c>
      <c r="D231" s="183">
        <f>Hotel!$E$93/12*B230</f>
        <v>54012.000192693296</v>
      </c>
      <c r="E231" s="185">
        <f t="shared" si="23"/>
        <v>31851.140696769602</v>
      </c>
      <c r="F231" s="72">
        <f t="shared" si="29"/>
        <v>63</v>
      </c>
      <c r="G231" s="180">
        <f t="shared" si="24"/>
        <v>1730608.0715935319</v>
      </c>
      <c r="H231" s="186">
        <f>-Hotel!$E$100/12</f>
        <v>7392.3894537764108</v>
      </c>
      <c r="I231" s="149">
        <f>Hotel!$E$98/12*G230</f>
        <v>2891.8476889306298</v>
      </c>
      <c r="J231" s="187">
        <f t="shared" si="25"/>
        <v>4500.5417648457806</v>
      </c>
      <c r="K231" s="72">
        <f t="shared" si="30"/>
        <v>63</v>
      </c>
      <c r="L231" s="180">
        <f t="shared" si="26"/>
        <v>17902356.988704748</v>
      </c>
      <c r="M231" s="181">
        <f t="shared" si="26"/>
        <v>93255.530343239312</v>
      </c>
      <c r="N231" s="180">
        <f t="shared" si="26"/>
        <v>56903.847881623929</v>
      </c>
      <c r="O231" s="132">
        <f t="shared" si="26"/>
        <v>36351.682461615383</v>
      </c>
    </row>
    <row r="232" spans="1:15" x14ac:dyDescent="0.25">
      <c r="A232" s="72">
        <f t="shared" si="28"/>
        <v>64</v>
      </c>
      <c r="B232" s="183">
        <f t="shared" si="22"/>
        <v>16139791.605945459</v>
      </c>
      <c r="C232" s="184">
        <f>-Hotel!$E$95/12</f>
        <v>85863.140889462898</v>
      </c>
      <c r="D232" s="183">
        <f>Hotel!$E$93/12*B231</f>
        <v>53905.829723704061</v>
      </c>
      <c r="E232" s="185">
        <f t="shared" si="23"/>
        <v>31957.311165758838</v>
      </c>
      <c r="F232" s="72">
        <f t="shared" si="29"/>
        <v>64</v>
      </c>
      <c r="G232" s="180">
        <f t="shared" si="24"/>
        <v>1726100.0289257446</v>
      </c>
      <c r="H232" s="186">
        <f>-Hotel!$E$100/12</f>
        <v>7392.3894537764108</v>
      </c>
      <c r="I232" s="149">
        <f>Hotel!$E$98/12*G231</f>
        <v>2884.3467859892198</v>
      </c>
      <c r="J232" s="187">
        <f t="shared" si="25"/>
        <v>4508.042667787191</v>
      </c>
      <c r="K232" s="72">
        <f t="shared" si="30"/>
        <v>64</v>
      </c>
      <c r="L232" s="180">
        <f t="shared" si="26"/>
        <v>17865891.634871203</v>
      </c>
      <c r="M232" s="181">
        <f t="shared" si="26"/>
        <v>93255.530343239312</v>
      </c>
      <c r="N232" s="180">
        <f t="shared" si="26"/>
        <v>56790.17650969328</v>
      </c>
      <c r="O232" s="132">
        <f t="shared" ref="O232:O295" si="71">J232+E232</f>
        <v>36465.353833546033</v>
      </c>
    </row>
    <row r="233" spans="1:15" x14ac:dyDescent="0.25">
      <c r="A233" s="72">
        <f t="shared" si="28"/>
        <v>65</v>
      </c>
      <c r="B233" s="183">
        <f t="shared" ref="B233:B296" si="72">B232-E233</f>
        <v>16107727.770409148</v>
      </c>
      <c r="C233" s="184">
        <f>-Hotel!$E$95/12</f>
        <v>85863.140889462898</v>
      </c>
      <c r="D233" s="183">
        <f>Hotel!$E$93/12*B232</f>
        <v>53799.305353151532</v>
      </c>
      <c r="E233" s="185">
        <f t="shared" ref="E233:E296" si="73">C233-D233</f>
        <v>32063.835536311366</v>
      </c>
      <c r="F233" s="72">
        <f t="shared" si="29"/>
        <v>65</v>
      </c>
      <c r="G233" s="180">
        <f t="shared" ref="G233:G296" si="74">G232-J233</f>
        <v>1721584.4728535111</v>
      </c>
      <c r="H233" s="186">
        <f>-Hotel!$E$100/12</f>
        <v>7392.3894537764108</v>
      </c>
      <c r="I233" s="149">
        <f>Hotel!$E$98/12*G232</f>
        <v>2876.8333815429078</v>
      </c>
      <c r="J233" s="187">
        <f t="shared" ref="J233:J296" si="75">H233-I233</f>
        <v>4515.5560722335031</v>
      </c>
      <c r="K233" s="72">
        <f t="shared" si="30"/>
        <v>65</v>
      </c>
      <c r="L233" s="180">
        <f t="shared" ref="L233:O296" si="76">G233+B233</f>
        <v>17829312.24326266</v>
      </c>
      <c r="M233" s="181">
        <f t="shared" si="76"/>
        <v>93255.530343239312</v>
      </c>
      <c r="N233" s="180">
        <f t="shared" si="76"/>
        <v>56676.138734694439</v>
      </c>
      <c r="O233" s="132">
        <f t="shared" si="71"/>
        <v>36579.391608544873</v>
      </c>
    </row>
    <row r="234" spans="1:15" x14ac:dyDescent="0.25">
      <c r="A234" s="72">
        <f t="shared" ref="A234:A297" si="77">A233+1</f>
        <v>66</v>
      </c>
      <c r="B234" s="183">
        <f t="shared" si="72"/>
        <v>16075557.055421049</v>
      </c>
      <c r="C234" s="184">
        <f>-Hotel!$E$95/12</f>
        <v>85863.140889462898</v>
      </c>
      <c r="D234" s="183">
        <f>Hotel!$E$93/12*B233</f>
        <v>53692.425901363829</v>
      </c>
      <c r="E234" s="185">
        <f t="shared" si="73"/>
        <v>32170.714988099069</v>
      </c>
      <c r="F234" s="72">
        <f t="shared" ref="F234:F297" si="78">F233+1</f>
        <v>66</v>
      </c>
      <c r="G234" s="180">
        <f t="shared" si="74"/>
        <v>1717061.3908544905</v>
      </c>
      <c r="H234" s="186">
        <f>-Hotel!$E$100/12</f>
        <v>7392.3894537764108</v>
      </c>
      <c r="I234" s="149">
        <f>Hotel!$E$98/12*G233</f>
        <v>2869.3074547558522</v>
      </c>
      <c r="J234" s="187">
        <f t="shared" si="75"/>
        <v>4523.0819990205582</v>
      </c>
      <c r="K234" s="72">
        <f t="shared" ref="K234:K297" si="79">K233+1</f>
        <v>66</v>
      </c>
      <c r="L234" s="180">
        <f t="shared" si="76"/>
        <v>17792618.44627554</v>
      </c>
      <c r="M234" s="181">
        <f t="shared" si="76"/>
        <v>93255.530343239312</v>
      </c>
      <c r="N234" s="180">
        <f t="shared" si="76"/>
        <v>56561.733356119679</v>
      </c>
      <c r="O234" s="132">
        <f t="shared" si="71"/>
        <v>36693.796987119626</v>
      </c>
    </row>
    <row r="235" spans="1:15" x14ac:dyDescent="0.25">
      <c r="A235" s="72">
        <f t="shared" si="77"/>
        <v>67</v>
      </c>
      <c r="B235" s="183">
        <f t="shared" si="72"/>
        <v>16043279.104716323</v>
      </c>
      <c r="C235" s="184">
        <f>-Hotel!$E$95/12</f>
        <v>85863.140889462898</v>
      </c>
      <c r="D235" s="183">
        <f>Hotel!$E$93/12*B234</f>
        <v>53585.190184736835</v>
      </c>
      <c r="E235" s="185">
        <f t="shared" si="73"/>
        <v>32277.950704726063</v>
      </c>
      <c r="F235" s="72">
        <f t="shared" si="78"/>
        <v>67</v>
      </c>
      <c r="G235" s="180">
        <f t="shared" si="74"/>
        <v>1712530.7703854716</v>
      </c>
      <c r="H235" s="186">
        <f>-Hotel!$E$100/12</f>
        <v>7392.3894537764108</v>
      </c>
      <c r="I235" s="149">
        <f>Hotel!$E$98/12*G234</f>
        <v>2861.7689847574843</v>
      </c>
      <c r="J235" s="187">
        <f t="shared" si="75"/>
        <v>4530.6204690189261</v>
      </c>
      <c r="K235" s="72">
        <f t="shared" si="79"/>
        <v>67</v>
      </c>
      <c r="L235" s="180">
        <f t="shared" si="76"/>
        <v>17755809.875101794</v>
      </c>
      <c r="M235" s="181">
        <f t="shared" si="76"/>
        <v>93255.530343239312</v>
      </c>
      <c r="N235" s="180">
        <f t="shared" si="76"/>
        <v>56446.959169494323</v>
      </c>
      <c r="O235" s="132">
        <f t="shared" si="71"/>
        <v>36808.571173744989</v>
      </c>
    </row>
    <row r="236" spans="1:15" x14ac:dyDescent="0.25">
      <c r="A236" s="72">
        <f t="shared" si="77"/>
        <v>68</v>
      </c>
      <c r="B236" s="183">
        <f t="shared" si="72"/>
        <v>16010893.560842581</v>
      </c>
      <c r="C236" s="184">
        <f>-Hotel!$E$95/12</f>
        <v>85863.140889462898</v>
      </c>
      <c r="D236" s="183">
        <f>Hotel!$E$93/12*B235</f>
        <v>53477.597015721083</v>
      </c>
      <c r="E236" s="185">
        <f t="shared" si="73"/>
        <v>32385.543873741815</v>
      </c>
      <c r="F236" s="72">
        <f t="shared" si="78"/>
        <v>68</v>
      </c>
      <c r="G236" s="180">
        <f t="shared" si="74"/>
        <v>1707992.5988823376</v>
      </c>
      <c r="H236" s="186">
        <f>-Hotel!$E$100/12</f>
        <v>7392.3894537764108</v>
      </c>
      <c r="I236" s="149">
        <f>Hotel!$E$98/12*G235</f>
        <v>2854.2179506424527</v>
      </c>
      <c r="J236" s="187">
        <f t="shared" si="75"/>
        <v>4538.1715031339581</v>
      </c>
      <c r="K236" s="72">
        <f t="shared" si="79"/>
        <v>68</v>
      </c>
      <c r="L236" s="180">
        <f t="shared" si="76"/>
        <v>17718886.159724917</v>
      </c>
      <c r="M236" s="181">
        <f t="shared" si="76"/>
        <v>93255.530343239312</v>
      </c>
      <c r="N236" s="180">
        <f t="shared" si="76"/>
        <v>56331.814966363534</v>
      </c>
      <c r="O236" s="132">
        <f t="shared" si="71"/>
        <v>36923.715376875771</v>
      </c>
    </row>
    <row r="237" spans="1:15" x14ac:dyDescent="0.25">
      <c r="A237" s="72">
        <f t="shared" si="77"/>
        <v>69</v>
      </c>
      <c r="B237" s="183">
        <f t="shared" si="72"/>
        <v>15978400.065155927</v>
      </c>
      <c r="C237" s="184">
        <f>-Hotel!$E$95/12</f>
        <v>85863.140889462898</v>
      </c>
      <c r="D237" s="183">
        <f>Hotel!$E$93/12*B236</f>
        <v>53369.645202808606</v>
      </c>
      <c r="E237" s="185">
        <f t="shared" si="73"/>
        <v>32493.495686654293</v>
      </c>
      <c r="F237" s="72">
        <f t="shared" si="78"/>
        <v>69</v>
      </c>
      <c r="G237" s="180">
        <f t="shared" si="74"/>
        <v>1703446.8637600318</v>
      </c>
      <c r="H237" s="186">
        <f>-Hotel!$E$100/12</f>
        <v>7392.3894537764108</v>
      </c>
      <c r="I237" s="149">
        <f>Hotel!$E$98/12*G236</f>
        <v>2846.6543314705627</v>
      </c>
      <c r="J237" s="187">
        <f t="shared" si="75"/>
        <v>4545.7351223058486</v>
      </c>
      <c r="K237" s="72">
        <f t="shared" si="79"/>
        <v>69</v>
      </c>
      <c r="L237" s="180">
        <f t="shared" si="76"/>
        <v>17681846.928915959</v>
      </c>
      <c r="M237" s="181">
        <f t="shared" si="76"/>
        <v>93255.530343239312</v>
      </c>
      <c r="N237" s="180">
        <f t="shared" si="76"/>
        <v>56216.299534279169</v>
      </c>
      <c r="O237" s="132">
        <f t="shared" si="71"/>
        <v>37039.230808960143</v>
      </c>
    </row>
    <row r="238" spans="1:15" x14ac:dyDescent="0.25">
      <c r="A238" s="72">
        <f t="shared" si="77"/>
        <v>70</v>
      </c>
      <c r="B238" s="183">
        <f t="shared" si="72"/>
        <v>15945798.257816983</v>
      </c>
      <c r="C238" s="184">
        <f>-Hotel!$E$95/12</f>
        <v>85863.140889462898</v>
      </c>
      <c r="D238" s="183">
        <f>Hotel!$E$93/12*B237</f>
        <v>53261.333550519761</v>
      </c>
      <c r="E238" s="185">
        <f t="shared" si="73"/>
        <v>32601.807338943137</v>
      </c>
      <c r="F238" s="72">
        <f t="shared" si="78"/>
        <v>70</v>
      </c>
      <c r="G238" s="180">
        <f t="shared" si="74"/>
        <v>1698893.552412522</v>
      </c>
      <c r="H238" s="186">
        <f>-Hotel!$E$100/12</f>
        <v>7392.3894537764108</v>
      </c>
      <c r="I238" s="149">
        <f>Hotel!$E$98/12*G237</f>
        <v>2839.0781062667197</v>
      </c>
      <c r="J238" s="187">
        <f t="shared" si="75"/>
        <v>4553.3113475096907</v>
      </c>
      <c r="K238" s="72">
        <f t="shared" si="79"/>
        <v>70</v>
      </c>
      <c r="L238" s="180">
        <f t="shared" si="76"/>
        <v>17644691.810229506</v>
      </c>
      <c r="M238" s="181">
        <f t="shared" si="76"/>
        <v>93255.530343239312</v>
      </c>
      <c r="N238" s="180">
        <f t="shared" si="76"/>
        <v>56100.411656786484</v>
      </c>
      <c r="O238" s="132">
        <f t="shared" si="71"/>
        <v>37155.118686452828</v>
      </c>
    </row>
    <row r="239" spans="1:15" x14ac:dyDescent="0.25">
      <c r="A239" s="72">
        <f t="shared" si="77"/>
        <v>71</v>
      </c>
      <c r="B239" s="183">
        <f t="shared" si="72"/>
        <v>15913087.777786911</v>
      </c>
      <c r="C239" s="184">
        <f>-Hotel!$E$95/12</f>
        <v>85863.140889462898</v>
      </c>
      <c r="D239" s="183">
        <f>Hotel!$E$93/12*B238</f>
        <v>53152.660859389951</v>
      </c>
      <c r="E239" s="185">
        <f t="shared" si="73"/>
        <v>32710.480030072948</v>
      </c>
      <c r="F239" s="72">
        <f t="shared" si="78"/>
        <v>71</v>
      </c>
      <c r="G239" s="180">
        <f t="shared" si="74"/>
        <v>1694332.6522127665</v>
      </c>
      <c r="H239" s="186">
        <f>-Hotel!$E$100/12</f>
        <v>7392.3894537764108</v>
      </c>
      <c r="I239" s="149">
        <f>Hotel!$E$98/12*G238</f>
        <v>2831.4892540208702</v>
      </c>
      <c r="J239" s="187">
        <f t="shared" si="75"/>
        <v>4560.9001997555406</v>
      </c>
      <c r="K239" s="72">
        <f t="shared" si="79"/>
        <v>71</v>
      </c>
      <c r="L239" s="180">
        <f t="shared" si="76"/>
        <v>17607420.429999676</v>
      </c>
      <c r="M239" s="181">
        <f t="shared" si="76"/>
        <v>93255.530343239312</v>
      </c>
      <c r="N239" s="180">
        <f t="shared" si="76"/>
        <v>55984.150113410818</v>
      </c>
      <c r="O239" s="132">
        <f t="shared" si="71"/>
        <v>37271.380229828486</v>
      </c>
    </row>
    <row r="240" spans="1:15" x14ac:dyDescent="0.25">
      <c r="A240" s="72">
        <f t="shared" si="77"/>
        <v>72</v>
      </c>
      <c r="B240" s="183">
        <f t="shared" si="72"/>
        <v>15880268.262823405</v>
      </c>
      <c r="C240" s="184">
        <f>-Hotel!$E$95/12</f>
        <v>85863.140889462898</v>
      </c>
      <c r="D240" s="183">
        <f>Hotel!$E$93/12*B239</f>
        <v>53043.625925956374</v>
      </c>
      <c r="E240" s="185">
        <f t="shared" si="73"/>
        <v>32819.514963506525</v>
      </c>
      <c r="F240" s="72">
        <f t="shared" si="78"/>
        <v>72</v>
      </c>
      <c r="G240" s="180">
        <f t="shared" si="74"/>
        <v>1689764.1505126781</v>
      </c>
      <c r="H240" s="186">
        <f>-Hotel!$E$100/12</f>
        <v>7392.3894537764108</v>
      </c>
      <c r="I240" s="149">
        <f>Hotel!$E$98/12*G239</f>
        <v>2823.8877536879445</v>
      </c>
      <c r="J240" s="187">
        <f t="shared" si="75"/>
        <v>4568.5017000884664</v>
      </c>
      <c r="K240" s="72">
        <f t="shared" si="79"/>
        <v>72</v>
      </c>
      <c r="L240" s="180">
        <f t="shared" si="76"/>
        <v>17570032.413336083</v>
      </c>
      <c r="M240" s="181">
        <f t="shared" si="76"/>
        <v>93255.530343239312</v>
      </c>
      <c r="N240" s="180">
        <f t="shared" si="76"/>
        <v>55867.513679644318</v>
      </c>
      <c r="O240" s="132">
        <f t="shared" si="71"/>
        <v>37388.016663594994</v>
      </c>
    </row>
    <row r="241" spans="1:15" x14ac:dyDescent="0.25">
      <c r="A241" s="72">
        <f t="shared" si="77"/>
        <v>73</v>
      </c>
      <c r="B241" s="183">
        <f t="shared" si="72"/>
        <v>15847339.349476686</v>
      </c>
      <c r="C241" s="184">
        <f>-Hotel!$E$95/12</f>
        <v>85863.140889462898</v>
      </c>
      <c r="D241" s="183">
        <f>Hotel!$E$93/12*B240</f>
        <v>52934.227542744688</v>
      </c>
      <c r="E241" s="185">
        <f t="shared" si="73"/>
        <v>32928.913346718211</v>
      </c>
      <c r="F241" s="72">
        <f t="shared" si="78"/>
        <v>73</v>
      </c>
      <c r="G241" s="180">
        <f t="shared" si="74"/>
        <v>1685188.0346430894</v>
      </c>
      <c r="H241" s="186">
        <f>-Hotel!$E$100/12</f>
        <v>7392.3894537764108</v>
      </c>
      <c r="I241" s="149">
        <f>Hotel!$E$98/12*G240</f>
        <v>2816.273584187797</v>
      </c>
      <c r="J241" s="187">
        <f t="shared" si="75"/>
        <v>4576.1158695886134</v>
      </c>
      <c r="K241" s="72">
        <f t="shared" si="79"/>
        <v>73</v>
      </c>
      <c r="L241" s="180">
        <f t="shared" si="76"/>
        <v>17532527.384119775</v>
      </c>
      <c r="M241" s="181">
        <f t="shared" si="76"/>
        <v>93255.530343239312</v>
      </c>
      <c r="N241" s="180">
        <f t="shared" si="76"/>
        <v>55750.501126932482</v>
      </c>
      <c r="O241" s="132">
        <f t="shared" si="71"/>
        <v>37505.029216306822</v>
      </c>
    </row>
    <row r="242" spans="1:15" x14ac:dyDescent="0.25">
      <c r="A242" s="72">
        <f t="shared" si="77"/>
        <v>74</v>
      </c>
      <c r="B242" s="183">
        <f t="shared" si="72"/>
        <v>15814300.673085479</v>
      </c>
      <c r="C242" s="184">
        <f>-Hotel!$E$95/12</f>
        <v>85863.140889462898</v>
      </c>
      <c r="D242" s="183">
        <f>Hotel!$E$93/12*B241</f>
        <v>52824.46449825562</v>
      </c>
      <c r="E242" s="185">
        <f t="shared" si="73"/>
        <v>33038.676391207278</v>
      </c>
      <c r="F242" s="72">
        <f t="shared" si="78"/>
        <v>74</v>
      </c>
      <c r="G242" s="180">
        <f t="shared" si="74"/>
        <v>1680604.2919137182</v>
      </c>
      <c r="H242" s="186">
        <f>-Hotel!$E$100/12</f>
        <v>7392.3894537764108</v>
      </c>
      <c r="I242" s="149">
        <f>Hotel!$E$98/12*G241</f>
        <v>2808.6467244051491</v>
      </c>
      <c r="J242" s="187">
        <f t="shared" si="75"/>
        <v>4583.7427293712617</v>
      </c>
      <c r="K242" s="72">
        <f t="shared" si="79"/>
        <v>74</v>
      </c>
      <c r="L242" s="180">
        <f t="shared" si="76"/>
        <v>17494904.964999199</v>
      </c>
      <c r="M242" s="181">
        <f t="shared" si="76"/>
        <v>93255.530343239312</v>
      </c>
      <c r="N242" s="180">
        <f t="shared" si="76"/>
        <v>55633.111222660766</v>
      </c>
      <c r="O242" s="132">
        <f t="shared" si="71"/>
        <v>37622.419120578539</v>
      </c>
    </row>
    <row r="243" spans="1:15" x14ac:dyDescent="0.25">
      <c r="A243" s="72">
        <f t="shared" si="77"/>
        <v>75</v>
      </c>
      <c r="B243" s="183">
        <f t="shared" si="72"/>
        <v>15781151.867772968</v>
      </c>
      <c r="C243" s="184">
        <f>-Hotel!$E$95/12</f>
        <v>85863.140889462898</v>
      </c>
      <c r="D243" s="183">
        <f>Hotel!$E$93/12*B242</f>
        <v>52714.335576951598</v>
      </c>
      <c r="E243" s="185">
        <f t="shared" si="73"/>
        <v>33148.8053125113</v>
      </c>
      <c r="F243" s="72">
        <f t="shared" si="78"/>
        <v>75</v>
      </c>
      <c r="G243" s="180">
        <f t="shared" si="74"/>
        <v>1676012.9096131313</v>
      </c>
      <c r="H243" s="186">
        <f>-Hotel!$E$100/12</f>
        <v>7392.3894537764108</v>
      </c>
      <c r="I243" s="149">
        <f>Hotel!$E$98/12*G242</f>
        <v>2801.0071531895305</v>
      </c>
      <c r="J243" s="187">
        <f t="shared" si="75"/>
        <v>4591.3823005868799</v>
      </c>
      <c r="K243" s="72">
        <f t="shared" si="79"/>
        <v>75</v>
      </c>
      <c r="L243" s="180">
        <f t="shared" si="76"/>
        <v>17457164.777386099</v>
      </c>
      <c r="M243" s="181">
        <f t="shared" si="76"/>
        <v>93255.530343239312</v>
      </c>
      <c r="N243" s="180">
        <f t="shared" si="76"/>
        <v>55515.342730141128</v>
      </c>
      <c r="O243" s="132">
        <f t="shared" si="71"/>
        <v>37740.187613098184</v>
      </c>
    </row>
    <row r="244" spans="1:15" x14ac:dyDescent="0.25">
      <c r="A244" s="72">
        <f t="shared" si="77"/>
        <v>76</v>
      </c>
      <c r="B244" s="183">
        <f t="shared" si="72"/>
        <v>15747892.566442749</v>
      </c>
      <c r="C244" s="184">
        <f>-Hotel!$E$95/12</f>
        <v>85863.140889462898</v>
      </c>
      <c r="D244" s="183">
        <f>Hotel!$E$93/12*B243</f>
        <v>52603.839559243235</v>
      </c>
      <c r="E244" s="185">
        <f t="shared" si="73"/>
        <v>33259.301330219663</v>
      </c>
      <c r="F244" s="72">
        <f t="shared" si="78"/>
        <v>76</v>
      </c>
      <c r="G244" s="180">
        <f t="shared" si="74"/>
        <v>1671413.8750087102</v>
      </c>
      <c r="H244" s="186">
        <f>-Hotel!$E$100/12</f>
        <v>7392.3894537764108</v>
      </c>
      <c r="I244" s="149">
        <f>Hotel!$E$98/12*G243</f>
        <v>2793.3548493552189</v>
      </c>
      <c r="J244" s="187">
        <f t="shared" si="75"/>
        <v>4599.0346044211919</v>
      </c>
      <c r="K244" s="72">
        <f t="shared" si="79"/>
        <v>76</v>
      </c>
      <c r="L244" s="180">
        <f t="shared" si="76"/>
        <v>17419306.44145146</v>
      </c>
      <c r="M244" s="181">
        <f t="shared" si="76"/>
        <v>93255.530343239312</v>
      </c>
      <c r="N244" s="180">
        <f t="shared" si="76"/>
        <v>55397.194408598458</v>
      </c>
      <c r="O244" s="132">
        <f t="shared" si="71"/>
        <v>37858.335934640854</v>
      </c>
    </row>
    <row r="245" spans="1:15" x14ac:dyDescent="0.25">
      <c r="A245" s="72">
        <f t="shared" si="77"/>
        <v>77</v>
      </c>
      <c r="B245" s="183">
        <f t="shared" si="72"/>
        <v>15714522.400774762</v>
      </c>
      <c r="C245" s="184">
        <f>-Hotel!$E$95/12</f>
        <v>85863.140889462898</v>
      </c>
      <c r="D245" s="183">
        <f>Hotel!$E$93/12*B244</f>
        <v>52492.975221475834</v>
      </c>
      <c r="E245" s="185">
        <f t="shared" si="73"/>
        <v>33370.165667987065</v>
      </c>
      <c r="F245" s="72">
        <f t="shared" si="78"/>
        <v>77</v>
      </c>
      <c r="G245" s="180">
        <f t="shared" si="74"/>
        <v>1666807.175346615</v>
      </c>
      <c r="H245" s="186">
        <f>-Hotel!$E$100/12</f>
        <v>7392.3894537764108</v>
      </c>
      <c r="I245" s="149">
        <f>Hotel!$E$98/12*G244</f>
        <v>2785.689791681184</v>
      </c>
      <c r="J245" s="187">
        <f t="shared" si="75"/>
        <v>4606.6996620952268</v>
      </c>
      <c r="K245" s="72">
        <f t="shared" si="79"/>
        <v>77</v>
      </c>
      <c r="L245" s="180">
        <f t="shared" si="76"/>
        <v>17381329.576121379</v>
      </c>
      <c r="M245" s="181">
        <f t="shared" si="76"/>
        <v>93255.530343239312</v>
      </c>
      <c r="N245" s="180">
        <f t="shared" si="76"/>
        <v>55278.66501315702</v>
      </c>
      <c r="O245" s="132">
        <f t="shared" si="71"/>
        <v>37976.865330082292</v>
      </c>
    </row>
    <row r="246" spans="1:15" x14ac:dyDescent="0.25">
      <c r="A246" s="72">
        <f t="shared" si="77"/>
        <v>78</v>
      </c>
      <c r="B246" s="183">
        <f t="shared" si="72"/>
        <v>15681041.001221215</v>
      </c>
      <c r="C246" s="184">
        <f>-Hotel!$E$95/12</f>
        <v>85863.140889462898</v>
      </c>
      <c r="D246" s="183">
        <f>Hotel!$E$93/12*B245</f>
        <v>52381.741335915875</v>
      </c>
      <c r="E246" s="185">
        <f t="shared" si="73"/>
        <v>33481.399553547024</v>
      </c>
      <c r="F246" s="72">
        <f t="shared" si="78"/>
        <v>78</v>
      </c>
      <c r="G246" s="180">
        <f t="shared" si="74"/>
        <v>1662192.7978517497</v>
      </c>
      <c r="H246" s="186">
        <f>-Hotel!$E$100/12</f>
        <v>7392.3894537764108</v>
      </c>
      <c r="I246" s="149">
        <f>Hotel!$E$98/12*G245</f>
        <v>2778.0119589110254</v>
      </c>
      <c r="J246" s="187">
        <f t="shared" si="75"/>
        <v>4614.3774948653854</v>
      </c>
      <c r="K246" s="72">
        <f t="shared" si="79"/>
        <v>78</v>
      </c>
      <c r="L246" s="180">
        <f t="shared" si="76"/>
        <v>17343233.799072966</v>
      </c>
      <c r="M246" s="181">
        <f t="shared" si="76"/>
        <v>93255.530343239312</v>
      </c>
      <c r="N246" s="180">
        <f t="shared" si="76"/>
        <v>55159.7532948269</v>
      </c>
      <c r="O246" s="132">
        <f t="shared" si="71"/>
        <v>38095.777048412412</v>
      </c>
    </row>
    <row r="247" spans="1:15" x14ac:dyDescent="0.25">
      <c r="A247" s="72">
        <f t="shared" si="77"/>
        <v>79</v>
      </c>
      <c r="B247" s="183">
        <f t="shared" si="72"/>
        <v>15647447.99700249</v>
      </c>
      <c r="C247" s="184">
        <f>-Hotel!$E$95/12</f>
        <v>85863.140889462898</v>
      </c>
      <c r="D247" s="183">
        <f>Hotel!$E$93/12*B246</f>
        <v>52270.136670737389</v>
      </c>
      <c r="E247" s="185">
        <f t="shared" si="73"/>
        <v>33593.004218725509</v>
      </c>
      <c r="F247" s="72">
        <f t="shared" si="78"/>
        <v>79</v>
      </c>
      <c r="G247" s="180">
        <f t="shared" si="74"/>
        <v>1657570.7297277262</v>
      </c>
      <c r="H247" s="186">
        <f>-Hotel!$E$100/12</f>
        <v>7392.3894537764108</v>
      </c>
      <c r="I247" s="149">
        <f>Hotel!$E$98/12*G246</f>
        <v>2770.3213297529164</v>
      </c>
      <c r="J247" s="187">
        <f t="shared" si="75"/>
        <v>4622.0681240234944</v>
      </c>
      <c r="K247" s="72">
        <f t="shared" si="79"/>
        <v>79</v>
      </c>
      <c r="L247" s="180">
        <f t="shared" si="76"/>
        <v>17305018.726730216</v>
      </c>
      <c r="M247" s="181">
        <f t="shared" si="76"/>
        <v>93255.530343239312</v>
      </c>
      <c r="N247" s="180">
        <f t="shared" si="76"/>
        <v>55040.458000490304</v>
      </c>
      <c r="O247" s="132">
        <f t="shared" si="71"/>
        <v>38215.072342749001</v>
      </c>
    </row>
    <row r="248" spans="1:15" x14ac:dyDescent="0.25">
      <c r="A248" s="72">
        <f t="shared" si="77"/>
        <v>80</v>
      </c>
      <c r="B248" s="183">
        <f t="shared" si="72"/>
        <v>15613743.016103035</v>
      </c>
      <c r="C248" s="184">
        <f>-Hotel!$E$95/12</f>
        <v>85863.140889462898</v>
      </c>
      <c r="D248" s="183">
        <f>Hotel!$E$93/12*B247</f>
        <v>52158.159990008302</v>
      </c>
      <c r="E248" s="185">
        <f t="shared" si="73"/>
        <v>33704.980899454597</v>
      </c>
      <c r="F248" s="72">
        <f t="shared" si="78"/>
        <v>80</v>
      </c>
      <c r="G248" s="180">
        <f t="shared" si="74"/>
        <v>1652940.9581568292</v>
      </c>
      <c r="H248" s="186">
        <f>-Hotel!$E$100/12</f>
        <v>7392.3894537764108</v>
      </c>
      <c r="I248" s="149">
        <f>Hotel!$E$98/12*G247</f>
        <v>2762.6178828795437</v>
      </c>
      <c r="J248" s="187">
        <f t="shared" si="75"/>
        <v>4629.7715708968672</v>
      </c>
      <c r="K248" s="72">
        <f t="shared" si="79"/>
        <v>80</v>
      </c>
      <c r="L248" s="180">
        <f t="shared" si="76"/>
        <v>17266683.974259865</v>
      </c>
      <c r="M248" s="181">
        <f t="shared" si="76"/>
        <v>93255.530343239312</v>
      </c>
      <c r="N248" s="180">
        <f t="shared" si="76"/>
        <v>54920.777872887847</v>
      </c>
      <c r="O248" s="132">
        <f t="shared" si="71"/>
        <v>38334.752470351465</v>
      </c>
    </row>
    <row r="249" spans="1:15" x14ac:dyDescent="0.25">
      <c r="A249" s="72">
        <f t="shared" si="77"/>
        <v>81</v>
      </c>
      <c r="B249" s="183">
        <f t="shared" si="72"/>
        <v>15579925.685267249</v>
      </c>
      <c r="C249" s="184">
        <f>-Hotel!$E$95/12</f>
        <v>85863.140889462898</v>
      </c>
      <c r="D249" s="183">
        <f>Hotel!$E$93/12*B248</f>
        <v>52045.810053676789</v>
      </c>
      <c r="E249" s="185">
        <f t="shared" si="73"/>
        <v>33817.33083578611</v>
      </c>
      <c r="F249" s="72">
        <f t="shared" si="78"/>
        <v>81</v>
      </c>
      <c r="G249" s="180">
        <f t="shared" si="74"/>
        <v>1648303.4702999808</v>
      </c>
      <c r="H249" s="186">
        <f>-Hotel!$E$100/12</f>
        <v>7392.3894537764108</v>
      </c>
      <c r="I249" s="149">
        <f>Hotel!$E$98/12*G248</f>
        <v>2754.901596928049</v>
      </c>
      <c r="J249" s="187">
        <f t="shared" si="75"/>
        <v>4637.4878568483618</v>
      </c>
      <c r="K249" s="72">
        <f t="shared" si="79"/>
        <v>81</v>
      </c>
      <c r="L249" s="180">
        <f t="shared" si="76"/>
        <v>17228229.155567229</v>
      </c>
      <c r="M249" s="181">
        <f t="shared" si="76"/>
        <v>93255.530343239312</v>
      </c>
      <c r="N249" s="180">
        <f t="shared" si="76"/>
        <v>54800.711650604841</v>
      </c>
      <c r="O249" s="132">
        <f t="shared" si="71"/>
        <v>38454.818692634472</v>
      </c>
    </row>
    <row r="250" spans="1:15" x14ac:dyDescent="0.25">
      <c r="A250" s="72">
        <f t="shared" si="77"/>
        <v>82</v>
      </c>
      <c r="B250" s="183">
        <f t="shared" si="72"/>
        <v>15545995.629995344</v>
      </c>
      <c r="C250" s="184">
        <f>-Hotel!$E$95/12</f>
        <v>85863.140889462898</v>
      </c>
      <c r="D250" s="183">
        <f>Hotel!$E$93/12*B249</f>
        <v>51933.085617557503</v>
      </c>
      <c r="E250" s="185">
        <f t="shared" si="73"/>
        <v>33930.055271905396</v>
      </c>
      <c r="F250" s="72">
        <f t="shared" si="78"/>
        <v>82</v>
      </c>
      <c r="G250" s="180">
        <f t="shared" si="74"/>
        <v>1643658.2532967045</v>
      </c>
      <c r="H250" s="186">
        <f>-Hotel!$E$100/12</f>
        <v>7392.3894537764108</v>
      </c>
      <c r="I250" s="149">
        <f>Hotel!$E$98/12*G249</f>
        <v>2747.1724504999684</v>
      </c>
      <c r="J250" s="187">
        <f t="shared" si="75"/>
        <v>4645.2170032764425</v>
      </c>
      <c r="K250" s="72">
        <f t="shared" si="79"/>
        <v>82</v>
      </c>
      <c r="L250" s="180">
        <f t="shared" si="76"/>
        <v>17189653.883292049</v>
      </c>
      <c r="M250" s="181">
        <f t="shared" si="76"/>
        <v>93255.530343239312</v>
      </c>
      <c r="N250" s="180">
        <f t="shared" si="76"/>
        <v>54680.258068057468</v>
      </c>
      <c r="O250" s="132">
        <f t="shared" si="71"/>
        <v>38575.272275181836</v>
      </c>
    </row>
    <row r="251" spans="1:15" x14ac:dyDescent="0.25">
      <c r="A251" s="72">
        <f t="shared" si="77"/>
        <v>83</v>
      </c>
      <c r="B251" s="183">
        <f t="shared" si="72"/>
        <v>15511952.4745392</v>
      </c>
      <c r="C251" s="184">
        <f>-Hotel!$E$95/12</f>
        <v>85863.140889462898</v>
      </c>
      <c r="D251" s="183">
        <f>Hotel!$E$93/12*B250</f>
        <v>51819.985433317815</v>
      </c>
      <c r="E251" s="185">
        <f t="shared" si="73"/>
        <v>34043.155456145083</v>
      </c>
      <c r="F251" s="72">
        <f t="shared" si="78"/>
        <v>83</v>
      </c>
      <c r="G251" s="180">
        <f t="shared" si="74"/>
        <v>1639005.2942650893</v>
      </c>
      <c r="H251" s="186">
        <f>-Hotel!$E$100/12</f>
        <v>7392.3894537764108</v>
      </c>
      <c r="I251" s="149">
        <f>Hotel!$E$98/12*G250</f>
        <v>2739.4304221611742</v>
      </c>
      <c r="J251" s="187">
        <f t="shared" si="75"/>
        <v>4652.9590316152371</v>
      </c>
      <c r="K251" s="72">
        <f t="shared" si="79"/>
        <v>83</v>
      </c>
      <c r="L251" s="180">
        <f t="shared" si="76"/>
        <v>17150957.768804289</v>
      </c>
      <c r="M251" s="181">
        <f t="shared" si="76"/>
        <v>93255.530343239312</v>
      </c>
      <c r="N251" s="180">
        <f t="shared" si="76"/>
        <v>54559.41585547899</v>
      </c>
      <c r="O251" s="132">
        <f t="shared" si="71"/>
        <v>38696.114487760322</v>
      </c>
    </row>
    <row r="252" spans="1:15" x14ac:dyDescent="0.25">
      <c r="A252" s="72">
        <f t="shared" si="77"/>
        <v>84</v>
      </c>
      <c r="B252" s="183">
        <f t="shared" si="72"/>
        <v>15477795.841898201</v>
      </c>
      <c r="C252" s="184">
        <f>-Hotel!$E$95/12</f>
        <v>85863.140889462898</v>
      </c>
      <c r="D252" s="183">
        <f>Hotel!$E$93/12*B251</f>
        <v>51706.508248464001</v>
      </c>
      <c r="E252" s="185">
        <f t="shared" si="73"/>
        <v>34156.632640998898</v>
      </c>
      <c r="F252" s="72">
        <f t="shared" si="78"/>
        <v>84</v>
      </c>
      <c r="G252" s="180">
        <f t="shared" si="74"/>
        <v>1634344.5803017546</v>
      </c>
      <c r="H252" s="186">
        <f>-Hotel!$E$100/12</f>
        <v>7392.3894537764108</v>
      </c>
      <c r="I252" s="149">
        <f>Hotel!$E$98/12*G251</f>
        <v>2731.6754904418158</v>
      </c>
      <c r="J252" s="187">
        <f t="shared" si="75"/>
        <v>4660.7139633345951</v>
      </c>
      <c r="K252" s="72">
        <f t="shared" si="79"/>
        <v>84</v>
      </c>
      <c r="L252" s="180">
        <f t="shared" si="76"/>
        <v>17112140.422199957</v>
      </c>
      <c r="M252" s="181">
        <f t="shared" si="76"/>
        <v>93255.530343239312</v>
      </c>
      <c r="N252" s="180">
        <f t="shared" si="76"/>
        <v>54438.18373890582</v>
      </c>
      <c r="O252" s="132">
        <f t="shared" si="71"/>
        <v>38817.346604333492</v>
      </c>
    </row>
    <row r="253" spans="1:15" x14ac:dyDescent="0.25">
      <c r="A253" s="72">
        <f t="shared" si="77"/>
        <v>85</v>
      </c>
      <c r="B253" s="183">
        <f t="shared" si="72"/>
        <v>15443525.353815066</v>
      </c>
      <c r="C253" s="184">
        <f>-Hotel!$E$95/12</f>
        <v>85863.140889462898</v>
      </c>
      <c r="D253" s="183">
        <f>Hotel!$E$93/12*B252</f>
        <v>51592.652806327344</v>
      </c>
      <c r="E253" s="185">
        <f t="shared" si="73"/>
        <v>34270.488083135555</v>
      </c>
      <c r="F253" s="72">
        <f t="shared" si="78"/>
        <v>85</v>
      </c>
      <c r="G253" s="180">
        <f t="shared" si="74"/>
        <v>1629676.0984818144</v>
      </c>
      <c r="H253" s="186">
        <f>-Hotel!$E$100/12</f>
        <v>7392.3894537764108</v>
      </c>
      <c r="I253" s="149">
        <f>Hotel!$E$98/12*G252</f>
        <v>2723.9076338362579</v>
      </c>
      <c r="J253" s="187">
        <f t="shared" si="75"/>
        <v>4668.4818199401525</v>
      </c>
      <c r="K253" s="72">
        <f t="shared" si="79"/>
        <v>85</v>
      </c>
      <c r="L253" s="180">
        <f t="shared" si="76"/>
        <v>17073201.452296879</v>
      </c>
      <c r="M253" s="181">
        <f t="shared" si="76"/>
        <v>93255.530343239312</v>
      </c>
      <c r="N253" s="180">
        <f t="shared" si="76"/>
        <v>54316.560440163601</v>
      </c>
      <c r="O253" s="132">
        <f t="shared" si="71"/>
        <v>38938.969903075704</v>
      </c>
    </row>
    <row r="254" spans="1:15" x14ac:dyDescent="0.25">
      <c r="A254" s="72">
        <f t="shared" si="77"/>
        <v>86</v>
      </c>
      <c r="B254" s="183">
        <f t="shared" si="72"/>
        <v>15409140.630771654</v>
      </c>
      <c r="C254" s="184">
        <f>-Hotel!$E$95/12</f>
        <v>85863.140889462898</v>
      </c>
      <c r="D254" s="183">
        <f>Hotel!$E$93/12*B253</f>
        <v>51478.417846050223</v>
      </c>
      <c r="E254" s="185">
        <f t="shared" si="73"/>
        <v>34384.723043412676</v>
      </c>
      <c r="F254" s="72">
        <f t="shared" si="78"/>
        <v>86</v>
      </c>
      <c r="G254" s="180">
        <f t="shared" si="74"/>
        <v>1624999.835858841</v>
      </c>
      <c r="H254" s="186">
        <f>-Hotel!$E$100/12</f>
        <v>7392.3894537764108</v>
      </c>
      <c r="I254" s="149">
        <f>Hotel!$E$98/12*G253</f>
        <v>2716.1268308030239</v>
      </c>
      <c r="J254" s="187">
        <f t="shared" si="75"/>
        <v>4676.2626229733869</v>
      </c>
      <c r="K254" s="72">
        <f t="shared" si="79"/>
        <v>86</v>
      </c>
      <c r="L254" s="180">
        <f t="shared" si="76"/>
        <v>17034140.466630496</v>
      </c>
      <c r="M254" s="181">
        <f t="shared" si="76"/>
        <v>93255.530343239312</v>
      </c>
      <c r="N254" s="180">
        <f t="shared" si="76"/>
        <v>54194.544676853249</v>
      </c>
      <c r="O254" s="132">
        <f t="shared" si="71"/>
        <v>39060.985666386063</v>
      </c>
    </row>
    <row r="255" spans="1:15" x14ac:dyDescent="0.25">
      <c r="A255" s="72">
        <f t="shared" si="77"/>
        <v>87</v>
      </c>
      <c r="B255" s="183">
        <f t="shared" si="72"/>
        <v>15374641.291984763</v>
      </c>
      <c r="C255" s="184">
        <f>-Hotel!$E$95/12</f>
        <v>85863.140889462898</v>
      </c>
      <c r="D255" s="183">
        <f>Hotel!$E$93/12*B254</f>
        <v>51363.802102572183</v>
      </c>
      <c r="E255" s="185">
        <f t="shared" si="73"/>
        <v>34499.338786890716</v>
      </c>
      <c r="F255" s="72">
        <f t="shared" si="78"/>
        <v>87</v>
      </c>
      <c r="G255" s="180">
        <f t="shared" si="74"/>
        <v>1620315.7794648292</v>
      </c>
      <c r="H255" s="186">
        <f>-Hotel!$E$100/12</f>
        <v>7392.3894537764108</v>
      </c>
      <c r="I255" s="149">
        <f>Hotel!$E$98/12*G254</f>
        <v>2708.333059764735</v>
      </c>
      <c r="J255" s="187">
        <f t="shared" si="75"/>
        <v>4684.0563940116754</v>
      </c>
      <c r="K255" s="72">
        <f t="shared" si="79"/>
        <v>87</v>
      </c>
      <c r="L255" s="180">
        <f t="shared" si="76"/>
        <v>16994957.071449593</v>
      </c>
      <c r="M255" s="181">
        <f t="shared" si="76"/>
        <v>93255.530343239312</v>
      </c>
      <c r="N255" s="180">
        <f t="shared" si="76"/>
        <v>54072.135162336919</v>
      </c>
      <c r="O255" s="132">
        <f t="shared" si="71"/>
        <v>39183.395180902393</v>
      </c>
    </row>
    <row r="256" spans="1:15" x14ac:dyDescent="0.25">
      <c r="A256" s="72">
        <f t="shared" si="77"/>
        <v>88</v>
      </c>
      <c r="B256" s="183">
        <f t="shared" si="72"/>
        <v>15340026.955401916</v>
      </c>
      <c r="C256" s="184">
        <f>-Hotel!$E$95/12</f>
        <v>85863.140889462898</v>
      </c>
      <c r="D256" s="183">
        <f>Hotel!$E$93/12*B255</f>
        <v>51248.804306615879</v>
      </c>
      <c r="E256" s="185">
        <f t="shared" si="73"/>
        <v>34614.33658284702</v>
      </c>
      <c r="F256" s="72">
        <f t="shared" si="78"/>
        <v>88</v>
      </c>
      <c r="G256" s="180">
        <f t="shared" si="74"/>
        <v>1615623.9163101609</v>
      </c>
      <c r="H256" s="186">
        <f>-Hotel!$E$100/12</f>
        <v>7392.3894537764108</v>
      </c>
      <c r="I256" s="149">
        <f>Hotel!$E$98/12*G255</f>
        <v>2700.526299108049</v>
      </c>
      <c r="J256" s="187">
        <f t="shared" si="75"/>
        <v>4691.8631546683619</v>
      </c>
      <c r="K256" s="72">
        <f t="shared" si="79"/>
        <v>88</v>
      </c>
      <c r="L256" s="180">
        <f t="shared" si="76"/>
        <v>16955650.871712077</v>
      </c>
      <c r="M256" s="181">
        <f t="shared" si="76"/>
        <v>93255.530343239312</v>
      </c>
      <c r="N256" s="180">
        <f t="shared" si="76"/>
        <v>53949.330605723924</v>
      </c>
      <c r="O256" s="132">
        <f t="shared" si="71"/>
        <v>39306.199737515381</v>
      </c>
    </row>
    <row r="257" spans="1:15" x14ac:dyDescent="0.25">
      <c r="A257" s="72">
        <f t="shared" si="77"/>
        <v>89</v>
      </c>
      <c r="B257" s="183">
        <f t="shared" si="72"/>
        <v>15305297.237697126</v>
      </c>
      <c r="C257" s="184">
        <f>-Hotel!$E$95/12</f>
        <v>85863.140889462898</v>
      </c>
      <c r="D257" s="183">
        <f>Hotel!$E$93/12*B256</f>
        <v>51133.423184673054</v>
      </c>
      <c r="E257" s="185">
        <f t="shared" si="73"/>
        <v>34729.717704789844</v>
      </c>
      <c r="F257" s="72">
        <f t="shared" si="78"/>
        <v>89</v>
      </c>
      <c r="G257" s="180">
        <f t="shared" si="74"/>
        <v>1610924.233383568</v>
      </c>
      <c r="H257" s="186">
        <f>-Hotel!$E$100/12</f>
        <v>7392.3894537764108</v>
      </c>
      <c r="I257" s="149">
        <f>Hotel!$E$98/12*G256</f>
        <v>2692.7065271836018</v>
      </c>
      <c r="J257" s="187">
        <f t="shared" si="75"/>
        <v>4699.6829265928091</v>
      </c>
      <c r="K257" s="72">
        <f t="shared" si="79"/>
        <v>89</v>
      </c>
      <c r="L257" s="180">
        <f t="shared" si="76"/>
        <v>16916221.471080694</v>
      </c>
      <c r="M257" s="181">
        <f t="shared" si="76"/>
        <v>93255.530343239312</v>
      </c>
      <c r="N257" s="180">
        <f t="shared" si="76"/>
        <v>53826.129711856658</v>
      </c>
      <c r="O257" s="132">
        <f t="shared" si="71"/>
        <v>39429.400631382654</v>
      </c>
    </row>
    <row r="258" spans="1:15" x14ac:dyDescent="0.25">
      <c r="A258" s="72">
        <f t="shared" si="77"/>
        <v>90</v>
      </c>
      <c r="B258" s="183">
        <f t="shared" si="72"/>
        <v>15270451.754266653</v>
      </c>
      <c r="C258" s="184">
        <f>-Hotel!$E$95/12</f>
        <v>85863.140889462898</v>
      </c>
      <c r="D258" s="183">
        <f>Hotel!$E$93/12*B257</f>
        <v>51017.657458990427</v>
      </c>
      <c r="E258" s="185">
        <f t="shared" si="73"/>
        <v>34845.483430472472</v>
      </c>
      <c r="F258" s="72">
        <f t="shared" si="78"/>
        <v>90</v>
      </c>
      <c r="G258" s="180">
        <f t="shared" si="74"/>
        <v>1606216.7176520976</v>
      </c>
      <c r="H258" s="186">
        <f>-Hotel!$E$100/12</f>
        <v>7392.3894537764108</v>
      </c>
      <c r="I258" s="149">
        <f>Hotel!$E$98/12*G257</f>
        <v>2684.873722305947</v>
      </c>
      <c r="J258" s="187">
        <f t="shared" si="75"/>
        <v>4707.5157314704638</v>
      </c>
      <c r="K258" s="72">
        <f t="shared" si="79"/>
        <v>90</v>
      </c>
      <c r="L258" s="180">
        <f t="shared" si="76"/>
        <v>16876668.471918751</v>
      </c>
      <c r="M258" s="181">
        <f t="shared" si="76"/>
        <v>93255.530343239312</v>
      </c>
      <c r="N258" s="180">
        <f t="shared" si="76"/>
        <v>53702.531181296377</v>
      </c>
      <c r="O258" s="132">
        <f t="shared" si="71"/>
        <v>39552.999161942935</v>
      </c>
    </row>
    <row r="259" spans="1:15" x14ac:dyDescent="0.25">
      <c r="A259" s="72">
        <f t="shared" si="77"/>
        <v>91</v>
      </c>
      <c r="B259" s="183">
        <f t="shared" si="72"/>
        <v>15235490.119224746</v>
      </c>
      <c r="C259" s="184">
        <f>-Hotel!$E$95/12</f>
        <v>85863.140889462898</v>
      </c>
      <c r="D259" s="183">
        <f>Hotel!$E$93/12*B258</f>
        <v>50901.505847555512</v>
      </c>
      <c r="E259" s="185">
        <f t="shared" si="73"/>
        <v>34961.635041907386</v>
      </c>
      <c r="F259" s="72">
        <f t="shared" si="78"/>
        <v>91</v>
      </c>
      <c r="G259" s="180">
        <f t="shared" si="74"/>
        <v>1601501.3560610746</v>
      </c>
      <c r="H259" s="186">
        <f>-Hotel!$E$100/12</f>
        <v>7392.3894537764108</v>
      </c>
      <c r="I259" s="149">
        <f>Hotel!$E$98/12*G258</f>
        <v>2677.0278627534963</v>
      </c>
      <c r="J259" s="187">
        <f t="shared" si="75"/>
        <v>4715.3615910229146</v>
      </c>
      <c r="K259" s="72">
        <f t="shared" si="79"/>
        <v>91</v>
      </c>
      <c r="L259" s="180">
        <f t="shared" si="76"/>
        <v>16836991.475285821</v>
      </c>
      <c r="M259" s="181">
        <f t="shared" si="76"/>
        <v>93255.530343239312</v>
      </c>
      <c r="N259" s="180">
        <f t="shared" si="76"/>
        <v>53578.533710309006</v>
      </c>
      <c r="O259" s="132">
        <f t="shared" si="71"/>
        <v>39676.996632930299</v>
      </c>
    </row>
    <row r="260" spans="1:15" x14ac:dyDescent="0.25">
      <c r="A260" s="72">
        <f t="shared" si="77"/>
        <v>92</v>
      </c>
      <c r="B260" s="183">
        <f t="shared" si="72"/>
        <v>15200411.945399364</v>
      </c>
      <c r="C260" s="184">
        <f>-Hotel!$E$95/12</f>
        <v>85863.140889462898</v>
      </c>
      <c r="D260" s="183">
        <f>Hotel!$E$93/12*B259</f>
        <v>50784.967064082492</v>
      </c>
      <c r="E260" s="185">
        <f t="shared" si="73"/>
        <v>35078.173825380407</v>
      </c>
      <c r="F260" s="72">
        <f t="shared" si="78"/>
        <v>92</v>
      </c>
      <c r="G260" s="180">
        <f t="shared" si="74"/>
        <v>1596778.1355340667</v>
      </c>
      <c r="H260" s="186">
        <f>-Hotel!$E$100/12</f>
        <v>7392.3894537764108</v>
      </c>
      <c r="I260" s="149">
        <f>Hotel!$E$98/12*G259</f>
        <v>2669.1689267684578</v>
      </c>
      <c r="J260" s="187">
        <f t="shared" si="75"/>
        <v>4723.220527007953</v>
      </c>
      <c r="K260" s="72">
        <f t="shared" si="79"/>
        <v>92</v>
      </c>
      <c r="L260" s="180">
        <f t="shared" si="76"/>
        <v>16797190.080933429</v>
      </c>
      <c r="M260" s="181">
        <f t="shared" si="76"/>
        <v>93255.530343239312</v>
      </c>
      <c r="N260" s="180">
        <f t="shared" si="76"/>
        <v>53454.135990850948</v>
      </c>
      <c r="O260" s="132">
        <f t="shared" si="71"/>
        <v>39801.394352388357</v>
      </c>
    </row>
    <row r="261" spans="1:15" x14ac:dyDescent="0.25">
      <c r="A261" s="72">
        <f t="shared" si="77"/>
        <v>93</v>
      </c>
      <c r="B261" s="183">
        <f t="shared" si="72"/>
        <v>15165216.844327899</v>
      </c>
      <c r="C261" s="184">
        <f>-Hotel!$E$95/12</f>
        <v>85863.140889462898</v>
      </c>
      <c r="D261" s="183">
        <f>Hotel!$E$93/12*B260</f>
        <v>50668.039817997887</v>
      </c>
      <c r="E261" s="185">
        <f t="shared" si="73"/>
        <v>35195.101071465011</v>
      </c>
      <c r="F261" s="72">
        <f t="shared" si="78"/>
        <v>93</v>
      </c>
      <c r="G261" s="180">
        <f t="shared" si="74"/>
        <v>1592047.0429728471</v>
      </c>
      <c r="H261" s="186">
        <f>-Hotel!$E$100/12</f>
        <v>7392.3894537764108</v>
      </c>
      <c r="I261" s="149">
        <f>Hotel!$E$98/12*G260</f>
        <v>2661.2968925567779</v>
      </c>
      <c r="J261" s="187">
        <f t="shared" si="75"/>
        <v>4731.0925612196334</v>
      </c>
      <c r="K261" s="72">
        <f t="shared" si="79"/>
        <v>93</v>
      </c>
      <c r="L261" s="180">
        <f t="shared" si="76"/>
        <v>16757263.887300747</v>
      </c>
      <c r="M261" s="181">
        <f t="shared" si="76"/>
        <v>93255.530343239312</v>
      </c>
      <c r="N261" s="180">
        <f t="shared" si="76"/>
        <v>53329.336710554664</v>
      </c>
      <c r="O261" s="132">
        <f t="shared" si="71"/>
        <v>39926.193632684648</v>
      </c>
    </row>
    <row r="262" spans="1:15" x14ac:dyDescent="0.25">
      <c r="A262" s="72">
        <f t="shared" si="77"/>
        <v>94</v>
      </c>
      <c r="B262" s="183">
        <f t="shared" si="72"/>
        <v>15129904.426252862</v>
      </c>
      <c r="C262" s="184">
        <f>-Hotel!$E$95/12</f>
        <v>85863.140889462898</v>
      </c>
      <c r="D262" s="183">
        <f>Hotel!$E$93/12*B261</f>
        <v>50550.722814426335</v>
      </c>
      <c r="E262" s="185">
        <f t="shared" si="73"/>
        <v>35312.418075036563</v>
      </c>
      <c r="F262" s="72">
        <f t="shared" si="78"/>
        <v>94</v>
      </c>
      <c r="G262" s="180">
        <f t="shared" si="74"/>
        <v>1587308.0652573588</v>
      </c>
      <c r="H262" s="186">
        <f>-Hotel!$E$100/12</f>
        <v>7392.3894537764108</v>
      </c>
      <c r="I262" s="149">
        <f>Hotel!$E$98/12*G261</f>
        <v>2653.4117382880786</v>
      </c>
      <c r="J262" s="187">
        <f t="shared" si="75"/>
        <v>4738.9777154883323</v>
      </c>
      <c r="K262" s="72">
        <f t="shared" si="79"/>
        <v>94</v>
      </c>
      <c r="L262" s="180">
        <f t="shared" si="76"/>
        <v>16717212.491510222</v>
      </c>
      <c r="M262" s="181">
        <f t="shared" si="76"/>
        <v>93255.530343239312</v>
      </c>
      <c r="N262" s="180">
        <f t="shared" si="76"/>
        <v>53204.134552714415</v>
      </c>
      <c r="O262" s="132">
        <f t="shared" si="71"/>
        <v>40051.395790524897</v>
      </c>
    </row>
    <row r="263" spans="1:15" x14ac:dyDescent="0.25">
      <c r="A263" s="72">
        <f t="shared" si="77"/>
        <v>95</v>
      </c>
      <c r="B263" s="183">
        <f t="shared" si="72"/>
        <v>15094474.300117576</v>
      </c>
      <c r="C263" s="184">
        <f>-Hotel!$E$95/12</f>
        <v>85863.140889462898</v>
      </c>
      <c r="D263" s="183">
        <f>Hotel!$E$93/12*B262</f>
        <v>50433.014754176213</v>
      </c>
      <c r="E263" s="185">
        <f t="shared" si="73"/>
        <v>35430.126135286686</v>
      </c>
      <c r="F263" s="72">
        <f t="shared" si="78"/>
        <v>95</v>
      </c>
      <c r="G263" s="180">
        <f t="shared" si="74"/>
        <v>1582561.189245678</v>
      </c>
      <c r="H263" s="186">
        <f>-Hotel!$E$100/12</f>
        <v>7392.3894537764108</v>
      </c>
      <c r="I263" s="149">
        <f>Hotel!$E$98/12*G262</f>
        <v>2645.5134420955983</v>
      </c>
      <c r="J263" s="187">
        <f t="shared" si="75"/>
        <v>4746.8760116808126</v>
      </c>
      <c r="K263" s="72">
        <f t="shared" si="79"/>
        <v>95</v>
      </c>
      <c r="L263" s="180">
        <f t="shared" si="76"/>
        <v>16677035.489363255</v>
      </c>
      <c r="M263" s="181">
        <f t="shared" si="76"/>
        <v>93255.530343239312</v>
      </c>
      <c r="N263" s="180">
        <f t="shared" si="76"/>
        <v>53078.528196271815</v>
      </c>
      <c r="O263" s="132">
        <f t="shared" si="71"/>
        <v>40177.002146967498</v>
      </c>
    </row>
    <row r="264" spans="1:15" x14ac:dyDescent="0.25">
      <c r="A264" s="72">
        <f t="shared" si="77"/>
        <v>96</v>
      </c>
      <c r="B264" s="183">
        <f t="shared" si="72"/>
        <v>15058926.07356184</v>
      </c>
      <c r="C264" s="184">
        <f>-Hotel!$E$95/12</f>
        <v>85863.140889462898</v>
      </c>
      <c r="D264" s="183">
        <f>Hotel!$E$93/12*B263</f>
        <v>50314.914333725261</v>
      </c>
      <c r="E264" s="185">
        <f t="shared" si="73"/>
        <v>35548.226555737638</v>
      </c>
      <c r="F264" s="72">
        <f t="shared" si="78"/>
        <v>96</v>
      </c>
      <c r="G264" s="180">
        <f t="shared" si="74"/>
        <v>1577806.4017739778</v>
      </c>
      <c r="H264" s="186">
        <f>-Hotel!$E$100/12</f>
        <v>7392.3894537764108</v>
      </c>
      <c r="I264" s="149">
        <f>Hotel!$E$98/12*G263</f>
        <v>2637.6019820761303</v>
      </c>
      <c r="J264" s="187">
        <f t="shared" si="75"/>
        <v>4754.7874717002805</v>
      </c>
      <c r="K264" s="72">
        <f t="shared" si="79"/>
        <v>96</v>
      </c>
      <c r="L264" s="180">
        <f t="shared" si="76"/>
        <v>16636732.475335818</v>
      </c>
      <c r="M264" s="181">
        <f t="shared" si="76"/>
        <v>93255.530343239312</v>
      </c>
      <c r="N264" s="180">
        <f t="shared" si="76"/>
        <v>52952.516315801389</v>
      </c>
      <c r="O264" s="132">
        <f t="shared" si="71"/>
        <v>40303.014027437916</v>
      </c>
    </row>
    <row r="265" spans="1:15" x14ac:dyDescent="0.25">
      <c r="A265" s="72">
        <f t="shared" si="77"/>
        <v>97</v>
      </c>
      <c r="B265" s="183">
        <f t="shared" si="72"/>
        <v>15023259.352917584</v>
      </c>
      <c r="C265" s="184">
        <f>-Hotel!$E$95/12</f>
        <v>85863.140889462898</v>
      </c>
      <c r="D265" s="183">
        <f>Hotel!$E$93/12*B264</f>
        <v>50196.420245206136</v>
      </c>
      <c r="E265" s="185">
        <f t="shared" si="73"/>
        <v>35666.720644256762</v>
      </c>
      <c r="F265" s="72">
        <f t="shared" si="78"/>
        <v>97</v>
      </c>
      <c r="G265" s="180">
        <f t="shared" si="74"/>
        <v>1573043.6896564914</v>
      </c>
      <c r="H265" s="186">
        <f>-Hotel!$E$100/12</f>
        <v>7392.3894537764108</v>
      </c>
      <c r="I265" s="149">
        <f>Hotel!$E$98/12*G264</f>
        <v>2629.677336289963</v>
      </c>
      <c r="J265" s="187">
        <f t="shared" si="75"/>
        <v>4762.7121174864478</v>
      </c>
      <c r="K265" s="72">
        <f t="shared" si="79"/>
        <v>97</v>
      </c>
      <c r="L265" s="180">
        <f t="shared" si="76"/>
        <v>16596303.042574074</v>
      </c>
      <c r="M265" s="181">
        <f t="shared" si="76"/>
        <v>93255.530343239312</v>
      </c>
      <c r="N265" s="180">
        <f t="shared" si="76"/>
        <v>52826.097581496098</v>
      </c>
      <c r="O265" s="132">
        <f t="shared" si="71"/>
        <v>40429.432761743214</v>
      </c>
    </row>
    <row r="266" spans="1:15" x14ac:dyDescent="0.25">
      <c r="A266" s="72">
        <f t="shared" si="77"/>
        <v>98</v>
      </c>
      <c r="B266" s="183">
        <f t="shared" si="72"/>
        <v>14987473.743204514</v>
      </c>
      <c r="C266" s="184">
        <f>-Hotel!$E$95/12</f>
        <v>85863.140889462898</v>
      </c>
      <c r="D266" s="183">
        <f>Hotel!$E$93/12*B265</f>
        <v>50077.531176391945</v>
      </c>
      <c r="E266" s="185">
        <f t="shared" si="73"/>
        <v>35785.609713070953</v>
      </c>
      <c r="F266" s="72">
        <f t="shared" si="78"/>
        <v>98</v>
      </c>
      <c r="G266" s="180">
        <f t="shared" si="74"/>
        <v>1568273.0396854759</v>
      </c>
      <c r="H266" s="186">
        <f>-Hotel!$E$100/12</f>
        <v>7392.3894537764108</v>
      </c>
      <c r="I266" s="149">
        <f>Hotel!$E$98/12*G265</f>
        <v>2621.7394827608191</v>
      </c>
      <c r="J266" s="187">
        <f t="shared" si="75"/>
        <v>4770.6499710155913</v>
      </c>
      <c r="K266" s="72">
        <f t="shared" si="79"/>
        <v>98</v>
      </c>
      <c r="L266" s="180">
        <f t="shared" si="76"/>
        <v>16555746.78288999</v>
      </c>
      <c r="M266" s="181">
        <f t="shared" si="76"/>
        <v>93255.530343239312</v>
      </c>
      <c r="N266" s="180">
        <f t="shared" si="76"/>
        <v>52699.270659152768</v>
      </c>
      <c r="O266" s="132">
        <f t="shared" si="71"/>
        <v>40556.259684086544</v>
      </c>
    </row>
    <row r="267" spans="1:15" x14ac:dyDescent="0.25">
      <c r="A267" s="72">
        <f t="shared" si="77"/>
        <v>99</v>
      </c>
      <c r="B267" s="183">
        <f t="shared" si="72"/>
        <v>14951568.848125732</v>
      </c>
      <c r="C267" s="184">
        <f>-Hotel!$E$95/12</f>
        <v>85863.140889462898</v>
      </c>
      <c r="D267" s="183">
        <f>Hotel!$E$93/12*B266</f>
        <v>49958.245810681714</v>
      </c>
      <c r="E267" s="185">
        <f t="shared" si="73"/>
        <v>35904.895078781185</v>
      </c>
      <c r="F267" s="72">
        <f t="shared" si="78"/>
        <v>99</v>
      </c>
      <c r="G267" s="180">
        <f t="shared" si="74"/>
        <v>1563494.4386311753</v>
      </c>
      <c r="H267" s="186">
        <f>-Hotel!$E$100/12</f>
        <v>7392.3894537764108</v>
      </c>
      <c r="I267" s="149">
        <f>Hotel!$E$98/12*G266</f>
        <v>2613.7883994757931</v>
      </c>
      <c r="J267" s="187">
        <f t="shared" si="75"/>
        <v>4778.6010543006178</v>
      </c>
      <c r="K267" s="72">
        <f t="shared" si="79"/>
        <v>99</v>
      </c>
      <c r="L267" s="180">
        <f t="shared" si="76"/>
        <v>16515063.286756907</v>
      </c>
      <c r="M267" s="181">
        <f t="shared" si="76"/>
        <v>93255.530343239312</v>
      </c>
      <c r="N267" s="180">
        <f t="shared" si="76"/>
        <v>52572.034210157508</v>
      </c>
      <c r="O267" s="132">
        <f t="shared" si="71"/>
        <v>40683.496133081804</v>
      </c>
    </row>
    <row r="268" spans="1:15" x14ac:dyDescent="0.25">
      <c r="A268" s="72">
        <f t="shared" si="77"/>
        <v>100</v>
      </c>
      <c r="B268" s="183">
        <f t="shared" si="72"/>
        <v>14915544.270063354</v>
      </c>
      <c r="C268" s="184">
        <f>-Hotel!$E$95/12</f>
        <v>85863.140889462898</v>
      </c>
      <c r="D268" s="183">
        <f>Hotel!$E$93/12*B267</f>
        <v>49838.562827085778</v>
      </c>
      <c r="E268" s="185">
        <f t="shared" si="73"/>
        <v>36024.578062377121</v>
      </c>
      <c r="F268" s="72">
        <f t="shared" si="78"/>
        <v>100</v>
      </c>
      <c r="G268" s="180">
        <f t="shared" si="74"/>
        <v>1558707.8732417843</v>
      </c>
      <c r="H268" s="186">
        <f>-Hotel!$E$100/12</f>
        <v>7392.3894537764108</v>
      </c>
      <c r="I268" s="149">
        <f>Hotel!$E$98/12*G267</f>
        <v>2605.8240643852923</v>
      </c>
      <c r="J268" s="187">
        <f t="shared" si="75"/>
        <v>4786.5653893911185</v>
      </c>
      <c r="K268" s="72">
        <f t="shared" si="79"/>
        <v>100</v>
      </c>
      <c r="L268" s="180">
        <f t="shared" si="76"/>
        <v>16474252.143305138</v>
      </c>
      <c r="M268" s="181">
        <f t="shared" si="76"/>
        <v>93255.530343239312</v>
      </c>
      <c r="N268" s="180">
        <f t="shared" si="76"/>
        <v>52444.386891471069</v>
      </c>
      <c r="O268" s="132">
        <f t="shared" si="71"/>
        <v>40811.143451768236</v>
      </c>
    </row>
    <row r="269" spans="1:15" x14ac:dyDescent="0.25">
      <c r="A269" s="72">
        <f t="shared" si="77"/>
        <v>101</v>
      </c>
      <c r="B269" s="183">
        <f t="shared" si="72"/>
        <v>14879399.610074103</v>
      </c>
      <c r="C269" s="184">
        <f>-Hotel!$E$95/12</f>
        <v>85863.140889462898</v>
      </c>
      <c r="D269" s="183">
        <f>Hotel!$E$93/12*B268</f>
        <v>49718.48090021118</v>
      </c>
      <c r="E269" s="185">
        <f t="shared" si="73"/>
        <v>36144.659989251719</v>
      </c>
      <c r="F269" s="72">
        <f t="shared" si="78"/>
        <v>101</v>
      </c>
      <c r="G269" s="180">
        <f t="shared" si="74"/>
        <v>1553913.3302434108</v>
      </c>
      <c r="H269" s="186">
        <f>-Hotel!$E$100/12</f>
        <v>7392.3894537764108</v>
      </c>
      <c r="I269" s="149">
        <f>Hotel!$E$98/12*G268</f>
        <v>2597.8464554029738</v>
      </c>
      <c r="J269" s="187">
        <f t="shared" si="75"/>
        <v>4794.5429983734375</v>
      </c>
      <c r="K269" s="72">
        <f t="shared" si="79"/>
        <v>101</v>
      </c>
      <c r="L269" s="180">
        <f t="shared" si="76"/>
        <v>16433312.940317513</v>
      </c>
      <c r="M269" s="181">
        <f t="shared" si="76"/>
        <v>93255.530343239312</v>
      </c>
      <c r="N269" s="180">
        <f t="shared" si="76"/>
        <v>52316.32735561415</v>
      </c>
      <c r="O269" s="132">
        <f t="shared" si="71"/>
        <v>40939.202987625154</v>
      </c>
    </row>
    <row r="270" spans="1:15" x14ac:dyDescent="0.25">
      <c r="A270" s="72">
        <f t="shared" si="77"/>
        <v>102</v>
      </c>
      <c r="B270" s="183">
        <f t="shared" si="72"/>
        <v>14843134.467884887</v>
      </c>
      <c r="C270" s="184">
        <f>-Hotel!$E$95/12</f>
        <v>85863.140889462898</v>
      </c>
      <c r="D270" s="183">
        <f>Hotel!$E$93/12*B269</f>
        <v>49597.998700247015</v>
      </c>
      <c r="E270" s="185">
        <f t="shared" si="73"/>
        <v>36265.142189215883</v>
      </c>
      <c r="F270" s="72">
        <f t="shared" si="78"/>
        <v>102</v>
      </c>
      <c r="G270" s="180">
        <f t="shared" si="74"/>
        <v>1549110.7963400402</v>
      </c>
      <c r="H270" s="186">
        <f>-Hotel!$E$100/12</f>
        <v>7392.3894537764108</v>
      </c>
      <c r="I270" s="149">
        <f>Hotel!$E$98/12*G269</f>
        <v>2589.8555504056849</v>
      </c>
      <c r="J270" s="187">
        <f t="shared" si="75"/>
        <v>4802.533903370726</v>
      </c>
      <c r="K270" s="72">
        <f t="shared" si="79"/>
        <v>102</v>
      </c>
      <c r="L270" s="180">
        <f t="shared" si="76"/>
        <v>16392245.264224928</v>
      </c>
      <c r="M270" s="181">
        <f t="shared" si="76"/>
        <v>93255.530343239312</v>
      </c>
      <c r="N270" s="180">
        <f t="shared" si="76"/>
        <v>52187.854250652701</v>
      </c>
      <c r="O270" s="132">
        <f t="shared" si="71"/>
        <v>41067.676092586611</v>
      </c>
    </row>
    <row r="271" spans="1:15" x14ac:dyDescent="0.25">
      <c r="A271" s="72">
        <f t="shared" si="77"/>
        <v>103</v>
      </c>
      <c r="B271" s="183">
        <f t="shared" si="72"/>
        <v>14806748.441888373</v>
      </c>
      <c r="C271" s="184">
        <f>-Hotel!$E$95/12</f>
        <v>85863.140889462898</v>
      </c>
      <c r="D271" s="183">
        <f>Hotel!$E$93/12*B270</f>
        <v>49477.114892949627</v>
      </c>
      <c r="E271" s="185">
        <f t="shared" si="73"/>
        <v>36386.025996513272</v>
      </c>
      <c r="F271" s="72">
        <f t="shared" si="78"/>
        <v>103</v>
      </c>
      <c r="G271" s="180">
        <f t="shared" si="74"/>
        <v>1544300.2582134972</v>
      </c>
      <c r="H271" s="186">
        <f>-Hotel!$E$100/12</f>
        <v>7392.3894537764108</v>
      </c>
      <c r="I271" s="149">
        <f>Hotel!$E$98/12*G270</f>
        <v>2581.8513272334003</v>
      </c>
      <c r="J271" s="187">
        <f t="shared" si="75"/>
        <v>4810.5381265430105</v>
      </c>
      <c r="K271" s="72">
        <f t="shared" si="79"/>
        <v>103</v>
      </c>
      <c r="L271" s="180">
        <f t="shared" si="76"/>
        <v>16351048.700101871</v>
      </c>
      <c r="M271" s="181">
        <f t="shared" si="76"/>
        <v>93255.530343239312</v>
      </c>
      <c r="N271" s="180">
        <f t="shared" si="76"/>
        <v>52058.966220183029</v>
      </c>
      <c r="O271" s="132">
        <f t="shared" si="71"/>
        <v>41196.564123056283</v>
      </c>
    </row>
    <row r="272" spans="1:15" x14ac:dyDescent="0.25">
      <c r="A272" s="72">
        <f t="shared" si="77"/>
        <v>104</v>
      </c>
      <c r="B272" s="183">
        <f t="shared" si="72"/>
        <v>14770241.129138539</v>
      </c>
      <c r="C272" s="184">
        <f>-Hotel!$E$95/12</f>
        <v>85863.140889462898</v>
      </c>
      <c r="D272" s="183">
        <f>Hotel!$E$93/12*B271</f>
        <v>49355.828139627913</v>
      </c>
      <c r="E272" s="185">
        <f t="shared" si="73"/>
        <v>36507.312749834986</v>
      </c>
      <c r="F272" s="72">
        <f t="shared" si="78"/>
        <v>104</v>
      </c>
      <c r="G272" s="180">
        <f t="shared" si="74"/>
        <v>1539481.7025234101</v>
      </c>
      <c r="H272" s="186">
        <f>-Hotel!$E$100/12</f>
        <v>7392.3894537764108</v>
      </c>
      <c r="I272" s="149">
        <f>Hotel!$E$98/12*G271</f>
        <v>2573.8337636891624</v>
      </c>
      <c r="J272" s="187">
        <f t="shared" si="75"/>
        <v>4818.5556900872489</v>
      </c>
      <c r="K272" s="72">
        <f t="shared" si="79"/>
        <v>104</v>
      </c>
      <c r="L272" s="180">
        <f t="shared" si="76"/>
        <v>16309722.831661949</v>
      </c>
      <c r="M272" s="181">
        <f t="shared" si="76"/>
        <v>93255.530343239312</v>
      </c>
      <c r="N272" s="180">
        <f t="shared" si="76"/>
        <v>51929.661903317072</v>
      </c>
      <c r="O272" s="132">
        <f t="shared" si="71"/>
        <v>41325.868439922233</v>
      </c>
    </row>
    <row r="273" spans="1:15" x14ac:dyDescent="0.25">
      <c r="A273" s="72">
        <f t="shared" si="77"/>
        <v>105</v>
      </c>
      <c r="B273" s="183">
        <f t="shared" si="72"/>
        <v>14733612.125346204</v>
      </c>
      <c r="C273" s="184">
        <f>-Hotel!$E$95/12</f>
        <v>85863.140889462898</v>
      </c>
      <c r="D273" s="183">
        <f>Hotel!$E$93/12*B272</f>
        <v>49234.137097128463</v>
      </c>
      <c r="E273" s="185">
        <f t="shared" si="73"/>
        <v>36629.003792334435</v>
      </c>
      <c r="F273" s="72">
        <f t="shared" si="78"/>
        <v>105</v>
      </c>
      <c r="G273" s="180">
        <f t="shared" si="74"/>
        <v>1534655.1159071727</v>
      </c>
      <c r="H273" s="186">
        <f>-Hotel!$E$100/12</f>
        <v>7392.3894537764108</v>
      </c>
      <c r="I273" s="149">
        <f>Hotel!$E$98/12*G272</f>
        <v>2565.8028375390168</v>
      </c>
      <c r="J273" s="187">
        <f t="shared" si="75"/>
        <v>4826.5866162373941</v>
      </c>
      <c r="K273" s="72">
        <f t="shared" si="79"/>
        <v>105</v>
      </c>
      <c r="L273" s="180">
        <f t="shared" si="76"/>
        <v>16268267.241253376</v>
      </c>
      <c r="M273" s="181">
        <f t="shared" si="76"/>
        <v>93255.530343239312</v>
      </c>
      <c r="N273" s="180">
        <f t="shared" si="76"/>
        <v>51799.939934667476</v>
      </c>
      <c r="O273" s="132">
        <f t="shared" si="71"/>
        <v>41455.590408571828</v>
      </c>
    </row>
    <row r="274" spans="1:15" x14ac:dyDescent="0.25">
      <c r="A274" s="72">
        <f t="shared" si="77"/>
        <v>106</v>
      </c>
      <c r="B274" s="183">
        <f t="shared" si="72"/>
        <v>14696861.024874562</v>
      </c>
      <c r="C274" s="184">
        <f>-Hotel!$E$95/12</f>
        <v>85863.140889462898</v>
      </c>
      <c r="D274" s="183">
        <f>Hotel!$E$93/12*B273</f>
        <v>49112.040417820681</v>
      </c>
      <c r="E274" s="185">
        <f t="shared" si="73"/>
        <v>36751.100471642218</v>
      </c>
      <c r="F274" s="72">
        <f t="shared" si="78"/>
        <v>106</v>
      </c>
      <c r="G274" s="180">
        <f t="shared" si="74"/>
        <v>1529820.4849799082</v>
      </c>
      <c r="H274" s="186">
        <f>-Hotel!$E$100/12</f>
        <v>7392.3894537764108</v>
      </c>
      <c r="I274" s="149">
        <f>Hotel!$E$98/12*G273</f>
        <v>2557.7585265119546</v>
      </c>
      <c r="J274" s="187">
        <f t="shared" si="75"/>
        <v>4834.6309272644557</v>
      </c>
      <c r="K274" s="72">
        <f t="shared" si="79"/>
        <v>106</v>
      </c>
      <c r="L274" s="180">
        <f t="shared" si="76"/>
        <v>16226681.509854471</v>
      </c>
      <c r="M274" s="181">
        <f t="shared" si="76"/>
        <v>93255.530343239312</v>
      </c>
      <c r="N274" s="180">
        <f t="shared" si="76"/>
        <v>51669.798944332637</v>
      </c>
      <c r="O274" s="132">
        <f t="shared" si="71"/>
        <v>41585.731398906675</v>
      </c>
    </row>
    <row r="275" spans="1:15" x14ac:dyDescent="0.25">
      <c r="A275" s="72">
        <f t="shared" si="77"/>
        <v>107</v>
      </c>
      <c r="B275" s="183">
        <f t="shared" si="72"/>
        <v>14659987.420734681</v>
      </c>
      <c r="C275" s="184">
        <f>-Hotel!$E$95/12</f>
        <v>85863.140889462898</v>
      </c>
      <c r="D275" s="183">
        <f>Hotel!$E$93/12*B274</f>
        <v>48989.536749581879</v>
      </c>
      <c r="E275" s="185">
        <f t="shared" si="73"/>
        <v>36873.604139881019</v>
      </c>
      <c r="F275" s="72">
        <f t="shared" si="78"/>
        <v>107</v>
      </c>
      <c r="G275" s="180">
        <f t="shared" si="74"/>
        <v>1524977.7963344317</v>
      </c>
      <c r="H275" s="186">
        <f>-Hotel!$E$100/12</f>
        <v>7392.3894537764108</v>
      </c>
      <c r="I275" s="149">
        <f>Hotel!$E$98/12*G274</f>
        <v>2549.7008082998473</v>
      </c>
      <c r="J275" s="187">
        <f t="shared" si="75"/>
        <v>4842.6886454765636</v>
      </c>
      <c r="K275" s="72">
        <f t="shared" si="79"/>
        <v>107</v>
      </c>
      <c r="L275" s="180">
        <f t="shared" si="76"/>
        <v>16184965.217069114</v>
      </c>
      <c r="M275" s="181">
        <f t="shared" si="76"/>
        <v>93255.530343239312</v>
      </c>
      <c r="N275" s="180">
        <f t="shared" si="76"/>
        <v>51539.23755788173</v>
      </c>
      <c r="O275" s="132">
        <f t="shared" si="71"/>
        <v>41716.292785357582</v>
      </c>
    </row>
    <row r="276" spans="1:15" x14ac:dyDescent="0.25">
      <c r="A276" s="72">
        <f t="shared" si="77"/>
        <v>108</v>
      </c>
      <c r="B276" s="183">
        <f t="shared" si="72"/>
        <v>14622990.904581001</v>
      </c>
      <c r="C276" s="184">
        <f>-Hotel!$E$95/12</f>
        <v>85863.140889462898</v>
      </c>
      <c r="D276" s="183">
        <f>Hotel!$E$93/12*B275</f>
        <v>48866.624735782272</v>
      </c>
      <c r="E276" s="185">
        <f t="shared" si="73"/>
        <v>36996.516153680626</v>
      </c>
      <c r="F276" s="72">
        <f t="shared" si="78"/>
        <v>108</v>
      </c>
      <c r="G276" s="180">
        <f t="shared" si="74"/>
        <v>1520127.0365412128</v>
      </c>
      <c r="H276" s="186">
        <f>-Hotel!$E$100/12</f>
        <v>7392.3894537764108</v>
      </c>
      <c r="I276" s="149">
        <f>Hotel!$E$98/12*G275</f>
        <v>2541.6296605573866</v>
      </c>
      <c r="J276" s="187">
        <f t="shared" si="75"/>
        <v>4850.7597932190238</v>
      </c>
      <c r="K276" s="72">
        <f t="shared" si="79"/>
        <v>108</v>
      </c>
      <c r="L276" s="180">
        <f t="shared" si="76"/>
        <v>16143117.941122213</v>
      </c>
      <c r="M276" s="181">
        <f t="shared" si="76"/>
        <v>93255.530343239312</v>
      </c>
      <c r="N276" s="180">
        <f t="shared" si="76"/>
        <v>51408.25439633966</v>
      </c>
      <c r="O276" s="132">
        <f t="shared" si="71"/>
        <v>41847.275946899652</v>
      </c>
    </row>
    <row r="277" spans="1:15" x14ac:dyDescent="0.25">
      <c r="A277" s="72">
        <f t="shared" si="77"/>
        <v>109</v>
      </c>
      <c r="B277" s="183">
        <f t="shared" si="72"/>
        <v>14585871.066706808</v>
      </c>
      <c r="C277" s="184">
        <f>-Hotel!$E$95/12</f>
        <v>85863.140889462898</v>
      </c>
      <c r="D277" s="183">
        <f>Hotel!$E$93/12*B276</f>
        <v>48743.303015270008</v>
      </c>
      <c r="E277" s="185">
        <f t="shared" si="73"/>
        <v>37119.83787419289</v>
      </c>
      <c r="F277" s="72">
        <f t="shared" si="78"/>
        <v>109</v>
      </c>
      <c r="G277" s="180">
        <f t="shared" si="74"/>
        <v>1515268.1921483385</v>
      </c>
      <c r="H277" s="186">
        <f>-Hotel!$E$100/12</f>
        <v>7392.3894537764108</v>
      </c>
      <c r="I277" s="149">
        <f>Hotel!$E$98/12*G276</f>
        <v>2533.5450609020213</v>
      </c>
      <c r="J277" s="187">
        <f t="shared" si="75"/>
        <v>4858.8443928743891</v>
      </c>
      <c r="K277" s="72">
        <f t="shared" si="79"/>
        <v>109</v>
      </c>
      <c r="L277" s="180">
        <f t="shared" si="76"/>
        <v>16101139.258855147</v>
      </c>
      <c r="M277" s="181">
        <f t="shared" si="76"/>
        <v>93255.530343239312</v>
      </c>
      <c r="N277" s="180">
        <f t="shared" si="76"/>
        <v>51276.848076172028</v>
      </c>
      <c r="O277" s="132">
        <f t="shared" si="71"/>
        <v>41978.682267067277</v>
      </c>
    </row>
    <row r="278" spans="1:15" x14ac:dyDescent="0.25">
      <c r="A278" s="72">
        <f t="shared" si="77"/>
        <v>110</v>
      </c>
      <c r="B278" s="183">
        <f t="shared" si="72"/>
        <v>14548627.496039702</v>
      </c>
      <c r="C278" s="184">
        <f>-Hotel!$E$95/12</f>
        <v>85863.140889462898</v>
      </c>
      <c r="D278" s="183">
        <f>Hotel!$E$93/12*B277</f>
        <v>48619.570222356029</v>
      </c>
      <c r="E278" s="185">
        <f t="shared" si="73"/>
        <v>37243.570667106869</v>
      </c>
      <c r="F278" s="72">
        <f t="shared" si="78"/>
        <v>110</v>
      </c>
      <c r="G278" s="180">
        <f t="shared" si="74"/>
        <v>1510401.249681476</v>
      </c>
      <c r="H278" s="186">
        <f>-Hotel!$E$100/12</f>
        <v>7392.3894537764108</v>
      </c>
      <c r="I278" s="149">
        <f>Hotel!$E$98/12*G277</f>
        <v>2525.4469869138979</v>
      </c>
      <c r="J278" s="187">
        <f t="shared" si="75"/>
        <v>4866.9424668625124</v>
      </c>
      <c r="K278" s="72">
        <f t="shared" si="79"/>
        <v>110</v>
      </c>
      <c r="L278" s="180">
        <f t="shared" si="76"/>
        <v>16059028.745721178</v>
      </c>
      <c r="M278" s="181">
        <f t="shared" si="76"/>
        <v>93255.530343239312</v>
      </c>
      <c r="N278" s="180">
        <f t="shared" si="76"/>
        <v>51145.017209269929</v>
      </c>
      <c r="O278" s="132">
        <f t="shared" si="71"/>
        <v>42110.513133969383</v>
      </c>
    </row>
    <row r="279" spans="1:15" x14ac:dyDescent="0.25">
      <c r="A279" s="72">
        <f t="shared" si="77"/>
        <v>111</v>
      </c>
      <c r="B279" s="183">
        <f t="shared" si="72"/>
        <v>14511259.780137038</v>
      </c>
      <c r="C279" s="184">
        <f>-Hotel!$E$95/12</f>
        <v>85863.140889462898</v>
      </c>
      <c r="D279" s="183">
        <f>Hotel!$E$93/12*B278</f>
        <v>48495.424986799007</v>
      </c>
      <c r="E279" s="185">
        <f t="shared" si="73"/>
        <v>37367.715902663891</v>
      </c>
      <c r="F279" s="72">
        <f t="shared" si="78"/>
        <v>111</v>
      </c>
      <c r="G279" s="180">
        <f t="shared" si="74"/>
        <v>1505526.1956438355</v>
      </c>
      <c r="H279" s="186">
        <f>-Hotel!$E$100/12</f>
        <v>7392.3894537764108</v>
      </c>
      <c r="I279" s="149">
        <f>Hotel!$E$98/12*G278</f>
        <v>2517.3354161357934</v>
      </c>
      <c r="J279" s="187">
        <f t="shared" si="75"/>
        <v>4875.054037640617</v>
      </c>
      <c r="K279" s="72">
        <f t="shared" si="79"/>
        <v>111</v>
      </c>
      <c r="L279" s="180">
        <f t="shared" si="76"/>
        <v>16016785.975780873</v>
      </c>
      <c r="M279" s="181">
        <f t="shared" si="76"/>
        <v>93255.530343239312</v>
      </c>
      <c r="N279" s="180">
        <f t="shared" si="76"/>
        <v>51012.7604029348</v>
      </c>
      <c r="O279" s="132">
        <f t="shared" si="71"/>
        <v>42242.769940304512</v>
      </c>
    </row>
    <row r="280" spans="1:15" x14ac:dyDescent="0.25">
      <c r="A280" s="72">
        <f t="shared" si="77"/>
        <v>112</v>
      </c>
      <c r="B280" s="183">
        <f t="shared" si="72"/>
        <v>14473767.505181365</v>
      </c>
      <c r="C280" s="184">
        <f>-Hotel!$E$95/12</f>
        <v>85863.140889462898</v>
      </c>
      <c r="D280" s="183">
        <f>Hotel!$E$93/12*B279</f>
        <v>48370.865933790126</v>
      </c>
      <c r="E280" s="185">
        <f t="shared" si="73"/>
        <v>37492.274955672772</v>
      </c>
      <c r="F280" s="72">
        <f t="shared" si="78"/>
        <v>112</v>
      </c>
      <c r="G280" s="180">
        <f t="shared" si="74"/>
        <v>1500643.016516132</v>
      </c>
      <c r="H280" s="186">
        <f>-Hotel!$E$100/12</f>
        <v>7392.3894537764108</v>
      </c>
      <c r="I280" s="149">
        <f>Hotel!$E$98/12*G279</f>
        <v>2509.2103260730592</v>
      </c>
      <c r="J280" s="187">
        <f t="shared" si="75"/>
        <v>4883.1791277033517</v>
      </c>
      <c r="K280" s="72">
        <f t="shared" si="79"/>
        <v>112</v>
      </c>
      <c r="L280" s="180">
        <f t="shared" si="76"/>
        <v>15974410.521697497</v>
      </c>
      <c r="M280" s="181">
        <f t="shared" si="76"/>
        <v>93255.530343239312</v>
      </c>
      <c r="N280" s="180">
        <f t="shared" si="76"/>
        <v>50880.076259863185</v>
      </c>
      <c r="O280" s="132">
        <f t="shared" si="71"/>
        <v>42375.454083376128</v>
      </c>
    </row>
    <row r="281" spans="1:15" x14ac:dyDescent="0.25">
      <c r="A281" s="72">
        <f t="shared" si="77"/>
        <v>113</v>
      </c>
      <c r="B281" s="183">
        <f t="shared" si="72"/>
        <v>14436150.255975841</v>
      </c>
      <c r="C281" s="184">
        <f>-Hotel!$E$95/12</f>
        <v>85863.140889462898</v>
      </c>
      <c r="D281" s="183">
        <f>Hotel!$E$93/12*B280</f>
        <v>48245.891683937887</v>
      </c>
      <c r="E281" s="185">
        <f t="shared" si="73"/>
        <v>37617.249205525011</v>
      </c>
      <c r="F281" s="72">
        <f t="shared" si="78"/>
        <v>113</v>
      </c>
      <c r="G281" s="180">
        <f t="shared" si="74"/>
        <v>1495751.6987565493</v>
      </c>
      <c r="H281" s="186">
        <f>-Hotel!$E$100/12</f>
        <v>7392.3894537764108</v>
      </c>
      <c r="I281" s="149">
        <f>Hotel!$E$98/12*G280</f>
        <v>2501.0716941935534</v>
      </c>
      <c r="J281" s="187">
        <f t="shared" si="75"/>
        <v>4891.3177595828574</v>
      </c>
      <c r="K281" s="72">
        <f t="shared" si="79"/>
        <v>113</v>
      </c>
      <c r="L281" s="180">
        <f t="shared" si="76"/>
        <v>15931901.95473239</v>
      </c>
      <c r="M281" s="181">
        <f t="shared" si="76"/>
        <v>93255.530343239312</v>
      </c>
      <c r="N281" s="180">
        <f t="shared" si="76"/>
        <v>50746.963378131441</v>
      </c>
      <c r="O281" s="132">
        <f t="shared" si="71"/>
        <v>42508.566965107872</v>
      </c>
    </row>
    <row r="282" spans="1:15" x14ac:dyDescent="0.25">
      <c r="A282" s="72">
        <f t="shared" si="77"/>
        <v>114</v>
      </c>
      <c r="B282" s="183">
        <f t="shared" si="72"/>
        <v>14398407.61593963</v>
      </c>
      <c r="C282" s="184">
        <f>-Hotel!$E$95/12</f>
        <v>85863.140889462898</v>
      </c>
      <c r="D282" s="183">
        <f>Hotel!$E$93/12*B281</f>
        <v>48120.500853252808</v>
      </c>
      <c r="E282" s="185">
        <f t="shared" si="73"/>
        <v>37742.64003621009</v>
      </c>
      <c r="F282" s="72">
        <f t="shared" si="78"/>
        <v>114</v>
      </c>
      <c r="G282" s="180">
        <f t="shared" si="74"/>
        <v>1490852.2288007005</v>
      </c>
      <c r="H282" s="186">
        <f>-Hotel!$E$100/12</f>
        <v>7392.3894537764108</v>
      </c>
      <c r="I282" s="149">
        <f>Hotel!$E$98/12*G281</f>
        <v>2492.9194979275821</v>
      </c>
      <c r="J282" s="187">
        <f t="shared" si="75"/>
        <v>4899.4699558488282</v>
      </c>
      <c r="K282" s="72">
        <f t="shared" si="79"/>
        <v>114</v>
      </c>
      <c r="L282" s="180">
        <f t="shared" si="76"/>
        <v>15889259.844740331</v>
      </c>
      <c r="M282" s="181">
        <f t="shared" si="76"/>
        <v>93255.530343239312</v>
      </c>
      <c r="N282" s="180">
        <f t="shared" si="76"/>
        <v>50613.420351180393</v>
      </c>
      <c r="O282" s="132">
        <f t="shared" si="71"/>
        <v>42642.109992058919</v>
      </c>
    </row>
    <row r="283" spans="1:15" x14ac:dyDescent="0.25">
      <c r="A283" s="72">
        <f t="shared" si="77"/>
        <v>115</v>
      </c>
      <c r="B283" s="183">
        <f t="shared" si="72"/>
        <v>14360539.1671033</v>
      </c>
      <c r="C283" s="184">
        <f>-Hotel!$E$95/12</f>
        <v>85863.140889462898</v>
      </c>
      <c r="D283" s="183">
        <f>Hotel!$E$93/12*B282</f>
        <v>47994.692053132101</v>
      </c>
      <c r="E283" s="185">
        <f t="shared" si="73"/>
        <v>37868.448836330797</v>
      </c>
      <c r="F283" s="72">
        <f t="shared" si="78"/>
        <v>115</v>
      </c>
      <c r="G283" s="180">
        <f t="shared" si="74"/>
        <v>1485944.593061592</v>
      </c>
      <c r="H283" s="186">
        <f>-Hotel!$E$100/12</f>
        <v>7392.3894537764108</v>
      </c>
      <c r="I283" s="149">
        <f>Hotel!$E$98/12*G282</f>
        <v>2484.7537146678342</v>
      </c>
      <c r="J283" s="187">
        <f t="shared" si="75"/>
        <v>4907.6357391085767</v>
      </c>
      <c r="K283" s="72">
        <f t="shared" si="79"/>
        <v>115</v>
      </c>
      <c r="L283" s="180">
        <f t="shared" si="76"/>
        <v>15846483.760164892</v>
      </c>
      <c r="M283" s="181">
        <f t="shared" si="76"/>
        <v>93255.530343239312</v>
      </c>
      <c r="N283" s="180">
        <f t="shared" si="76"/>
        <v>50479.445767799938</v>
      </c>
      <c r="O283" s="132">
        <f t="shared" si="71"/>
        <v>42776.084575439374</v>
      </c>
    </row>
    <row r="284" spans="1:15" x14ac:dyDescent="0.25">
      <c r="A284" s="72">
        <f t="shared" si="77"/>
        <v>116</v>
      </c>
      <c r="B284" s="183">
        <f t="shared" si="72"/>
        <v>14322544.490104182</v>
      </c>
      <c r="C284" s="184">
        <f>-Hotel!$E$95/12</f>
        <v>85863.140889462898</v>
      </c>
      <c r="D284" s="183">
        <f>Hotel!$E$93/12*B283</f>
        <v>47868.463890344334</v>
      </c>
      <c r="E284" s="185">
        <f t="shared" si="73"/>
        <v>37994.676999118565</v>
      </c>
      <c r="F284" s="72">
        <f t="shared" si="78"/>
        <v>116</v>
      </c>
      <c r="G284" s="180">
        <f t="shared" si="74"/>
        <v>1481028.777929585</v>
      </c>
      <c r="H284" s="186">
        <f>-Hotel!$E$100/12</f>
        <v>7392.3894537764108</v>
      </c>
      <c r="I284" s="149">
        <f>Hotel!$E$98/12*G283</f>
        <v>2476.5743217693202</v>
      </c>
      <c r="J284" s="187">
        <f t="shared" si="75"/>
        <v>4915.8151320070901</v>
      </c>
      <c r="K284" s="72">
        <f t="shared" si="79"/>
        <v>116</v>
      </c>
      <c r="L284" s="180">
        <f t="shared" si="76"/>
        <v>15803573.268033767</v>
      </c>
      <c r="M284" s="181">
        <f t="shared" si="76"/>
        <v>93255.530343239312</v>
      </c>
      <c r="N284" s="180">
        <f t="shared" si="76"/>
        <v>50345.038212113657</v>
      </c>
      <c r="O284" s="132">
        <f t="shared" si="71"/>
        <v>42910.492131125655</v>
      </c>
    </row>
    <row r="285" spans="1:15" x14ac:dyDescent="0.25">
      <c r="A285" s="72">
        <f t="shared" si="77"/>
        <v>117</v>
      </c>
      <c r="B285" s="183">
        <f t="shared" si="72"/>
        <v>14284423.164181734</v>
      </c>
      <c r="C285" s="184">
        <f>-Hotel!$E$95/12</f>
        <v>85863.140889462898</v>
      </c>
      <c r="D285" s="183">
        <f>Hotel!$E$93/12*B284</f>
        <v>47741.814967013939</v>
      </c>
      <c r="E285" s="185">
        <f t="shared" si="73"/>
        <v>38121.325922448959</v>
      </c>
      <c r="F285" s="72">
        <f t="shared" si="78"/>
        <v>117</v>
      </c>
      <c r="G285" s="180">
        <f t="shared" si="74"/>
        <v>1476104.7697723578</v>
      </c>
      <c r="H285" s="186">
        <f>-Hotel!$E$100/12</f>
        <v>7392.3894537764108</v>
      </c>
      <c r="I285" s="149">
        <f>Hotel!$E$98/12*G284</f>
        <v>2468.3812965493084</v>
      </c>
      <c r="J285" s="187">
        <f t="shared" si="75"/>
        <v>4924.0081572271029</v>
      </c>
      <c r="K285" s="72">
        <f t="shared" si="79"/>
        <v>117</v>
      </c>
      <c r="L285" s="180">
        <f t="shared" si="76"/>
        <v>15760527.933954092</v>
      </c>
      <c r="M285" s="181">
        <f t="shared" si="76"/>
        <v>93255.530343239312</v>
      </c>
      <c r="N285" s="180">
        <f t="shared" si="76"/>
        <v>50210.196263563244</v>
      </c>
      <c r="O285" s="132">
        <f t="shared" si="71"/>
        <v>43045.33407967606</v>
      </c>
    </row>
    <row r="286" spans="1:15" x14ac:dyDescent="0.25">
      <c r="A286" s="72">
        <f t="shared" si="77"/>
        <v>118</v>
      </c>
      <c r="B286" s="183">
        <f t="shared" si="72"/>
        <v>14246174.767172877</v>
      </c>
      <c r="C286" s="184">
        <f>-Hotel!$E$95/12</f>
        <v>85863.140889462898</v>
      </c>
      <c r="D286" s="183">
        <f>Hotel!$E$93/12*B285</f>
        <v>47614.743880605783</v>
      </c>
      <c r="E286" s="185">
        <f t="shared" si="73"/>
        <v>38248.397008857115</v>
      </c>
      <c r="F286" s="72">
        <f t="shared" si="78"/>
        <v>118</v>
      </c>
      <c r="G286" s="180">
        <f t="shared" si="74"/>
        <v>1471172.5549348686</v>
      </c>
      <c r="H286" s="186">
        <f>-Hotel!$E$100/12</f>
        <v>7392.3894537764108</v>
      </c>
      <c r="I286" s="149">
        <f>Hotel!$E$98/12*G285</f>
        <v>2460.1746162872632</v>
      </c>
      <c r="J286" s="187">
        <f t="shared" si="75"/>
        <v>4932.2148374891476</v>
      </c>
      <c r="K286" s="72">
        <f t="shared" si="79"/>
        <v>118</v>
      </c>
      <c r="L286" s="180">
        <f t="shared" si="76"/>
        <v>15717347.322107745</v>
      </c>
      <c r="M286" s="181">
        <f t="shared" si="76"/>
        <v>93255.530343239312</v>
      </c>
      <c r="N286" s="180">
        <f t="shared" si="76"/>
        <v>50074.918496893049</v>
      </c>
      <c r="O286" s="132">
        <f t="shared" si="71"/>
        <v>43180.611846346263</v>
      </c>
    </row>
    <row r="287" spans="1:15" x14ac:dyDescent="0.25">
      <c r="A287" s="72">
        <f t="shared" si="77"/>
        <v>119</v>
      </c>
      <c r="B287" s="183">
        <f t="shared" si="72"/>
        <v>14207798.875507323</v>
      </c>
      <c r="C287" s="184">
        <f>-Hotel!$E$95/12</f>
        <v>85863.140889462898</v>
      </c>
      <c r="D287" s="183">
        <f>Hotel!$E$93/12*B286</f>
        <v>47487.249223909595</v>
      </c>
      <c r="E287" s="185">
        <f t="shared" si="73"/>
        <v>38375.891665553303</v>
      </c>
      <c r="F287" s="72">
        <f t="shared" si="78"/>
        <v>119</v>
      </c>
      <c r="G287" s="180">
        <f t="shared" si="74"/>
        <v>1466232.1197393169</v>
      </c>
      <c r="H287" s="186">
        <f>-Hotel!$E$100/12</f>
        <v>7392.3894537764108</v>
      </c>
      <c r="I287" s="149">
        <f>Hotel!$E$98/12*G286</f>
        <v>2451.9542582247809</v>
      </c>
      <c r="J287" s="187">
        <f t="shared" si="75"/>
        <v>4940.4351955516304</v>
      </c>
      <c r="K287" s="72">
        <f t="shared" si="79"/>
        <v>119</v>
      </c>
      <c r="L287" s="180">
        <f t="shared" si="76"/>
        <v>15674030.995246639</v>
      </c>
      <c r="M287" s="181">
        <f t="shared" si="76"/>
        <v>93255.530343239312</v>
      </c>
      <c r="N287" s="180">
        <f t="shared" si="76"/>
        <v>49939.203482134377</v>
      </c>
      <c r="O287" s="132">
        <f t="shared" si="71"/>
        <v>43316.326861104935</v>
      </c>
    </row>
    <row r="288" spans="1:15" x14ac:dyDescent="0.25">
      <c r="A288" s="72">
        <f t="shared" si="77"/>
        <v>120</v>
      </c>
      <c r="B288" s="183">
        <f t="shared" si="72"/>
        <v>14169295.064202884</v>
      </c>
      <c r="C288" s="184">
        <f>-Hotel!$E$95/12</f>
        <v>85863.140889462898</v>
      </c>
      <c r="D288" s="183">
        <f>Hotel!$E$93/12*B287</f>
        <v>47359.32958502441</v>
      </c>
      <c r="E288" s="185">
        <f t="shared" si="73"/>
        <v>38503.811304438488</v>
      </c>
      <c r="F288" s="72">
        <f t="shared" si="78"/>
        <v>120</v>
      </c>
      <c r="G288" s="180">
        <f t="shared" si="74"/>
        <v>1461283.4504851061</v>
      </c>
      <c r="H288" s="186">
        <f>-Hotel!$E$100/12</f>
        <v>7392.3894537764108</v>
      </c>
      <c r="I288" s="149">
        <f>Hotel!$E$98/12*G287</f>
        <v>2443.7201995655282</v>
      </c>
      <c r="J288" s="187">
        <f t="shared" si="75"/>
        <v>4948.6692542108831</v>
      </c>
      <c r="K288" s="72">
        <f t="shared" si="79"/>
        <v>120</v>
      </c>
      <c r="L288" s="180">
        <f t="shared" si="76"/>
        <v>15630578.514687991</v>
      </c>
      <c r="M288" s="181">
        <f t="shared" si="76"/>
        <v>93255.530343239312</v>
      </c>
      <c r="N288" s="180">
        <f t="shared" si="76"/>
        <v>49803.049784589937</v>
      </c>
      <c r="O288" s="132">
        <f t="shared" si="71"/>
        <v>43452.480558649375</v>
      </c>
    </row>
    <row r="289" spans="1:15" x14ac:dyDescent="0.25">
      <c r="A289" s="72">
        <f t="shared" si="77"/>
        <v>121</v>
      </c>
      <c r="B289" s="183">
        <f t="shared" si="72"/>
        <v>14130662.906860765</v>
      </c>
      <c r="C289" s="184">
        <f>-Hotel!$E$95/12</f>
        <v>85863.140889462898</v>
      </c>
      <c r="D289" s="183">
        <f>Hotel!$E$93/12*B288</f>
        <v>47230.983547342948</v>
      </c>
      <c r="E289" s="185">
        <f t="shared" si="73"/>
        <v>38632.15734211995</v>
      </c>
      <c r="F289" s="72">
        <f t="shared" si="78"/>
        <v>121</v>
      </c>
      <c r="G289" s="180">
        <f t="shared" si="74"/>
        <v>1456326.5334488049</v>
      </c>
      <c r="H289" s="186">
        <f>-Hotel!$E$100/12</f>
        <v>7392.3894537764108</v>
      </c>
      <c r="I289" s="149">
        <f>Hotel!$E$98/12*G288</f>
        <v>2435.4724174751768</v>
      </c>
      <c r="J289" s="187">
        <f t="shared" si="75"/>
        <v>4956.9170363012345</v>
      </c>
      <c r="K289" s="72">
        <f t="shared" si="79"/>
        <v>121</v>
      </c>
      <c r="L289" s="180">
        <f t="shared" si="76"/>
        <v>15586989.440309569</v>
      </c>
      <c r="M289" s="181">
        <f t="shared" si="76"/>
        <v>93255.530343239312</v>
      </c>
      <c r="N289" s="180">
        <f t="shared" si="76"/>
        <v>49666.455964818124</v>
      </c>
      <c r="O289" s="132">
        <f t="shared" si="71"/>
        <v>43589.074378421181</v>
      </c>
    </row>
    <row r="290" spans="1:15" x14ac:dyDescent="0.25">
      <c r="A290" s="72">
        <f t="shared" si="77"/>
        <v>122</v>
      </c>
      <c r="B290" s="183">
        <f t="shared" si="72"/>
        <v>14091901.975660838</v>
      </c>
      <c r="C290" s="184">
        <f>-Hotel!$E$95/12</f>
        <v>85863.140889462898</v>
      </c>
      <c r="D290" s="183">
        <f>Hotel!$E$93/12*B289</f>
        <v>47102.209689535885</v>
      </c>
      <c r="E290" s="185">
        <f t="shared" si="73"/>
        <v>38760.931199927014</v>
      </c>
      <c r="F290" s="72">
        <f t="shared" si="78"/>
        <v>122</v>
      </c>
      <c r="G290" s="180">
        <f t="shared" si="74"/>
        <v>1451361.3548841097</v>
      </c>
      <c r="H290" s="186">
        <f>-Hotel!$E$100/12</f>
        <v>7392.3894537764108</v>
      </c>
      <c r="I290" s="149">
        <f>Hotel!$E$98/12*G289</f>
        <v>2427.2108890813415</v>
      </c>
      <c r="J290" s="187">
        <f t="shared" si="75"/>
        <v>4965.1785646950693</v>
      </c>
      <c r="K290" s="72">
        <f t="shared" si="79"/>
        <v>122</v>
      </c>
      <c r="L290" s="180">
        <f t="shared" si="76"/>
        <v>15543263.330544949</v>
      </c>
      <c r="M290" s="181">
        <f t="shared" si="76"/>
        <v>93255.530343239312</v>
      </c>
      <c r="N290" s="180">
        <f t="shared" si="76"/>
        <v>49529.420578617224</v>
      </c>
      <c r="O290" s="132">
        <f t="shared" si="71"/>
        <v>43726.109764622081</v>
      </c>
    </row>
    <row r="291" spans="1:15" x14ac:dyDescent="0.25">
      <c r="A291" s="72">
        <f t="shared" si="77"/>
        <v>123</v>
      </c>
      <c r="B291" s="183">
        <f t="shared" si="72"/>
        <v>14053011.841356911</v>
      </c>
      <c r="C291" s="184">
        <f>-Hotel!$E$95/12</f>
        <v>85863.140889462898</v>
      </c>
      <c r="D291" s="183">
        <f>Hotel!$E$93/12*B290</f>
        <v>46973.006585536132</v>
      </c>
      <c r="E291" s="185">
        <f t="shared" si="73"/>
        <v>38890.134303926767</v>
      </c>
      <c r="F291" s="72">
        <f t="shared" si="78"/>
        <v>123</v>
      </c>
      <c r="G291" s="180">
        <f t="shared" si="74"/>
        <v>1446387.9010218068</v>
      </c>
      <c r="H291" s="186">
        <f>-Hotel!$E$100/12</f>
        <v>7392.3894537764108</v>
      </c>
      <c r="I291" s="149">
        <f>Hotel!$E$98/12*G290</f>
        <v>2418.9355914735165</v>
      </c>
      <c r="J291" s="187">
        <f t="shared" si="75"/>
        <v>4973.4538623028948</v>
      </c>
      <c r="K291" s="72">
        <f t="shared" si="79"/>
        <v>123</v>
      </c>
      <c r="L291" s="180">
        <f t="shared" si="76"/>
        <v>15499399.742378717</v>
      </c>
      <c r="M291" s="181">
        <f t="shared" si="76"/>
        <v>93255.530343239312</v>
      </c>
      <c r="N291" s="180">
        <f t="shared" si="76"/>
        <v>49391.942177009645</v>
      </c>
      <c r="O291" s="132">
        <f t="shared" si="71"/>
        <v>43863.58816622966</v>
      </c>
    </row>
    <row r="292" spans="1:15" x14ac:dyDescent="0.25">
      <c r="A292" s="72">
        <f t="shared" si="77"/>
        <v>124</v>
      </c>
      <c r="B292" s="183">
        <f t="shared" si="72"/>
        <v>14013992.073271971</v>
      </c>
      <c r="C292" s="184">
        <f>-Hotel!$E$95/12</f>
        <v>85863.140889462898</v>
      </c>
      <c r="D292" s="183">
        <f>Hotel!$E$93/12*B291</f>
        <v>46843.372804523038</v>
      </c>
      <c r="E292" s="185">
        <f t="shared" si="73"/>
        <v>39019.76808493986</v>
      </c>
      <c r="F292" s="72">
        <f t="shared" si="78"/>
        <v>124</v>
      </c>
      <c r="G292" s="180">
        <f t="shared" si="74"/>
        <v>1441406.1580697333</v>
      </c>
      <c r="H292" s="186">
        <f>-Hotel!$E$100/12</f>
        <v>7392.3894537764108</v>
      </c>
      <c r="I292" s="149">
        <f>Hotel!$E$98/12*G291</f>
        <v>2410.6465017030114</v>
      </c>
      <c r="J292" s="187">
        <f t="shared" si="75"/>
        <v>4981.7429520733995</v>
      </c>
      <c r="K292" s="72">
        <f t="shared" si="79"/>
        <v>124</v>
      </c>
      <c r="L292" s="180">
        <f t="shared" si="76"/>
        <v>15455398.231341705</v>
      </c>
      <c r="M292" s="181">
        <f t="shared" si="76"/>
        <v>93255.530343239312</v>
      </c>
      <c r="N292" s="180">
        <f t="shared" si="76"/>
        <v>49254.019306226051</v>
      </c>
      <c r="O292" s="132">
        <f t="shared" si="71"/>
        <v>44001.511037013261</v>
      </c>
    </row>
    <row r="293" spans="1:15" x14ac:dyDescent="0.25">
      <c r="A293" s="72">
        <f t="shared" si="77"/>
        <v>125</v>
      </c>
      <c r="B293" s="183">
        <f t="shared" si="72"/>
        <v>13974842.239293415</v>
      </c>
      <c r="C293" s="184">
        <f>-Hotel!$E$95/12</f>
        <v>85863.140889462898</v>
      </c>
      <c r="D293" s="183">
        <f>Hotel!$E$93/12*B292</f>
        <v>46713.306910906576</v>
      </c>
      <c r="E293" s="185">
        <f t="shared" si="73"/>
        <v>39149.833978556322</v>
      </c>
      <c r="F293" s="72">
        <f t="shared" si="78"/>
        <v>125</v>
      </c>
      <c r="G293" s="180">
        <f t="shared" si="74"/>
        <v>1436416.1122127399</v>
      </c>
      <c r="H293" s="186">
        <f>-Hotel!$E$100/12</f>
        <v>7392.3894537764108</v>
      </c>
      <c r="I293" s="149">
        <f>Hotel!$E$98/12*G292</f>
        <v>2402.3435967828891</v>
      </c>
      <c r="J293" s="187">
        <f t="shared" si="75"/>
        <v>4990.0458569935217</v>
      </c>
      <c r="K293" s="72">
        <f t="shared" si="79"/>
        <v>125</v>
      </c>
      <c r="L293" s="180">
        <f t="shared" si="76"/>
        <v>15411258.351506155</v>
      </c>
      <c r="M293" s="181">
        <f t="shared" si="76"/>
        <v>93255.530343239312</v>
      </c>
      <c r="N293" s="180">
        <f t="shared" si="76"/>
        <v>49115.650507689468</v>
      </c>
      <c r="O293" s="132">
        <f t="shared" si="71"/>
        <v>44139.879835549844</v>
      </c>
    </row>
    <row r="294" spans="1:15" x14ac:dyDescent="0.25">
      <c r="A294" s="72">
        <f t="shared" si="77"/>
        <v>126</v>
      </c>
      <c r="B294" s="183">
        <f t="shared" si="72"/>
        <v>13935561.905868264</v>
      </c>
      <c r="C294" s="184">
        <f>-Hotel!$E$95/12</f>
        <v>85863.140889462898</v>
      </c>
      <c r="D294" s="183">
        <f>Hotel!$E$93/12*B293</f>
        <v>46582.807464311387</v>
      </c>
      <c r="E294" s="185">
        <f t="shared" si="73"/>
        <v>39280.333425151512</v>
      </c>
      <c r="F294" s="72">
        <f t="shared" si="78"/>
        <v>126</v>
      </c>
      <c r="G294" s="180">
        <f t="shared" si="74"/>
        <v>1431417.7496126513</v>
      </c>
      <c r="H294" s="186">
        <f>-Hotel!$E$100/12</f>
        <v>7392.3894537764108</v>
      </c>
      <c r="I294" s="149">
        <f>Hotel!$E$98/12*G293</f>
        <v>2394.0268536878998</v>
      </c>
      <c r="J294" s="187">
        <f t="shared" si="75"/>
        <v>4998.3626000885106</v>
      </c>
      <c r="K294" s="72">
        <f t="shared" si="79"/>
        <v>126</v>
      </c>
      <c r="L294" s="180">
        <f t="shared" si="76"/>
        <v>15366979.655480916</v>
      </c>
      <c r="M294" s="181">
        <f t="shared" si="76"/>
        <v>93255.530343239312</v>
      </c>
      <c r="N294" s="180">
        <f t="shared" si="76"/>
        <v>48976.834317999288</v>
      </c>
      <c r="O294" s="132">
        <f t="shared" si="71"/>
        <v>44278.696025240024</v>
      </c>
    </row>
    <row r="295" spans="1:15" x14ac:dyDescent="0.25">
      <c r="A295" s="72">
        <f t="shared" si="77"/>
        <v>127</v>
      </c>
      <c r="B295" s="183">
        <f t="shared" si="72"/>
        <v>13896150.637998361</v>
      </c>
      <c r="C295" s="184">
        <f>-Hotel!$E$95/12</f>
        <v>85863.140889462898</v>
      </c>
      <c r="D295" s="183">
        <f>Hotel!$E$93/12*B294</f>
        <v>46451.87301956088</v>
      </c>
      <c r="E295" s="185">
        <f t="shared" si="73"/>
        <v>39411.267869902018</v>
      </c>
      <c r="F295" s="72">
        <f t="shared" si="78"/>
        <v>127</v>
      </c>
      <c r="G295" s="180">
        <f t="shared" si="74"/>
        <v>1426411.0564082293</v>
      </c>
      <c r="H295" s="186">
        <f>-Hotel!$E$100/12</f>
        <v>7392.3894537764108</v>
      </c>
      <c r="I295" s="149">
        <f>Hotel!$E$98/12*G294</f>
        <v>2385.6962493544188</v>
      </c>
      <c r="J295" s="187">
        <f t="shared" si="75"/>
        <v>5006.693204421992</v>
      </c>
      <c r="K295" s="72">
        <f t="shared" si="79"/>
        <v>127</v>
      </c>
      <c r="L295" s="180">
        <f t="shared" si="76"/>
        <v>15322561.694406591</v>
      </c>
      <c r="M295" s="181">
        <f t="shared" si="76"/>
        <v>93255.530343239312</v>
      </c>
      <c r="N295" s="180">
        <f t="shared" si="76"/>
        <v>48837.5692689153</v>
      </c>
      <c r="O295" s="132">
        <f t="shared" si="71"/>
        <v>44417.961074324012</v>
      </c>
    </row>
    <row r="296" spans="1:15" x14ac:dyDescent="0.25">
      <c r="A296" s="72">
        <f t="shared" si="77"/>
        <v>128</v>
      </c>
      <c r="B296" s="183">
        <f t="shared" si="72"/>
        <v>13856607.999235559</v>
      </c>
      <c r="C296" s="184">
        <f>-Hotel!$E$95/12</f>
        <v>85863.140889462898</v>
      </c>
      <c r="D296" s="183">
        <f>Hotel!$E$93/12*B295</f>
        <v>46320.502126661209</v>
      </c>
      <c r="E296" s="185">
        <f t="shared" si="73"/>
        <v>39542.638762801689</v>
      </c>
      <c r="F296" s="72">
        <f t="shared" si="78"/>
        <v>128</v>
      </c>
      <c r="G296" s="180">
        <f t="shared" si="74"/>
        <v>1421396.0187151332</v>
      </c>
      <c r="H296" s="186">
        <f>-Hotel!$E$100/12</f>
        <v>7392.3894537764108</v>
      </c>
      <c r="I296" s="149">
        <f>Hotel!$E$98/12*G295</f>
        <v>2377.3517606803821</v>
      </c>
      <c r="J296" s="187">
        <f t="shared" si="75"/>
        <v>5015.0376930960283</v>
      </c>
      <c r="K296" s="72">
        <f t="shared" si="79"/>
        <v>128</v>
      </c>
      <c r="L296" s="180">
        <f t="shared" si="76"/>
        <v>15278004.017950693</v>
      </c>
      <c r="M296" s="181">
        <f t="shared" si="76"/>
        <v>93255.530343239312</v>
      </c>
      <c r="N296" s="180">
        <f t="shared" si="76"/>
        <v>48697.853887341589</v>
      </c>
      <c r="O296" s="132">
        <f t="shared" si="76"/>
        <v>44557.676455897716</v>
      </c>
    </row>
    <row r="297" spans="1:15" x14ac:dyDescent="0.25">
      <c r="A297" s="72">
        <f t="shared" si="77"/>
        <v>129</v>
      </c>
      <c r="B297" s="183">
        <f t="shared" ref="B297:B360" si="80">B296-E297</f>
        <v>13816933.551676882</v>
      </c>
      <c r="C297" s="184">
        <f>-Hotel!$E$95/12</f>
        <v>85863.140889462898</v>
      </c>
      <c r="D297" s="183">
        <f>Hotel!$E$93/12*B296</f>
        <v>46188.693330785201</v>
      </c>
      <c r="E297" s="185">
        <f t="shared" ref="E297:E360" si="81">C297-D297</f>
        <v>39674.447558677697</v>
      </c>
      <c r="F297" s="72">
        <f t="shared" si="78"/>
        <v>129</v>
      </c>
      <c r="G297" s="180">
        <f t="shared" ref="G297:G360" si="82">G296-J297</f>
        <v>1416372.622625882</v>
      </c>
      <c r="H297" s="186">
        <f>-Hotel!$E$100/12</f>
        <v>7392.3894537764108</v>
      </c>
      <c r="I297" s="149">
        <f>Hotel!$E$98/12*G296</f>
        <v>2368.9933645252222</v>
      </c>
      <c r="J297" s="187">
        <f t="shared" ref="J297:J360" si="83">H297-I297</f>
        <v>5023.3960892511886</v>
      </c>
      <c r="K297" s="72">
        <f t="shared" si="79"/>
        <v>129</v>
      </c>
      <c r="L297" s="180">
        <f t="shared" ref="L297:O360" si="84">G297+B297</f>
        <v>15233306.174302764</v>
      </c>
      <c r="M297" s="181">
        <f t="shared" si="84"/>
        <v>93255.530343239312</v>
      </c>
      <c r="N297" s="180">
        <f t="shared" si="84"/>
        <v>48557.686695310425</v>
      </c>
      <c r="O297" s="132">
        <f t="shared" si="84"/>
        <v>44697.843647928887</v>
      </c>
    </row>
    <row r="298" spans="1:15" x14ac:dyDescent="0.25">
      <c r="A298" s="72">
        <f t="shared" ref="A298:A361" si="85">A297+1</f>
        <v>130</v>
      </c>
      <c r="B298" s="183">
        <f t="shared" si="80"/>
        <v>13777126.855959676</v>
      </c>
      <c r="C298" s="184">
        <f>-Hotel!$E$95/12</f>
        <v>85863.140889462898</v>
      </c>
      <c r="D298" s="183">
        <f>Hotel!$E$93/12*B297</f>
        <v>46056.445172256281</v>
      </c>
      <c r="E298" s="185">
        <f t="shared" si="81"/>
        <v>39806.695717206618</v>
      </c>
      <c r="F298" s="72">
        <f t="shared" ref="F298:F361" si="86">F297+1</f>
        <v>130</v>
      </c>
      <c r="G298" s="180">
        <f t="shared" si="82"/>
        <v>1411340.8542098154</v>
      </c>
      <c r="H298" s="186">
        <f>-Hotel!$E$100/12</f>
        <v>7392.3894537764108</v>
      </c>
      <c r="I298" s="149">
        <f>Hotel!$E$98/12*G297</f>
        <v>2360.6210377098037</v>
      </c>
      <c r="J298" s="187">
        <f t="shared" si="83"/>
        <v>5031.7684160666067</v>
      </c>
      <c r="K298" s="72">
        <f t="shared" ref="K298:K361" si="87">K297+1</f>
        <v>130</v>
      </c>
      <c r="L298" s="180">
        <f t="shared" si="84"/>
        <v>15188467.710169492</v>
      </c>
      <c r="M298" s="181">
        <f t="shared" si="84"/>
        <v>93255.530343239312</v>
      </c>
      <c r="N298" s="180">
        <f t="shared" si="84"/>
        <v>48417.066209966084</v>
      </c>
      <c r="O298" s="132">
        <f t="shared" si="84"/>
        <v>44838.464133273228</v>
      </c>
    </row>
    <row r="299" spans="1:15" x14ac:dyDescent="0.25">
      <c r="A299" s="72">
        <f t="shared" si="85"/>
        <v>131</v>
      </c>
      <c r="B299" s="183">
        <f t="shared" si="80"/>
        <v>13737187.471256746</v>
      </c>
      <c r="C299" s="184">
        <f>-Hotel!$E$95/12</f>
        <v>85863.140889462898</v>
      </c>
      <c r="D299" s="183">
        <f>Hotel!$E$93/12*B298</f>
        <v>45923.756186532257</v>
      </c>
      <c r="E299" s="185">
        <f t="shared" si="81"/>
        <v>39939.384702930642</v>
      </c>
      <c r="F299" s="72">
        <f t="shared" si="86"/>
        <v>131</v>
      </c>
      <c r="G299" s="180">
        <f t="shared" si="82"/>
        <v>1406300.6995130554</v>
      </c>
      <c r="H299" s="186">
        <f>-Hotel!$E$100/12</f>
        <v>7392.3894537764108</v>
      </c>
      <c r="I299" s="149">
        <f>Hotel!$E$98/12*G298</f>
        <v>2352.2347570163593</v>
      </c>
      <c r="J299" s="187">
        <f t="shared" si="83"/>
        <v>5040.1546967600516</v>
      </c>
      <c r="K299" s="72">
        <f t="shared" si="87"/>
        <v>131</v>
      </c>
      <c r="L299" s="180">
        <f t="shared" si="84"/>
        <v>15143488.170769801</v>
      </c>
      <c r="M299" s="181">
        <f t="shared" si="84"/>
        <v>93255.530343239312</v>
      </c>
      <c r="N299" s="180">
        <f t="shared" si="84"/>
        <v>48275.990943548619</v>
      </c>
      <c r="O299" s="132">
        <f t="shared" si="84"/>
        <v>44979.539399690693</v>
      </c>
    </row>
    <row r="300" spans="1:15" x14ac:dyDescent="0.25">
      <c r="A300" s="72">
        <f t="shared" si="85"/>
        <v>132</v>
      </c>
      <c r="B300" s="183">
        <f t="shared" si="80"/>
        <v>13697114.955271473</v>
      </c>
      <c r="C300" s="184">
        <f>-Hotel!$E$95/12</f>
        <v>85863.140889462898</v>
      </c>
      <c r="D300" s="183">
        <f>Hotel!$E$93/12*B299</f>
        <v>45790.624904189157</v>
      </c>
      <c r="E300" s="185">
        <f t="shared" si="81"/>
        <v>40072.515985273742</v>
      </c>
      <c r="F300" s="72">
        <f t="shared" si="86"/>
        <v>132</v>
      </c>
      <c r="G300" s="180">
        <f t="shared" si="82"/>
        <v>1401252.1445584674</v>
      </c>
      <c r="H300" s="186">
        <f>-Hotel!$E$100/12</f>
        <v>7392.3894537764108</v>
      </c>
      <c r="I300" s="149">
        <f>Hotel!$E$98/12*G299</f>
        <v>2343.834499188426</v>
      </c>
      <c r="J300" s="187">
        <f t="shared" si="83"/>
        <v>5048.5549545879849</v>
      </c>
      <c r="K300" s="72">
        <f t="shared" si="87"/>
        <v>132</v>
      </c>
      <c r="L300" s="180">
        <f t="shared" si="84"/>
        <v>15098367.09982994</v>
      </c>
      <c r="M300" s="181">
        <f t="shared" si="84"/>
        <v>93255.530343239312</v>
      </c>
      <c r="N300" s="180">
        <f t="shared" si="84"/>
        <v>48134.459403377579</v>
      </c>
      <c r="O300" s="132">
        <f t="shared" si="84"/>
        <v>45121.070939861725</v>
      </c>
    </row>
    <row r="301" spans="1:15" x14ac:dyDescent="0.25">
      <c r="A301" s="72">
        <f t="shared" si="85"/>
        <v>133</v>
      </c>
      <c r="B301" s="183">
        <f t="shared" si="80"/>
        <v>13656908.864232915</v>
      </c>
      <c r="C301" s="184">
        <f>-Hotel!$E$95/12</f>
        <v>85863.140889462898</v>
      </c>
      <c r="D301" s="183">
        <f>Hotel!$E$93/12*B300</f>
        <v>45657.049850904914</v>
      </c>
      <c r="E301" s="185">
        <f t="shared" si="81"/>
        <v>40206.091038557985</v>
      </c>
      <c r="F301" s="72">
        <f t="shared" si="86"/>
        <v>133</v>
      </c>
      <c r="G301" s="180">
        <f t="shared" si="82"/>
        <v>1396195.1753456218</v>
      </c>
      <c r="H301" s="186">
        <f>-Hotel!$E$100/12</f>
        <v>7392.3894537764108</v>
      </c>
      <c r="I301" s="149">
        <f>Hotel!$E$98/12*G300</f>
        <v>2335.4202409307791</v>
      </c>
      <c r="J301" s="187">
        <f t="shared" si="83"/>
        <v>5056.9692128456318</v>
      </c>
      <c r="K301" s="72">
        <f t="shared" si="87"/>
        <v>133</v>
      </c>
      <c r="L301" s="180">
        <f t="shared" si="84"/>
        <v>15053104.039578537</v>
      </c>
      <c r="M301" s="181">
        <f t="shared" si="84"/>
        <v>93255.530343239312</v>
      </c>
      <c r="N301" s="180">
        <f t="shared" si="84"/>
        <v>47992.47009183569</v>
      </c>
      <c r="O301" s="132">
        <f t="shared" si="84"/>
        <v>45263.060251403615</v>
      </c>
    </row>
    <row r="302" spans="1:15" x14ac:dyDescent="0.25">
      <c r="A302" s="72">
        <f t="shared" si="85"/>
        <v>134</v>
      </c>
      <c r="B302" s="183">
        <f t="shared" si="80"/>
        <v>13616568.752890894</v>
      </c>
      <c r="C302" s="184">
        <f>-Hotel!$E$95/12</f>
        <v>85863.140889462898</v>
      </c>
      <c r="D302" s="183">
        <f>Hotel!$E$93/12*B301</f>
        <v>45523.029547443053</v>
      </c>
      <c r="E302" s="185">
        <f t="shared" si="81"/>
        <v>40340.111342019845</v>
      </c>
      <c r="F302" s="72">
        <f t="shared" si="86"/>
        <v>134</v>
      </c>
      <c r="G302" s="180">
        <f t="shared" si="82"/>
        <v>1391129.7778507548</v>
      </c>
      <c r="H302" s="186">
        <f>-Hotel!$E$100/12</f>
        <v>7392.3894537764108</v>
      </c>
      <c r="I302" s="149">
        <f>Hotel!$E$98/12*G301</f>
        <v>2326.9919589093697</v>
      </c>
      <c r="J302" s="187">
        <f t="shared" si="83"/>
        <v>5065.3974948670411</v>
      </c>
      <c r="K302" s="72">
        <f t="shared" si="87"/>
        <v>134</v>
      </c>
      <c r="L302" s="180">
        <f t="shared" si="84"/>
        <v>15007698.530741649</v>
      </c>
      <c r="M302" s="181">
        <f t="shared" si="84"/>
        <v>93255.530343239312</v>
      </c>
      <c r="N302" s="180">
        <f t="shared" si="84"/>
        <v>47850.021506352423</v>
      </c>
      <c r="O302" s="132">
        <f t="shared" si="84"/>
        <v>45405.508836886889</v>
      </c>
    </row>
    <row r="303" spans="1:15" x14ac:dyDescent="0.25">
      <c r="A303" s="72">
        <f t="shared" si="85"/>
        <v>135</v>
      </c>
      <c r="B303" s="183">
        <f t="shared" si="80"/>
        <v>13576094.174511068</v>
      </c>
      <c r="C303" s="184">
        <f>-Hotel!$E$95/12</f>
        <v>85863.140889462898</v>
      </c>
      <c r="D303" s="183">
        <f>Hotel!$E$93/12*B302</f>
        <v>45388.562509636315</v>
      </c>
      <c r="E303" s="185">
        <f t="shared" si="81"/>
        <v>40474.578379826584</v>
      </c>
      <c r="F303" s="72">
        <f t="shared" si="86"/>
        <v>135</v>
      </c>
      <c r="G303" s="180">
        <f t="shared" si="82"/>
        <v>1386055.9380267297</v>
      </c>
      <c r="H303" s="186">
        <f>-Hotel!$E$100/12</f>
        <v>7392.3894537764108</v>
      </c>
      <c r="I303" s="149">
        <f>Hotel!$E$98/12*G302</f>
        <v>2318.5496297512582</v>
      </c>
      <c r="J303" s="187">
        <f t="shared" si="83"/>
        <v>5073.8398240251527</v>
      </c>
      <c r="K303" s="72">
        <f t="shared" si="87"/>
        <v>135</v>
      </c>
      <c r="L303" s="180">
        <f t="shared" si="84"/>
        <v>14962150.112537798</v>
      </c>
      <c r="M303" s="181">
        <f t="shared" si="84"/>
        <v>93255.530343239312</v>
      </c>
      <c r="N303" s="180">
        <f t="shared" si="84"/>
        <v>47707.112139387573</v>
      </c>
      <c r="O303" s="132">
        <f t="shared" si="84"/>
        <v>45548.418203851739</v>
      </c>
    </row>
    <row r="304" spans="1:15" x14ac:dyDescent="0.25">
      <c r="A304" s="72">
        <f t="shared" si="85"/>
        <v>136</v>
      </c>
      <c r="B304" s="183">
        <f t="shared" si="80"/>
        <v>13535484.680869974</v>
      </c>
      <c r="C304" s="184">
        <f>-Hotel!$E$95/12</f>
        <v>85863.140889462898</v>
      </c>
      <c r="D304" s="183">
        <f>Hotel!$E$93/12*B303</f>
        <v>45253.647248370231</v>
      </c>
      <c r="E304" s="185">
        <f t="shared" si="81"/>
        <v>40609.493641092668</v>
      </c>
      <c r="F304" s="72">
        <f t="shared" si="86"/>
        <v>136</v>
      </c>
      <c r="G304" s="180">
        <f t="shared" si="82"/>
        <v>1380973.6418029978</v>
      </c>
      <c r="H304" s="186">
        <f>-Hotel!$E$100/12</f>
        <v>7392.3894537764108</v>
      </c>
      <c r="I304" s="149">
        <f>Hotel!$E$98/12*G303</f>
        <v>2310.0932300445497</v>
      </c>
      <c r="J304" s="187">
        <f t="shared" si="83"/>
        <v>5082.2962237318607</v>
      </c>
      <c r="K304" s="72">
        <f t="shared" si="87"/>
        <v>136</v>
      </c>
      <c r="L304" s="180">
        <f t="shared" si="84"/>
        <v>14916458.322672972</v>
      </c>
      <c r="M304" s="181">
        <f t="shared" si="84"/>
        <v>93255.530343239312</v>
      </c>
      <c r="N304" s="180">
        <f t="shared" si="84"/>
        <v>47563.74047841478</v>
      </c>
      <c r="O304" s="132">
        <f t="shared" si="84"/>
        <v>45691.789864824532</v>
      </c>
    </row>
    <row r="305" spans="1:15" x14ac:dyDescent="0.25">
      <c r="A305" s="72">
        <f t="shared" si="85"/>
        <v>137</v>
      </c>
      <c r="B305" s="183">
        <f t="shared" si="80"/>
        <v>13494739.822250078</v>
      </c>
      <c r="C305" s="184">
        <f>-Hotel!$E$95/12</f>
        <v>85863.140889462898</v>
      </c>
      <c r="D305" s="183">
        <f>Hotel!$E$93/12*B304</f>
        <v>45118.282269566582</v>
      </c>
      <c r="E305" s="185">
        <f t="shared" si="81"/>
        <v>40744.858619896317</v>
      </c>
      <c r="F305" s="72">
        <f t="shared" si="86"/>
        <v>137</v>
      </c>
      <c r="G305" s="180">
        <f t="shared" si="82"/>
        <v>1375882.8750855597</v>
      </c>
      <c r="H305" s="186">
        <f>-Hotel!$E$100/12</f>
        <v>7392.3894537764108</v>
      </c>
      <c r="I305" s="149">
        <f>Hotel!$E$98/12*G304</f>
        <v>2301.62273633833</v>
      </c>
      <c r="J305" s="187">
        <f t="shared" si="83"/>
        <v>5090.7667174380804</v>
      </c>
      <c r="K305" s="72">
        <f t="shared" si="87"/>
        <v>137</v>
      </c>
      <c r="L305" s="180">
        <f t="shared" si="84"/>
        <v>14870622.697335638</v>
      </c>
      <c r="M305" s="181">
        <f t="shared" si="84"/>
        <v>93255.530343239312</v>
      </c>
      <c r="N305" s="180">
        <f t="shared" si="84"/>
        <v>47419.905005904911</v>
      </c>
      <c r="O305" s="132">
        <f t="shared" si="84"/>
        <v>45835.625337334393</v>
      </c>
    </row>
    <row r="306" spans="1:15" x14ac:dyDescent="0.25">
      <c r="A306" s="72">
        <f t="shared" si="85"/>
        <v>138</v>
      </c>
      <c r="B306" s="183">
        <f t="shared" si="80"/>
        <v>13453859.147434782</v>
      </c>
      <c r="C306" s="184">
        <f>-Hotel!$E$95/12</f>
        <v>85863.140889462898</v>
      </c>
      <c r="D306" s="183">
        <f>Hotel!$E$93/12*B305</f>
        <v>44982.466074166929</v>
      </c>
      <c r="E306" s="185">
        <f t="shared" si="81"/>
        <v>40880.67481529597</v>
      </c>
      <c r="F306" s="72">
        <f t="shared" si="86"/>
        <v>138</v>
      </c>
      <c r="G306" s="180">
        <f t="shared" si="82"/>
        <v>1370783.6237569258</v>
      </c>
      <c r="H306" s="186">
        <f>-Hotel!$E$100/12</f>
        <v>7392.3894537764108</v>
      </c>
      <c r="I306" s="149">
        <f>Hotel!$E$98/12*G305</f>
        <v>2293.1381251425996</v>
      </c>
      <c r="J306" s="187">
        <f t="shared" si="83"/>
        <v>5099.2513286338108</v>
      </c>
      <c r="K306" s="72">
        <f t="shared" si="87"/>
        <v>138</v>
      </c>
      <c r="L306" s="180">
        <f t="shared" si="84"/>
        <v>14824642.771191709</v>
      </c>
      <c r="M306" s="181">
        <f t="shared" si="84"/>
        <v>93255.530343239312</v>
      </c>
      <c r="N306" s="180">
        <f t="shared" si="84"/>
        <v>47275.604199309528</v>
      </c>
      <c r="O306" s="132">
        <f t="shared" si="84"/>
        <v>45979.926143929784</v>
      </c>
    </row>
    <row r="307" spans="1:15" x14ac:dyDescent="0.25">
      <c r="A307" s="72">
        <f t="shared" si="85"/>
        <v>139</v>
      </c>
      <c r="B307" s="183">
        <f t="shared" si="80"/>
        <v>13412842.203703435</v>
      </c>
      <c r="C307" s="184">
        <f>-Hotel!$E$95/12</f>
        <v>85863.140889462898</v>
      </c>
      <c r="D307" s="183">
        <f>Hotel!$E$93/12*B306</f>
        <v>44846.197158115945</v>
      </c>
      <c r="E307" s="185">
        <f t="shared" si="81"/>
        <v>41016.943731346953</v>
      </c>
      <c r="F307" s="72">
        <f t="shared" si="86"/>
        <v>139</v>
      </c>
      <c r="G307" s="180">
        <f t="shared" si="82"/>
        <v>1365675.8736760777</v>
      </c>
      <c r="H307" s="186">
        <f>-Hotel!$E$100/12</f>
        <v>7392.3894537764108</v>
      </c>
      <c r="I307" s="149">
        <f>Hotel!$E$98/12*G306</f>
        <v>2284.6393729282099</v>
      </c>
      <c r="J307" s="187">
        <f t="shared" si="83"/>
        <v>5107.7500808482009</v>
      </c>
      <c r="K307" s="72">
        <f t="shared" si="87"/>
        <v>139</v>
      </c>
      <c r="L307" s="180">
        <f t="shared" si="84"/>
        <v>14778518.077379514</v>
      </c>
      <c r="M307" s="181">
        <f t="shared" si="84"/>
        <v>93255.530343239312</v>
      </c>
      <c r="N307" s="180">
        <f t="shared" si="84"/>
        <v>47130.836531044159</v>
      </c>
      <c r="O307" s="132">
        <f t="shared" si="84"/>
        <v>46124.693812195153</v>
      </c>
    </row>
    <row r="308" spans="1:15" x14ac:dyDescent="0.25">
      <c r="A308" s="72">
        <f t="shared" si="85"/>
        <v>140</v>
      </c>
      <c r="B308" s="183">
        <f t="shared" si="80"/>
        <v>13371688.536826316</v>
      </c>
      <c r="C308" s="184">
        <f>-Hotel!$E$95/12</f>
        <v>85863.140889462898</v>
      </c>
      <c r="D308" s="183">
        <f>Hotel!$E$93/12*B307</f>
        <v>44709.474012344785</v>
      </c>
      <c r="E308" s="185">
        <f t="shared" si="81"/>
        <v>41153.666877118114</v>
      </c>
      <c r="F308" s="72">
        <f t="shared" si="86"/>
        <v>140</v>
      </c>
      <c r="G308" s="180">
        <f t="shared" si="82"/>
        <v>1360559.6106784281</v>
      </c>
      <c r="H308" s="186">
        <f>-Hotel!$E$100/12</f>
        <v>7392.3894537764108</v>
      </c>
      <c r="I308" s="149">
        <f>Hotel!$E$98/12*G307</f>
        <v>2276.1264561267963</v>
      </c>
      <c r="J308" s="187">
        <f t="shared" si="83"/>
        <v>5116.2629976496146</v>
      </c>
      <c r="K308" s="72">
        <f t="shared" si="87"/>
        <v>140</v>
      </c>
      <c r="L308" s="180">
        <f t="shared" si="84"/>
        <v>14732248.147504745</v>
      </c>
      <c r="M308" s="181">
        <f t="shared" si="84"/>
        <v>93255.530343239312</v>
      </c>
      <c r="N308" s="180">
        <f t="shared" si="84"/>
        <v>46985.600468471581</v>
      </c>
      <c r="O308" s="132">
        <f t="shared" si="84"/>
        <v>46269.929874767731</v>
      </c>
    </row>
    <row r="309" spans="1:15" x14ac:dyDescent="0.25">
      <c r="A309" s="72">
        <f t="shared" si="85"/>
        <v>141</v>
      </c>
      <c r="B309" s="183">
        <f t="shared" si="80"/>
        <v>13330397.691059608</v>
      </c>
      <c r="C309" s="184">
        <f>-Hotel!$E$95/12</f>
        <v>85863.140889462898</v>
      </c>
      <c r="D309" s="183">
        <f>Hotel!$E$93/12*B308</f>
        <v>44572.295122754389</v>
      </c>
      <c r="E309" s="185">
        <f t="shared" si="81"/>
        <v>41290.845766708509</v>
      </c>
      <c r="F309" s="72">
        <f t="shared" si="86"/>
        <v>141</v>
      </c>
      <c r="G309" s="180">
        <f t="shared" si="82"/>
        <v>1355434.8205757823</v>
      </c>
      <c r="H309" s="186">
        <f>-Hotel!$E$100/12</f>
        <v>7392.3894537764108</v>
      </c>
      <c r="I309" s="149">
        <f>Hotel!$E$98/12*G308</f>
        <v>2267.5993511307138</v>
      </c>
      <c r="J309" s="187">
        <f t="shared" si="83"/>
        <v>5124.7901026456966</v>
      </c>
      <c r="K309" s="72">
        <f t="shared" si="87"/>
        <v>141</v>
      </c>
      <c r="L309" s="180">
        <f t="shared" si="84"/>
        <v>14685832.511635391</v>
      </c>
      <c r="M309" s="181">
        <f t="shared" si="84"/>
        <v>93255.530343239312</v>
      </c>
      <c r="N309" s="180">
        <f t="shared" si="84"/>
        <v>46839.894473885106</v>
      </c>
      <c r="O309" s="132">
        <f t="shared" si="84"/>
        <v>46415.635869354206</v>
      </c>
    </row>
    <row r="310" spans="1:15" x14ac:dyDescent="0.25">
      <c r="A310" s="72">
        <f t="shared" si="85"/>
        <v>142</v>
      </c>
      <c r="B310" s="183">
        <f t="shared" si="80"/>
        <v>13288969.209140344</v>
      </c>
      <c r="C310" s="184">
        <f>-Hotel!$E$95/12</f>
        <v>85863.140889462898</v>
      </c>
      <c r="D310" s="183">
        <f>Hotel!$E$93/12*B309</f>
        <v>44434.658970198696</v>
      </c>
      <c r="E310" s="185">
        <f t="shared" si="81"/>
        <v>41428.481919264203</v>
      </c>
      <c r="F310" s="72">
        <f t="shared" si="86"/>
        <v>142</v>
      </c>
      <c r="G310" s="180">
        <f t="shared" si="82"/>
        <v>1350301.4891562988</v>
      </c>
      <c r="H310" s="186">
        <f>-Hotel!$E$100/12</f>
        <v>7392.3894537764108</v>
      </c>
      <c r="I310" s="149">
        <f>Hotel!$E$98/12*G309</f>
        <v>2259.0580342929707</v>
      </c>
      <c r="J310" s="187">
        <f t="shared" si="83"/>
        <v>5133.3314194834402</v>
      </c>
      <c r="K310" s="72">
        <f t="shared" si="87"/>
        <v>142</v>
      </c>
      <c r="L310" s="180">
        <f t="shared" si="84"/>
        <v>14639270.698296642</v>
      </c>
      <c r="M310" s="181">
        <f t="shared" si="84"/>
        <v>93255.530343239312</v>
      </c>
      <c r="N310" s="180">
        <f t="shared" si="84"/>
        <v>46693.717004491664</v>
      </c>
      <c r="O310" s="132">
        <f t="shared" si="84"/>
        <v>46561.813338747641</v>
      </c>
    </row>
    <row r="311" spans="1:15" x14ac:dyDescent="0.25">
      <c r="A311" s="72">
        <f t="shared" si="85"/>
        <v>143</v>
      </c>
      <c r="B311" s="183">
        <f t="shared" si="80"/>
        <v>13247402.632281348</v>
      </c>
      <c r="C311" s="184">
        <f>-Hotel!$E$95/12</f>
        <v>85863.140889462898</v>
      </c>
      <c r="D311" s="183">
        <f>Hotel!$E$93/12*B310</f>
        <v>44296.564030467816</v>
      </c>
      <c r="E311" s="185">
        <f t="shared" si="81"/>
        <v>41566.576858995082</v>
      </c>
      <c r="F311" s="72">
        <f t="shared" si="86"/>
        <v>143</v>
      </c>
      <c r="G311" s="180">
        <f t="shared" si="82"/>
        <v>1345159.6021844496</v>
      </c>
      <c r="H311" s="186">
        <f>-Hotel!$E$100/12</f>
        <v>7392.3894537764108</v>
      </c>
      <c r="I311" s="149">
        <f>Hotel!$E$98/12*G310</f>
        <v>2250.5024819271648</v>
      </c>
      <c r="J311" s="187">
        <f t="shared" si="83"/>
        <v>5141.886971849246</v>
      </c>
      <c r="K311" s="72">
        <f t="shared" si="87"/>
        <v>143</v>
      </c>
      <c r="L311" s="180">
        <f t="shared" si="84"/>
        <v>14592562.234465798</v>
      </c>
      <c r="M311" s="181">
        <f t="shared" si="84"/>
        <v>93255.530343239312</v>
      </c>
      <c r="N311" s="180">
        <f t="shared" si="84"/>
        <v>46547.06651239498</v>
      </c>
      <c r="O311" s="132">
        <f t="shared" si="84"/>
        <v>46708.463830844325</v>
      </c>
    </row>
    <row r="312" spans="1:15" x14ac:dyDescent="0.25">
      <c r="A312" s="72">
        <f t="shared" si="85"/>
        <v>144</v>
      </c>
      <c r="B312" s="183">
        <f t="shared" si="80"/>
        <v>13205697.500166157</v>
      </c>
      <c r="C312" s="184">
        <f>-Hotel!$E$95/12</f>
        <v>85863.140889462898</v>
      </c>
      <c r="D312" s="183">
        <f>Hotel!$E$93/12*B311</f>
        <v>44158.008774271162</v>
      </c>
      <c r="E312" s="185">
        <f t="shared" si="81"/>
        <v>41705.132115191736</v>
      </c>
      <c r="F312" s="72">
        <f t="shared" si="86"/>
        <v>144</v>
      </c>
      <c r="G312" s="180">
        <f t="shared" si="82"/>
        <v>1340009.1454009805</v>
      </c>
      <c r="H312" s="186">
        <f>-Hotel!$E$100/12</f>
        <v>7392.3894537764108</v>
      </c>
      <c r="I312" s="149">
        <f>Hotel!$E$98/12*G311</f>
        <v>2241.9326703074162</v>
      </c>
      <c r="J312" s="187">
        <f t="shared" si="83"/>
        <v>5150.4567834689951</v>
      </c>
      <c r="K312" s="72">
        <f t="shared" si="87"/>
        <v>144</v>
      </c>
      <c r="L312" s="180">
        <f t="shared" si="84"/>
        <v>14545706.645567138</v>
      </c>
      <c r="M312" s="181">
        <f t="shared" si="84"/>
        <v>93255.530343239312</v>
      </c>
      <c r="N312" s="180">
        <f t="shared" si="84"/>
        <v>46399.941444578581</v>
      </c>
      <c r="O312" s="132">
        <f t="shared" si="84"/>
        <v>46855.588898660732</v>
      </c>
    </row>
    <row r="313" spans="1:15" x14ac:dyDescent="0.25">
      <c r="A313" s="72">
        <f t="shared" si="85"/>
        <v>145</v>
      </c>
      <c r="B313" s="183">
        <f t="shared" si="80"/>
        <v>13163853.350943916</v>
      </c>
      <c r="C313" s="184">
        <f>-Hotel!$E$95/12</f>
        <v>85863.140889462898</v>
      </c>
      <c r="D313" s="183">
        <f>Hotel!$E$93/12*B312</f>
        <v>44018.991667220529</v>
      </c>
      <c r="E313" s="185">
        <f t="shared" si="81"/>
        <v>41844.149222242369</v>
      </c>
      <c r="F313" s="72">
        <f t="shared" si="86"/>
        <v>145</v>
      </c>
      <c r="G313" s="180">
        <f t="shared" si="82"/>
        <v>1334850.1045228725</v>
      </c>
      <c r="H313" s="186">
        <f>-Hotel!$E$100/12</f>
        <v>7392.3894537764108</v>
      </c>
      <c r="I313" s="149">
        <f>Hotel!$E$98/12*G312</f>
        <v>2233.3485756683008</v>
      </c>
      <c r="J313" s="187">
        <f t="shared" si="83"/>
        <v>5159.0408781081096</v>
      </c>
      <c r="K313" s="72">
        <f t="shared" si="87"/>
        <v>145</v>
      </c>
      <c r="L313" s="180">
        <f t="shared" si="84"/>
        <v>14498703.455466788</v>
      </c>
      <c r="M313" s="181">
        <f t="shared" si="84"/>
        <v>93255.530343239312</v>
      </c>
      <c r="N313" s="180">
        <f t="shared" si="84"/>
        <v>46252.340242888829</v>
      </c>
      <c r="O313" s="132">
        <f t="shared" si="84"/>
        <v>47003.190100350475</v>
      </c>
    </row>
    <row r="314" spans="1:15" x14ac:dyDescent="0.25">
      <c r="A314" s="72">
        <f t="shared" si="85"/>
        <v>146</v>
      </c>
      <c r="B314" s="183">
        <f t="shared" si="80"/>
        <v>13121869.721224265</v>
      </c>
      <c r="C314" s="184">
        <f>-Hotel!$E$95/12</f>
        <v>85863.140889462898</v>
      </c>
      <c r="D314" s="183">
        <f>Hotel!$E$93/12*B313</f>
        <v>43879.511169813057</v>
      </c>
      <c r="E314" s="185">
        <f t="shared" si="81"/>
        <v>41983.629719649842</v>
      </c>
      <c r="F314" s="72">
        <f t="shared" si="86"/>
        <v>146</v>
      </c>
      <c r="G314" s="180">
        <f t="shared" si="82"/>
        <v>1329682.4652433009</v>
      </c>
      <c r="H314" s="186">
        <f>-Hotel!$E$100/12</f>
        <v>7392.3894537764108</v>
      </c>
      <c r="I314" s="149">
        <f>Hotel!$E$98/12*G313</f>
        <v>2224.7501742047875</v>
      </c>
      <c r="J314" s="187">
        <f t="shared" si="83"/>
        <v>5167.6392795716238</v>
      </c>
      <c r="K314" s="72">
        <f t="shared" si="87"/>
        <v>146</v>
      </c>
      <c r="L314" s="180">
        <f t="shared" si="84"/>
        <v>14451552.186467566</v>
      </c>
      <c r="M314" s="181">
        <f t="shared" si="84"/>
        <v>93255.530343239312</v>
      </c>
      <c r="N314" s="180">
        <f t="shared" si="84"/>
        <v>46104.261344017847</v>
      </c>
      <c r="O314" s="132">
        <f t="shared" si="84"/>
        <v>47151.268999221465</v>
      </c>
    </row>
    <row r="315" spans="1:15" x14ac:dyDescent="0.25">
      <c r="A315" s="72">
        <f t="shared" si="85"/>
        <v>147</v>
      </c>
      <c r="B315" s="183">
        <f t="shared" si="80"/>
        <v>13079746.146072216</v>
      </c>
      <c r="C315" s="184">
        <f>-Hotel!$E$95/12</f>
        <v>85863.140889462898</v>
      </c>
      <c r="D315" s="183">
        <f>Hotel!$E$93/12*B314</f>
        <v>43739.565737414217</v>
      </c>
      <c r="E315" s="185">
        <f t="shared" si="81"/>
        <v>42123.575152048681</v>
      </c>
      <c r="F315" s="72">
        <f t="shared" si="86"/>
        <v>147</v>
      </c>
      <c r="G315" s="180">
        <f t="shared" si="82"/>
        <v>1324506.2132315966</v>
      </c>
      <c r="H315" s="186">
        <f>-Hotel!$E$100/12</f>
        <v>7392.3894537764108</v>
      </c>
      <c r="I315" s="149">
        <f>Hotel!$E$98/12*G314</f>
        <v>2216.1374420721681</v>
      </c>
      <c r="J315" s="187">
        <f t="shared" si="83"/>
        <v>5176.2520117042422</v>
      </c>
      <c r="K315" s="72">
        <f t="shared" si="87"/>
        <v>147</v>
      </c>
      <c r="L315" s="180">
        <f t="shared" si="84"/>
        <v>14404252.359303813</v>
      </c>
      <c r="M315" s="181">
        <f t="shared" si="84"/>
        <v>93255.530343239312</v>
      </c>
      <c r="N315" s="180">
        <f t="shared" si="84"/>
        <v>45955.703179486387</v>
      </c>
      <c r="O315" s="132">
        <f t="shared" si="84"/>
        <v>47299.827163752925</v>
      </c>
    </row>
    <row r="316" spans="1:15" x14ac:dyDescent="0.25">
      <c r="A316" s="72">
        <f t="shared" si="85"/>
        <v>148</v>
      </c>
      <c r="B316" s="183">
        <f t="shared" si="80"/>
        <v>13037482.159002993</v>
      </c>
      <c r="C316" s="184">
        <f>-Hotel!$E$95/12</f>
        <v>85863.140889462898</v>
      </c>
      <c r="D316" s="183">
        <f>Hotel!$E$93/12*B315</f>
        <v>43599.153820240725</v>
      </c>
      <c r="E316" s="185">
        <f t="shared" si="81"/>
        <v>42263.987069222174</v>
      </c>
      <c r="F316" s="72">
        <f t="shared" si="86"/>
        <v>148</v>
      </c>
      <c r="G316" s="180">
        <f t="shared" si="82"/>
        <v>1319321.3341332062</v>
      </c>
      <c r="H316" s="186">
        <f>-Hotel!$E$100/12</f>
        <v>7392.3894537764108</v>
      </c>
      <c r="I316" s="149">
        <f>Hotel!$E$98/12*G315</f>
        <v>2207.5103553859944</v>
      </c>
      <c r="J316" s="187">
        <f t="shared" si="83"/>
        <v>5184.8790983904164</v>
      </c>
      <c r="K316" s="72">
        <f t="shared" si="87"/>
        <v>148</v>
      </c>
      <c r="L316" s="180">
        <f t="shared" si="84"/>
        <v>14356803.493136199</v>
      </c>
      <c r="M316" s="181">
        <f t="shared" si="84"/>
        <v>93255.530343239312</v>
      </c>
      <c r="N316" s="180">
        <f t="shared" si="84"/>
        <v>45806.66417562672</v>
      </c>
      <c r="O316" s="132">
        <f t="shared" si="84"/>
        <v>47448.866167612592</v>
      </c>
    </row>
    <row r="317" spans="1:15" x14ac:dyDescent="0.25">
      <c r="A317" s="72">
        <f t="shared" si="85"/>
        <v>149</v>
      </c>
      <c r="B317" s="183">
        <f t="shared" si="80"/>
        <v>12995077.291976873</v>
      </c>
      <c r="C317" s="184">
        <f>-Hotel!$E$95/12</f>
        <v>85863.140889462898</v>
      </c>
      <c r="D317" s="183">
        <f>Hotel!$E$93/12*B316</f>
        <v>43458.273863343311</v>
      </c>
      <c r="E317" s="185">
        <f t="shared" si="81"/>
        <v>42404.867026119588</v>
      </c>
      <c r="F317" s="72">
        <f t="shared" si="86"/>
        <v>149</v>
      </c>
      <c r="G317" s="180">
        <f t="shared" si="82"/>
        <v>1314127.8135696517</v>
      </c>
      <c r="H317" s="186">
        <f>-Hotel!$E$100/12</f>
        <v>7392.3894537764108</v>
      </c>
      <c r="I317" s="149">
        <f>Hotel!$E$98/12*G316</f>
        <v>2198.8688902220106</v>
      </c>
      <c r="J317" s="187">
        <f t="shared" si="83"/>
        <v>5193.5205635544007</v>
      </c>
      <c r="K317" s="72">
        <f t="shared" si="87"/>
        <v>149</v>
      </c>
      <c r="L317" s="180">
        <f t="shared" si="84"/>
        <v>14309205.105546525</v>
      </c>
      <c r="M317" s="181">
        <f t="shared" si="84"/>
        <v>93255.530343239312</v>
      </c>
      <c r="N317" s="180">
        <f t="shared" si="84"/>
        <v>45657.14275356532</v>
      </c>
      <c r="O317" s="132">
        <f t="shared" si="84"/>
        <v>47598.387589673992</v>
      </c>
    </row>
    <row r="318" spans="1:15" x14ac:dyDescent="0.25">
      <c r="A318" s="72">
        <f t="shared" si="85"/>
        <v>150</v>
      </c>
      <c r="B318" s="183">
        <f t="shared" si="80"/>
        <v>12952531.075393999</v>
      </c>
      <c r="C318" s="184">
        <f>-Hotel!$E$95/12</f>
        <v>85863.140889462898</v>
      </c>
      <c r="D318" s="183">
        <f>Hotel!$E$93/12*B317</f>
        <v>43316.924306589579</v>
      </c>
      <c r="E318" s="185">
        <f t="shared" si="81"/>
        <v>42546.21658287332</v>
      </c>
      <c r="F318" s="72">
        <f t="shared" si="86"/>
        <v>150</v>
      </c>
      <c r="G318" s="180">
        <f t="shared" si="82"/>
        <v>1308925.6371384913</v>
      </c>
      <c r="H318" s="186">
        <f>-Hotel!$E$100/12</f>
        <v>7392.3894537764108</v>
      </c>
      <c r="I318" s="149">
        <f>Hotel!$E$98/12*G317</f>
        <v>2190.2130226160862</v>
      </c>
      <c r="J318" s="187">
        <f t="shared" si="83"/>
        <v>5202.1764311603247</v>
      </c>
      <c r="K318" s="72">
        <f t="shared" si="87"/>
        <v>150</v>
      </c>
      <c r="L318" s="180">
        <f t="shared" si="84"/>
        <v>14261456.71253249</v>
      </c>
      <c r="M318" s="181">
        <f t="shared" si="84"/>
        <v>93255.530343239312</v>
      </c>
      <c r="N318" s="180">
        <f t="shared" si="84"/>
        <v>45507.137329205667</v>
      </c>
      <c r="O318" s="132">
        <f t="shared" si="84"/>
        <v>47748.393014033645</v>
      </c>
    </row>
    <row r="319" spans="1:15" x14ac:dyDescent="0.25">
      <c r="A319" s="72">
        <f t="shared" si="85"/>
        <v>151</v>
      </c>
      <c r="B319" s="183">
        <f t="shared" si="80"/>
        <v>12909843.038089182</v>
      </c>
      <c r="C319" s="184">
        <f>-Hotel!$E$95/12</f>
        <v>85863.140889462898</v>
      </c>
      <c r="D319" s="183">
        <f>Hotel!$E$93/12*B318</f>
        <v>43175.103584646669</v>
      </c>
      <c r="E319" s="185">
        <f t="shared" si="81"/>
        <v>42688.037304816229</v>
      </c>
      <c r="F319" s="72">
        <f t="shared" si="86"/>
        <v>151</v>
      </c>
      <c r="G319" s="180">
        <f t="shared" si="82"/>
        <v>1303714.7904132791</v>
      </c>
      <c r="H319" s="186">
        <f>-Hotel!$E$100/12</f>
        <v>7392.3894537764108</v>
      </c>
      <c r="I319" s="149">
        <f>Hotel!$E$98/12*G318</f>
        <v>2181.5427285641522</v>
      </c>
      <c r="J319" s="187">
        <f t="shared" si="83"/>
        <v>5210.8467252122591</v>
      </c>
      <c r="K319" s="72">
        <f t="shared" si="87"/>
        <v>151</v>
      </c>
      <c r="L319" s="180">
        <f t="shared" si="84"/>
        <v>14213557.828502461</v>
      </c>
      <c r="M319" s="181">
        <f t="shared" si="84"/>
        <v>93255.530343239312</v>
      </c>
      <c r="N319" s="180">
        <f t="shared" si="84"/>
        <v>45356.646313210818</v>
      </c>
      <c r="O319" s="132">
        <f t="shared" si="84"/>
        <v>47898.884030028486</v>
      </c>
    </row>
    <row r="320" spans="1:15" x14ac:dyDescent="0.25">
      <c r="A320" s="72">
        <f t="shared" si="85"/>
        <v>152</v>
      </c>
      <c r="B320" s="183">
        <f t="shared" si="80"/>
        <v>12867012.707326684</v>
      </c>
      <c r="C320" s="184">
        <f>-Hotel!$E$95/12</f>
        <v>85863.140889462898</v>
      </c>
      <c r="D320" s="183">
        <f>Hotel!$E$93/12*B319</f>
        <v>43032.810126963945</v>
      </c>
      <c r="E320" s="185">
        <f t="shared" si="81"/>
        <v>42830.330762498954</v>
      </c>
      <c r="F320" s="72">
        <f t="shared" si="86"/>
        <v>152</v>
      </c>
      <c r="G320" s="180">
        <f t="shared" si="82"/>
        <v>1298495.2589435249</v>
      </c>
      <c r="H320" s="186">
        <f>-Hotel!$E$100/12</f>
        <v>7392.3894537764108</v>
      </c>
      <c r="I320" s="149">
        <f>Hotel!$E$98/12*G319</f>
        <v>2172.8579840221319</v>
      </c>
      <c r="J320" s="187">
        <f t="shared" si="83"/>
        <v>5219.531469754279</v>
      </c>
      <c r="K320" s="72">
        <f t="shared" si="87"/>
        <v>152</v>
      </c>
      <c r="L320" s="180">
        <f t="shared" si="84"/>
        <v>14165507.966270208</v>
      </c>
      <c r="M320" s="181">
        <f t="shared" si="84"/>
        <v>93255.530343239312</v>
      </c>
      <c r="N320" s="180">
        <f t="shared" si="84"/>
        <v>45205.66811098608</v>
      </c>
      <c r="O320" s="132">
        <f t="shared" si="84"/>
        <v>48049.862232253232</v>
      </c>
    </row>
    <row r="321" spans="1:15" x14ac:dyDescent="0.25">
      <c r="A321" s="72">
        <f t="shared" si="85"/>
        <v>153</v>
      </c>
      <c r="B321" s="183">
        <f t="shared" si="80"/>
        <v>12824039.608794976</v>
      </c>
      <c r="C321" s="184">
        <f>-Hotel!$E$95/12</f>
        <v>85863.140889462898</v>
      </c>
      <c r="D321" s="183">
        <f>Hotel!$E$93/12*B320</f>
        <v>42890.042357755614</v>
      </c>
      <c r="E321" s="185">
        <f t="shared" si="81"/>
        <v>42973.098531707285</v>
      </c>
      <c r="F321" s="72">
        <f t="shared" si="86"/>
        <v>153</v>
      </c>
      <c r="G321" s="180">
        <f t="shared" si="82"/>
        <v>1293267.0282546543</v>
      </c>
      <c r="H321" s="186">
        <f>-Hotel!$E$100/12</f>
        <v>7392.3894537764108</v>
      </c>
      <c r="I321" s="149">
        <f>Hotel!$E$98/12*G320</f>
        <v>2164.1587649058752</v>
      </c>
      <c r="J321" s="187">
        <f t="shared" si="83"/>
        <v>5228.2306888705352</v>
      </c>
      <c r="K321" s="72">
        <f t="shared" si="87"/>
        <v>153</v>
      </c>
      <c r="L321" s="180">
        <f t="shared" si="84"/>
        <v>14117306.63704963</v>
      </c>
      <c r="M321" s="181">
        <f t="shared" si="84"/>
        <v>93255.530343239312</v>
      </c>
      <c r="N321" s="180">
        <f t="shared" si="84"/>
        <v>45054.201122661492</v>
      </c>
      <c r="O321" s="132">
        <f t="shared" si="84"/>
        <v>48201.32922057782</v>
      </c>
    </row>
    <row r="322" spans="1:15" x14ac:dyDescent="0.25">
      <c r="A322" s="72">
        <f t="shared" si="85"/>
        <v>154</v>
      </c>
      <c r="B322" s="183">
        <f t="shared" si="80"/>
        <v>12780923.266601497</v>
      </c>
      <c r="C322" s="184">
        <f>-Hotel!$E$95/12</f>
        <v>85863.140889462898</v>
      </c>
      <c r="D322" s="183">
        <f>Hotel!$E$93/12*B321</f>
        <v>42746.798695983256</v>
      </c>
      <c r="E322" s="185">
        <f t="shared" si="81"/>
        <v>43116.342193479642</v>
      </c>
      <c r="F322" s="72">
        <f t="shared" si="86"/>
        <v>154</v>
      </c>
      <c r="G322" s="180">
        <f t="shared" si="82"/>
        <v>1288030.0838479688</v>
      </c>
      <c r="H322" s="186">
        <f>-Hotel!$E$100/12</f>
        <v>7392.3894537764108</v>
      </c>
      <c r="I322" s="149">
        <f>Hotel!$E$98/12*G321</f>
        <v>2155.4450470910906</v>
      </c>
      <c r="J322" s="187">
        <f t="shared" si="83"/>
        <v>5236.9444066853202</v>
      </c>
      <c r="K322" s="72">
        <f t="shared" si="87"/>
        <v>154</v>
      </c>
      <c r="L322" s="180">
        <f t="shared" si="84"/>
        <v>14068953.350449465</v>
      </c>
      <c r="M322" s="181">
        <f t="shared" si="84"/>
        <v>93255.530343239312</v>
      </c>
      <c r="N322" s="180">
        <f t="shared" si="84"/>
        <v>44902.243743074345</v>
      </c>
      <c r="O322" s="132">
        <f t="shared" si="84"/>
        <v>48353.28660016496</v>
      </c>
    </row>
    <row r="323" spans="1:15" x14ac:dyDescent="0.25">
      <c r="A323" s="72">
        <f t="shared" si="85"/>
        <v>155</v>
      </c>
      <c r="B323" s="183">
        <f t="shared" si="80"/>
        <v>12737663.203267373</v>
      </c>
      <c r="C323" s="184">
        <f>-Hotel!$E$95/12</f>
        <v>85863.140889462898</v>
      </c>
      <c r="D323" s="183">
        <f>Hotel!$E$93/12*B322</f>
        <v>42603.077555338328</v>
      </c>
      <c r="E323" s="185">
        <f t="shared" si="81"/>
        <v>43260.06333412457</v>
      </c>
      <c r="F323" s="72">
        <f t="shared" si="86"/>
        <v>155</v>
      </c>
      <c r="G323" s="180">
        <f t="shared" si="82"/>
        <v>1282784.4112006058</v>
      </c>
      <c r="H323" s="186">
        <f>-Hotel!$E$100/12</f>
        <v>7392.3894537764108</v>
      </c>
      <c r="I323" s="149">
        <f>Hotel!$E$98/12*G322</f>
        <v>2146.7168064132816</v>
      </c>
      <c r="J323" s="187">
        <f t="shared" si="83"/>
        <v>5245.6726473631297</v>
      </c>
      <c r="K323" s="72">
        <f t="shared" si="87"/>
        <v>155</v>
      </c>
      <c r="L323" s="180">
        <f t="shared" si="84"/>
        <v>14020447.614467978</v>
      </c>
      <c r="M323" s="181">
        <f t="shared" si="84"/>
        <v>93255.530343239312</v>
      </c>
      <c r="N323" s="180">
        <f t="shared" si="84"/>
        <v>44749.794361751607</v>
      </c>
      <c r="O323" s="132">
        <f t="shared" si="84"/>
        <v>48505.735981487698</v>
      </c>
    </row>
    <row r="324" spans="1:15" x14ac:dyDescent="0.25">
      <c r="A324" s="72">
        <f t="shared" si="85"/>
        <v>156</v>
      </c>
      <c r="B324" s="183">
        <f t="shared" si="80"/>
        <v>12694258.939722136</v>
      </c>
      <c r="C324" s="184">
        <f>-Hotel!$E$95/12</f>
        <v>85863.140889462898</v>
      </c>
      <c r="D324" s="183">
        <f>Hotel!$E$93/12*B323</f>
        <v>42458.87734422458</v>
      </c>
      <c r="E324" s="185">
        <f t="shared" si="81"/>
        <v>43404.263545238318</v>
      </c>
      <c r="F324" s="72">
        <f t="shared" si="86"/>
        <v>156</v>
      </c>
      <c r="G324" s="180">
        <f t="shared" si="82"/>
        <v>1277529.995765497</v>
      </c>
      <c r="H324" s="186">
        <f>-Hotel!$E$100/12</f>
        <v>7392.3894537764108</v>
      </c>
      <c r="I324" s="149">
        <f>Hotel!$E$98/12*G323</f>
        <v>2137.9740186676763</v>
      </c>
      <c r="J324" s="187">
        <f t="shared" si="83"/>
        <v>5254.4154351087345</v>
      </c>
      <c r="K324" s="72">
        <f t="shared" si="87"/>
        <v>156</v>
      </c>
      <c r="L324" s="180">
        <f t="shared" si="84"/>
        <v>13971788.935487632</v>
      </c>
      <c r="M324" s="181">
        <f t="shared" si="84"/>
        <v>93255.530343239312</v>
      </c>
      <c r="N324" s="180">
        <f t="shared" si="84"/>
        <v>44596.851362892259</v>
      </c>
      <c r="O324" s="132">
        <f t="shared" si="84"/>
        <v>48658.678980347053</v>
      </c>
    </row>
    <row r="325" spans="1:15" x14ac:dyDescent="0.25">
      <c r="A325" s="72">
        <f t="shared" si="85"/>
        <v>157</v>
      </c>
      <c r="B325" s="183">
        <f t="shared" si="80"/>
        <v>12650709.995298414</v>
      </c>
      <c r="C325" s="184">
        <f>-Hotel!$E$95/12</f>
        <v>85863.140889462898</v>
      </c>
      <c r="D325" s="183">
        <f>Hotel!$E$93/12*B324</f>
        <v>42314.196465740453</v>
      </c>
      <c r="E325" s="185">
        <f t="shared" si="81"/>
        <v>43548.944423722445</v>
      </c>
      <c r="F325" s="72">
        <f t="shared" si="86"/>
        <v>157</v>
      </c>
      <c r="G325" s="180">
        <f t="shared" si="82"/>
        <v>1272266.8229713298</v>
      </c>
      <c r="H325" s="186">
        <f>-Hotel!$E$100/12</f>
        <v>7392.3894537764108</v>
      </c>
      <c r="I325" s="149">
        <f>Hotel!$E$98/12*G324</f>
        <v>2129.216659609162</v>
      </c>
      <c r="J325" s="187">
        <f t="shared" si="83"/>
        <v>5263.1727941672489</v>
      </c>
      <c r="K325" s="72">
        <f t="shared" si="87"/>
        <v>157</v>
      </c>
      <c r="L325" s="180">
        <f t="shared" si="84"/>
        <v>13922976.818269743</v>
      </c>
      <c r="M325" s="181">
        <f t="shared" si="84"/>
        <v>93255.530343239312</v>
      </c>
      <c r="N325" s="180">
        <f t="shared" si="84"/>
        <v>44443.413125349616</v>
      </c>
      <c r="O325" s="132">
        <f t="shared" si="84"/>
        <v>48812.117217889696</v>
      </c>
    </row>
    <row r="326" spans="1:15" x14ac:dyDescent="0.25">
      <c r="A326" s="72">
        <f t="shared" si="85"/>
        <v>158</v>
      </c>
      <c r="B326" s="183">
        <f t="shared" si="80"/>
        <v>12607015.887726612</v>
      </c>
      <c r="C326" s="184">
        <f>-Hotel!$E$95/12</f>
        <v>85863.140889462898</v>
      </c>
      <c r="D326" s="183">
        <f>Hotel!$E$93/12*B325</f>
        <v>42169.033317661379</v>
      </c>
      <c r="E326" s="185">
        <f t="shared" si="81"/>
        <v>43694.10757180152</v>
      </c>
      <c r="F326" s="72">
        <f t="shared" si="86"/>
        <v>158</v>
      </c>
      <c r="G326" s="180">
        <f t="shared" si="82"/>
        <v>1266994.8782225056</v>
      </c>
      <c r="H326" s="186">
        <f>-Hotel!$E$100/12</f>
        <v>7392.3894537764108</v>
      </c>
      <c r="I326" s="149">
        <f>Hotel!$E$98/12*G325</f>
        <v>2120.4447049522164</v>
      </c>
      <c r="J326" s="187">
        <f t="shared" si="83"/>
        <v>5271.9447488241949</v>
      </c>
      <c r="K326" s="72">
        <f t="shared" si="87"/>
        <v>158</v>
      </c>
      <c r="L326" s="180">
        <f t="shared" si="84"/>
        <v>13874010.765949119</v>
      </c>
      <c r="M326" s="181">
        <f t="shared" si="84"/>
        <v>93255.530343239312</v>
      </c>
      <c r="N326" s="180">
        <f t="shared" si="84"/>
        <v>44289.478022613592</v>
      </c>
      <c r="O326" s="132">
        <f t="shared" si="84"/>
        <v>48966.052320625713</v>
      </c>
    </row>
    <row r="327" spans="1:15" x14ac:dyDescent="0.25">
      <c r="A327" s="72">
        <f t="shared" si="85"/>
        <v>159</v>
      </c>
      <c r="B327" s="183">
        <f t="shared" si="80"/>
        <v>12563176.133129571</v>
      </c>
      <c r="C327" s="184">
        <f>-Hotel!$E$95/12</f>
        <v>85863.140889462898</v>
      </c>
      <c r="D327" s="183">
        <f>Hotel!$E$93/12*B326</f>
        <v>42023.386292422045</v>
      </c>
      <c r="E327" s="185">
        <f t="shared" si="81"/>
        <v>43839.754597040854</v>
      </c>
      <c r="F327" s="72">
        <f t="shared" si="86"/>
        <v>159</v>
      </c>
      <c r="G327" s="180">
        <f t="shared" si="82"/>
        <v>1261714.1468990999</v>
      </c>
      <c r="H327" s="186">
        <f>-Hotel!$E$100/12</f>
        <v>7392.3894537764108</v>
      </c>
      <c r="I327" s="149">
        <f>Hotel!$E$98/12*G326</f>
        <v>2111.6581303708426</v>
      </c>
      <c r="J327" s="187">
        <f t="shared" si="83"/>
        <v>5280.7313234055682</v>
      </c>
      <c r="K327" s="72">
        <f t="shared" si="87"/>
        <v>159</v>
      </c>
      <c r="L327" s="180">
        <f t="shared" si="84"/>
        <v>13824890.280028671</v>
      </c>
      <c r="M327" s="181">
        <f t="shared" si="84"/>
        <v>93255.530343239312</v>
      </c>
      <c r="N327" s="180">
        <f t="shared" si="84"/>
        <v>44135.044422792889</v>
      </c>
      <c r="O327" s="132">
        <f t="shared" si="84"/>
        <v>49120.485920446423</v>
      </c>
    </row>
    <row r="328" spans="1:15" x14ac:dyDescent="0.25">
      <c r="A328" s="72">
        <f t="shared" si="85"/>
        <v>160</v>
      </c>
      <c r="B328" s="183">
        <f t="shared" si="80"/>
        <v>12519190.246017206</v>
      </c>
      <c r="C328" s="184">
        <f>-Hotel!$E$95/12</f>
        <v>85863.140889462898</v>
      </c>
      <c r="D328" s="183">
        <f>Hotel!$E$93/12*B327</f>
        <v>41877.253777098573</v>
      </c>
      <c r="E328" s="185">
        <f t="shared" si="81"/>
        <v>43985.887112364326</v>
      </c>
      <c r="F328" s="72">
        <f t="shared" si="86"/>
        <v>160</v>
      </c>
      <c r="G328" s="180">
        <f t="shared" si="82"/>
        <v>1256424.6143568221</v>
      </c>
      <c r="H328" s="186">
        <f>-Hotel!$E$100/12</f>
        <v>7392.3894537764108</v>
      </c>
      <c r="I328" s="149">
        <f>Hotel!$E$98/12*G327</f>
        <v>2102.8569114984998</v>
      </c>
      <c r="J328" s="187">
        <f t="shared" si="83"/>
        <v>5289.5325422779115</v>
      </c>
      <c r="K328" s="72">
        <f t="shared" si="87"/>
        <v>160</v>
      </c>
      <c r="L328" s="180">
        <f t="shared" si="84"/>
        <v>13775614.860374028</v>
      </c>
      <c r="M328" s="181">
        <f t="shared" si="84"/>
        <v>93255.530343239312</v>
      </c>
      <c r="N328" s="180">
        <f t="shared" si="84"/>
        <v>43980.110688597073</v>
      </c>
      <c r="O328" s="132">
        <f t="shared" si="84"/>
        <v>49275.419654642239</v>
      </c>
    </row>
    <row r="329" spans="1:15" x14ac:dyDescent="0.25">
      <c r="A329" s="72">
        <f t="shared" si="85"/>
        <v>161</v>
      </c>
      <c r="B329" s="183">
        <f t="shared" si="80"/>
        <v>12475057.739281135</v>
      </c>
      <c r="C329" s="184">
        <f>-Hotel!$E$95/12</f>
        <v>85863.140889462898</v>
      </c>
      <c r="D329" s="183">
        <f>Hotel!$E$93/12*B328</f>
        <v>41730.634153390689</v>
      </c>
      <c r="E329" s="185">
        <f t="shared" si="81"/>
        <v>44132.50673607221</v>
      </c>
      <c r="F329" s="72">
        <f t="shared" si="86"/>
        <v>161</v>
      </c>
      <c r="G329" s="180">
        <f t="shared" si="82"/>
        <v>1251126.2659269737</v>
      </c>
      <c r="H329" s="186">
        <f>-Hotel!$E$100/12</f>
        <v>7392.3894537764108</v>
      </c>
      <c r="I329" s="149">
        <f>Hotel!$E$98/12*G328</f>
        <v>2094.0410239280368</v>
      </c>
      <c r="J329" s="187">
        <f t="shared" si="83"/>
        <v>5298.3484298483745</v>
      </c>
      <c r="K329" s="72">
        <f t="shared" si="87"/>
        <v>161</v>
      </c>
      <c r="L329" s="180">
        <f t="shared" si="84"/>
        <v>13726184.005208109</v>
      </c>
      <c r="M329" s="181">
        <f t="shared" si="84"/>
        <v>93255.530343239312</v>
      </c>
      <c r="N329" s="180">
        <f t="shared" si="84"/>
        <v>43824.675177318728</v>
      </c>
      <c r="O329" s="132">
        <f t="shared" si="84"/>
        <v>49430.855165920584</v>
      </c>
    </row>
    <row r="330" spans="1:15" x14ac:dyDescent="0.25">
      <c r="A330" s="72">
        <f t="shared" si="85"/>
        <v>162</v>
      </c>
      <c r="B330" s="183">
        <f t="shared" si="80"/>
        <v>12430778.124189276</v>
      </c>
      <c r="C330" s="184">
        <f>-Hotel!$E$95/12</f>
        <v>85863.140889462898</v>
      </c>
      <c r="D330" s="183">
        <f>Hotel!$E$93/12*B329</f>
        <v>41583.525797603783</v>
      </c>
      <c r="E330" s="185">
        <f t="shared" si="81"/>
        <v>44279.615091859116</v>
      </c>
      <c r="F330" s="72">
        <f t="shared" si="86"/>
        <v>162</v>
      </c>
      <c r="G330" s="180">
        <f t="shared" si="82"/>
        <v>1245819.086916409</v>
      </c>
      <c r="H330" s="186">
        <f>-Hotel!$E$100/12</f>
        <v>7392.3894537764108</v>
      </c>
      <c r="I330" s="149">
        <f>Hotel!$E$98/12*G329</f>
        <v>2085.210443211623</v>
      </c>
      <c r="J330" s="187">
        <f t="shared" si="83"/>
        <v>5307.1790105647879</v>
      </c>
      <c r="K330" s="72">
        <f t="shared" si="87"/>
        <v>162</v>
      </c>
      <c r="L330" s="180">
        <f t="shared" si="84"/>
        <v>13676597.211105686</v>
      </c>
      <c r="M330" s="181">
        <f t="shared" si="84"/>
        <v>93255.530343239312</v>
      </c>
      <c r="N330" s="180">
        <f t="shared" si="84"/>
        <v>43668.736240815408</v>
      </c>
      <c r="O330" s="132">
        <f t="shared" si="84"/>
        <v>49586.794102423904</v>
      </c>
    </row>
    <row r="331" spans="1:15" x14ac:dyDescent="0.25">
      <c r="A331" s="72">
        <f t="shared" si="85"/>
        <v>163</v>
      </c>
      <c r="B331" s="183">
        <f t="shared" si="80"/>
        <v>12386350.910380444</v>
      </c>
      <c r="C331" s="184">
        <f>-Hotel!$E$95/12</f>
        <v>85863.140889462898</v>
      </c>
      <c r="D331" s="183">
        <f>Hotel!$E$93/12*B330</f>
        <v>41435.927080630921</v>
      </c>
      <c r="E331" s="185">
        <f t="shared" si="81"/>
        <v>44427.213808831977</v>
      </c>
      <c r="F331" s="72">
        <f t="shared" si="86"/>
        <v>163</v>
      </c>
      <c r="G331" s="180">
        <f t="shared" si="82"/>
        <v>1240503.0626074933</v>
      </c>
      <c r="H331" s="186">
        <f>-Hotel!$E$100/12</f>
        <v>7392.3894537764108</v>
      </c>
      <c r="I331" s="149">
        <f>Hotel!$E$98/12*G330</f>
        <v>2076.3651448606815</v>
      </c>
      <c r="J331" s="187">
        <f t="shared" si="83"/>
        <v>5316.0243089157293</v>
      </c>
      <c r="K331" s="72">
        <f t="shared" si="87"/>
        <v>163</v>
      </c>
      <c r="L331" s="180">
        <f t="shared" si="84"/>
        <v>13626853.972987937</v>
      </c>
      <c r="M331" s="181">
        <f t="shared" si="84"/>
        <v>93255.530343239312</v>
      </c>
      <c r="N331" s="180">
        <f t="shared" si="84"/>
        <v>43512.292225491605</v>
      </c>
      <c r="O331" s="132">
        <f t="shared" si="84"/>
        <v>49743.238117747707</v>
      </c>
    </row>
    <row r="332" spans="1:15" x14ac:dyDescent="0.25">
      <c r="A332" s="72">
        <f t="shared" si="85"/>
        <v>164</v>
      </c>
      <c r="B332" s="183">
        <f t="shared" si="80"/>
        <v>12341775.605858915</v>
      </c>
      <c r="C332" s="184">
        <f>-Hotel!$E$95/12</f>
        <v>85863.140889462898</v>
      </c>
      <c r="D332" s="183">
        <f>Hotel!$E$93/12*B331</f>
        <v>41287.836367934811</v>
      </c>
      <c r="E332" s="185">
        <f t="shared" si="81"/>
        <v>44575.304521528087</v>
      </c>
      <c r="F332" s="72">
        <f t="shared" si="86"/>
        <v>164</v>
      </c>
      <c r="G332" s="180">
        <f t="shared" si="82"/>
        <v>1235178.1782580626</v>
      </c>
      <c r="H332" s="186">
        <f>-Hotel!$E$100/12</f>
        <v>7392.3894537764108</v>
      </c>
      <c r="I332" s="149">
        <f>Hotel!$E$98/12*G331</f>
        <v>2067.505104345822</v>
      </c>
      <c r="J332" s="187">
        <f t="shared" si="83"/>
        <v>5324.8843494305893</v>
      </c>
      <c r="K332" s="72">
        <f t="shared" si="87"/>
        <v>164</v>
      </c>
      <c r="L332" s="180">
        <f t="shared" si="84"/>
        <v>13576953.784116978</v>
      </c>
      <c r="M332" s="181">
        <f t="shared" si="84"/>
        <v>93255.530343239312</v>
      </c>
      <c r="N332" s="180">
        <f t="shared" si="84"/>
        <v>43355.341472280634</v>
      </c>
      <c r="O332" s="132">
        <f t="shared" si="84"/>
        <v>49900.188870958678</v>
      </c>
    </row>
    <row r="333" spans="1:15" x14ac:dyDescent="0.25">
      <c r="A333" s="72">
        <f t="shared" si="85"/>
        <v>165</v>
      </c>
      <c r="B333" s="183">
        <f t="shared" si="80"/>
        <v>12297051.716988981</v>
      </c>
      <c r="C333" s="184">
        <f>-Hotel!$E$95/12</f>
        <v>85863.140889462898</v>
      </c>
      <c r="D333" s="183">
        <f>Hotel!$E$93/12*B332</f>
        <v>41139.252019529718</v>
      </c>
      <c r="E333" s="185">
        <f t="shared" si="81"/>
        <v>44723.88886993318</v>
      </c>
      <c r="F333" s="72">
        <f t="shared" si="86"/>
        <v>165</v>
      </c>
      <c r="G333" s="180">
        <f t="shared" si="82"/>
        <v>1229844.4191013828</v>
      </c>
      <c r="H333" s="186">
        <f>-Hotel!$E$100/12</f>
        <v>7392.3894537764108</v>
      </c>
      <c r="I333" s="149">
        <f>Hotel!$E$98/12*G332</f>
        <v>2058.6302970967713</v>
      </c>
      <c r="J333" s="187">
        <f t="shared" si="83"/>
        <v>5333.75915667964</v>
      </c>
      <c r="K333" s="72">
        <f t="shared" si="87"/>
        <v>165</v>
      </c>
      <c r="L333" s="180">
        <f t="shared" si="84"/>
        <v>13526896.136090364</v>
      </c>
      <c r="M333" s="181">
        <f t="shared" si="84"/>
        <v>93255.530343239312</v>
      </c>
      <c r="N333" s="180">
        <f t="shared" si="84"/>
        <v>43197.882316626492</v>
      </c>
      <c r="O333" s="132">
        <f t="shared" si="84"/>
        <v>50057.64802661282</v>
      </c>
    </row>
    <row r="334" spans="1:15" x14ac:dyDescent="0.25">
      <c r="A334" s="72">
        <f t="shared" si="85"/>
        <v>166</v>
      </c>
      <c r="B334" s="183">
        <f t="shared" si="80"/>
        <v>12252178.74848948</v>
      </c>
      <c r="C334" s="184">
        <f>-Hotel!$E$95/12</f>
        <v>85863.140889462898</v>
      </c>
      <c r="D334" s="183">
        <f>Hotel!$E$93/12*B333</f>
        <v>40990.172389963271</v>
      </c>
      <c r="E334" s="185">
        <f t="shared" si="81"/>
        <v>44872.968499499628</v>
      </c>
      <c r="F334" s="72">
        <f t="shared" si="86"/>
        <v>166</v>
      </c>
      <c r="G334" s="180">
        <f t="shared" si="82"/>
        <v>1224501.7703461088</v>
      </c>
      <c r="H334" s="186">
        <f>-Hotel!$E$100/12</f>
        <v>7392.3894537764108</v>
      </c>
      <c r="I334" s="149">
        <f>Hotel!$E$98/12*G333</f>
        <v>2049.7406985023049</v>
      </c>
      <c r="J334" s="187">
        <f t="shared" si="83"/>
        <v>5342.6487552741055</v>
      </c>
      <c r="K334" s="72">
        <f t="shared" si="87"/>
        <v>166</v>
      </c>
      <c r="L334" s="180">
        <f t="shared" si="84"/>
        <v>13476680.518835589</v>
      </c>
      <c r="M334" s="181">
        <f t="shared" si="84"/>
        <v>93255.530343239312</v>
      </c>
      <c r="N334" s="180">
        <f t="shared" si="84"/>
        <v>43039.913088465575</v>
      </c>
      <c r="O334" s="132">
        <f t="shared" si="84"/>
        <v>50215.617254773737</v>
      </c>
    </row>
    <row r="335" spans="1:15" x14ac:dyDescent="0.25">
      <c r="A335" s="72">
        <f t="shared" si="85"/>
        <v>167</v>
      </c>
      <c r="B335" s="183">
        <f t="shared" si="80"/>
        <v>12207156.203428315</v>
      </c>
      <c r="C335" s="184">
        <f>-Hotel!$E$95/12</f>
        <v>85863.140889462898</v>
      </c>
      <c r="D335" s="183">
        <f>Hotel!$E$93/12*B334</f>
        <v>40840.595828298268</v>
      </c>
      <c r="E335" s="185">
        <f t="shared" si="81"/>
        <v>45022.54506116463</v>
      </c>
      <c r="F335" s="72">
        <f t="shared" si="86"/>
        <v>167</v>
      </c>
      <c r="G335" s="180">
        <f t="shared" si="82"/>
        <v>1219150.2171762425</v>
      </c>
      <c r="H335" s="186">
        <f>-Hotel!$E$100/12</f>
        <v>7392.3894537764108</v>
      </c>
      <c r="I335" s="149">
        <f>Hotel!$E$98/12*G334</f>
        <v>2040.8362839101815</v>
      </c>
      <c r="J335" s="187">
        <f t="shared" si="83"/>
        <v>5351.5531698662289</v>
      </c>
      <c r="K335" s="72">
        <f t="shared" si="87"/>
        <v>167</v>
      </c>
      <c r="L335" s="180">
        <f t="shared" si="84"/>
        <v>13426306.420604557</v>
      </c>
      <c r="M335" s="181">
        <f t="shared" si="84"/>
        <v>93255.530343239312</v>
      </c>
      <c r="N335" s="180">
        <f t="shared" si="84"/>
        <v>42881.432112208451</v>
      </c>
      <c r="O335" s="132">
        <f t="shared" si="84"/>
        <v>50374.098231030861</v>
      </c>
    </row>
    <row r="336" spans="1:15" x14ac:dyDescent="0.25">
      <c r="A336" s="72">
        <f t="shared" si="85"/>
        <v>168</v>
      </c>
      <c r="B336" s="183">
        <f t="shared" si="80"/>
        <v>12161983.583216947</v>
      </c>
      <c r="C336" s="184">
        <f>-Hotel!$E$95/12</f>
        <v>85863.140889462898</v>
      </c>
      <c r="D336" s="183">
        <f>Hotel!$E$93/12*B335</f>
        <v>40690.520678094384</v>
      </c>
      <c r="E336" s="185">
        <f t="shared" si="81"/>
        <v>45172.620211368514</v>
      </c>
      <c r="F336" s="72">
        <f t="shared" si="86"/>
        <v>168</v>
      </c>
      <c r="G336" s="180">
        <f t="shared" si="82"/>
        <v>1213789.7447510932</v>
      </c>
      <c r="H336" s="186">
        <f>-Hotel!$E$100/12</f>
        <v>7392.3894537764108</v>
      </c>
      <c r="I336" s="149">
        <f>Hotel!$E$98/12*G335</f>
        <v>2031.917028627071</v>
      </c>
      <c r="J336" s="187">
        <f t="shared" si="83"/>
        <v>5360.4724251493399</v>
      </c>
      <c r="K336" s="72">
        <f t="shared" si="87"/>
        <v>168</v>
      </c>
      <c r="L336" s="180">
        <f t="shared" si="84"/>
        <v>13375773.32796804</v>
      </c>
      <c r="M336" s="181">
        <f t="shared" si="84"/>
        <v>93255.530343239312</v>
      </c>
      <c r="N336" s="180">
        <f t="shared" si="84"/>
        <v>42722.437706721452</v>
      </c>
      <c r="O336" s="132">
        <f t="shared" si="84"/>
        <v>50533.092636517853</v>
      </c>
    </row>
    <row r="337" spans="1:15" x14ac:dyDescent="0.25">
      <c r="A337" s="72">
        <f t="shared" si="85"/>
        <v>169</v>
      </c>
      <c r="B337" s="183">
        <f t="shared" si="80"/>
        <v>12116660.387604874</v>
      </c>
      <c r="C337" s="184">
        <f>-Hotel!$E$95/12</f>
        <v>85863.140889462898</v>
      </c>
      <c r="D337" s="183">
        <f>Hotel!$E$93/12*B336</f>
        <v>40539.945277389823</v>
      </c>
      <c r="E337" s="185">
        <f t="shared" si="81"/>
        <v>45323.195612073076</v>
      </c>
      <c r="F337" s="72">
        <f t="shared" si="86"/>
        <v>169</v>
      </c>
      <c r="G337" s="180">
        <f t="shared" si="82"/>
        <v>1208420.3382052353</v>
      </c>
      <c r="H337" s="186">
        <f>-Hotel!$E$100/12</f>
        <v>7392.3894537764108</v>
      </c>
      <c r="I337" s="149">
        <f>Hotel!$E$98/12*G336</f>
        <v>2022.9829079184888</v>
      </c>
      <c r="J337" s="187">
        <f t="shared" si="83"/>
        <v>5369.4065458579225</v>
      </c>
      <c r="K337" s="72">
        <f t="shared" si="87"/>
        <v>169</v>
      </c>
      <c r="L337" s="180">
        <f t="shared" si="84"/>
        <v>13325080.725810109</v>
      </c>
      <c r="M337" s="181">
        <f t="shared" si="84"/>
        <v>93255.530343239312</v>
      </c>
      <c r="N337" s="180">
        <f t="shared" si="84"/>
        <v>42562.928185308308</v>
      </c>
      <c r="O337" s="132">
        <f t="shared" si="84"/>
        <v>50692.602157930996</v>
      </c>
    </row>
    <row r="338" spans="1:15" x14ac:dyDescent="0.25">
      <c r="A338" s="72">
        <f t="shared" si="85"/>
        <v>170</v>
      </c>
      <c r="B338" s="183">
        <f t="shared" si="80"/>
        <v>12071186.114674093</v>
      </c>
      <c r="C338" s="184">
        <f>-Hotel!$E$95/12</f>
        <v>85863.140889462898</v>
      </c>
      <c r="D338" s="183">
        <f>Hotel!$E$93/12*B337</f>
        <v>40388.867958682917</v>
      </c>
      <c r="E338" s="185">
        <f t="shared" si="81"/>
        <v>45474.272930779982</v>
      </c>
      <c r="F338" s="72">
        <f t="shared" si="86"/>
        <v>170</v>
      </c>
      <c r="G338" s="180">
        <f t="shared" si="82"/>
        <v>1203041.9826484676</v>
      </c>
      <c r="H338" s="186">
        <f>-Hotel!$E$100/12</f>
        <v>7392.3894537764108</v>
      </c>
      <c r="I338" s="149">
        <f>Hotel!$E$98/12*G337</f>
        <v>2014.0338970087257</v>
      </c>
      <c r="J338" s="187">
        <f t="shared" si="83"/>
        <v>5378.3555567676849</v>
      </c>
      <c r="K338" s="72">
        <f t="shared" si="87"/>
        <v>170</v>
      </c>
      <c r="L338" s="180">
        <f t="shared" si="84"/>
        <v>13274228.097322561</v>
      </c>
      <c r="M338" s="181">
        <f t="shared" si="84"/>
        <v>93255.530343239312</v>
      </c>
      <c r="N338" s="180">
        <f t="shared" si="84"/>
        <v>42402.901855691642</v>
      </c>
      <c r="O338" s="132">
        <f t="shared" si="84"/>
        <v>50852.62848754767</v>
      </c>
    </row>
    <row r="339" spans="1:15" x14ac:dyDescent="0.25">
      <c r="A339" s="72">
        <f t="shared" si="85"/>
        <v>171</v>
      </c>
      <c r="B339" s="183">
        <f t="shared" si="80"/>
        <v>12025560.260833545</v>
      </c>
      <c r="C339" s="184">
        <f>-Hotel!$E$95/12</f>
        <v>85863.140889462898</v>
      </c>
      <c r="D339" s="183">
        <f>Hotel!$E$93/12*B338</f>
        <v>40237.287048913648</v>
      </c>
      <c r="E339" s="185">
        <f t="shared" si="81"/>
        <v>45625.853840549251</v>
      </c>
      <c r="F339" s="72">
        <f t="shared" si="86"/>
        <v>171</v>
      </c>
      <c r="G339" s="180">
        <f t="shared" si="82"/>
        <v>1197654.6631657721</v>
      </c>
      <c r="H339" s="186">
        <f>-Hotel!$E$100/12</f>
        <v>7392.3894537764108</v>
      </c>
      <c r="I339" s="149">
        <f>Hotel!$E$98/12*G338</f>
        <v>2005.0699710807796</v>
      </c>
      <c r="J339" s="187">
        <f t="shared" si="83"/>
        <v>5387.3194826956315</v>
      </c>
      <c r="K339" s="72">
        <f t="shared" si="87"/>
        <v>171</v>
      </c>
      <c r="L339" s="180">
        <f t="shared" si="84"/>
        <v>13223214.923999317</v>
      </c>
      <c r="M339" s="181">
        <f t="shared" si="84"/>
        <v>93255.530343239312</v>
      </c>
      <c r="N339" s="180">
        <f t="shared" si="84"/>
        <v>42242.35701999443</v>
      </c>
      <c r="O339" s="132">
        <f t="shared" si="84"/>
        <v>51013.173323244882</v>
      </c>
    </row>
    <row r="340" spans="1:15" x14ac:dyDescent="0.25">
      <c r="A340" s="72">
        <f t="shared" si="85"/>
        <v>172</v>
      </c>
      <c r="B340" s="183">
        <f t="shared" si="80"/>
        <v>11979782.320813527</v>
      </c>
      <c r="C340" s="184">
        <f>-Hotel!$E$95/12</f>
        <v>85863.140889462898</v>
      </c>
      <c r="D340" s="183">
        <f>Hotel!$E$93/12*B339</f>
        <v>40085.200869445151</v>
      </c>
      <c r="E340" s="185">
        <f t="shared" si="81"/>
        <v>45777.940020017748</v>
      </c>
      <c r="F340" s="72">
        <f t="shared" si="86"/>
        <v>172</v>
      </c>
      <c r="G340" s="180">
        <f t="shared" si="82"/>
        <v>1192258.3648172719</v>
      </c>
      <c r="H340" s="186">
        <f>-Hotel!$E$100/12</f>
        <v>7392.3894537764108</v>
      </c>
      <c r="I340" s="149">
        <f>Hotel!$E$98/12*G339</f>
        <v>1996.091105276287</v>
      </c>
      <c r="J340" s="187">
        <f t="shared" si="83"/>
        <v>5396.2983485001241</v>
      </c>
      <c r="K340" s="72">
        <f t="shared" si="87"/>
        <v>172</v>
      </c>
      <c r="L340" s="180">
        <f t="shared" si="84"/>
        <v>13172040.685630798</v>
      </c>
      <c r="M340" s="181">
        <f t="shared" si="84"/>
        <v>93255.530343239312</v>
      </c>
      <c r="N340" s="180">
        <f t="shared" si="84"/>
        <v>42081.29197472144</v>
      </c>
      <c r="O340" s="132">
        <f t="shared" si="84"/>
        <v>51174.238368517872</v>
      </c>
    </row>
    <row r="341" spans="1:15" x14ac:dyDescent="0.25">
      <c r="A341" s="72">
        <f t="shared" si="85"/>
        <v>173</v>
      </c>
      <c r="B341" s="183">
        <f t="shared" si="80"/>
        <v>11933851.787660109</v>
      </c>
      <c r="C341" s="184">
        <f>-Hotel!$E$95/12</f>
        <v>85863.140889462898</v>
      </c>
      <c r="D341" s="183">
        <f>Hotel!$E$93/12*B340</f>
        <v>39932.607736045094</v>
      </c>
      <c r="E341" s="185">
        <f t="shared" si="81"/>
        <v>45930.533153417804</v>
      </c>
      <c r="F341" s="72">
        <f t="shared" si="86"/>
        <v>173</v>
      </c>
      <c r="G341" s="180">
        <f t="shared" si="82"/>
        <v>1186853.072638191</v>
      </c>
      <c r="H341" s="186">
        <f>-Hotel!$E$100/12</f>
        <v>7392.3894537764108</v>
      </c>
      <c r="I341" s="149">
        <f>Hotel!$E$98/12*G340</f>
        <v>1987.0972746954533</v>
      </c>
      <c r="J341" s="187">
        <f t="shared" si="83"/>
        <v>5405.2921790809578</v>
      </c>
      <c r="K341" s="72">
        <f t="shared" si="87"/>
        <v>173</v>
      </c>
      <c r="L341" s="180">
        <f t="shared" si="84"/>
        <v>13120704.8602983</v>
      </c>
      <c r="M341" s="181">
        <f t="shared" si="84"/>
        <v>93255.530343239312</v>
      </c>
      <c r="N341" s="180">
        <f t="shared" si="84"/>
        <v>41919.705010740545</v>
      </c>
      <c r="O341" s="132">
        <f t="shared" si="84"/>
        <v>51335.82533249876</v>
      </c>
    </row>
    <row r="342" spans="1:15" x14ac:dyDescent="0.25">
      <c r="A342" s="72">
        <f t="shared" si="85"/>
        <v>174</v>
      </c>
      <c r="B342" s="183">
        <f t="shared" si="80"/>
        <v>11887768.152729513</v>
      </c>
      <c r="C342" s="184">
        <f>-Hotel!$E$95/12</f>
        <v>85863.140889462898</v>
      </c>
      <c r="D342" s="183">
        <f>Hotel!$E$93/12*B341</f>
        <v>39779.505958867034</v>
      </c>
      <c r="E342" s="185">
        <f t="shared" si="81"/>
        <v>46083.634930595865</v>
      </c>
      <c r="F342" s="72">
        <f t="shared" si="86"/>
        <v>174</v>
      </c>
      <c r="G342" s="180">
        <f t="shared" si="82"/>
        <v>1181438.7716388116</v>
      </c>
      <c r="H342" s="186">
        <f>-Hotel!$E$100/12</f>
        <v>7392.3894537764108</v>
      </c>
      <c r="I342" s="149">
        <f>Hotel!$E$98/12*G341</f>
        <v>1978.0884543969853</v>
      </c>
      <c r="J342" s="187">
        <f t="shared" si="83"/>
        <v>5414.3009993794258</v>
      </c>
      <c r="K342" s="72">
        <f t="shared" si="87"/>
        <v>174</v>
      </c>
      <c r="L342" s="180">
        <f t="shared" si="84"/>
        <v>13069206.924368326</v>
      </c>
      <c r="M342" s="181">
        <f t="shared" si="84"/>
        <v>93255.530343239312</v>
      </c>
      <c r="N342" s="180">
        <f t="shared" si="84"/>
        <v>41757.594413264022</v>
      </c>
      <c r="O342" s="132">
        <f t="shared" si="84"/>
        <v>51497.93592997529</v>
      </c>
    </row>
    <row r="343" spans="1:15" x14ac:dyDescent="0.25">
      <c r="A343" s="72">
        <f t="shared" si="85"/>
        <v>175</v>
      </c>
      <c r="B343" s="183">
        <f t="shared" si="80"/>
        <v>11841530.905682482</v>
      </c>
      <c r="C343" s="184">
        <f>-Hotel!$E$95/12</f>
        <v>85863.140889462898</v>
      </c>
      <c r="D343" s="183">
        <f>Hotel!$E$93/12*B342</f>
        <v>39625.893842431709</v>
      </c>
      <c r="E343" s="185">
        <f t="shared" si="81"/>
        <v>46237.247047031189</v>
      </c>
      <c r="F343" s="72">
        <f t="shared" si="86"/>
        <v>175</v>
      </c>
      <c r="G343" s="180">
        <f t="shared" si="82"/>
        <v>1176015.4468044331</v>
      </c>
      <c r="H343" s="186">
        <f>-Hotel!$E$100/12</f>
        <v>7392.3894537764108</v>
      </c>
      <c r="I343" s="149">
        <f>Hotel!$E$98/12*G342</f>
        <v>1969.0646193980194</v>
      </c>
      <c r="J343" s="187">
        <f t="shared" si="83"/>
        <v>5423.3248343783916</v>
      </c>
      <c r="K343" s="72">
        <f t="shared" si="87"/>
        <v>175</v>
      </c>
      <c r="L343" s="180">
        <f t="shared" si="84"/>
        <v>13017546.352486916</v>
      </c>
      <c r="M343" s="181">
        <f t="shared" si="84"/>
        <v>93255.530343239312</v>
      </c>
      <c r="N343" s="180">
        <f t="shared" si="84"/>
        <v>41594.95846182973</v>
      </c>
      <c r="O343" s="132">
        <f t="shared" si="84"/>
        <v>51660.571881409582</v>
      </c>
    </row>
    <row r="344" spans="1:15" x14ac:dyDescent="0.25">
      <c r="A344" s="72">
        <f t="shared" si="85"/>
        <v>176</v>
      </c>
      <c r="B344" s="183">
        <f t="shared" si="80"/>
        <v>11795139.534478627</v>
      </c>
      <c r="C344" s="184">
        <f>-Hotel!$E$95/12</f>
        <v>85863.140889462898</v>
      </c>
      <c r="D344" s="183">
        <f>Hotel!$E$93/12*B343</f>
        <v>39471.769685608277</v>
      </c>
      <c r="E344" s="185">
        <f t="shared" si="81"/>
        <v>46391.371203854622</v>
      </c>
      <c r="F344" s="72">
        <f t="shared" si="86"/>
        <v>176</v>
      </c>
      <c r="G344" s="180">
        <f t="shared" si="82"/>
        <v>1170583.0830953307</v>
      </c>
      <c r="H344" s="186">
        <f>-Hotel!$E$100/12</f>
        <v>7392.3894537764108</v>
      </c>
      <c r="I344" s="149">
        <f>Hotel!$E$98/12*G343</f>
        <v>1960.0257446740554</v>
      </c>
      <c r="J344" s="187">
        <f t="shared" si="83"/>
        <v>5432.3637091023556</v>
      </c>
      <c r="K344" s="72">
        <f t="shared" si="87"/>
        <v>176</v>
      </c>
      <c r="L344" s="180">
        <f t="shared" si="84"/>
        <v>12965722.617573958</v>
      </c>
      <c r="M344" s="181">
        <f t="shared" si="84"/>
        <v>93255.530343239312</v>
      </c>
      <c r="N344" s="180">
        <f t="shared" si="84"/>
        <v>41431.795430282335</v>
      </c>
      <c r="O344" s="132">
        <f t="shared" si="84"/>
        <v>51823.734912956977</v>
      </c>
    </row>
    <row r="345" spans="1:15" x14ac:dyDescent="0.25">
      <c r="A345" s="72">
        <f t="shared" si="85"/>
        <v>177</v>
      </c>
      <c r="B345" s="183">
        <f t="shared" si="80"/>
        <v>11748593.52537076</v>
      </c>
      <c r="C345" s="184">
        <f>-Hotel!$E$95/12</f>
        <v>85863.140889462898</v>
      </c>
      <c r="D345" s="183">
        <f>Hotel!$E$93/12*B344</f>
        <v>39317.131781595424</v>
      </c>
      <c r="E345" s="185">
        <f t="shared" si="81"/>
        <v>46546.009107867474</v>
      </c>
      <c r="F345" s="72">
        <f t="shared" si="86"/>
        <v>177</v>
      </c>
      <c r="G345" s="180">
        <f t="shared" si="82"/>
        <v>1165141.6654467133</v>
      </c>
      <c r="H345" s="186">
        <f>-Hotel!$E$100/12</f>
        <v>7392.3894537764108</v>
      </c>
      <c r="I345" s="149">
        <f>Hotel!$E$98/12*G344</f>
        <v>1950.9718051588848</v>
      </c>
      <c r="J345" s="187">
        <f t="shared" si="83"/>
        <v>5441.4176486175256</v>
      </c>
      <c r="K345" s="72">
        <f t="shared" si="87"/>
        <v>177</v>
      </c>
      <c r="L345" s="180">
        <f t="shared" si="84"/>
        <v>12913735.190817473</v>
      </c>
      <c r="M345" s="181">
        <f t="shared" si="84"/>
        <v>93255.530343239312</v>
      </c>
      <c r="N345" s="180">
        <f t="shared" si="84"/>
        <v>41268.103586754311</v>
      </c>
      <c r="O345" s="132">
        <f t="shared" si="84"/>
        <v>51987.426756485002</v>
      </c>
    </row>
    <row r="346" spans="1:15" x14ac:dyDescent="0.25">
      <c r="A346" s="72">
        <f t="shared" si="85"/>
        <v>178</v>
      </c>
      <c r="B346" s="183">
        <f t="shared" si="80"/>
        <v>11701892.362899199</v>
      </c>
      <c r="C346" s="184">
        <f>-Hotel!$E$95/12</f>
        <v>85863.140889462898</v>
      </c>
      <c r="D346" s="183">
        <f>Hotel!$E$93/12*B345</f>
        <v>39161.978417902537</v>
      </c>
      <c r="E346" s="185">
        <f t="shared" si="81"/>
        <v>46701.162471560361</v>
      </c>
      <c r="F346" s="72">
        <f t="shared" si="86"/>
        <v>178</v>
      </c>
      <c r="G346" s="180">
        <f t="shared" si="82"/>
        <v>1159691.1787686814</v>
      </c>
      <c r="H346" s="186">
        <f>-Hotel!$E$100/12</f>
        <v>7392.3894537764108</v>
      </c>
      <c r="I346" s="149">
        <f>Hotel!$E$98/12*G345</f>
        <v>1941.9027757445224</v>
      </c>
      <c r="J346" s="187">
        <f t="shared" si="83"/>
        <v>5450.486678031888</v>
      </c>
      <c r="K346" s="72">
        <f t="shared" si="87"/>
        <v>178</v>
      </c>
      <c r="L346" s="180">
        <f t="shared" si="84"/>
        <v>12861583.54166788</v>
      </c>
      <c r="M346" s="181">
        <f t="shared" si="84"/>
        <v>93255.530343239312</v>
      </c>
      <c r="N346" s="180">
        <f t="shared" si="84"/>
        <v>41103.881193647059</v>
      </c>
      <c r="O346" s="132">
        <f t="shared" si="84"/>
        <v>52151.649149592253</v>
      </c>
    </row>
    <row r="347" spans="1:15" x14ac:dyDescent="0.25">
      <c r="A347" s="72">
        <f t="shared" si="85"/>
        <v>179</v>
      </c>
      <c r="B347" s="183">
        <f t="shared" si="80"/>
        <v>11655035.529886067</v>
      </c>
      <c r="C347" s="184">
        <f>-Hotel!$E$95/12</f>
        <v>85863.140889462898</v>
      </c>
      <c r="D347" s="183">
        <f>Hotel!$E$93/12*B346</f>
        <v>39006.307876330669</v>
      </c>
      <c r="E347" s="185">
        <f t="shared" si="81"/>
        <v>46856.833013132229</v>
      </c>
      <c r="F347" s="72">
        <f t="shared" si="86"/>
        <v>179</v>
      </c>
      <c r="G347" s="180">
        <f t="shared" si="82"/>
        <v>1154231.6079461861</v>
      </c>
      <c r="H347" s="186">
        <f>-Hotel!$E$100/12</f>
        <v>7392.3894537764108</v>
      </c>
      <c r="I347" s="149">
        <f>Hotel!$E$98/12*G346</f>
        <v>1932.8186312811358</v>
      </c>
      <c r="J347" s="187">
        <f t="shared" si="83"/>
        <v>5459.570822495275</v>
      </c>
      <c r="K347" s="72">
        <f t="shared" si="87"/>
        <v>179</v>
      </c>
      <c r="L347" s="180">
        <f t="shared" si="84"/>
        <v>12809267.137832252</v>
      </c>
      <c r="M347" s="181">
        <f t="shared" si="84"/>
        <v>93255.530343239312</v>
      </c>
      <c r="N347" s="180">
        <f t="shared" si="84"/>
        <v>40939.126507611807</v>
      </c>
      <c r="O347" s="132">
        <f t="shared" si="84"/>
        <v>52316.403835627505</v>
      </c>
    </row>
    <row r="348" spans="1:15" x14ac:dyDescent="0.25">
      <c r="A348" s="72">
        <f t="shared" si="85"/>
        <v>180</v>
      </c>
      <c r="B348" s="183">
        <f t="shared" si="80"/>
        <v>11608022.507429557</v>
      </c>
      <c r="C348" s="184">
        <f>-Hotel!$E$95/12</f>
        <v>85863.140889462898</v>
      </c>
      <c r="D348" s="183">
        <f>Hotel!$E$93/12*B347</f>
        <v>38850.118432953561</v>
      </c>
      <c r="E348" s="185">
        <f t="shared" si="81"/>
        <v>47013.022456509338</v>
      </c>
      <c r="F348" s="72">
        <f t="shared" si="86"/>
        <v>180</v>
      </c>
      <c r="G348" s="180">
        <f t="shared" si="82"/>
        <v>1148762.9378389867</v>
      </c>
      <c r="H348" s="186">
        <f>-Hotel!$E$100/12</f>
        <v>7392.3894537764108</v>
      </c>
      <c r="I348" s="149">
        <f>Hotel!$E$98/12*G347</f>
        <v>1923.7193465769769</v>
      </c>
      <c r="J348" s="187">
        <f t="shared" si="83"/>
        <v>5468.6701071994339</v>
      </c>
      <c r="K348" s="72">
        <f t="shared" si="87"/>
        <v>180</v>
      </c>
      <c r="L348" s="180">
        <f t="shared" si="84"/>
        <v>12756785.445268543</v>
      </c>
      <c r="M348" s="181">
        <f t="shared" si="84"/>
        <v>93255.530343239312</v>
      </c>
      <c r="N348" s="180">
        <f t="shared" si="84"/>
        <v>40773.837779530535</v>
      </c>
      <c r="O348" s="132">
        <f t="shared" si="84"/>
        <v>52481.69256370877</v>
      </c>
    </row>
    <row r="349" spans="1:15" x14ac:dyDescent="0.25">
      <c r="A349" s="72">
        <f t="shared" si="85"/>
        <v>181</v>
      </c>
      <c r="B349" s="183">
        <f t="shared" si="80"/>
        <v>11560852.774898192</v>
      </c>
      <c r="C349" s="184">
        <f>-Hotel!$E$95/12</f>
        <v>85863.140889462898</v>
      </c>
      <c r="D349" s="183">
        <f>Hotel!$E$93/12*B348</f>
        <v>38693.408358098524</v>
      </c>
      <c r="E349" s="185">
        <f t="shared" si="81"/>
        <v>47169.732531364374</v>
      </c>
      <c r="F349" s="72">
        <f t="shared" si="86"/>
        <v>181</v>
      </c>
      <c r="G349" s="180">
        <f t="shared" si="82"/>
        <v>1143285.1532816086</v>
      </c>
      <c r="H349" s="186">
        <f>-Hotel!$E$100/12</f>
        <v>7392.3894537764108</v>
      </c>
      <c r="I349" s="149">
        <f>Hotel!$E$98/12*G348</f>
        <v>1914.6048963983114</v>
      </c>
      <c r="J349" s="187">
        <f t="shared" si="83"/>
        <v>5477.7845573780996</v>
      </c>
      <c r="K349" s="72">
        <f t="shared" si="87"/>
        <v>181</v>
      </c>
      <c r="L349" s="180">
        <f t="shared" si="84"/>
        <v>12704137.928179801</v>
      </c>
      <c r="M349" s="181">
        <f t="shared" si="84"/>
        <v>93255.530343239312</v>
      </c>
      <c r="N349" s="180">
        <f t="shared" si="84"/>
        <v>40608.013254496836</v>
      </c>
      <c r="O349" s="132">
        <f t="shared" si="84"/>
        <v>52647.517088742476</v>
      </c>
    </row>
    <row r="350" spans="1:15" x14ac:dyDescent="0.25">
      <c r="A350" s="72">
        <f t="shared" si="85"/>
        <v>182</v>
      </c>
      <c r="B350" s="183">
        <f t="shared" si="80"/>
        <v>11513525.809925057</v>
      </c>
      <c r="C350" s="184">
        <f>-Hotel!$E$95/12</f>
        <v>85863.140889462898</v>
      </c>
      <c r="D350" s="183">
        <f>Hotel!$E$93/12*B349</f>
        <v>38536.175916327309</v>
      </c>
      <c r="E350" s="185">
        <f t="shared" si="81"/>
        <v>47326.964973135589</v>
      </c>
      <c r="F350" s="72">
        <f t="shared" si="86"/>
        <v>182</v>
      </c>
      <c r="G350" s="180">
        <f t="shared" si="82"/>
        <v>1137798.2390833015</v>
      </c>
      <c r="H350" s="186">
        <f>-Hotel!$E$100/12</f>
        <v>7392.3894537764108</v>
      </c>
      <c r="I350" s="149">
        <f>Hotel!$E$98/12*G349</f>
        <v>1905.4752554693478</v>
      </c>
      <c r="J350" s="187">
        <f t="shared" si="83"/>
        <v>5486.9141983070631</v>
      </c>
      <c r="K350" s="72">
        <f t="shared" si="87"/>
        <v>182</v>
      </c>
      <c r="L350" s="180">
        <f t="shared" si="84"/>
        <v>12651324.049008358</v>
      </c>
      <c r="M350" s="181">
        <f t="shared" si="84"/>
        <v>93255.530343239312</v>
      </c>
      <c r="N350" s="180">
        <f t="shared" si="84"/>
        <v>40441.651171796657</v>
      </c>
      <c r="O350" s="132">
        <f t="shared" si="84"/>
        <v>52813.879171442655</v>
      </c>
    </row>
    <row r="351" spans="1:15" x14ac:dyDescent="0.25">
      <c r="A351" s="72">
        <f t="shared" si="85"/>
        <v>183</v>
      </c>
      <c r="B351" s="183">
        <f t="shared" si="80"/>
        <v>11466041.088402011</v>
      </c>
      <c r="C351" s="184">
        <f>-Hotel!$E$95/12</f>
        <v>85863.140889462898</v>
      </c>
      <c r="D351" s="183">
        <f>Hotel!$E$93/12*B350</f>
        <v>38378.419366416856</v>
      </c>
      <c r="E351" s="185">
        <f t="shared" si="81"/>
        <v>47484.721523046042</v>
      </c>
      <c r="F351" s="72">
        <f t="shared" si="86"/>
        <v>183</v>
      </c>
      <c r="G351" s="180">
        <f t="shared" si="82"/>
        <v>1132302.1800279974</v>
      </c>
      <c r="H351" s="186">
        <f>-Hotel!$E$100/12</f>
        <v>7392.3894537764108</v>
      </c>
      <c r="I351" s="149">
        <f>Hotel!$E$98/12*G350</f>
        <v>1896.3303984721692</v>
      </c>
      <c r="J351" s="187">
        <f t="shared" si="83"/>
        <v>5496.0590553042421</v>
      </c>
      <c r="K351" s="72">
        <f t="shared" si="87"/>
        <v>183</v>
      </c>
      <c r="L351" s="180">
        <f t="shared" si="84"/>
        <v>12598343.268430008</v>
      </c>
      <c r="M351" s="181">
        <f t="shared" si="84"/>
        <v>93255.530343239312</v>
      </c>
      <c r="N351" s="180">
        <f t="shared" si="84"/>
        <v>40274.749764889028</v>
      </c>
      <c r="O351" s="132">
        <f t="shared" si="84"/>
        <v>52980.780578350284</v>
      </c>
    </row>
    <row r="352" spans="1:15" x14ac:dyDescent="0.25">
      <c r="A352" s="72">
        <f t="shared" si="85"/>
        <v>184</v>
      </c>
      <c r="B352" s="183">
        <f t="shared" si="80"/>
        <v>11418398.084473887</v>
      </c>
      <c r="C352" s="184">
        <f>-Hotel!$E$95/12</f>
        <v>85863.140889462898</v>
      </c>
      <c r="D352" s="183">
        <f>Hotel!$E$93/12*B351</f>
        <v>38220.136961340038</v>
      </c>
      <c r="E352" s="185">
        <f t="shared" si="81"/>
        <v>47643.00392812286</v>
      </c>
      <c r="F352" s="72">
        <f t="shared" si="86"/>
        <v>184</v>
      </c>
      <c r="G352" s="180">
        <f t="shared" si="82"/>
        <v>1126796.9608742676</v>
      </c>
      <c r="H352" s="186">
        <f>-Hotel!$E$100/12</f>
        <v>7392.3894537764108</v>
      </c>
      <c r="I352" s="149">
        <f>Hotel!$E$98/12*G351</f>
        <v>1887.1703000466623</v>
      </c>
      <c r="J352" s="187">
        <f t="shared" si="83"/>
        <v>5505.2191537297485</v>
      </c>
      <c r="K352" s="72">
        <f t="shared" si="87"/>
        <v>184</v>
      </c>
      <c r="L352" s="180">
        <f t="shared" si="84"/>
        <v>12545195.045348154</v>
      </c>
      <c r="M352" s="181">
        <f t="shared" si="84"/>
        <v>93255.530343239312</v>
      </c>
      <c r="N352" s="180">
        <f t="shared" si="84"/>
        <v>40107.307261386697</v>
      </c>
      <c r="O352" s="132">
        <f t="shared" si="84"/>
        <v>53148.223081852608</v>
      </c>
    </row>
    <row r="353" spans="1:15" x14ac:dyDescent="0.25">
      <c r="A353" s="72">
        <f t="shared" si="85"/>
        <v>185</v>
      </c>
      <c r="B353" s="183">
        <f t="shared" si="80"/>
        <v>11370596.270532671</v>
      </c>
      <c r="C353" s="184">
        <f>-Hotel!$E$95/12</f>
        <v>85863.140889462898</v>
      </c>
      <c r="D353" s="183">
        <f>Hotel!$E$93/12*B352</f>
        <v>38061.326948246293</v>
      </c>
      <c r="E353" s="185">
        <f t="shared" si="81"/>
        <v>47801.813941216606</v>
      </c>
      <c r="F353" s="72">
        <f t="shared" si="86"/>
        <v>185</v>
      </c>
      <c r="G353" s="180">
        <f t="shared" si="82"/>
        <v>1121282.5663552817</v>
      </c>
      <c r="H353" s="186">
        <f>-Hotel!$E$100/12</f>
        <v>7392.3894537764108</v>
      </c>
      <c r="I353" s="149">
        <f>Hotel!$E$98/12*G352</f>
        <v>1877.9949347904462</v>
      </c>
      <c r="J353" s="187">
        <f t="shared" si="83"/>
        <v>5514.3945189859642</v>
      </c>
      <c r="K353" s="72">
        <f t="shared" si="87"/>
        <v>185</v>
      </c>
      <c r="L353" s="180">
        <f t="shared" si="84"/>
        <v>12491878.836887954</v>
      </c>
      <c r="M353" s="181">
        <f t="shared" si="84"/>
        <v>93255.530343239312</v>
      </c>
      <c r="N353" s="180">
        <f t="shared" si="84"/>
        <v>39939.32188303674</v>
      </c>
      <c r="O353" s="132">
        <f t="shared" si="84"/>
        <v>53316.208460202572</v>
      </c>
    </row>
    <row r="354" spans="1:15" x14ac:dyDescent="0.25">
      <c r="A354" s="72">
        <f t="shared" si="85"/>
        <v>186</v>
      </c>
      <c r="B354" s="183">
        <f t="shared" si="80"/>
        <v>11322635.117211651</v>
      </c>
      <c r="C354" s="184">
        <f>-Hotel!$E$95/12</f>
        <v>85863.140889462898</v>
      </c>
      <c r="D354" s="183">
        <f>Hotel!$E$93/12*B353</f>
        <v>37901.987568442237</v>
      </c>
      <c r="E354" s="185">
        <f t="shared" si="81"/>
        <v>47961.153321020662</v>
      </c>
      <c r="F354" s="72">
        <f t="shared" si="86"/>
        <v>186</v>
      </c>
      <c r="G354" s="180">
        <f t="shared" si="82"/>
        <v>1115758.981178764</v>
      </c>
      <c r="H354" s="186">
        <f>-Hotel!$E$100/12</f>
        <v>7392.3894537764108</v>
      </c>
      <c r="I354" s="149">
        <f>Hotel!$E$98/12*G353</f>
        <v>1868.804277258803</v>
      </c>
      <c r="J354" s="187">
        <f t="shared" si="83"/>
        <v>5523.5851765176076</v>
      </c>
      <c r="K354" s="72">
        <f t="shared" si="87"/>
        <v>186</v>
      </c>
      <c r="L354" s="180">
        <f t="shared" si="84"/>
        <v>12438394.098390415</v>
      </c>
      <c r="M354" s="181">
        <f t="shared" si="84"/>
        <v>93255.530343239312</v>
      </c>
      <c r="N354" s="180">
        <f t="shared" si="84"/>
        <v>39770.791845701038</v>
      </c>
      <c r="O354" s="132">
        <f t="shared" si="84"/>
        <v>53484.738497538267</v>
      </c>
    </row>
    <row r="355" spans="1:15" x14ac:dyDescent="0.25">
      <c r="A355" s="72">
        <f t="shared" si="85"/>
        <v>187</v>
      </c>
      <c r="B355" s="183">
        <f t="shared" si="80"/>
        <v>11274514.093379561</v>
      </c>
      <c r="C355" s="184">
        <f>-Hotel!$E$95/12</f>
        <v>85863.140889462898</v>
      </c>
      <c r="D355" s="183">
        <f>Hotel!$E$93/12*B354</f>
        <v>37742.117057372176</v>
      </c>
      <c r="E355" s="185">
        <f t="shared" si="81"/>
        <v>48121.023832090723</v>
      </c>
      <c r="F355" s="72">
        <f t="shared" si="86"/>
        <v>187</v>
      </c>
      <c r="G355" s="180">
        <f t="shared" si="82"/>
        <v>1110226.1900269522</v>
      </c>
      <c r="H355" s="186">
        <f>-Hotel!$E$100/12</f>
        <v>7392.3894537764108</v>
      </c>
      <c r="I355" s="149">
        <f>Hotel!$E$98/12*G354</f>
        <v>1859.5983019646069</v>
      </c>
      <c r="J355" s="187">
        <f t="shared" si="83"/>
        <v>5532.7911518118035</v>
      </c>
      <c r="K355" s="72">
        <f t="shared" si="87"/>
        <v>187</v>
      </c>
      <c r="L355" s="180">
        <f t="shared" si="84"/>
        <v>12384740.283406513</v>
      </c>
      <c r="M355" s="181">
        <f t="shared" si="84"/>
        <v>93255.530343239312</v>
      </c>
      <c r="N355" s="180">
        <f t="shared" si="84"/>
        <v>39601.715359336784</v>
      </c>
      <c r="O355" s="132">
        <f t="shared" si="84"/>
        <v>53653.814983902528</v>
      </c>
    </row>
    <row r="356" spans="1:15" x14ac:dyDescent="0.25">
      <c r="A356" s="72">
        <f t="shared" si="85"/>
        <v>188</v>
      </c>
      <c r="B356" s="183">
        <f t="shared" si="80"/>
        <v>11226232.666134696</v>
      </c>
      <c r="C356" s="184">
        <f>-Hotel!$E$95/12</f>
        <v>85863.140889462898</v>
      </c>
      <c r="D356" s="183">
        <f>Hotel!$E$93/12*B355</f>
        <v>37581.713644598538</v>
      </c>
      <c r="E356" s="185">
        <f t="shared" si="81"/>
        <v>48281.427244864361</v>
      </c>
      <c r="F356" s="72">
        <f t="shared" si="86"/>
        <v>188</v>
      </c>
      <c r="G356" s="180">
        <f t="shared" si="82"/>
        <v>1104684.1775565541</v>
      </c>
      <c r="H356" s="186">
        <f>-Hotel!$E$100/12</f>
        <v>7392.3894537764108</v>
      </c>
      <c r="I356" s="149">
        <f>Hotel!$E$98/12*G355</f>
        <v>1850.3769833782537</v>
      </c>
      <c r="J356" s="187">
        <f t="shared" si="83"/>
        <v>5542.0124703981573</v>
      </c>
      <c r="K356" s="72">
        <f t="shared" si="87"/>
        <v>188</v>
      </c>
      <c r="L356" s="180">
        <f t="shared" si="84"/>
        <v>12330916.84369125</v>
      </c>
      <c r="M356" s="181">
        <f t="shared" si="84"/>
        <v>93255.530343239312</v>
      </c>
      <c r="N356" s="180">
        <f t="shared" si="84"/>
        <v>39432.090627976795</v>
      </c>
      <c r="O356" s="132">
        <f t="shared" si="84"/>
        <v>53823.439715262517</v>
      </c>
    </row>
    <row r="357" spans="1:15" x14ac:dyDescent="0.25">
      <c r="A357" s="72">
        <f t="shared" si="85"/>
        <v>189</v>
      </c>
      <c r="B357" s="183">
        <f t="shared" si="80"/>
        <v>11177790.300799016</v>
      </c>
      <c r="C357" s="184">
        <f>-Hotel!$E$95/12</f>
        <v>85863.140889462898</v>
      </c>
      <c r="D357" s="183">
        <f>Hotel!$E$93/12*B356</f>
        <v>37420.775553782325</v>
      </c>
      <c r="E357" s="185">
        <f t="shared" si="81"/>
        <v>48442.365335680573</v>
      </c>
      <c r="F357" s="72">
        <f t="shared" si="86"/>
        <v>189</v>
      </c>
      <c r="G357" s="180">
        <f t="shared" si="82"/>
        <v>1099132.9283987053</v>
      </c>
      <c r="H357" s="186">
        <f>-Hotel!$E$100/12</f>
        <v>7392.3894537764108</v>
      </c>
      <c r="I357" s="149">
        <f>Hotel!$E$98/12*G356</f>
        <v>1841.1402959275902</v>
      </c>
      <c r="J357" s="187">
        <f t="shared" si="83"/>
        <v>5551.2491578488207</v>
      </c>
      <c r="K357" s="72">
        <f t="shared" si="87"/>
        <v>189</v>
      </c>
      <c r="L357" s="180">
        <f t="shared" si="84"/>
        <v>12276923.229197722</v>
      </c>
      <c r="M357" s="181">
        <f t="shared" si="84"/>
        <v>93255.530343239312</v>
      </c>
      <c r="N357" s="180">
        <f t="shared" si="84"/>
        <v>39261.915849709912</v>
      </c>
      <c r="O357" s="132">
        <f t="shared" si="84"/>
        <v>53993.614493529392</v>
      </c>
    </row>
    <row r="358" spans="1:15" x14ac:dyDescent="0.25">
      <c r="A358" s="72">
        <f t="shared" si="85"/>
        <v>190</v>
      </c>
      <c r="B358" s="183">
        <f t="shared" si="80"/>
        <v>11129186.460912216</v>
      </c>
      <c r="C358" s="184">
        <f>-Hotel!$E$95/12</f>
        <v>85863.140889462898</v>
      </c>
      <c r="D358" s="183">
        <f>Hotel!$E$93/12*B357</f>
        <v>37259.301002663386</v>
      </c>
      <c r="E358" s="185">
        <f t="shared" si="81"/>
        <v>48603.839886799513</v>
      </c>
      <c r="F358" s="72">
        <f t="shared" si="86"/>
        <v>190</v>
      </c>
      <c r="G358" s="180">
        <f t="shared" si="82"/>
        <v>1093572.4271589268</v>
      </c>
      <c r="H358" s="186">
        <f>-Hotel!$E$100/12</f>
        <v>7392.3894537764108</v>
      </c>
      <c r="I358" s="149">
        <f>Hotel!$E$98/12*G357</f>
        <v>1831.8882139978423</v>
      </c>
      <c r="J358" s="187">
        <f t="shared" si="83"/>
        <v>5560.5012397785686</v>
      </c>
      <c r="K358" s="72">
        <f t="shared" si="87"/>
        <v>190</v>
      </c>
      <c r="L358" s="180">
        <f t="shared" si="84"/>
        <v>12222758.888071144</v>
      </c>
      <c r="M358" s="181">
        <f t="shared" si="84"/>
        <v>93255.530343239312</v>
      </c>
      <c r="N358" s="180">
        <f t="shared" si="84"/>
        <v>39091.189216661231</v>
      </c>
      <c r="O358" s="132">
        <f t="shared" si="84"/>
        <v>54164.341126578081</v>
      </c>
    </row>
    <row r="359" spans="1:15" x14ac:dyDescent="0.25">
      <c r="A359" s="72">
        <f t="shared" si="85"/>
        <v>191</v>
      </c>
      <c r="B359" s="183">
        <f t="shared" si="80"/>
        <v>11080420.608225795</v>
      </c>
      <c r="C359" s="184">
        <f>-Hotel!$E$95/12</f>
        <v>85863.140889462898</v>
      </c>
      <c r="D359" s="183">
        <f>Hotel!$E$93/12*B358</f>
        <v>37097.288203040727</v>
      </c>
      <c r="E359" s="185">
        <f t="shared" si="81"/>
        <v>48765.852686422171</v>
      </c>
      <c r="F359" s="72">
        <f t="shared" si="86"/>
        <v>191</v>
      </c>
      <c r="G359" s="180">
        <f t="shared" si="82"/>
        <v>1088002.6584170819</v>
      </c>
      <c r="H359" s="186">
        <f>-Hotel!$E$100/12</f>
        <v>7392.3894537764108</v>
      </c>
      <c r="I359" s="149">
        <f>Hotel!$E$98/12*G358</f>
        <v>1822.620711931545</v>
      </c>
      <c r="J359" s="187">
        <f t="shared" si="83"/>
        <v>5569.7687418448659</v>
      </c>
      <c r="K359" s="72">
        <f t="shared" si="87"/>
        <v>191</v>
      </c>
      <c r="L359" s="180">
        <f t="shared" si="84"/>
        <v>12168423.266642876</v>
      </c>
      <c r="M359" s="181">
        <f t="shared" si="84"/>
        <v>93255.530343239312</v>
      </c>
      <c r="N359" s="180">
        <f t="shared" si="84"/>
        <v>38919.908914972271</v>
      </c>
      <c r="O359" s="132">
        <f t="shared" si="84"/>
        <v>54335.621428267041</v>
      </c>
    </row>
    <row r="360" spans="1:15" x14ac:dyDescent="0.25">
      <c r="A360" s="72">
        <f t="shared" si="85"/>
        <v>192</v>
      </c>
      <c r="B360" s="183">
        <f t="shared" si="80"/>
        <v>11031492.202697083</v>
      </c>
      <c r="C360" s="184">
        <f>-Hotel!$E$95/12</f>
        <v>85863.140889462898</v>
      </c>
      <c r="D360" s="183">
        <f>Hotel!$E$93/12*B359</f>
        <v>36934.735360752653</v>
      </c>
      <c r="E360" s="185">
        <f t="shared" si="81"/>
        <v>48928.405528710246</v>
      </c>
      <c r="F360" s="72">
        <f t="shared" si="86"/>
        <v>192</v>
      </c>
      <c r="G360" s="180">
        <f t="shared" si="82"/>
        <v>1082423.606727334</v>
      </c>
      <c r="H360" s="186">
        <f>-Hotel!$E$100/12</f>
        <v>7392.3894537764108</v>
      </c>
      <c r="I360" s="149">
        <f>Hotel!$E$98/12*G359</f>
        <v>1813.33776402847</v>
      </c>
      <c r="J360" s="187">
        <f t="shared" si="83"/>
        <v>5579.0516897479411</v>
      </c>
      <c r="K360" s="72">
        <f t="shared" si="87"/>
        <v>192</v>
      </c>
      <c r="L360" s="180">
        <f t="shared" si="84"/>
        <v>12113915.809424417</v>
      </c>
      <c r="M360" s="181">
        <f t="shared" si="84"/>
        <v>93255.530343239312</v>
      </c>
      <c r="N360" s="180">
        <f t="shared" si="84"/>
        <v>38748.07312478112</v>
      </c>
      <c r="O360" s="132">
        <f t="shared" ref="O360:O423" si="88">J360+E360</f>
        <v>54507.457218458185</v>
      </c>
    </row>
    <row r="361" spans="1:15" x14ac:dyDescent="0.25">
      <c r="A361" s="72">
        <f t="shared" si="85"/>
        <v>193</v>
      </c>
      <c r="B361" s="183">
        <f t="shared" ref="B361:B424" si="89">B360-E361</f>
        <v>10982400.702483278</v>
      </c>
      <c r="C361" s="184">
        <f>-Hotel!$E$95/12</f>
        <v>85863.140889462898</v>
      </c>
      <c r="D361" s="183">
        <f>Hotel!$E$93/12*B360</f>
        <v>36771.640675656949</v>
      </c>
      <c r="E361" s="185">
        <f t="shared" ref="E361:E424" si="90">C361-D361</f>
        <v>49091.50021380595</v>
      </c>
      <c r="F361" s="72">
        <f t="shared" si="86"/>
        <v>193</v>
      </c>
      <c r="G361" s="180">
        <f t="shared" ref="G361:G424" si="91">G360-J361</f>
        <v>1076835.256618103</v>
      </c>
      <c r="H361" s="186">
        <f>-Hotel!$E$100/12</f>
        <v>7392.3894537764108</v>
      </c>
      <c r="I361" s="149">
        <f>Hotel!$E$98/12*G360</f>
        <v>1804.0393445455568</v>
      </c>
      <c r="J361" s="187">
        <f t="shared" ref="J361:J424" si="92">H361-I361</f>
        <v>5588.3501092308543</v>
      </c>
      <c r="K361" s="72">
        <f t="shared" si="87"/>
        <v>193</v>
      </c>
      <c r="L361" s="180">
        <f t="shared" ref="L361:O424" si="93">G361+B361</f>
        <v>12059235.959101381</v>
      </c>
      <c r="M361" s="181">
        <f t="shared" si="93"/>
        <v>93255.530343239312</v>
      </c>
      <c r="N361" s="180">
        <f t="shared" si="93"/>
        <v>38575.680020202504</v>
      </c>
      <c r="O361" s="132">
        <f t="shared" si="88"/>
        <v>54679.850323036808</v>
      </c>
    </row>
    <row r="362" spans="1:15" x14ac:dyDescent="0.25">
      <c r="A362" s="72">
        <f t="shared" ref="A362:A425" si="94">A361+1</f>
        <v>194</v>
      </c>
      <c r="B362" s="183">
        <f t="shared" si="89"/>
        <v>10933145.563935425</v>
      </c>
      <c r="C362" s="184">
        <f>-Hotel!$E$95/12</f>
        <v>85863.140889462898</v>
      </c>
      <c r="D362" s="183">
        <f>Hotel!$E$93/12*B361</f>
        <v>36608.002341610925</v>
      </c>
      <c r="E362" s="185">
        <f t="shared" si="90"/>
        <v>49255.138547851973</v>
      </c>
      <c r="F362" s="72">
        <f t="shared" ref="F362:F425" si="95">F361+1</f>
        <v>194</v>
      </c>
      <c r="G362" s="180">
        <f t="shared" si="91"/>
        <v>1071237.5925920235</v>
      </c>
      <c r="H362" s="186">
        <f>-Hotel!$E$100/12</f>
        <v>7392.3894537764108</v>
      </c>
      <c r="I362" s="149">
        <f>Hotel!$E$98/12*G361</f>
        <v>1794.7254276968386</v>
      </c>
      <c r="J362" s="187">
        <f t="shared" si="92"/>
        <v>5597.6640260795721</v>
      </c>
      <c r="K362" s="72">
        <f t="shared" ref="K362:K425" si="96">K361+1</f>
        <v>194</v>
      </c>
      <c r="L362" s="180">
        <f t="shared" si="93"/>
        <v>12004383.156527448</v>
      </c>
      <c r="M362" s="181">
        <f t="shared" si="93"/>
        <v>93255.530343239312</v>
      </c>
      <c r="N362" s="180">
        <f t="shared" si="93"/>
        <v>38402.727769307763</v>
      </c>
      <c r="O362" s="132">
        <f t="shared" si="88"/>
        <v>54852.802573931549</v>
      </c>
    </row>
    <row r="363" spans="1:15" x14ac:dyDescent="0.25">
      <c r="A363" s="72">
        <f t="shared" si="94"/>
        <v>195</v>
      </c>
      <c r="B363" s="183">
        <f t="shared" si="89"/>
        <v>10883726.241592413</v>
      </c>
      <c r="C363" s="184">
        <f>-Hotel!$E$95/12</f>
        <v>85863.140889462898</v>
      </c>
      <c r="D363" s="183">
        <f>Hotel!$E$93/12*B362</f>
        <v>36443.818546451417</v>
      </c>
      <c r="E363" s="185">
        <f t="shared" si="90"/>
        <v>49419.322343011481</v>
      </c>
      <c r="F363" s="72">
        <f t="shared" si="95"/>
        <v>195</v>
      </c>
      <c r="G363" s="180">
        <f t="shared" si="91"/>
        <v>1065630.5991259005</v>
      </c>
      <c r="H363" s="186">
        <f>-Hotel!$E$100/12</f>
        <v>7392.3894537764108</v>
      </c>
      <c r="I363" s="149">
        <f>Hotel!$E$98/12*G362</f>
        <v>1785.3959876533727</v>
      </c>
      <c r="J363" s="187">
        <f t="shared" si="92"/>
        <v>5606.9934661230382</v>
      </c>
      <c r="K363" s="72">
        <f t="shared" si="96"/>
        <v>195</v>
      </c>
      <c r="L363" s="180">
        <f t="shared" si="93"/>
        <v>11949356.840718314</v>
      </c>
      <c r="M363" s="181">
        <f t="shared" si="93"/>
        <v>93255.530343239312</v>
      </c>
      <c r="N363" s="180">
        <f t="shared" si="93"/>
        <v>38229.214534104787</v>
      </c>
      <c r="O363" s="132">
        <f t="shared" si="88"/>
        <v>55026.315809134518</v>
      </c>
    </row>
    <row r="364" spans="1:15" x14ac:dyDescent="0.25">
      <c r="A364" s="72">
        <f t="shared" si="94"/>
        <v>196</v>
      </c>
      <c r="B364" s="183">
        <f t="shared" si="89"/>
        <v>10834142.188174924</v>
      </c>
      <c r="C364" s="184">
        <f>-Hotel!$E$95/12</f>
        <v>85863.140889462898</v>
      </c>
      <c r="D364" s="183">
        <f>Hotel!$E$93/12*B363</f>
        <v>36279.087471974715</v>
      </c>
      <c r="E364" s="185">
        <f t="shared" si="90"/>
        <v>49584.053417488183</v>
      </c>
      <c r="F364" s="72">
        <f t="shared" si="95"/>
        <v>196</v>
      </c>
      <c r="G364" s="180">
        <f t="shared" si="91"/>
        <v>1060014.2606706673</v>
      </c>
      <c r="H364" s="186">
        <f>-Hotel!$E$100/12</f>
        <v>7392.3894537764108</v>
      </c>
      <c r="I364" s="149">
        <f>Hotel!$E$98/12*G363</f>
        <v>1776.0509985431677</v>
      </c>
      <c r="J364" s="187">
        <f t="shared" si="92"/>
        <v>5616.3384552332427</v>
      </c>
      <c r="K364" s="72">
        <f t="shared" si="96"/>
        <v>196</v>
      </c>
      <c r="L364" s="180">
        <f t="shared" si="93"/>
        <v>11894156.448845591</v>
      </c>
      <c r="M364" s="181">
        <f t="shared" si="93"/>
        <v>93255.530343239312</v>
      </c>
      <c r="N364" s="180">
        <f t="shared" si="93"/>
        <v>38055.138470517886</v>
      </c>
      <c r="O364" s="132">
        <f t="shared" si="88"/>
        <v>55200.391872721426</v>
      </c>
    </row>
    <row r="365" spans="1:15" x14ac:dyDescent="0.25">
      <c r="A365" s="72">
        <f t="shared" si="94"/>
        <v>197</v>
      </c>
      <c r="B365" s="183">
        <f t="shared" si="89"/>
        <v>10784392.854579378</v>
      </c>
      <c r="C365" s="184">
        <f>-Hotel!$E$95/12</f>
        <v>85863.140889462898</v>
      </c>
      <c r="D365" s="183">
        <f>Hotel!$E$93/12*B364</f>
        <v>36113.807293916412</v>
      </c>
      <c r="E365" s="185">
        <f t="shared" si="90"/>
        <v>49749.333595546486</v>
      </c>
      <c r="F365" s="72">
        <f t="shared" si="95"/>
        <v>197</v>
      </c>
      <c r="G365" s="180">
        <f t="shared" si="91"/>
        <v>1054388.5616513421</v>
      </c>
      <c r="H365" s="186">
        <f>-Hotel!$E$100/12</f>
        <v>7392.3894537764108</v>
      </c>
      <c r="I365" s="149">
        <f>Hotel!$E$98/12*G364</f>
        <v>1766.6904344511122</v>
      </c>
      <c r="J365" s="187">
        <f t="shared" si="92"/>
        <v>5625.6990193252987</v>
      </c>
      <c r="K365" s="72">
        <f t="shared" si="96"/>
        <v>197</v>
      </c>
      <c r="L365" s="180">
        <f t="shared" si="93"/>
        <v>11838781.41623072</v>
      </c>
      <c r="M365" s="181">
        <f t="shared" si="93"/>
        <v>93255.530343239312</v>
      </c>
      <c r="N365" s="180">
        <f t="shared" si="93"/>
        <v>37880.497728367525</v>
      </c>
      <c r="O365" s="132">
        <f t="shared" si="88"/>
        <v>55375.032614871787</v>
      </c>
    </row>
    <row r="366" spans="1:15" x14ac:dyDescent="0.25">
      <c r="A366" s="72">
        <f t="shared" si="94"/>
        <v>198</v>
      </c>
      <c r="B366" s="183">
        <f t="shared" si="89"/>
        <v>10734477.689871846</v>
      </c>
      <c r="C366" s="184">
        <f>-Hotel!$E$95/12</f>
        <v>85863.140889462898</v>
      </c>
      <c r="D366" s="183">
        <f>Hotel!$E$93/12*B365</f>
        <v>35947.976181931263</v>
      </c>
      <c r="E366" s="185">
        <f t="shared" si="90"/>
        <v>49915.164707531636</v>
      </c>
      <c r="F366" s="72">
        <f t="shared" si="95"/>
        <v>198</v>
      </c>
      <c r="G366" s="180">
        <f t="shared" si="91"/>
        <v>1048753.4864669845</v>
      </c>
      <c r="H366" s="186">
        <f>-Hotel!$E$100/12</f>
        <v>7392.3894537764108</v>
      </c>
      <c r="I366" s="149">
        <f>Hotel!$E$98/12*G365</f>
        <v>1757.3142694189037</v>
      </c>
      <c r="J366" s="187">
        <f t="shared" si="92"/>
        <v>5635.0751843575072</v>
      </c>
      <c r="K366" s="72">
        <f t="shared" si="96"/>
        <v>198</v>
      </c>
      <c r="L366" s="180">
        <f t="shared" si="93"/>
        <v>11783231.176338831</v>
      </c>
      <c r="M366" s="181">
        <f t="shared" si="93"/>
        <v>93255.530343239312</v>
      </c>
      <c r="N366" s="180">
        <f t="shared" si="93"/>
        <v>37705.290451350163</v>
      </c>
      <c r="O366" s="132">
        <f t="shared" si="88"/>
        <v>55550.239891889141</v>
      </c>
    </row>
    <row r="367" spans="1:15" x14ac:dyDescent="0.25">
      <c r="A367" s="72">
        <f t="shared" si="94"/>
        <v>199</v>
      </c>
      <c r="B367" s="183">
        <f t="shared" si="89"/>
        <v>10684396.141281955</v>
      </c>
      <c r="C367" s="184">
        <f>-Hotel!$E$95/12</f>
        <v>85863.140889462898</v>
      </c>
      <c r="D367" s="183">
        <f>Hotel!$E$93/12*B366</f>
        <v>35781.592299572825</v>
      </c>
      <c r="E367" s="185">
        <f t="shared" si="90"/>
        <v>50081.548589890073</v>
      </c>
      <c r="F367" s="72">
        <f t="shared" si="95"/>
        <v>199</v>
      </c>
      <c r="G367" s="180">
        <f t="shared" si="91"/>
        <v>1043109.0194906531</v>
      </c>
      <c r="H367" s="186">
        <f>-Hotel!$E$100/12</f>
        <v>7392.3894537764108</v>
      </c>
      <c r="I367" s="149">
        <f>Hotel!$E$98/12*G366</f>
        <v>1747.9224774449742</v>
      </c>
      <c r="J367" s="187">
        <f t="shared" si="92"/>
        <v>5644.4669763314369</v>
      </c>
      <c r="K367" s="72">
        <f t="shared" si="96"/>
        <v>199</v>
      </c>
      <c r="L367" s="180">
        <f t="shared" si="93"/>
        <v>11727505.160772609</v>
      </c>
      <c r="M367" s="181">
        <f t="shared" si="93"/>
        <v>93255.530343239312</v>
      </c>
      <c r="N367" s="180">
        <f t="shared" si="93"/>
        <v>37529.514777017801</v>
      </c>
      <c r="O367" s="132">
        <f t="shared" si="88"/>
        <v>55726.015566221511</v>
      </c>
    </row>
    <row r="368" spans="1:15" x14ac:dyDescent="0.25">
      <c r="A368" s="72">
        <f t="shared" si="94"/>
        <v>200</v>
      </c>
      <c r="B368" s="183">
        <f t="shared" si="89"/>
        <v>10634147.654196765</v>
      </c>
      <c r="C368" s="184">
        <f>-Hotel!$E$95/12</f>
        <v>85863.140889462898</v>
      </c>
      <c r="D368" s="183">
        <f>Hotel!$E$93/12*B367</f>
        <v>35614.653804273185</v>
      </c>
      <c r="E368" s="185">
        <f t="shared" si="90"/>
        <v>50248.487085189714</v>
      </c>
      <c r="F368" s="72">
        <f t="shared" si="95"/>
        <v>200</v>
      </c>
      <c r="G368" s="180">
        <f t="shared" si="91"/>
        <v>1037455.1450693611</v>
      </c>
      <c r="H368" s="186">
        <f>-Hotel!$E$100/12</f>
        <v>7392.3894537764108</v>
      </c>
      <c r="I368" s="149">
        <f>Hotel!$E$98/12*G367</f>
        <v>1738.5150324844219</v>
      </c>
      <c r="J368" s="187">
        <f t="shared" si="92"/>
        <v>5653.8744212919892</v>
      </c>
      <c r="K368" s="72">
        <f t="shared" si="96"/>
        <v>200</v>
      </c>
      <c r="L368" s="180">
        <f t="shared" si="93"/>
        <v>11671602.799266126</v>
      </c>
      <c r="M368" s="181">
        <f t="shared" si="93"/>
        <v>93255.530343239312</v>
      </c>
      <c r="N368" s="180">
        <f t="shared" si="93"/>
        <v>37353.168836757606</v>
      </c>
      <c r="O368" s="132">
        <f t="shared" si="88"/>
        <v>55902.361506481706</v>
      </c>
    </row>
    <row r="369" spans="1:15" x14ac:dyDescent="0.25">
      <c r="A369" s="72">
        <f t="shared" si="94"/>
        <v>201</v>
      </c>
      <c r="B369" s="183">
        <f t="shared" si="89"/>
        <v>10583731.672154624</v>
      </c>
      <c r="C369" s="184">
        <f>-Hotel!$E$95/12</f>
        <v>85863.140889462898</v>
      </c>
      <c r="D369" s="183">
        <f>Hotel!$E$93/12*B368</f>
        <v>35447.158847322557</v>
      </c>
      <c r="E369" s="185">
        <f t="shared" si="90"/>
        <v>50415.982042140342</v>
      </c>
      <c r="F369" s="72">
        <f t="shared" si="95"/>
        <v>201</v>
      </c>
      <c r="G369" s="180">
        <f t="shared" si="91"/>
        <v>1031791.8475240336</v>
      </c>
      <c r="H369" s="186">
        <f>-Hotel!$E$100/12</f>
        <v>7392.3894537764108</v>
      </c>
      <c r="I369" s="149">
        <f>Hotel!$E$98/12*G368</f>
        <v>1729.0919084489353</v>
      </c>
      <c r="J369" s="187">
        <f t="shared" si="92"/>
        <v>5663.2975453274757</v>
      </c>
      <c r="K369" s="72">
        <f t="shared" si="96"/>
        <v>201</v>
      </c>
      <c r="L369" s="180">
        <f t="shared" si="93"/>
        <v>11615523.519678658</v>
      </c>
      <c r="M369" s="181">
        <f t="shared" si="93"/>
        <v>93255.530343239312</v>
      </c>
      <c r="N369" s="180">
        <f t="shared" si="93"/>
        <v>37176.250755771493</v>
      </c>
      <c r="O369" s="132">
        <f t="shared" si="88"/>
        <v>56079.27958746782</v>
      </c>
    </row>
    <row r="370" spans="1:15" x14ac:dyDescent="0.25">
      <c r="A370" s="72">
        <f t="shared" si="94"/>
        <v>202</v>
      </c>
      <c r="B370" s="183">
        <f t="shared" si="89"/>
        <v>10533147.63683901</v>
      </c>
      <c r="C370" s="184">
        <f>-Hotel!$E$95/12</f>
        <v>85863.140889462898</v>
      </c>
      <c r="D370" s="183">
        <f>Hotel!$E$93/12*B369</f>
        <v>35279.105573848748</v>
      </c>
      <c r="E370" s="185">
        <f t="shared" si="90"/>
        <v>50584.03531561415</v>
      </c>
      <c r="F370" s="72">
        <f t="shared" si="95"/>
        <v>202</v>
      </c>
      <c r="G370" s="180">
        <f t="shared" si="91"/>
        <v>1026119.1111494639</v>
      </c>
      <c r="H370" s="186">
        <f>-Hotel!$E$100/12</f>
        <v>7392.3894537764108</v>
      </c>
      <c r="I370" s="149">
        <f>Hotel!$E$98/12*G369</f>
        <v>1719.6530792067229</v>
      </c>
      <c r="J370" s="187">
        <f t="shared" si="92"/>
        <v>5672.7363745696875</v>
      </c>
      <c r="K370" s="72">
        <f t="shared" si="96"/>
        <v>202</v>
      </c>
      <c r="L370" s="180">
        <f t="shared" si="93"/>
        <v>11559266.747988474</v>
      </c>
      <c r="M370" s="181">
        <f t="shared" si="93"/>
        <v>93255.530343239312</v>
      </c>
      <c r="N370" s="180">
        <f t="shared" si="93"/>
        <v>36998.758653055469</v>
      </c>
      <c r="O370" s="132">
        <f t="shared" si="88"/>
        <v>56256.771690183836</v>
      </c>
    </row>
    <row r="371" spans="1:15" x14ac:dyDescent="0.25">
      <c r="A371" s="72">
        <f t="shared" si="94"/>
        <v>203</v>
      </c>
      <c r="B371" s="183">
        <f t="shared" si="89"/>
        <v>10482394.988072343</v>
      </c>
      <c r="C371" s="184">
        <f>-Hotel!$E$95/12</f>
        <v>85863.140889462898</v>
      </c>
      <c r="D371" s="183">
        <f>Hotel!$E$93/12*B370</f>
        <v>35110.492122796699</v>
      </c>
      <c r="E371" s="185">
        <f t="shared" si="90"/>
        <v>50752.6487666662</v>
      </c>
      <c r="F371" s="72">
        <f t="shared" si="95"/>
        <v>203</v>
      </c>
      <c r="G371" s="180">
        <f t="shared" si="91"/>
        <v>1020436.9202142699</v>
      </c>
      <c r="H371" s="186">
        <f>-Hotel!$E$100/12</f>
        <v>7392.3894537764108</v>
      </c>
      <c r="I371" s="149">
        <f>Hotel!$E$98/12*G370</f>
        <v>1710.1985185824399</v>
      </c>
      <c r="J371" s="187">
        <f t="shared" si="92"/>
        <v>5682.1909351939712</v>
      </c>
      <c r="K371" s="72">
        <f t="shared" si="96"/>
        <v>203</v>
      </c>
      <c r="L371" s="180">
        <f t="shared" si="93"/>
        <v>11502831.908286612</v>
      </c>
      <c r="M371" s="181">
        <f t="shared" si="93"/>
        <v>93255.530343239312</v>
      </c>
      <c r="N371" s="180">
        <f t="shared" si="93"/>
        <v>36820.690641379137</v>
      </c>
      <c r="O371" s="132">
        <f t="shared" si="88"/>
        <v>56434.839701860168</v>
      </c>
    </row>
    <row r="372" spans="1:15" x14ac:dyDescent="0.25">
      <c r="A372" s="72">
        <f t="shared" si="94"/>
        <v>204</v>
      </c>
      <c r="B372" s="183">
        <f t="shared" si="89"/>
        <v>10431473.163809787</v>
      </c>
      <c r="C372" s="184">
        <f>-Hotel!$E$95/12</f>
        <v>85863.140889462898</v>
      </c>
      <c r="D372" s="183">
        <f>Hotel!$E$93/12*B371</f>
        <v>34941.316626907814</v>
      </c>
      <c r="E372" s="185">
        <f t="shared" si="90"/>
        <v>50921.824262555085</v>
      </c>
      <c r="F372" s="72">
        <f t="shared" si="95"/>
        <v>204</v>
      </c>
      <c r="G372" s="180">
        <f t="shared" si="91"/>
        <v>1014745.2589608507</v>
      </c>
      <c r="H372" s="186">
        <f>-Hotel!$E$100/12</f>
        <v>7392.3894537764108</v>
      </c>
      <c r="I372" s="149">
        <f>Hotel!$E$98/12*G371</f>
        <v>1700.7282003571165</v>
      </c>
      <c r="J372" s="187">
        <f t="shared" si="92"/>
        <v>5691.6612534192946</v>
      </c>
      <c r="K372" s="72">
        <f t="shared" si="96"/>
        <v>204</v>
      </c>
      <c r="L372" s="180">
        <f t="shared" si="93"/>
        <v>11446218.422770638</v>
      </c>
      <c r="M372" s="181">
        <f t="shared" si="93"/>
        <v>93255.530343239312</v>
      </c>
      <c r="N372" s="180">
        <f t="shared" si="93"/>
        <v>36642.04482726493</v>
      </c>
      <c r="O372" s="132">
        <f t="shared" si="88"/>
        <v>56613.485515974382</v>
      </c>
    </row>
    <row r="373" spans="1:15" x14ac:dyDescent="0.25">
      <c r="A373" s="72">
        <f t="shared" si="94"/>
        <v>205</v>
      </c>
      <c r="B373" s="183">
        <f t="shared" si="89"/>
        <v>10380381.600133024</v>
      </c>
      <c r="C373" s="184">
        <f>-Hotel!$E$95/12</f>
        <v>85863.140889462898</v>
      </c>
      <c r="D373" s="183">
        <f>Hotel!$E$93/12*B372</f>
        <v>34771.577212699296</v>
      </c>
      <c r="E373" s="185">
        <f t="shared" si="90"/>
        <v>51091.563676763602</v>
      </c>
      <c r="F373" s="72">
        <f t="shared" si="95"/>
        <v>205</v>
      </c>
      <c r="G373" s="180">
        <f t="shared" si="91"/>
        <v>1009044.1116053424</v>
      </c>
      <c r="H373" s="186">
        <f>-Hotel!$E$100/12</f>
        <v>7392.3894537764108</v>
      </c>
      <c r="I373" s="149">
        <f>Hotel!$E$98/12*G372</f>
        <v>1691.2420982680844</v>
      </c>
      <c r="J373" s="187">
        <f t="shared" si="92"/>
        <v>5701.1473555083267</v>
      </c>
      <c r="K373" s="72">
        <f t="shared" si="96"/>
        <v>205</v>
      </c>
      <c r="L373" s="180">
        <f t="shared" si="93"/>
        <v>11389425.711738367</v>
      </c>
      <c r="M373" s="181">
        <f t="shared" si="93"/>
        <v>93255.530343239312</v>
      </c>
      <c r="N373" s="180">
        <f t="shared" si="93"/>
        <v>36462.819310967381</v>
      </c>
      <c r="O373" s="132">
        <f t="shared" si="88"/>
        <v>56792.711032271931</v>
      </c>
    </row>
    <row r="374" spans="1:15" x14ac:dyDescent="0.25">
      <c r="A374" s="72">
        <f t="shared" si="94"/>
        <v>206</v>
      </c>
      <c r="B374" s="183">
        <f t="shared" si="89"/>
        <v>10329119.731244005</v>
      </c>
      <c r="C374" s="184">
        <f>-Hotel!$E$95/12</f>
        <v>85863.140889462898</v>
      </c>
      <c r="D374" s="183">
        <f>Hotel!$E$93/12*B373</f>
        <v>34601.272000443416</v>
      </c>
      <c r="E374" s="185">
        <f t="shared" si="90"/>
        <v>51261.868889019483</v>
      </c>
      <c r="F374" s="72">
        <f t="shared" si="95"/>
        <v>206</v>
      </c>
      <c r="G374" s="180">
        <f t="shared" si="91"/>
        <v>1003333.4623375748</v>
      </c>
      <c r="H374" s="186">
        <f>-Hotel!$E$100/12</f>
        <v>7392.3894537764108</v>
      </c>
      <c r="I374" s="149">
        <f>Hotel!$E$98/12*G373</f>
        <v>1681.7401860089039</v>
      </c>
      <c r="J374" s="187">
        <f t="shared" si="92"/>
        <v>5710.6492677675069</v>
      </c>
      <c r="K374" s="72">
        <f t="shared" si="96"/>
        <v>206</v>
      </c>
      <c r="L374" s="180">
        <f t="shared" si="93"/>
        <v>11332453.193581579</v>
      </c>
      <c r="M374" s="181">
        <f t="shared" si="93"/>
        <v>93255.530343239312</v>
      </c>
      <c r="N374" s="180">
        <f t="shared" si="93"/>
        <v>36283.012186452317</v>
      </c>
      <c r="O374" s="132">
        <f t="shared" si="88"/>
        <v>56972.518156786988</v>
      </c>
    </row>
    <row r="375" spans="1:15" x14ac:dyDescent="0.25">
      <c r="A375" s="72">
        <f t="shared" si="94"/>
        <v>207</v>
      </c>
      <c r="B375" s="183">
        <f t="shared" si="89"/>
        <v>10277686.989458689</v>
      </c>
      <c r="C375" s="184">
        <f>-Hotel!$E$95/12</f>
        <v>85863.140889462898</v>
      </c>
      <c r="D375" s="183">
        <f>Hotel!$E$93/12*B374</f>
        <v>34430.399104146687</v>
      </c>
      <c r="E375" s="185">
        <f t="shared" si="90"/>
        <v>51432.741785316211</v>
      </c>
      <c r="F375" s="72">
        <f t="shared" si="95"/>
        <v>207</v>
      </c>
      <c r="G375" s="180">
        <f t="shared" si="91"/>
        <v>997613.29532102763</v>
      </c>
      <c r="H375" s="186">
        <f>-Hotel!$E$100/12</f>
        <v>7392.3894537764108</v>
      </c>
      <c r="I375" s="149">
        <f>Hotel!$E$98/12*G374</f>
        <v>1672.2224372292915</v>
      </c>
      <c r="J375" s="187">
        <f t="shared" si="92"/>
        <v>5720.1670165471196</v>
      </c>
      <c r="K375" s="72">
        <f t="shared" si="96"/>
        <v>207</v>
      </c>
      <c r="L375" s="180">
        <f t="shared" si="93"/>
        <v>11275300.284779716</v>
      </c>
      <c r="M375" s="181">
        <f t="shared" si="93"/>
        <v>93255.530343239312</v>
      </c>
      <c r="N375" s="180">
        <f t="shared" si="93"/>
        <v>36102.621541375978</v>
      </c>
      <c r="O375" s="132">
        <f t="shared" si="88"/>
        <v>57152.908801863334</v>
      </c>
    </row>
    <row r="376" spans="1:15" x14ac:dyDescent="0.25">
      <c r="A376" s="72">
        <f t="shared" si="94"/>
        <v>208</v>
      </c>
      <c r="B376" s="183">
        <f t="shared" si="89"/>
        <v>10226082.805200756</v>
      </c>
      <c r="C376" s="184">
        <f>-Hotel!$E$95/12</f>
        <v>85863.140889462898</v>
      </c>
      <c r="D376" s="183">
        <f>Hotel!$E$93/12*B375</f>
        <v>34258.95663152897</v>
      </c>
      <c r="E376" s="185">
        <f t="shared" si="90"/>
        <v>51604.184257933928</v>
      </c>
      <c r="F376" s="72">
        <f t="shared" si="95"/>
        <v>208</v>
      </c>
      <c r="G376" s="180">
        <f t="shared" si="91"/>
        <v>991883.59469278622</v>
      </c>
      <c r="H376" s="186">
        <f>-Hotel!$E$100/12</f>
        <v>7392.3894537764108</v>
      </c>
      <c r="I376" s="149">
        <f>Hotel!$E$98/12*G375</f>
        <v>1662.6888255350461</v>
      </c>
      <c r="J376" s="187">
        <f t="shared" si="92"/>
        <v>5729.7006282413649</v>
      </c>
      <c r="K376" s="72">
        <f t="shared" si="96"/>
        <v>208</v>
      </c>
      <c r="L376" s="180">
        <f t="shared" si="93"/>
        <v>11217966.399893541</v>
      </c>
      <c r="M376" s="181">
        <f t="shared" si="93"/>
        <v>93255.530343239312</v>
      </c>
      <c r="N376" s="180">
        <f t="shared" si="93"/>
        <v>35921.64545706402</v>
      </c>
      <c r="O376" s="132">
        <f t="shared" si="88"/>
        <v>57333.884886175292</v>
      </c>
    </row>
    <row r="377" spans="1:15" x14ac:dyDescent="0.25">
      <c r="A377" s="72">
        <f t="shared" si="94"/>
        <v>209</v>
      </c>
      <c r="B377" s="183">
        <f t="shared" si="89"/>
        <v>10174306.606995296</v>
      </c>
      <c r="C377" s="184">
        <f>-Hotel!$E$95/12</f>
        <v>85863.140889462898</v>
      </c>
      <c r="D377" s="183">
        <f>Hotel!$E$93/12*B376</f>
        <v>34086.942684002519</v>
      </c>
      <c r="E377" s="185">
        <f t="shared" si="90"/>
        <v>51776.19820546038</v>
      </c>
      <c r="F377" s="72">
        <f t="shared" si="95"/>
        <v>209</v>
      </c>
      <c r="G377" s="180">
        <f t="shared" si="91"/>
        <v>986144.34456349781</v>
      </c>
      <c r="H377" s="186">
        <f>-Hotel!$E$100/12</f>
        <v>7392.3894537764108</v>
      </c>
      <c r="I377" s="149">
        <f>Hotel!$E$98/12*G376</f>
        <v>1653.1393244879771</v>
      </c>
      <c r="J377" s="187">
        <f t="shared" si="92"/>
        <v>5739.2501292884335</v>
      </c>
      <c r="K377" s="72">
        <f t="shared" si="96"/>
        <v>209</v>
      </c>
      <c r="L377" s="180">
        <f t="shared" si="93"/>
        <v>11160450.951558793</v>
      </c>
      <c r="M377" s="181">
        <f t="shared" si="93"/>
        <v>93255.530343239312</v>
      </c>
      <c r="N377" s="180">
        <f t="shared" si="93"/>
        <v>35740.082008490499</v>
      </c>
      <c r="O377" s="132">
        <f t="shared" si="88"/>
        <v>57515.448334748813</v>
      </c>
    </row>
    <row r="378" spans="1:15" x14ac:dyDescent="0.25">
      <c r="A378" s="72">
        <f t="shared" si="94"/>
        <v>210</v>
      </c>
      <c r="B378" s="183">
        <f t="shared" si="89"/>
        <v>10122357.821462484</v>
      </c>
      <c r="C378" s="184">
        <f>-Hotel!$E$95/12</f>
        <v>85863.140889462898</v>
      </c>
      <c r="D378" s="183">
        <f>Hotel!$E$93/12*B377</f>
        <v>33914.355356650987</v>
      </c>
      <c r="E378" s="185">
        <f t="shared" si="90"/>
        <v>51948.785532811911</v>
      </c>
      <c r="F378" s="72">
        <f t="shared" si="95"/>
        <v>210</v>
      </c>
      <c r="G378" s="180">
        <f t="shared" si="91"/>
        <v>980395.52901732724</v>
      </c>
      <c r="H378" s="186">
        <f>-Hotel!$E$100/12</f>
        <v>7392.3894537764108</v>
      </c>
      <c r="I378" s="149">
        <f>Hotel!$E$98/12*G377</f>
        <v>1643.5739076058298</v>
      </c>
      <c r="J378" s="187">
        <f t="shared" si="92"/>
        <v>5748.815546170581</v>
      </c>
      <c r="K378" s="72">
        <f t="shared" si="96"/>
        <v>210</v>
      </c>
      <c r="L378" s="180">
        <f t="shared" si="93"/>
        <v>11102753.350479811</v>
      </c>
      <c r="M378" s="181">
        <f t="shared" si="93"/>
        <v>93255.530343239312</v>
      </c>
      <c r="N378" s="180">
        <f t="shared" si="93"/>
        <v>35557.929264256818</v>
      </c>
      <c r="O378" s="132">
        <f t="shared" si="88"/>
        <v>57697.601078982494</v>
      </c>
    </row>
    <row r="379" spans="1:15" x14ac:dyDescent="0.25">
      <c r="A379" s="72">
        <f t="shared" si="94"/>
        <v>211</v>
      </c>
      <c r="B379" s="183">
        <f t="shared" si="89"/>
        <v>10070235.873311229</v>
      </c>
      <c r="C379" s="184">
        <f>-Hotel!$E$95/12</f>
        <v>85863.140889462898</v>
      </c>
      <c r="D379" s="183">
        <f>Hotel!$E$93/12*B378</f>
        <v>33741.192738208279</v>
      </c>
      <c r="E379" s="185">
        <f t="shared" si="90"/>
        <v>52121.948151254619</v>
      </c>
      <c r="F379" s="72">
        <f t="shared" si="95"/>
        <v>211</v>
      </c>
      <c r="G379" s="180">
        <f t="shared" si="91"/>
        <v>974637.13211191306</v>
      </c>
      <c r="H379" s="186">
        <f>-Hotel!$E$100/12</f>
        <v>7392.3894537764108</v>
      </c>
      <c r="I379" s="149">
        <f>Hotel!$E$98/12*G378</f>
        <v>1633.9925483622121</v>
      </c>
      <c r="J379" s="187">
        <f t="shared" si="92"/>
        <v>5758.396905414199</v>
      </c>
      <c r="K379" s="72">
        <f t="shared" si="96"/>
        <v>211</v>
      </c>
      <c r="L379" s="180">
        <f t="shared" si="93"/>
        <v>11044873.005423142</v>
      </c>
      <c r="M379" s="181">
        <f t="shared" si="93"/>
        <v>93255.530343239312</v>
      </c>
      <c r="N379" s="180">
        <f t="shared" si="93"/>
        <v>35375.185286570493</v>
      </c>
      <c r="O379" s="132">
        <f t="shared" si="88"/>
        <v>57880.345056668819</v>
      </c>
    </row>
    <row r="380" spans="1:15" x14ac:dyDescent="0.25">
      <c r="A380" s="72">
        <f t="shared" si="94"/>
        <v>212</v>
      </c>
      <c r="B380" s="183">
        <f t="shared" si="89"/>
        <v>10017940.185332803</v>
      </c>
      <c r="C380" s="184">
        <f>-Hotel!$E$95/12</f>
        <v>85863.140889462898</v>
      </c>
      <c r="D380" s="183">
        <f>Hotel!$E$93/12*B379</f>
        <v>33567.452911037435</v>
      </c>
      <c r="E380" s="185">
        <f t="shared" si="90"/>
        <v>52295.687978425463</v>
      </c>
      <c r="F380" s="72">
        <f t="shared" si="95"/>
        <v>212</v>
      </c>
      <c r="G380" s="180">
        <f t="shared" si="91"/>
        <v>968869.13787832321</v>
      </c>
      <c r="H380" s="186">
        <f>-Hotel!$E$100/12</f>
        <v>7392.3894537764108</v>
      </c>
      <c r="I380" s="149">
        <f>Hotel!$E$98/12*G379</f>
        <v>1624.3952201865218</v>
      </c>
      <c r="J380" s="187">
        <f t="shared" si="92"/>
        <v>5767.9942335898886</v>
      </c>
      <c r="K380" s="72">
        <f t="shared" si="96"/>
        <v>212</v>
      </c>
      <c r="L380" s="180">
        <f t="shared" si="93"/>
        <v>10986809.323211126</v>
      </c>
      <c r="M380" s="181">
        <f t="shared" si="93"/>
        <v>93255.530343239312</v>
      </c>
      <c r="N380" s="180">
        <f t="shared" si="93"/>
        <v>35191.84813122396</v>
      </c>
      <c r="O380" s="132">
        <f t="shared" si="88"/>
        <v>58063.682212015352</v>
      </c>
    </row>
    <row r="381" spans="1:15" x14ac:dyDescent="0.25">
      <c r="A381" s="72">
        <f t="shared" si="94"/>
        <v>213</v>
      </c>
      <c r="B381" s="183">
        <f t="shared" si="89"/>
        <v>9965470.1783944499</v>
      </c>
      <c r="C381" s="184">
        <f>-Hotel!$E$95/12</f>
        <v>85863.140889462898</v>
      </c>
      <c r="D381" s="183">
        <f>Hotel!$E$93/12*B380</f>
        <v>33393.133951109347</v>
      </c>
      <c r="E381" s="185">
        <f t="shared" si="90"/>
        <v>52470.006938353552</v>
      </c>
      <c r="F381" s="72">
        <f t="shared" si="95"/>
        <v>213</v>
      </c>
      <c r="G381" s="180">
        <f t="shared" si="91"/>
        <v>963091.53032101062</v>
      </c>
      <c r="H381" s="186">
        <f>-Hotel!$E$100/12</f>
        <v>7392.3894537764108</v>
      </c>
      <c r="I381" s="149">
        <f>Hotel!$E$98/12*G380</f>
        <v>1614.781896463872</v>
      </c>
      <c r="J381" s="187">
        <f t="shared" si="92"/>
        <v>5777.607557312539</v>
      </c>
      <c r="K381" s="72">
        <f t="shared" si="96"/>
        <v>213</v>
      </c>
      <c r="L381" s="180">
        <f t="shared" si="93"/>
        <v>10928561.708715461</v>
      </c>
      <c r="M381" s="181">
        <f t="shared" si="93"/>
        <v>93255.530343239312</v>
      </c>
      <c r="N381" s="180">
        <f t="shared" si="93"/>
        <v>35007.915847573218</v>
      </c>
      <c r="O381" s="132">
        <f t="shared" si="88"/>
        <v>58247.614495666094</v>
      </c>
    </row>
    <row r="382" spans="1:15" x14ac:dyDescent="0.25">
      <c r="A382" s="72">
        <f t="shared" si="94"/>
        <v>214</v>
      </c>
      <c r="B382" s="183">
        <f t="shared" si="89"/>
        <v>9912825.2714329679</v>
      </c>
      <c r="C382" s="184">
        <f>-Hotel!$E$95/12</f>
        <v>85863.140889462898</v>
      </c>
      <c r="D382" s="183">
        <f>Hotel!$E$93/12*B381</f>
        <v>33218.233927981499</v>
      </c>
      <c r="E382" s="185">
        <f t="shared" si="90"/>
        <v>52644.9069614814</v>
      </c>
      <c r="F382" s="72">
        <f t="shared" si="95"/>
        <v>214</v>
      </c>
      <c r="G382" s="180">
        <f t="shared" si="91"/>
        <v>957304.29341776925</v>
      </c>
      <c r="H382" s="186">
        <f>-Hotel!$E$100/12</f>
        <v>7392.3894537764108</v>
      </c>
      <c r="I382" s="149">
        <f>Hotel!$E$98/12*G381</f>
        <v>1605.1525505350178</v>
      </c>
      <c r="J382" s="187">
        <f t="shared" si="92"/>
        <v>5787.2369032413935</v>
      </c>
      <c r="K382" s="72">
        <f t="shared" si="96"/>
        <v>214</v>
      </c>
      <c r="L382" s="180">
        <f t="shared" si="93"/>
        <v>10870129.564850736</v>
      </c>
      <c r="M382" s="181">
        <f t="shared" si="93"/>
        <v>93255.530343239312</v>
      </c>
      <c r="N382" s="180">
        <f t="shared" si="93"/>
        <v>34823.386478516513</v>
      </c>
      <c r="O382" s="132">
        <f t="shared" si="88"/>
        <v>58432.143864722791</v>
      </c>
    </row>
    <row r="383" spans="1:15" x14ac:dyDescent="0.25">
      <c r="A383" s="72">
        <f t="shared" si="94"/>
        <v>215</v>
      </c>
      <c r="B383" s="183">
        <f t="shared" si="89"/>
        <v>9860004.8814482819</v>
      </c>
      <c r="C383" s="184">
        <f>-Hotel!$E$95/12</f>
        <v>85863.140889462898</v>
      </c>
      <c r="D383" s="183">
        <f>Hotel!$E$93/12*B382</f>
        <v>33042.750904776563</v>
      </c>
      <c r="E383" s="185">
        <f t="shared" si="90"/>
        <v>52820.389984686335</v>
      </c>
      <c r="F383" s="72">
        <f t="shared" si="95"/>
        <v>215</v>
      </c>
      <c r="G383" s="180">
        <f t="shared" si="91"/>
        <v>951507.41111968912</v>
      </c>
      <c r="H383" s="186">
        <f>-Hotel!$E$100/12</f>
        <v>7392.3894537764108</v>
      </c>
      <c r="I383" s="149">
        <f>Hotel!$E$98/12*G382</f>
        <v>1595.5071556962821</v>
      </c>
      <c r="J383" s="187">
        <f t="shared" si="92"/>
        <v>5796.8822980801287</v>
      </c>
      <c r="K383" s="72">
        <f t="shared" si="96"/>
        <v>215</v>
      </c>
      <c r="L383" s="180">
        <f t="shared" si="93"/>
        <v>10811512.29256797</v>
      </c>
      <c r="M383" s="181">
        <f t="shared" si="93"/>
        <v>93255.530343239312</v>
      </c>
      <c r="N383" s="180">
        <f t="shared" si="93"/>
        <v>34638.258060472843</v>
      </c>
      <c r="O383" s="132">
        <f t="shared" si="88"/>
        <v>58617.272282766462</v>
      </c>
    </row>
    <row r="384" spans="1:15" x14ac:dyDescent="0.25">
      <c r="A384" s="72">
        <f t="shared" si="94"/>
        <v>216</v>
      </c>
      <c r="B384" s="183">
        <f t="shared" si="89"/>
        <v>9807008.4234969802</v>
      </c>
      <c r="C384" s="184">
        <f>-Hotel!$E$95/12</f>
        <v>85863.140889462898</v>
      </c>
      <c r="D384" s="183">
        <f>Hotel!$E$93/12*B383</f>
        <v>32866.682938160942</v>
      </c>
      <c r="E384" s="185">
        <f t="shared" si="90"/>
        <v>52996.457951301956</v>
      </c>
      <c r="F384" s="72">
        <f t="shared" si="95"/>
        <v>216</v>
      </c>
      <c r="G384" s="180">
        <f t="shared" si="91"/>
        <v>945700.86735111219</v>
      </c>
      <c r="H384" s="186">
        <f>-Hotel!$E$100/12</f>
        <v>7392.3894537764108</v>
      </c>
      <c r="I384" s="149">
        <f>Hotel!$E$98/12*G383</f>
        <v>1585.845685199482</v>
      </c>
      <c r="J384" s="187">
        <f t="shared" si="92"/>
        <v>5806.5437685769284</v>
      </c>
      <c r="K384" s="72">
        <f t="shared" si="96"/>
        <v>216</v>
      </c>
      <c r="L384" s="180">
        <f t="shared" si="93"/>
        <v>10752709.290848093</v>
      </c>
      <c r="M384" s="181">
        <f t="shared" si="93"/>
        <v>93255.530343239312</v>
      </c>
      <c r="N384" s="180">
        <f t="shared" si="93"/>
        <v>34452.528623360427</v>
      </c>
      <c r="O384" s="132">
        <f t="shared" si="88"/>
        <v>58803.001719878885</v>
      </c>
    </row>
    <row r="385" spans="1:15" x14ac:dyDescent="0.25">
      <c r="A385" s="72">
        <f t="shared" si="94"/>
        <v>217</v>
      </c>
      <c r="B385" s="183">
        <f t="shared" si="89"/>
        <v>9753835.3106858414</v>
      </c>
      <c r="C385" s="184">
        <f>-Hotel!$E$95/12</f>
        <v>85863.140889462898</v>
      </c>
      <c r="D385" s="183">
        <f>Hotel!$E$93/12*B384</f>
        <v>32690.02807832327</v>
      </c>
      <c r="E385" s="185">
        <f t="shared" si="90"/>
        <v>53173.112811139625</v>
      </c>
      <c r="F385" s="72">
        <f t="shared" si="95"/>
        <v>217</v>
      </c>
      <c r="G385" s="180">
        <f t="shared" si="91"/>
        <v>939884.64600958768</v>
      </c>
      <c r="H385" s="186">
        <f>-Hotel!$E$100/12</f>
        <v>7392.3894537764108</v>
      </c>
      <c r="I385" s="149">
        <f>Hotel!$E$98/12*G384</f>
        <v>1576.1681122518537</v>
      </c>
      <c r="J385" s="187">
        <f t="shared" si="92"/>
        <v>5816.2213415245569</v>
      </c>
      <c r="K385" s="72">
        <f t="shared" si="96"/>
        <v>217</v>
      </c>
      <c r="L385" s="180">
        <f t="shared" si="93"/>
        <v>10693719.95669543</v>
      </c>
      <c r="M385" s="181">
        <f t="shared" si="93"/>
        <v>93255.530343239312</v>
      </c>
      <c r="N385" s="180">
        <f t="shared" si="93"/>
        <v>34266.196190575123</v>
      </c>
      <c r="O385" s="132">
        <f t="shared" si="88"/>
        <v>58989.334152664182</v>
      </c>
    </row>
    <row r="386" spans="1:15" x14ac:dyDescent="0.25">
      <c r="A386" s="72">
        <f t="shared" si="94"/>
        <v>218</v>
      </c>
      <c r="B386" s="183">
        <f t="shared" si="89"/>
        <v>9700484.954165332</v>
      </c>
      <c r="C386" s="184">
        <f>-Hotel!$E$95/12</f>
        <v>85863.140889462898</v>
      </c>
      <c r="D386" s="183">
        <f>Hotel!$E$93/12*B385</f>
        <v>32512.784368952805</v>
      </c>
      <c r="E386" s="185">
        <f t="shared" si="90"/>
        <v>53350.356520510089</v>
      </c>
      <c r="F386" s="72">
        <f t="shared" si="95"/>
        <v>218</v>
      </c>
      <c r="G386" s="180">
        <f t="shared" si="91"/>
        <v>934058.73096582724</v>
      </c>
      <c r="H386" s="186">
        <f>-Hotel!$E$100/12</f>
        <v>7392.3894537764108</v>
      </c>
      <c r="I386" s="149">
        <f>Hotel!$E$98/12*G385</f>
        <v>1566.4744100159796</v>
      </c>
      <c r="J386" s="187">
        <f t="shared" si="92"/>
        <v>5825.9150437604312</v>
      </c>
      <c r="K386" s="72">
        <f t="shared" si="96"/>
        <v>218</v>
      </c>
      <c r="L386" s="180">
        <f t="shared" si="93"/>
        <v>10634543.685131159</v>
      </c>
      <c r="M386" s="181">
        <f t="shared" si="93"/>
        <v>93255.530343239312</v>
      </c>
      <c r="N386" s="180">
        <f t="shared" si="93"/>
        <v>34079.258778968782</v>
      </c>
      <c r="O386" s="132">
        <f t="shared" si="88"/>
        <v>59176.271564270523</v>
      </c>
    </row>
    <row r="387" spans="1:15" x14ac:dyDescent="0.25">
      <c r="A387" s="72">
        <f t="shared" si="94"/>
        <v>219</v>
      </c>
      <c r="B387" s="183">
        <f t="shared" si="89"/>
        <v>9646956.7631230876</v>
      </c>
      <c r="C387" s="184">
        <f>-Hotel!$E$95/12</f>
        <v>85863.140889462898</v>
      </c>
      <c r="D387" s="183">
        <f>Hotel!$E$93/12*B386</f>
        <v>32334.949847217777</v>
      </c>
      <c r="E387" s="185">
        <f t="shared" si="90"/>
        <v>53528.191042245118</v>
      </c>
      <c r="F387" s="72">
        <f t="shared" si="95"/>
        <v>219</v>
      </c>
      <c r="G387" s="180">
        <f t="shared" si="91"/>
        <v>928223.10606366058</v>
      </c>
      <c r="H387" s="186">
        <f>-Hotel!$E$100/12</f>
        <v>7392.3894537764108</v>
      </c>
      <c r="I387" s="149">
        <f>Hotel!$E$98/12*G386</f>
        <v>1556.7645516097123</v>
      </c>
      <c r="J387" s="187">
        <f t="shared" si="92"/>
        <v>5835.624902166699</v>
      </c>
      <c r="K387" s="72">
        <f t="shared" si="96"/>
        <v>219</v>
      </c>
      <c r="L387" s="180">
        <f t="shared" si="93"/>
        <v>10575179.869186748</v>
      </c>
      <c r="M387" s="181">
        <f t="shared" si="93"/>
        <v>93255.530343239312</v>
      </c>
      <c r="N387" s="180">
        <f t="shared" si="93"/>
        <v>33891.714398827491</v>
      </c>
      <c r="O387" s="132">
        <f t="shared" si="88"/>
        <v>59363.815944411821</v>
      </c>
    </row>
    <row r="388" spans="1:15" x14ac:dyDescent="0.25">
      <c r="A388" s="72">
        <f t="shared" si="94"/>
        <v>220</v>
      </c>
      <c r="B388" s="183">
        <f t="shared" si="89"/>
        <v>9593250.1447773688</v>
      </c>
      <c r="C388" s="184">
        <f>-Hotel!$E$95/12</f>
        <v>85863.140889462898</v>
      </c>
      <c r="D388" s="183">
        <f>Hotel!$E$93/12*B387</f>
        <v>32156.522543743627</v>
      </c>
      <c r="E388" s="185">
        <f t="shared" si="90"/>
        <v>53706.618345719267</v>
      </c>
      <c r="F388" s="72">
        <f t="shared" si="95"/>
        <v>220</v>
      </c>
      <c r="G388" s="180">
        <f t="shared" si="91"/>
        <v>922377.75511999032</v>
      </c>
      <c r="H388" s="186">
        <f>-Hotel!$E$100/12</f>
        <v>7392.3894537764108</v>
      </c>
      <c r="I388" s="149">
        <f>Hotel!$E$98/12*G387</f>
        <v>1547.0385101061011</v>
      </c>
      <c r="J388" s="187">
        <f t="shared" si="92"/>
        <v>5845.3509436703098</v>
      </c>
      <c r="K388" s="72">
        <f t="shared" si="96"/>
        <v>220</v>
      </c>
      <c r="L388" s="180">
        <f t="shared" si="93"/>
        <v>10515627.899897359</v>
      </c>
      <c r="M388" s="181">
        <f t="shared" si="93"/>
        <v>93255.530343239312</v>
      </c>
      <c r="N388" s="180">
        <f t="shared" si="93"/>
        <v>33703.561053849728</v>
      </c>
      <c r="O388" s="132">
        <f t="shared" si="88"/>
        <v>59551.969289389577</v>
      </c>
    </row>
    <row r="389" spans="1:15" x14ac:dyDescent="0.25">
      <c r="A389" s="72">
        <f t="shared" si="94"/>
        <v>221</v>
      </c>
      <c r="B389" s="183">
        <f t="shared" si="89"/>
        <v>9539364.5043704975</v>
      </c>
      <c r="C389" s="184">
        <f>-Hotel!$E$95/12</f>
        <v>85863.140889462898</v>
      </c>
      <c r="D389" s="183">
        <f>Hotel!$E$93/12*B388</f>
        <v>31977.500482591233</v>
      </c>
      <c r="E389" s="185">
        <f t="shared" si="90"/>
        <v>53885.640406871666</v>
      </c>
      <c r="F389" s="72">
        <f t="shared" si="95"/>
        <v>221</v>
      </c>
      <c r="G389" s="180">
        <f t="shared" si="91"/>
        <v>916522.66192474728</v>
      </c>
      <c r="H389" s="186">
        <f>-Hotel!$E$100/12</f>
        <v>7392.3894537764108</v>
      </c>
      <c r="I389" s="149">
        <f>Hotel!$E$98/12*G388</f>
        <v>1537.2962585333173</v>
      </c>
      <c r="J389" s="187">
        <f t="shared" si="92"/>
        <v>5855.0931952430938</v>
      </c>
      <c r="K389" s="72">
        <f t="shared" si="96"/>
        <v>221</v>
      </c>
      <c r="L389" s="180">
        <f t="shared" si="93"/>
        <v>10455887.166295245</v>
      </c>
      <c r="M389" s="181">
        <f t="shared" si="93"/>
        <v>93255.530343239312</v>
      </c>
      <c r="N389" s="180">
        <f t="shared" si="93"/>
        <v>33514.796741124548</v>
      </c>
      <c r="O389" s="132">
        <f t="shared" si="88"/>
        <v>59740.733602114757</v>
      </c>
    </row>
    <row r="390" spans="1:15" x14ac:dyDescent="0.25">
      <c r="A390" s="72">
        <f t="shared" si="94"/>
        <v>222</v>
      </c>
      <c r="B390" s="183">
        <f t="shared" si="89"/>
        <v>9485299.2451622691</v>
      </c>
      <c r="C390" s="184">
        <f>-Hotel!$E$95/12</f>
        <v>85863.140889462898</v>
      </c>
      <c r="D390" s="183">
        <f>Hotel!$E$93/12*B389</f>
        <v>31797.881681234994</v>
      </c>
      <c r="E390" s="185">
        <f t="shared" si="90"/>
        <v>54065.259208227901</v>
      </c>
      <c r="F390" s="72">
        <f t="shared" si="95"/>
        <v>222</v>
      </c>
      <c r="G390" s="180">
        <f t="shared" si="91"/>
        <v>910657.81024084543</v>
      </c>
      <c r="H390" s="186">
        <f>-Hotel!$E$100/12</f>
        <v>7392.3894537764108</v>
      </c>
      <c r="I390" s="149">
        <f>Hotel!$E$98/12*G389</f>
        <v>1527.537769874579</v>
      </c>
      <c r="J390" s="187">
        <f t="shared" si="92"/>
        <v>5864.8516839018321</v>
      </c>
      <c r="K390" s="72">
        <f t="shared" si="96"/>
        <v>222</v>
      </c>
      <c r="L390" s="180">
        <f t="shared" si="93"/>
        <v>10395957.055403115</v>
      </c>
      <c r="M390" s="181">
        <f t="shared" si="93"/>
        <v>93255.530343239312</v>
      </c>
      <c r="N390" s="180">
        <f t="shared" si="93"/>
        <v>33325.41945110957</v>
      </c>
      <c r="O390" s="132">
        <f t="shared" si="88"/>
        <v>59930.110892129735</v>
      </c>
    </row>
    <row r="391" spans="1:15" x14ac:dyDescent="0.25">
      <c r="A391" s="72">
        <f t="shared" si="94"/>
        <v>223</v>
      </c>
      <c r="B391" s="183">
        <f t="shared" si="89"/>
        <v>9431053.7684233468</v>
      </c>
      <c r="C391" s="184">
        <f>-Hotel!$E$95/12</f>
        <v>85863.140889462898</v>
      </c>
      <c r="D391" s="183">
        <f>Hotel!$E$93/12*B390</f>
        <v>31617.664150540899</v>
      </c>
      <c r="E391" s="185">
        <f t="shared" si="90"/>
        <v>54245.476738922</v>
      </c>
      <c r="F391" s="72">
        <f t="shared" si="95"/>
        <v>223</v>
      </c>
      <c r="G391" s="180">
        <f t="shared" si="91"/>
        <v>904783.18380413705</v>
      </c>
      <c r="H391" s="186">
        <f>-Hotel!$E$100/12</f>
        <v>7392.3894537764108</v>
      </c>
      <c r="I391" s="149">
        <f>Hotel!$E$98/12*G390</f>
        <v>1517.7630170680759</v>
      </c>
      <c r="J391" s="187">
        <f t="shared" si="92"/>
        <v>5874.6264367083349</v>
      </c>
      <c r="K391" s="72">
        <f t="shared" si="96"/>
        <v>223</v>
      </c>
      <c r="L391" s="180">
        <f t="shared" si="93"/>
        <v>10335836.952227484</v>
      </c>
      <c r="M391" s="181">
        <f t="shared" si="93"/>
        <v>93255.530343239312</v>
      </c>
      <c r="N391" s="180">
        <f t="shared" si="93"/>
        <v>33135.427167608977</v>
      </c>
      <c r="O391" s="132">
        <f t="shared" si="88"/>
        <v>60120.103175630335</v>
      </c>
    </row>
    <row r="392" spans="1:15" x14ac:dyDescent="0.25">
      <c r="A392" s="72">
        <f t="shared" si="94"/>
        <v>224</v>
      </c>
      <c r="B392" s="183">
        <f t="shared" si="89"/>
        <v>9376627.4734286275</v>
      </c>
      <c r="C392" s="184">
        <f>-Hotel!$E$95/12</f>
        <v>85863.140889462898</v>
      </c>
      <c r="D392" s="183">
        <f>Hotel!$E$93/12*B391</f>
        <v>31436.845894744492</v>
      </c>
      <c r="E392" s="185">
        <f t="shared" si="90"/>
        <v>54426.29499471841</v>
      </c>
      <c r="F392" s="72">
        <f t="shared" si="95"/>
        <v>224</v>
      </c>
      <c r="G392" s="180">
        <f t="shared" si="91"/>
        <v>898898.76632336748</v>
      </c>
      <c r="H392" s="186">
        <f>-Hotel!$E$100/12</f>
        <v>7392.3894537764108</v>
      </c>
      <c r="I392" s="149">
        <f>Hotel!$E$98/12*G391</f>
        <v>1507.9719730068953</v>
      </c>
      <c r="J392" s="187">
        <f t="shared" si="92"/>
        <v>5884.4174807695154</v>
      </c>
      <c r="K392" s="72">
        <f t="shared" si="96"/>
        <v>224</v>
      </c>
      <c r="L392" s="180">
        <f t="shared" si="93"/>
        <v>10275526.239751995</v>
      </c>
      <c r="M392" s="181">
        <f t="shared" si="93"/>
        <v>93255.530343239312</v>
      </c>
      <c r="N392" s="180">
        <f t="shared" si="93"/>
        <v>32944.817867751386</v>
      </c>
      <c r="O392" s="132">
        <f t="shared" si="88"/>
        <v>60310.712475487926</v>
      </c>
    </row>
    <row r="393" spans="1:15" x14ac:dyDescent="0.25">
      <c r="A393" s="72">
        <f t="shared" si="94"/>
        <v>225</v>
      </c>
      <c r="B393" s="183">
        <f t="shared" si="89"/>
        <v>9322019.7574505936</v>
      </c>
      <c r="C393" s="184">
        <f>-Hotel!$E$95/12</f>
        <v>85863.140889462898</v>
      </c>
      <c r="D393" s="183">
        <f>Hotel!$E$93/12*B392</f>
        <v>31255.42491142876</v>
      </c>
      <c r="E393" s="185">
        <f t="shared" si="90"/>
        <v>54607.715978034139</v>
      </c>
      <c r="F393" s="72">
        <f t="shared" si="95"/>
        <v>225</v>
      </c>
      <c r="G393" s="180">
        <f t="shared" si="91"/>
        <v>893004.54148013005</v>
      </c>
      <c r="H393" s="186">
        <f>-Hotel!$E$100/12</f>
        <v>7392.3894537764108</v>
      </c>
      <c r="I393" s="149">
        <f>Hotel!$E$98/12*G392</f>
        <v>1498.1646105389459</v>
      </c>
      <c r="J393" s="187">
        <f t="shared" si="92"/>
        <v>5894.2248432374654</v>
      </c>
      <c r="K393" s="72">
        <f t="shared" si="96"/>
        <v>225</v>
      </c>
      <c r="L393" s="180">
        <f t="shared" si="93"/>
        <v>10215024.298930723</v>
      </c>
      <c r="M393" s="181">
        <f t="shared" si="93"/>
        <v>93255.530343239312</v>
      </c>
      <c r="N393" s="180">
        <f t="shared" si="93"/>
        <v>32753.589521967704</v>
      </c>
      <c r="O393" s="132">
        <f t="shared" si="88"/>
        <v>60501.940821271608</v>
      </c>
    </row>
    <row r="394" spans="1:15" x14ac:dyDescent="0.25">
      <c r="A394" s="72">
        <f t="shared" si="94"/>
        <v>226</v>
      </c>
      <c r="B394" s="183">
        <f t="shared" si="89"/>
        <v>9267230.0157526322</v>
      </c>
      <c r="C394" s="184">
        <f>-Hotel!$E$95/12</f>
        <v>85863.140889462898</v>
      </c>
      <c r="D394" s="183">
        <f>Hotel!$E$93/12*B393</f>
        <v>31073.39919150198</v>
      </c>
      <c r="E394" s="185">
        <f t="shared" si="90"/>
        <v>54789.741697960919</v>
      </c>
      <c r="F394" s="72">
        <f t="shared" si="95"/>
        <v>226</v>
      </c>
      <c r="G394" s="180">
        <f t="shared" si="91"/>
        <v>887100.49292882055</v>
      </c>
      <c r="H394" s="186">
        <f>-Hotel!$E$100/12</f>
        <v>7392.3894537764108</v>
      </c>
      <c r="I394" s="149">
        <f>Hotel!$E$98/12*G393</f>
        <v>1488.3409024668836</v>
      </c>
      <c r="J394" s="187">
        <f t="shared" si="92"/>
        <v>5904.0485513095273</v>
      </c>
      <c r="K394" s="72">
        <f t="shared" si="96"/>
        <v>226</v>
      </c>
      <c r="L394" s="180">
        <f t="shared" si="93"/>
        <v>10154330.508681452</v>
      </c>
      <c r="M394" s="181">
        <f t="shared" si="93"/>
        <v>93255.530343239312</v>
      </c>
      <c r="N394" s="180">
        <f t="shared" si="93"/>
        <v>32561.740093968863</v>
      </c>
      <c r="O394" s="132">
        <f t="shared" si="88"/>
        <v>60693.790249270445</v>
      </c>
    </row>
    <row r="395" spans="1:15" x14ac:dyDescent="0.25">
      <c r="A395" s="72">
        <f t="shared" si="94"/>
        <v>227</v>
      </c>
      <c r="B395" s="183">
        <f t="shared" si="89"/>
        <v>9212257.6415823456</v>
      </c>
      <c r="C395" s="184">
        <f>-Hotel!$E$95/12</f>
        <v>85863.140889462898</v>
      </c>
      <c r="D395" s="183">
        <f>Hotel!$E$93/12*B394</f>
        <v>30890.766719175441</v>
      </c>
      <c r="E395" s="185">
        <f t="shared" si="90"/>
        <v>54972.374170287454</v>
      </c>
      <c r="F395" s="72">
        <f t="shared" si="95"/>
        <v>227</v>
      </c>
      <c r="G395" s="180">
        <f t="shared" si="91"/>
        <v>881186.60429659218</v>
      </c>
      <c r="H395" s="186">
        <f>-Hotel!$E$100/12</f>
        <v>7392.3894537764108</v>
      </c>
      <c r="I395" s="149">
        <f>Hotel!$E$98/12*G394</f>
        <v>1478.5008215480343</v>
      </c>
      <c r="J395" s="187">
        <f t="shared" si="92"/>
        <v>5913.8886322283761</v>
      </c>
      <c r="K395" s="72">
        <f t="shared" si="96"/>
        <v>227</v>
      </c>
      <c r="L395" s="180">
        <f t="shared" si="93"/>
        <v>10093444.245878939</v>
      </c>
      <c r="M395" s="181">
        <f t="shared" si="93"/>
        <v>93255.530343239312</v>
      </c>
      <c r="N395" s="180">
        <f t="shared" si="93"/>
        <v>32369.267540723475</v>
      </c>
      <c r="O395" s="132">
        <f t="shared" si="88"/>
        <v>60886.262802515834</v>
      </c>
    </row>
    <row r="396" spans="1:15" x14ac:dyDescent="0.25">
      <c r="A396" s="72">
        <f t="shared" si="94"/>
        <v>228</v>
      </c>
      <c r="B396" s="183">
        <f t="shared" si="89"/>
        <v>9157102.0261648241</v>
      </c>
      <c r="C396" s="184">
        <f>-Hotel!$E$95/12</f>
        <v>85863.140889462898</v>
      </c>
      <c r="D396" s="183">
        <f>Hotel!$E$93/12*B395</f>
        <v>30707.525471941153</v>
      </c>
      <c r="E396" s="185">
        <f t="shared" si="90"/>
        <v>55155.615417521745</v>
      </c>
      <c r="F396" s="72">
        <f t="shared" si="95"/>
        <v>228</v>
      </c>
      <c r="G396" s="180">
        <f t="shared" si="91"/>
        <v>875262.85918331007</v>
      </c>
      <c r="H396" s="186">
        <f>-Hotel!$E$100/12</f>
        <v>7392.3894537764108</v>
      </c>
      <c r="I396" s="149">
        <f>Hotel!$E$98/12*G395</f>
        <v>1468.6443404943204</v>
      </c>
      <c r="J396" s="187">
        <f t="shared" si="92"/>
        <v>5923.7451132820906</v>
      </c>
      <c r="K396" s="72">
        <f t="shared" si="96"/>
        <v>228</v>
      </c>
      <c r="L396" s="180">
        <f t="shared" si="93"/>
        <v>10032364.885348134</v>
      </c>
      <c r="M396" s="181">
        <f t="shared" si="93"/>
        <v>93255.530343239312</v>
      </c>
      <c r="N396" s="180">
        <f t="shared" si="93"/>
        <v>32176.169812435473</v>
      </c>
      <c r="O396" s="132">
        <f t="shared" si="88"/>
        <v>61079.360530803839</v>
      </c>
    </row>
    <row r="397" spans="1:15" x14ac:dyDescent="0.25">
      <c r="A397" s="72">
        <f t="shared" si="94"/>
        <v>229</v>
      </c>
      <c r="B397" s="183">
        <f t="shared" si="89"/>
        <v>9101762.5586959105</v>
      </c>
      <c r="C397" s="184">
        <f>-Hotel!$E$95/12</f>
        <v>85863.140889462898</v>
      </c>
      <c r="D397" s="183">
        <f>Hotel!$E$93/12*B396</f>
        <v>30523.673420549414</v>
      </c>
      <c r="E397" s="185">
        <f t="shared" si="90"/>
        <v>55339.467468913484</v>
      </c>
      <c r="F397" s="72">
        <f t="shared" si="95"/>
        <v>229</v>
      </c>
      <c r="G397" s="180">
        <f t="shared" si="91"/>
        <v>869329.24116150581</v>
      </c>
      <c r="H397" s="186">
        <f>-Hotel!$E$100/12</f>
        <v>7392.3894537764108</v>
      </c>
      <c r="I397" s="149">
        <f>Hotel!$E$98/12*G396</f>
        <v>1458.7714319721836</v>
      </c>
      <c r="J397" s="187">
        <f t="shared" si="92"/>
        <v>5933.6180218042273</v>
      </c>
      <c r="K397" s="72">
        <f t="shared" si="96"/>
        <v>229</v>
      </c>
      <c r="L397" s="180">
        <f t="shared" si="93"/>
        <v>9971091.7998574171</v>
      </c>
      <c r="M397" s="181">
        <f t="shared" si="93"/>
        <v>93255.530343239312</v>
      </c>
      <c r="N397" s="180">
        <f t="shared" si="93"/>
        <v>31982.444852521599</v>
      </c>
      <c r="O397" s="132">
        <f t="shared" si="88"/>
        <v>61273.085490717713</v>
      </c>
    </row>
    <row r="398" spans="1:15" x14ac:dyDescent="0.25">
      <c r="A398" s="72">
        <f t="shared" si="94"/>
        <v>230</v>
      </c>
      <c r="B398" s="183">
        <f t="shared" si="89"/>
        <v>9046238.6263354346</v>
      </c>
      <c r="C398" s="184">
        <f>-Hotel!$E$95/12</f>
        <v>85863.140889462898</v>
      </c>
      <c r="D398" s="183">
        <f>Hotel!$E$93/12*B397</f>
        <v>30339.208528986372</v>
      </c>
      <c r="E398" s="185">
        <f t="shared" si="90"/>
        <v>55523.932360476523</v>
      </c>
      <c r="F398" s="72">
        <f t="shared" si="95"/>
        <v>230</v>
      </c>
      <c r="G398" s="180">
        <f t="shared" si="91"/>
        <v>863385.73377633188</v>
      </c>
      <c r="H398" s="186">
        <f>-Hotel!$E$100/12</f>
        <v>7392.3894537764108</v>
      </c>
      <c r="I398" s="149">
        <f>Hotel!$E$98/12*G397</f>
        <v>1448.8820686025097</v>
      </c>
      <c r="J398" s="187">
        <f t="shared" si="92"/>
        <v>5943.5073851739016</v>
      </c>
      <c r="K398" s="72">
        <f t="shared" si="96"/>
        <v>230</v>
      </c>
      <c r="L398" s="180">
        <f t="shared" si="93"/>
        <v>9909624.3601117656</v>
      </c>
      <c r="M398" s="181">
        <f t="shared" si="93"/>
        <v>93255.530343239312</v>
      </c>
      <c r="N398" s="180">
        <f t="shared" si="93"/>
        <v>31788.090597588882</v>
      </c>
      <c r="O398" s="132">
        <f t="shared" si="88"/>
        <v>61467.439745650423</v>
      </c>
    </row>
    <row r="399" spans="1:15" x14ac:dyDescent="0.25">
      <c r="A399" s="72">
        <f t="shared" si="94"/>
        <v>231</v>
      </c>
      <c r="B399" s="183">
        <f t="shared" si="89"/>
        <v>8990529.6142004225</v>
      </c>
      <c r="C399" s="184">
        <f>-Hotel!$E$95/12</f>
        <v>85863.140889462898</v>
      </c>
      <c r="D399" s="183">
        <f>Hotel!$E$93/12*B398</f>
        <v>30154.128754451449</v>
      </c>
      <c r="E399" s="185">
        <f t="shared" si="90"/>
        <v>55709.01213501145</v>
      </c>
      <c r="F399" s="72">
        <f t="shared" si="95"/>
        <v>231</v>
      </c>
      <c r="G399" s="180">
        <f t="shared" si="91"/>
        <v>857432.32054551598</v>
      </c>
      <c r="H399" s="186">
        <f>-Hotel!$E$100/12</f>
        <v>7392.3894537764108</v>
      </c>
      <c r="I399" s="149">
        <f>Hotel!$E$98/12*G398</f>
        <v>1438.9762229605533</v>
      </c>
      <c r="J399" s="187">
        <f t="shared" si="92"/>
        <v>5953.4132308158578</v>
      </c>
      <c r="K399" s="72">
        <f t="shared" si="96"/>
        <v>231</v>
      </c>
      <c r="L399" s="180">
        <f t="shared" si="93"/>
        <v>9847961.9347459376</v>
      </c>
      <c r="M399" s="181">
        <f t="shared" si="93"/>
        <v>93255.530343239312</v>
      </c>
      <c r="N399" s="180">
        <f t="shared" si="93"/>
        <v>31593.104977412004</v>
      </c>
      <c r="O399" s="132">
        <f t="shared" si="88"/>
        <v>61662.425365827308</v>
      </c>
    </row>
    <row r="400" spans="1:15" x14ac:dyDescent="0.25">
      <c r="A400" s="72">
        <f t="shared" si="94"/>
        <v>232</v>
      </c>
      <c r="B400" s="183">
        <f t="shared" si="89"/>
        <v>8934634.905358294</v>
      </c>
      <c r="C400" s="184">
        <f>-Hotel!$E$95/12</f>
        <v>85863.140889462898</v>
      </c>
      <c r="D400" s="183">
        <f>Hotel!$E$93/12*B399</f>
        <v>29968.432047334743</v>
      </c>
      <c r="E400" s="185">
        <f t="shared" si="90"/>
        <v>55894.708842128151</v>
      </c>
      <c r="F400" s="72">
        <f t="shared" si="95"/>
        <v>232</v>
      </c>
      <c r="G400" s="180">
        <f t="shared" si="91"/>
        <v>851468.98495931539</v>
      </c>
      <c r="H400" s="186">
        <f>-Hotel!$E$100/12</f>
        <v>7392.3894537764108</v>
      </c>
      <c r="I400" s="149">
        <f>Hotel!$E$98/12*G399</f>
        <v>1429.0538675758601</v>
      </c>
      <c r="J400" s="187">
        <f t="shared" si="92"/>
        <v>5963.335586200551</v>
      </c>
      <c r="K400" s="72">
        <f t="shared" si="96"/>
        <v>232</v>
      </c>
      <c r="L400" s="180">
        <f t="shared" si="93"/>
        <v>9786103.8903176095</v>
      </c>
      <c r="M400" s="181">
        <f t="shared" si="93"/>
        <v>93255.530343239312</v>
      </c>
      <c r="N400" s="180">
        <f t="shared" si="93"/>
        <v>31397.485914910605</v>
      </c>
      <c r="O400" s="132">
        <f t="shared" si="88"/>
        <v>61858.0444283287</v>
      </c>
    </row>
    <row r="401" spans="1:15" x14ac:dyDescent="0.25">
      <c r="A401" s="72">
        <f t="shared" si="94"/>
        <v>233</v>
      </c>
      <c r="B401" s="183">
        <f t="shared" si="89"/>
        <v>8878553.8808200248</v>
      </c>
      <c r="C401" s="184">
        <f>-Hotel!$E$95/12</f>
        <v>85863.140889462898</v>
      </c>
      <c r="D401" s="183">
        <f>Hotel!$E$93/12*B400</f>
        <v>29782.116351194316</v>
      </c>
      <c r="E401" s="185">
        <f t="shared" si="90"/>
        <v>56081.024538268583</v>
      </c>
      <c r="F401" s="72">
        <f t="shared" si="95"/>
        <v>233</v>
      </c>
      <c r="G401" s="180">
        <f t="shared" si="91"/>
        <v>845495.71048047114</v>
      </c>
      <c r="H401" s="186">
        <f>-Hotel!$E$100/12</f>
        <v>7392.3894537764108</v>
      </c>
      <c r="I401" s="149">
        <f>Hotel!$E$98/12*G400</f>
        <v>1419.1149749321924</v>
      </c>
      <c r="J401" s="187">
        <f t="shared" si="92"/>
        <v>5973.2744788442187</v>
      </c>
      <c r="K401" s="72">
        <f t="shared" si="96"/>
        <v>233</v>
      </c>
      <c r="L401" s="180">
        <f t="shared" si="93"/>
        <v>9724049.591300495</v>
      </c>
      <c r="M401" s="181">
        <f t="shared" si="93"/>
        <v>93255.530343239312</v>
      </c>
      <c r="N401" s="180">
        <f t="shared" si="93"/>
        <v>31201.231326126508</v>
      </c>
      <c r="O401" s="132">
        <f t="shared" si="88"/>
        <v>62054.299017112804</v>
      </c>
    </row>
    <row r="402" spans="1:15" x14ac:dyDescent="0.25">
      <c r="A402" s="72">
        <f t="shared" si="94"/>
        <v>234</v>
      </c>
      <c r="B402" s="183">
        <f t="shared" si="89"/>
        <v>8822285.9195332956</v>
      </c>
      <c r="C402" s="184">
        <f>-Hotel!$E$95/12</f>
        <v>85863.140889462898</v>
      </c>
      <c r="D402" s="183">
        <f>Hotel!$E$93/12*B401</f>
        <v>29595.179602733417</v>
      </c>
      <c r="E402" s="185">
        <f t="shared" si="90"/>
        <v>56267.961286729478</v>
      </c>
      <c r="F402" s="72">
        <f t="shared" si="95"/>
        <v>234</v>
      </c>
      <c r="G402" s="180">
        <f t="shared" si="91"/>
        <v>839512.48054416222</v>
      </c>
      <c r="H402" s="186">
        <f>-Hotel!$E$100/12</f>
        <v>7392.3894537764108</v>
      </c>
      <c r="I402" s="149">
        <f>Hotel!$E$98/12*G401</f>
        <v>1409.1595174674519</v>
      </c>
      <c r="J402" s="187">
        <f t="shared" si="92"/>
        <v>5983.2299363089587</v>
      </c>
      <c r="K402" s="72">
        <f t="shared" si="96"/>
        <v>234</v>
      </c>
      <c r="L402" s="180">
        <f t="shared" si="93"/>
        <v>9661798.4000774585</v>
      </c>
      <c r="M402" s="181">
        <f t="shared" si="93"/>
        <v>93255.530343239312</v>
      </c>
      <c r="N402" s="180">
        <f t="shared" si="93"/>
        <v>31004.339120200868</v>
      </c>
      <c r="O402" s="132">
        <f t="shared" si="88"/>
        <v>62251.191223038433</v>
      </c>
    </row>
    <row r="403" spans="1:15" x14ac:dyDescent="0.25">
      <c r="A403" s="72">
        <f t="shared" si="94"/>
        <v>235</v>
      </c>
      <c r="B403" s="183">
        <f t="shared" si="89"/>
        <v>8765830.3983756099</v>
      </c>
      <c r="C403" s="184">
        <f>-Hotel!$E$95/12</f>
        <v>85863.140889462898</v>
      </c>
      <c r="D403" s="183">
        <f>Hotel!$E$93/12*B402</f>
        <v>29407.619731777653</v>
      </c>
      <c r="E403" s="185">
        <f t="shared" si="90"/>
        <v>56455.521157685245</v>
      </c>
      <c r="F403" s="72">
        <f t="shared" si="95"/>
        <v>235</v>
      </c>
      <c r="G403" s="180">
        <f t="shared" si="91"/>
        <v>833519.27855795936</v>
      </c>
      <c r="H403" s="186">
        <f>-Hotel!$E$100/12</f>
        <v>7392.3894537764108</v>
      </c>
      <c r="I403" s="149">
        <f>Hotel!$E$98/12*G402</f>
        <v>1399.1874675736037</v>
      </c>
      <c r="J403" s="187">
        <f t="shared" si="92"/>
        <v>5993.2019862028073</v>
      </c>
      <c r="K403" s="72">
        <f t="shared" si="96"/>
        <v>235</v>
      </c>
      <c r="L403" s="180">
        <f t="shared" si="93"/>
        <v>9599349.6769335698</v>
      </c>
      <c r="M403" s="181">
        <f t="shared" si="93"/>
        <v>93255.530343239312</v>
      </c>
      <c r="N403" s="180">
        <f t="shared" si="93"/>
        <v>30806.807199351257</v>
      </c>
      <c r="O403" s="132">
        <f t="shared" si="88"/>
        <v>62448.723143888055</v>
      </c>
    </row>
    <row r="404" spans="1:15" x14ac:dyDescent="0.25">
      <c r="A404" s="72">
        <f t="shared" si="94"/>
        <v>236</v>
      </c>
      <c r="B404" s="183">
        <f t="shared" si="89"/>
        <v>8709186.6921473984</v>
      </c>
      <c r="C404" s="184">
        <f>-Hotel!$E$95/12</f>
        <v>85863.140889462898</v>
      </c>
      <c r="D404" s="183">
        <f>Hotel!$E$93/12*B403</f>
        <v>29219.434661252035</v>
      </c>
      <c r="E404" s="185">
        <f t="shared" si="90"/>
        <v>56643.706228210867</v>
      </c>
      <c r="F404" s="72">
        <f t="shared" si="95"/>
        <v>236</v>
      </c>
      <c r="G404" s="180">
        <f t="shared" si="91"/>
        <v>827516.08790177957</v>
      </c>
      <c r="H404" s="186">
        <f>-Hotel!$E$100/12</f>
        <v>7392.3894537764108</v>
      </c>
      <c r="I404" s="149">
        <f>Hotel!$E$98/12*G403</f>
        <v>1389.198797596599</v>
      </c>
      <c r="J404" s="187">
        <f t="shared" si="92"/>
        <v>6003.1906561798114</v>
      </c>
      <c r="K404" s="72">
        <f t="shared" si="96"/>
        <v>236</v>
      </c>
      <c r="L404" s="180">
        <f t="shared" si="93"/>
        <v>9536702.7800491787</v>
      </c>
      <c r="M404" s="181">
        <f t="shared" si="93"/>
        <v>93255.530343239312</v>
      </c>
      <c r="N404" s="180">
        <f t="shared" si="93"/>
        <v>30608.633458848635</v>
      </c>
      <c r="O404" s="132">
        <f t="shared" si="88"/>
        <v>62646.896884390677</v>
      </c>
    </row>
    <row r="405" spans="1:15" x14ac:dyDescent="0.25">
      <c r="A405" s="72">
        <f t="shared" si="94"/>
        <v>237</v>
      </c>
      <c r="B405" s="183">
        <f t="shared" si="89"/>
        <v>8652354.1735650934</v>
      </c>
      <c r="C405" s="184">
        <f>-Hotel!$E$95/12</f>
        <v>85863.140889462898</v>
      </c>
      <c r="D405" s="183">
        <f>Hotel!$E$93/12*B404</f>
        <v>29030.622307157995</v>
      </c>
      <c r="E405" s="185">
        <f t="shared" si="90"/>
        <v>56832.518582304903</v>
      </c>
      <c r="F405" s="72">
        <f t="shared" si="95"/>
        <v>237</v>
      </c>
      <c r="G405" s="180">
        <f t="shared" si="91"/>
        <v>821502.89192783949</v>
      </c>
      <c r="H405" s="186">
        <f>-Hotel!$E$100/12</f>
        <v>7392.3894537764108</v>
      </c>
      <c r="I405" s="149">
        <f>Hotel!$E$98/12*G404</f>
        <v>1379.1934798362993</v>
      </c>
      <c r="J405" s="187">
        <f t="shared" si="92"/>
        <v>6013.1959739401118</v>
      </c>
      <c r="K405" s="72">
        <f t="shared" si="96"/>
        <v>237</v>
      </c>
      <c r="L405" s="180">
        <f t="shared" si="93"/>
        <v>9473857.0654929336</v>
      </c>
      <c r="M405" s="181">
        <f t="shared" si="93"/>
        <v>93255.530343239312</v>
      </c>
      <c r="N405" s="180">
        <f t="shared" si="93"/>
        <v>30409.815786994295</v>
      </c>
      <c r="O405" s="132">
        <f t="shared" si="88"/>
        <v>62845.714556245017</v>
      </c>
    </row>
    <row r="406" spans="1:15" x14ac:dyDescent="0.25">
      <c r="A406" s="72">
        <f t="shared" si="94"/>
        <v>238</v>
      </c>
      <c r="B406" s="183">
        <f t="shared" si="89"/>
        <v>8595332.2132541817</v>
      </c>
      <c r="C406" s="184">
        <f>-Hotel!$E$95/12</f>
        <v>85863.140889462898</v>
      </c>
      <c r="D406" s="183">
        <f>Hotel!$E$93/12*B405</f>
        <v>28841.180578550313</v>
      </c>
      <c r="E406" s="185">
        <f t="shared" si="90"/>
        <v>57021.960310912589</v>
      </c>
      <c r="F406" s="72">
        <f t="shared" si="95"/>
        <v>238</v>
      </c>
      <c r="G406" s="180">
        <f t="shared" si="91"/>
        <v>815479.67396060948</v>
      </c>
      <c r="H406" s="186">
        <f>-Hotel!$E$100/12</f>
        <v>7392.3894537764108</v>
      </c>
      <c r="I406" s="149">
        <f>Hotel!$E$98/12*G405</f>
        <v>1369.1714865463991</v>
      </c>
      <c r="J406" s="187">
        <f t="shared" si="92"/>
        <v>6023.2179672300117</v>
      </c>
      <c r="K406" s="72">
        <f t="shared" si="96"/>
        <v>238</v>
      </c>
      <c r="L406" s="180">
        <f t="shared" si="93"/>
        <v>9410811.887214791</v>
      </c>
      <c r="M406" s="181">
        <f t="shared" si="93"/>
        <v>93255.530343239312</v>
      </c>
      <c r="N406" s="180">
        <f t="shared" si="93"/>
        <v>30210.352065096711</v>
      </c>
      <c r="O406" s="132">
        <f t="shared" si="88"/>
        <v>63045.178278142601</v>
      </c>
    </row>
    <row r="407" spans="1:15" x14ac:dyDescent="0.25">
      <c r="A407" s="72">
        <f t="shared" si="94"/>
        <v>239</v>
      </c>
      <c r="B407" s="183">
        <f t="shared" si="89"/>
        <v>8538120.179742232</v>
      </c>
      <c r="C407" s="184">
        <f>-Hotel!$E$95/12</f>
        <v>85863.140889462898</v>
      </c>
      <c r="D407" s="183">
        <f>Hotel!$E$93/12*B406</f>
        <v>28651.107377513941</v>
      </c>
      <c r="E407" s="185">
        <f t="shared" si="90"/>
        <v>57212.033511948961</v>
      </c>
      <c r="F407" s="72">
        <f t="shared" si="95"/>
        <v>239</v>
      </c>
      <c r="G407" s="180">
        <f t="shared" si="91"/>
        <v>809446.41729676747</v>
      </c>
      <c r="H407" s="186">
        <f>-Hotel!$E$100/12</f>
        <v>7392.3894537764108</v>
      </c>
      <c r="I407" s="149">
        <f>Hotel!$E$98/12*G406</f>
        <v>1359.1327899343491</v>
      </c>
      <c r="J407" s="187">
        <f t="shared" si="92"/>
        <v>6033.2566638420612</v>
      </c>
      <c r="K407" s="72">
        <f t="shared" si="96"/>
        <v>239</v>
      </c>
      <c r="L407" s="180">
        <f t="shared" si="93"/>
        <v>9347566.5970389992</v>
      </c>
      <c r="M407" s="181">
        <f t="shared" si="93"/>
        <v>93255.530343239312</v>
      </c>
      <c r="N407" s="180">
        <f t="shared" si="93"/>
        <v>30010.24016744829</v>
      </c>
      <c r="O407" s="132">
        <f t="shared" si="88"/>
        <v>63245.290175791022</v>
      </c>
    </row>
    <row r="408" spans="1:15" x14ac:dyDescent="0.25">
      <c r="A408" s="72">
        <f t="shared" si="94"/>
        <v>240</v>
      </c>
      <c r="B408" s="183">
        <f t="shared" si="89"/>
        <v>8480717.4394519106</v>
      </c>
      <c r="C408" s="184">
        <f>-Hotel!$E$95/12</f>
        <v>85863.140889462898</v>
      </c>
      <c r="D408" s="183">
        <f>Hotel!$E$93/12*B407</f>
        <v>28460.400599140776</v>
      </c>
      <c r="E408" s="185">
        <f t="shared" si="90"/>
        <v>57402.740290322123</v>
      </c>
      <c r="F408" s="72">
        <f t="shared" si="95"/>
        <v>240</v>
      </c>
      <c r="G408" s="180">
        <f t="shared" si="91"/>
        <v>803403.1052051523</v>
      </c>
      <c r="H408" s="186">
        <f>-Hotel!$E$100/12</f>
        <v>7392.3894537764108</v>
      </c>
      <c r="I408" s="149">
        <f>Hotel!$E$98/12*G407</f>
        <v>1349.0773621612791</v>
      </c>
      <c r="J408" s="187">
        <f t="shared" si="92"/>
        <v>6043.312091615132</v>
      </c>
      <c r="K408" s="72">
        <f t="shared" si="96"/>
        <v>240</v>
      </c>
      <c r="L408" s="180">
        <f t="shared" si="93"/>
        <v>9284120.5446570627</v>
      </c>
      <c r="M408" s="181">
        <f t="shared" si="93"/>
        <v>93255.530343239312</v>
      </c>
      <c r="N408" s="180">
        <f t="shared" si="93"/>
        <v>29809.477961302055</v>
      </c>
      <c r="O408" s="132">
        <f t="shared" si="88"/>
        <v>63446.052381937254</v>
      </c>
    </row>
    <row r="409" spans="1:15" x14ac:dyDescent="0.25">
      <c r="A409" s="72">
        <f t="shared" si="94"/>
        <v>241</v>
      </c>
      <c r="B409" s="183">
        <f t="shared" si="89"/>
        <v>8423123.3566939533</v>
      </c>
      <c r="C409" s="184">
        <f>-Hotel!$E$95/12</f>
        <v>85863.140889462898</v>
      </c>
      <c r="D409" s="183">
        <f>Hotel!$E$93/12*B408</f>
        <v>28269.058131506372</v>
      </c>
      <c r="E409" s="185">
        <f t="shared" si="90"/>
        <v>57594.082757956523</v>
      </c>
      <c r="F409" s="72">
        <f t="shared" si="95"/>
        <v>241</v>
      </c>
      <c r="G409" s="180">
        <f t="shared" si="91"/>
        <v>797349.72092671786</v>
      </c>
      <c r="H409" s="186">
        <f>-Hotel!$E$100/12</f>
        <v>7392.3894537764108</v>
      </c>
      <c r="I409" s="149">
        <f>Hotel!$E$98/12*G408</f>
        <v>1339.0051753419207</v>
      </c>
      <c r="J409" s="187">
        <f t="shared" si="92"/>
        <v>6053.3842784344906</v>
      </c>
      <c r="K409" s="72">
        <f t="shared" si="96"/>
        <v>241</v>
      </c>
      <c r="L409" s="180">
        <f t="shared" si="93"/>
        <v>9220473.0776206702</v>
      </c>
      <c r="M409" s="181">
        <f t="shared" si="93"/>
        <v>93255.530343239312</v>
      </c>
      <c r="N409" s="180">
        <f t="shared" si="93"/>
        <v>29608.063306848293</v>
      </c>
      <c r="O409" s="132">
        <f t="shared" si="88"/>
        <v>63647.467036391012</v>
      </c>
    </row>
    <row r="410" spans="1:15" x14ac:dyDescent="0.25">
      <c r="A410" s="72">
        <f t="shared" si="94"/>
        <v>242</v>
      </c>
      <c r="B410" s="183">
        <f t="shared" si="89"/>
        <v>8365337.2936601369</v>
      </c>
      <c r="C410" s="184">
        <f>-Hotel!$E$95/12</f>
        <v>85863.140889462898</v>
      </c>
      <c r="D410" s="183">
        <f>Hotel!$E$93/12*B409</f>
        <v>28077.077855646512</v>
      </c>
      <c r="E410" s="185">
        <f t="shared" si="90"/>
        <v>57786.06303381639</v>
      </c>
      <c r="F410" s="72">
        <f t="shared" si="95"/>
        <v>242</v>
      </c>
      <c r="G410" s="180">
        <f t="shared" si="91"/>
        <v>791286.24767448602</v>
      </c>
      <c r="H410" s="186">
        <f>-Hotel!$E$100/12</f>
        <v>7392.3894537764108</v>
      </c>
      <c r="I410" s="149">
        <f>Hotel!$E$98/12*G409</f>
        <v>1328.9162015445299</v>
      </c>
      <c r="J410" s="187">
        <f t="shared" si="92"/>
        <v>6063.4732522318809</v>
      </c>
      <c r="K410" s="72">
        <f t="shared" si="96"/>
        <v>242</v>
      </c>
      <c r="L410" s="180">
        <f t="shared" si="93"/>
        <v>9156623.5413346235</v>
      </c>
      <c r="M410" s="181">
        <f t="shared" si="93"/>
        <v>93255.530343239312</v>
      </c>
      <c r="N410" s="180">
        <f t="shared" si="93"/>
        <v>29405.994057191041</v>
      </c>
      <c r="O410" s="132">
        <f t="shared" si="88"/>
        <v>63849.536286048271</v>
      </c>
    </row>
    <row r="411" spans="1:15" x14ac:dyDescent="0.25">
      <c r="A411" s="72">
        <f t="shared" si="94"/>
        <v>243</v>
      </c>
      <c r="B411" s="183">
        <f t="shared" si="89"/>
        <v>8307358.6104162075</v>
      </c>
      <c r="C411" s="184">
        <f>-Hotel!$E$95/12</f>
        <v>85863.140889462898</v>
      </c>
      <c r="D411" s="183">
        <f>Hotel!$E$93/12*B410</f>
        <v>27884.457645533792</v>
      </c>
      <c r="E411" s="185">
        <f t="shared" si="90"/>
        <v>57978.683243929103</v>
      </c>
      <c r="F411" s="72">
        <f t="shared" si="95"/>
        <v>243</v>
      </c>
      <c r="G411" s="180">
        <f t="shared" si="91"/>
        <v>785212.66863350046</v>
      </c>
      <c r="H411" s="186">
        <f>-Hotel!$E$100/12</f>
        <v>7392.3894537764108</v>
      </c>
      <c r="I411" s="149">
        <f>Hotel!$E$98/12*G410</f>
        <v>1318.81041279081</v>
      </c>
      <c r="J411" s="187">
        <f t="shared" si="92"/>
        <v>6073.5790409856008</v>
      </c>
      <c r="K411" s="72">
        <f t="shared" si="96"/>
        <v>243</v>
      </c>
      <c r="L411" s="180">
        <f t="shared" si="93"/>
        <v>9092571.2790497076</v>
      </c>
      <c r="M411" s="181">
        <f t="shared" si="93"/>
        <v>93255.530343239312</v>
      </c>
      <c r="N411" s="180">
        <f t="shared" si="93"/>
        <v>29203.268058324604</v>
      </c>
      <c r="O411" s="132">
        <f t="shared" si="88"/>
        <v>64052.262284914701</v>
      </c>
    </row>
    <row r="412" spans="1:15" x14ac:dyDescent="0.25">
      <c r="A412" s="72">
        <f t="shared" si="94"/>
        <v>244</v>
      </c>
      <c r="B412" s="183">
        <f t="shared" si="89"/>
        <v>8249186.6648947988</v>
      </c>
      <c r="C412" s="184">
        <f>-Hotel!$E$95/12</f>
        <v>85863.140889462898</v>
      </c>
      <c r="D412" s="183">
        <f>Hotel!$E$93/12*B411</f>
        <v>27691.195368054028</v>
      </c>
      <c r="E412" s="185">
        <f t="shared" si="90"/>
        <v>58171.945521408867</v>
      </c>
      <c r="F412" s="72">
        <f t="shared" si="95"/>
        <v>244</v>
      </c>
      <c r="G412" s="180">
        <f t="shared" si="91"/>
        <v>779128.96696077986</v>
      </c>
      <c r="H412" s="186">
        <f>-Hotel!$E$100/12</f>
        <v>7392.3894537764108</v>
      </c>
      <c r="I412" s="149">
        <f>Hotel!$E$98/12*G411</f>
        <v>1308.6877810558342</v>
      </c>
      <c r="J412" s="187">
        <f t="shared" si="92"/>
        <v>6083.7016727205764</v>
      </c>
      <c r="K412" s="72">
        <f t="shared" si="96"/>
        <v>244</v>
      </c>
      <c r="L412" s="180">
        <f t="shared" si="93"/>
        <v>9028315.6318555791</v>
      </c>
      <c r="M412" s="181">
        <f t="shared" si="93"/>
        <v>93255.530343239312</v>
      </c>
      <c r="N412" s="180">
        <f t="shared" si="93"/>
        <v>28999.883149109861</v>
      </c>
      <c r="O412" s="132">
        <f t="shared" si="88"/>
        <v>64255.647194129444</v>
      </c>
    </row>
    <row r="413" spans="1:15" x14ac:dyDescent="0.25">
      <c r="A413" s="72">
        <f t="shared" si="94"/>
        <v>245</v>
      </c>
      <c r="B413" s="183">
        <f t="shared" si="89"/>
        <v>8190820.8128883187</v>
      </c>
      <c r="C413" s="184">
        <f>-Hotel!$E$95/12</f>
        <v>85863.140889462898</v>
      </c>
      <c r="D413" s="183">
        <f>Hotel!$E$93/12*B412</f>
        <v>27497.288882982666</v>
      </c>
      <c r="E413" s="185">
        <f t="shared" si="90"/>
        <v>58365.852006480229</v>
      </c>
      <c r="F413" s="72">
        <f t="shared" si="95"/>
        <v>245</v>
      </c>
      <c r="G413" s="180">
        <f t="shared" si="91"/>
        <v>773035.1257852714</v>
      </c>
      <c r="H413" s="186">
        <f>-Hotel!$E$100/12</f>
        <v>7392.3894537764108</v>
      </c>
      <c r="I413" s="149">
        <f>Hotel!$E$98/12*G412</f>
        <v>1298.5482782679665</v>
      </c>
      <c r="J413" s="187">
        <f t="shared" si="92"/>
        <v>6093.8411755084444</v>
      </c>
      <c r="K413" s="72">
        <f t="shared" si="96"/>
        <v>245</v>
      </c>
      <c r="L413" s="180">
        <f t="shared" si="93"/>
        <v>8963855.9386735894</v>
      </c>
      <c r="M413" s="181">
        <f t="shared" si="93"/>
        <v>93255.530343239312</v>
      </c>
      <c r="N413" s="180">
        <f t="shared" si="93"/>
        <v>28795.837161250631</v>
      </c>
      <c r="O413" s="132">
        <f t="shared" si="88"/>
        <v>64459.693181988674</v>
      </c>
    </row>
    <row r="414" spans="1:15" x14ac:dyDescent="0.25">
      <c r="A414" s="72">
        <f t="shared" si="94"/>
        <v>246</v>
      </c>
      <c r="B414" s="183">
        <f t="shared" si="89"/>
        <v>8132260.4080418171</v>
      </c>
      <c r="C414" s="184">
        <f>-Hotel!$E$95/12</f>
        <v>85863.140889462898</v>
      </c>
      <c r="D414" s="183">
        <f>Hotel!$E$93/12*B413</f>
        <v>27302.736042961064</v>
      </c>
      <c r="E414" s="185">
        <f t="shared" si="90"/>
        <v>58560.404846501835</v>
      </c>
      <c r="F414" s="72">
        <f t="shared" si="95"/>
        <v>246</v>
      </c>
      <c r="G414" s="180">
        <f t="shared" si="91"/>
        <v>766931.12820780382</v>
      </c>
      <c r="H414" s="186">
        <f>-Hotel!$E$100/12</f>
        <v>7392.3894537764108</v>
      </c>
      <c r="I414" s="149">
        <f>Hotel!$E$98/12*G413</f>
        <v>1288.3918763087859</v>
      </c>
      <c r="J414" s="187">
        <f t="shared" si="92"/>
        <v>6103.997577467625</v>
      </c>
      <c r="K414" s="72">
        <f t="shared" si="96"/>
        <v>246</v>
      </c>
      <c r="L414" s="180">
        <f t="shared" si="93"/>
        <v>8899191.5362496208</v>
      </c>
      <c r="M414" s="181">
        <f t="shared" si="93"/>
        <v>93255.530343239312</v>
      </c>
      <c r="N414" s="180">
        <f t="shared" si="93"/>
        <v>28591.127919269849</v>
      </c>
      <c r="O414" s="132">
        <f t="shared" si="88"/>
        <v>64664.402423969463</v>
      </c>
    </row>
    <row r="415" spans="1:15" x14ac:dyDescent="0.25">
      <c r="A415" s="72">
        <f t="shared" si="94"/>
        <v>247</v>
      </c>
      <c r="B415" s="183">
        <f t="shared" si="89"/>
        <v>8073504.8018458271</v>
      </c>
      <c r="C415" s="184">
        <f>-Hotel!$E$95/12</f>
        <v>85863.140889462898</v>
      </c>
      <c r="D415" s="183">
        <f>Hotel!$E$93/12*B414</f>
        <v>27107.534693472724</v>
      </c>
      <c r="E415" s="185">
        <f t="shared" si="90"/>
        <v>58755.606195990171</v>
      </c>
      <c r="F415" s="72">
        <f t="shared" si="95"/>
        <v>247</v>
      </c>
      <c r="G415" s="180">
        <f t="shared" si="91"/>
        <v>760816.95730104041</v>
      </c>
      <c r="H415" s="186">
        <f>-Hotel!$E$100/12</f>
        <v>7392.3894537764108</v>
      </c>
      <c r="I415" s="149">
        <f>Hotel!$E$98/12*G414</f>
        <v>1278.2185470130064</v>
      </c>
      <c r="J415" s="187">
        <f t="shared" si="92"/>
        <v>6114.1709067634047</v>
      </c>
      <c r="K415" s="72">
        <f t="shared" si="96"/>
        <v>247</v>
      </c>
      <c r="L415" s="180">
        <f t="shared" si="93"/>
        <v>8834321.7591468673</v>
      </c>
      <c r="M415" s="181">
        <f t="shared" si="93"/>
        <v>93255.530343239312</v>
      </c>
      <c r="N415" s="180">
        <f t="shared" si="93"/>
        <v>28385.75324048573</v>
      </c>
      <c r="O415" s="132">
        <f t="shared" si="88"/>
        <v>64869.777102753578</v>
      </c>
    </row>
    <row r="416" spans="1:15" x14ac:dyDescent="0.25">
      <c r="A416" s="72">
        <f t="shared" si="94"/>
        <v>248</v>
      </c>
      <c r="B416" s="183">
        <f t="shared" si="89"/>
        <v>8014553.3436291832</v>
      </c>
      <c r="C416" s="184">
        <f>-Hotel!$E$95/12</f>
        <v>85863.140889462898</v>
      </c>
      <c r="D416" s="183">
        <f>Hotel!$E$93/12*B415</f>
        <v>26911.682672819425</v>
      </c>
      <c r="E416" s="185">
        <f t="shared" si="90"/>
        <v>58951.45821664347</v>
      </c>
      <c r="F416" s="72">
        <f t="shared" si="95"/>
        <v>248</v>
      </c>
      <c r="G416" s="180">
        <f t="shared" si="91"/>
        <v>754692.5961094324</v>
      </c>
      <c r="H416" s="186">
        <f>-Hotel!$E$100/12</f>
        <v>7392.3894537764108</v>
      </c>
      <c r="I416" s="149">
        <f>Hotel!$E$98/12*G415</f>
        <v>1268.0282621684007</v>
      </c>
      <c r="J416" s="187">
        <f t="shared" si="92"/>
        <v>6124.3611916080099</v>
      </c>
      <c r="K416" s="72">
        <f t="shared" si="96"/>
        <v>248</v>
      </c>
      <c r="L416" s="180">
        <f t="shared" si="93"/>
        <v>8769245.9397386163</v>
      </c>
      <c r="M416" s="181">
        <f t="shared" si="93"/>
        <v>93255.530343239312</v>
      </c>
      <c r="N416" s="180">
        <f t="shared" si="93"/>
        <v>28179.710934987826</v>
      </c>
      <c r="O416" s="132">
        <f t="shared" si="88"/>
        <v>65075.819408251482</v>
      </c>
    </row>
    <row r="417" spans="1:15" x14ac:dyDescent="0.25">
      <c r="A417" s="72">
        <f t="shared" si="94"/>
        <v>249</v>
      </c>
      <c r="B417" s="183">
        <f t="shared" si="89"/>
        <v>7955405.3805518178</v>
      </c>
      <c r="C417" s="184">
        <f>-Hotel!$E$95/12</f>
        <v>85863.140889462898</v>
      </c>
      <c r="D417" s="183">
        <f>Hotel!$E$93/12*B416</f>
        <v>26715.177812097278</v>
      </c>
      <c r="E417" s="185">
        <f t="shared" si="90"/>
        <v>59147.963077365624</v>
      </c>
      <c r="F417" s="72">
        <f t="shared" si="95"/>
        <v>249</v>
      </c>
      <c r="G417" s="180">
        <f t="shared" si="91"/>
        <v>748558.02764917177</v>
      </c>
      <c r="H417" s="186">
        <f>-Hotel!$E$100/12</f>
        <v>7392.3894537764108</v>
      </c>
      <c r="I417" s="149">
        <f>Hotel!$E$98/12*G416</f>
        <v>1257.8209935157208</v>
      </c>
      <c r="J417" s="187">
        <f t="shared" si="92"/>
        <v>6134.5684602606898</v>
      </c>
      <c r="K417" s="72">
        <f t="shared" si="96"/>
        <v>249</v>
      </c>
      <c r="L417" s="180">
        <f t="shared" si="93"/>
        <v>8703963.4082009904</v>
      </c>
      <c r="M417" s="181">
        <f t="shared" si="93"/>
        <v>93255.530343239312</v>
      </c>
      <c r="N417" s="180">
        <f t="shared" si="93"/>
        <v>27972.998805612999</v>
      </c>
      <c r="O417" s="132">
        <f t="shared" si="88"/>
        <v>65282.531537626317</v>
      </c>
    </row>
    <row r="418" spans="1:15" x14ac:dyDescent="0.25">
      <c r="A418" s="72">
        <f t="shared" si="94"/>
        <v>250</v>
      </c>
      <c r="B418" s="183">
        <f t="shared" si="89"/>
        <v>7896060.2575975275</v>
      </c>
      <c r="C418" s="184">
        <f>-Hotel!$E$95/12</f>
        <v>85863.140889462898</v>
      </c>
      <c r="D418" s="183">
        <f>Hotel!$E$93/12*B417</f>
        <v>26518.017935172727</v>
      </c>
      <c r="E418" s="185">
        <f t="shared" si="90"/>
        <v>59345.122954290171</v>
      </c>
      <c r="F418" s="72">
        <f t="shared" si="95"/>
        <v>250</v>
      </c>
      <c r="G418" s="180">
        <f t="shared" si="91"/>
        <v>742413.23490814399</v>
      </c>
      <c r="H418" s="186">
        <f>-Hotel!$E$100/12</f>
        <v>7392.3894537764108</v>
      </c>
      <c r="I418" s="149">
        <f>Hotel!$E$98/12*G417</f>
        <v>1247.5967127486197</v>
      </c>
      <c r="J418" s="187">
        <f t="shared" si="92"/>
        <v>6144.7927410277916</v>
      </c>
      <c r="K418" s="72">
        <f t="shared" si="96"/>
        <v>250</v>
      </c>
      <c r="L418" s="180">
        <f t="shared" si="93"/>
        <v>8638473.4925056715</v>
      </c>
      <c r="M418" s="181">
        <f t="shared" si="93"/>
        <v>93255.530343239312</v>
      </c>
      <c r="N418" s="180">
        <f t="shared" si="93"/>
        <v>27765.614647921346</v>
      </c>
      <c r="O418" s="132">
        <f t="shared" si="88"/>
        <v>65489.915695317963</v>
      </c>
    </row>
    <row r="419" spans="1:15" x14ac:dyDescent="0.25">
      <c r="A419" s="72">
        <f t="shared" si="94"/>
        <v>251</v>
      </c>
      <c r="B419" s="183">
        <f t="shared" si="89"/>
        <v>7836517.3175667226</v>
      </c>
      <c r="C419" s="184">
        <f>-Hotel!$E$95/12</f>
        <v>85863.140889462898</v>
      </c>
      <c r="D419" s="183">
        <f>Hotel!$E$93/12*B418</f>
        <v>26320.200858658427</v>
      </c>
      <c r="E419" s="185">
        <f t="shared" si="90"/>
        <v>59542.940030804471</v>
      </c>
      <c r="F419" s="72">
        <f t="shared" si="95"/>
        <v>251</v>
      </c>
      <c r="G419" s="180">
        <f t="shared" si="91"/>
        <v>736258.20084588113</v>
      </c>
      <c r="H419" s="186">
        <f>-Hotel!$E$100/12</f>
        <v>7392.3894537764108</v>
      </c>
      <c r="I419" s="149">
        <f>Hotel!$E$98/12*G418</f>
        <v>1237.3553915135733</v>
      </c>
      <c r="J419" s="187">
        <f t="shared" si="92"/>
        <v>6155.0340622628373</v>
      </c>
      <c r="K419" s="72">
        <f t="shared" si="96"/>
        <v>251</v>
      </c>
      <c r="L419" s="180">
        <f t="shared" si="93"/>
        <v>8572775.5184126031</v>
      </c>
      <c r="M419" s="181">
        <f t="shared" si="93"/>
        <v>93255.530343239312</v>
      </c>
      <c r="N419" s="180">
        <f t="shared" si="93"/>
        <v>27557.556250172001</v>
      </c>
      <c r="O419" s="132">
        <f t="shared" si="88"/>
        <v>65697.974093067314</v>
      </c>
    </row>
    <row r="420" spans="1:15" x14ac:dyDescent="0.25">
      <c r="A420" s="72">
        <f t="shared" si="94"/>
        <v>252</v>
      </c>
      <c r="B420" s="183">
        <f t="shared" si="89"/>
        <v>7776775.9010691484</v>
      </c>
      <c r="C420" s="184">
        <f>-Hotel!$E$95/12</f>
        <v>85863.140889462898</v>
      </c>
      <c r="D420" s="183">
        <f>Hotel!$E$93/12*B419</f>
        <v>26121.724391889078</v>
      </c>
      <c r="E420" s="185">
        <f t="shared" si="90"/>
        <v>59741.416497573824</v>
      </c>
      <c r="F420" s="72">
        <f t="shared" si="95"/>
        <v>252</v>
      </c>
      <c r="G420" s="180">
        <f t="shared" si="91"/>
        <v>730092.90839351458</v>
      </c>
      <c r="H420" s="186">
        <f>-Hotel!$E$100/12</f>
        <v>7392.3894537764108</v>
      </c>
      <c r="I420" s="149">
        <f>Hotel!$E$98/12*G419</f>
        <v>1227.097001409802</v>
      </c>
      <c r="J420" s="187">
        <f t="shared" si="92"/>
        <v>6165.2924523666088</v>
      </c>
      <c r="K420" s="72">
        <f t="shared" si="96"/>
        <v>252</v>
      </c>
      <c r="L420" s="180">
        <f t="shared" si="93"/>
        <v>8506868.8094626628</v>
      </c>
      <c r="M420" s="181">
        <f t="shared" si="93"/>
        <v>93255.530343239312</v>
      </c>
      <c r="N420" s="180">
        <f t="shared" si="93"/>
        <v>27348.82139329888</v>
      </c>
      <c r="O420" s="132">
        <f t="shared" si="88"/>
        <v>65906.708949940439</v>
      </c>
    </row>
    <row r="421" spans="1:15" x14ac:dyDescent="0.25">
      <c r="A421" s="72">
        <f t="shared" si="94"/>
        <v>253</v>
      </c>
      <c r="B421" s="183">
        <f t="shared" si="89"/>
        <v>7716835.3465165831</v>
      </c>
      <c r="C421" s="184">
        <f>-Hotel!$E$95/12</f>
        <v>85863.140889462898</v>
      </c>
      <c r="D421" s="183">
        <f>Hotel!$E$93/12*B420</f>
        <v>25922.586336897162</v>
      </c>
      <c r="E421" s="185">
        <f t="shared" si="90"/>
        <v>59940.554552565736</v>
      </c>
      <c r="F421" s="72">
        <f t="shared" si="95"/>
        <v>253</v>
      </c>
      <c r="G421" s="180">
        <f t="shared" si="91"/>
        <v>723917.3404537274</v>
      </c>
      <c r="H421" s="186">
        <f>-Hotel!$E$100/12</f>
        <v>7392.3894537764108</v>
      </c>
      <c r="I421" s="149">
        <f>Hotel!$E$98/12*G420</f>
        <v>1216.8215139891911</v>
      </c>
      <c r="J421" s="187">
        <f t="shared" si="92"/>
        <v>6175.56793978722</v>
      </c>
      <c r="K421" s="72">
        <f t="shared" si="96"/>
        <v>253</v>
      </c>
      <c r="L421" s="180">
        <f t="shared" si="93"/>
        <v>8440752.6869703103</v>
      </c>
      <c r="M421" s="181">
        <f t="shared" si="93"/>
        <v>93255.530343239312</v>
      </c>
      <c r="N421" s="180">
        <f t="shared" si="93"/>
        <v>27139.407850886353</v>
      </c>
      <c r="O421" s="132">
        <f t="shared" si="88"/>
        <v>66116.122492352952</v>
      </c>
    </row>
    <row r="422" spans="1:15" x14ac:dyDescent="0.25">
      <c r="A422" s="72">
        <f t="shared" si="94"/>
        <v>254</v>
      </c>
      <c r="B422" s="183">
        <f t="shared" si="89"/>
        <v>7656694.9901155084</v>
      </c>
      <c r="C422" s="184">
        <f>-Hotel!$E$95/12</f>
        <v>85863.140889462898</v>
      </c>
      <c r="D422" s="183">
        <f>Hotel!$E$93/12*B421</f>
        <v>25722.784488388614</v>
      </c>
      <c r="E422" s="185">
        <f t="shared" si="90"/>
        <v>60140.356401074285</v>
      </c>
      <c r="F422" s="72">
        <f t="shared" si="95"/>
        <v>254</v>
      </c>
      <c r="G422" s="180">
        <f t="shared" si="91"/>
        <v>717731.47990070726</v>
      </c>
      <c r="H422" s="186">
        <f>-Hotel!$E$100/12</f>
        <v>7392.3894537764108</v>
      </c>
      <c r="I422" s="149">
        <f>Hotel!$E$98/12*G421</f>
        <v>1206.5289007562124</v>
      </c>
      <c r="J422" s="187">
        <f t="shared" si="92"/>
        <v>6185.8605530201985</v>
      </c>
      <c r="K422" s="72">
        <f t="shared" si="96"/>
        <v>254</v>
      </c>
      <c r="L422" s="180">
        <f t="shared" si="93"/>
        <v>8374426.4700162159</v>
      </c>
      <c r="M422" s="181">
        <f t="shared" si="93"/>
        <v>93255.530343239312</v>
      </c>
      <c r="N422" s="180">
        <f t="shared" si="93"/>
        <v>26929.313389144827</v>
      </c>
      <c r="O422" s="132">
        <f t="shared" si="88"/>
        <v>66326.216954094489</v>
      </c>
    </row>
    <row r="423" spans="1:15" x14ac:dyDescent="0.25">
      <c r="A423" s="72">
        <f t="shared" si="94"/>
        <v>255</v>
      </c>
      <c r="B423" s="183">
        <f t="shared" si="89"/>
        <v>7596354.1658597635</v>
      </c>
      <c r="C423" s="184">
        <f>-Hotel!$E$95/12</f>
        <v>85863.140889462898</v>
      </c>
      <c r="D423" s="183">
        <f>Hotel!$E$93/12*B422</f>
        <v>25522.316633718365</v>
      </c>
      <c r="E423" s="185">
        <f t="shared" si="90"/>
        <v>60340.824255744534</v>
      </c>
      <c r="F423" s="72">
        <f t="shared" si="95"/>
        <v>255</v>
      </c>
      <c r="G423" s="180">
        <f t="shared" si="91"/>
        <v>711535.30958009872</v>
      </c>
      <c r="H423" s="186">
        <f>-Hotel!$E$100/12</f>
        <v>7392.3894537764108</v>
      </c>
      <c r="I423" s="149">
        <f>Hotel!$E$98/12*G422</f>
        <v>1196.2191331678455</v>
      </c>
      <c r="J423" s="187">
        <f t="shared" si="92"/>
        <v>6196.1703206085658</v>
      </c>
      <c r="K423" s="72">
        <f t="shared" si="96"/>
        <v>255</v>
      </c>
      <c r="L423" s="180">
        <f t="shared" si="93"/>
        <v>8307889.4754398623</v>
      </c>
      <c r="M423" s="181">
        <f t="shared" si="93"/>
        <v>93255.530343239312</v>
      </c>
      <c r="N423" s="180">
        <f t="shared" si="93"/>
        <v>26718.535766886209</v>
      </c>
      <c r="O423" s="132">
        <f t="shared" si="88"/>
        <v>66536.9945763531</v>
      </c>
    </row>
    <row r="424" spans="1:15" x14ac:dyDescent="0.25">
      <c r="A424" s="72">
        <f t="shared" si="94"/>
        <v>256</v>
      </c>
      <c r="B424" s="183">
        <f t="shared" si="89"/>
        <v>7535812.2055231668</v>
      </c>
      <c r="C424" s="184">
        <f>-Hotel!$E$95/12</f>
        <v>85863.140889462898</v>
      </c>
      <c r="D424" s="183">
        <f>Hotel!$E$93/12*B423</f>
        <v>25321.180552865881</v>
      </c>
      <c r="E424" s="185">
        <f t="shared" si="90"/>
        <v>60541.960336597018</v>
      </c>
      <c r="F424" s="72">
        <f t="shared" si="95"/>
        <v>256</v>
      </c>
      <c r="G424" s="180">
        <f t="shared" si="91"/>
        <v>705328.81230895582</v>
      </c>
      <c r="H424" s="186">
        <f>-Hotel!$E$100/12</f>
        <v>7392.3894537764108</v>
      </c>
      <c r="I424" s="149">
        <f>Hotel!$E$98/12*G423</f>
        <v>1185.8921826334979</v>
      </c>
      <c r="J424" s="187">
        <f t="shared" si="92"/>
        <v>6206.4972711429127</v>
      </c>
      <c r="K424" s="72">
        <f t="shared" si="96"/>
        <v>256</v>
      </c>
      <c r="L424" s="180">
        <f t="shared" si="93"/>
        <v>8241141.0178321227</v>
      </c>
      <c r="M424" s="181">
        <f t="shared" si="93"/>
        <v>93255.530343239312</v>
      </c>
      <c r="N424" s="180">
        <f t="shared" si="93"/>
        <v>26507.07273549938</v>
      </c>
      <c r="O424" s="132">
        <f t="shared" si="93"/>
        <v>66748.457607739925</v>
      </c>
    </row>
    <row r="425" spans="1:15" x14ac:dyDescent="0.25">
      <c r="A425" s="72">
        <f t="shared" si="94"/>
        <v>257</v>
      </c>
      <c r="B425" s="183">
        <f t="shared" ref="B425:B488" si="97">B424-E425</f>
        <v>7475068.438652114</v>
      </c>
      <c r="C425" s="184">
        <f>-Hotel!$E$95/12</f>
        <v>85863.140889462898</v>
      </c>
      <c r="D425" s="183">
        <f>Hotel!$E$93/12*B424</f>
        <v>25119.374018410559</v>
      </c>
      <c r="E425" s="185">
        <f t="shared" ref="E425:E488" si="98">C425-D425</f>
        <v>60743.766871052343</v>
      </c>
      <c r="F425" s="72">
        <f t="shared" si="95"/>
        <v>257</v>
      </c>
      <c r="G425" s="180">
        <f t="shared" ref="G425:G488" si="99">G424-J425</f>
        <v>699111.9708756943</v>
      </c>
      <c r="H425" s="186">
        <f>-Hotel!$E$100/12</f>
        <v>7392.3894537764108</v>
      </c>
      <c r="I425" s="149">
        <f>Hotel!$E$98/12*G424</f>
        <v>1175.5480205149265</v>
      </c>
      <c r="J425" s="187">
        <f t="shared" ref="J425:J488" si="100">H425-I425</f>
        <v>6216.8414332614848</v>
      </c>
      <c r="K425" s="72">
        <f t="shared" si="96"/>
        <v>257</v>
      </c>
      <c r="L425" s="180">
        <f t="shared" ref="L425:O488" si="101">G425+B425</f>
        <v>8174180.4095278084</v>
      </c>
      <c r="M425" s="181">
        <f t="shared" si="101"/>
        <v>93255.530343239312</v>
      </c>
      <c r="N425" s="180">
        <f t="shared" si="101"/>
        <v>26294.922038925484</v>
      </c>
      <c r="O425" s="132">
        <f t="shared" si="101"/>
        <v>66960.608304313821</v>
      </c>
    </row>
    <row r="426" spans="1:15" x14ac:dyDescent="0.25">
      <c r="A426" s="72">
        <f t="shared" ref="A426:A489" si="102">A425+1</f>
        <v>258</v>
      </c>
      <c r="B426" s="183">
        <f t="shared" si="97"/>
        <v>7414122.1925581582</v>
      </c>
      <c r="C426" s="184">
        <f>-Hotel!$E$95/12</f>
        <v>85863.140889462898</v>
      </c>
      <c r="D426" s="183">
        <f>Hotel!$E$93/12*B425</f>
        <v>24916.894795507047</v>
      </c>
      <c r="E426" s="185">
        <f t="shared" si="98"/>
        <v>60946.246093955851</v>
      </c>
      <c r="F426" s="72">
        <f t="shared" ref="F426:F489" si="103">F425+1</f>
        <v>258</v>
      </c>
      <c r="G426" s="180">
        <f t="shared" si="99"/>
        <v>692884.768040044</v>
      </c>
      <c r="H426" s="186">
        <f>-Hotel!$E$100/12</f>
        <v>7392.3894537764108</v>
      </c>
      <c r="I426" s="149">
        <f>Hotel!$E$98/12*G425</f>
        <v>1165.1866181261573</v>
      </c>
      <c r="J426" s="187">
        <f t="shared" si="100"/>
        <v>6227.2028356502533</v>
      </c>
      <c r="K426" s="72">
        <f t="shared" ref="K426:K489" si="104">K425+1</f>
        <v>258</v>
      </c>
      <c r="L426" s="180">
        <f t="shared" si="101"/>
        <v>8107006.9605982024</v>
      </c>
      <c r="M426" s="181">
        <f t="shared" si="101"/>
        <v>93255.530343239312</v>
      </c>
      <c r="N426" s="180">
        <f t="shared" si="101"/>
        <v>26082.081413633205</v>
      </c>
      <c r="O426" s="132">
        <f t="shared" si="101"/>
        <v>67173.448929606107</v>
      </c>
    </row>
    <row r="427" spans="1:15" x14ac:dyDescent="0.25">
      <c r="A427" s="72">
        <f t="shared" si="102"/>
        <v>259</v>
      </c>
      <c r="B427" s="183">
        <f t="shared" si="97"/>
        <v>7352972.7923105555</v>
      </c>
      <c r="C427" s="184">
        <f>-Hotel!$E$95/12</f>
        <v>85863.140889462898</v>
      </c>
      <c r="D427" s="183">
        <f>Hotel!$E$93/12*B426</f>
        <v>24713.740641860528</v>
      </c>
      <c r="E427" s="185">
        <f t="shared" si="98"/>
        <v>61149.400247602374</v>
      </c>
      <c r="F427" s="72">
        <f t="shared" si="103"/>
        <v>259</v>
      </c>
      <c r="G427" s="180">
        <f t="shared" si="99"/>
        <v>686647.18653300102</v>
      </c>
      <c r="H427" s="186">
        <f>-Hotel!$E$100/12</f>
        <v>7392.3894537764108</v>
      </c>
      <c r="I427" s="149">
        <f>Hotel!$E$98/12*G426</f>
        <v>1154.8079467334067</v>
      </c>
      <c r="J427" s="187">
        <f t="shared" si="100"/>
        <v>6237.5815070430044</v>
      </c>
      <c r="K427" s="72">
        <f t="shared" si="104"/>
        <v>259</v>
      </c>
      <c r="L427" s="180">
        <f t="shared" si="101"/>
        <v>8039619.9788435567</v>
      </c>
      <c r="M427" s="181">
        <f t="shared" si="101"/>
        <v>93255.530343239312</v>
      </c>
      <c r="N427" s="180">
        <f t="shared" si="101"/>
        <v>25868.548588593934</v>
      </c>
      <c r="O427" s="132">
        <f t="shared" si="101"/>
        <v>67386.981754645385</v>
      </c>
    </row>
    <row r="428" spans="1:15" x14ac:dyDescent="0.25">
      <c r="A428" s="72">
        <f t="shared" si="102"/>
        <v>260</v>
      </c>
      <c r="B428" s="183">
        <f t="shared" si="97"/>
        <v>7291619.560728794</v>
      </c>
      <c r="C428" s="184">
        <f>-Hotel!$E$95/12</f>
        <v>85863.140889462898</v>
      </c>
      <c r="D428" s="183">
        <f>Hotel!$E$93/12*B427</f>
        <v>24509.909307701852</v>
      </c>
      <c r="E428" s="185">
        <f t="shared" si="98"/>
        <v>61353.231581761051</v>
      </c>
      <c r="F428" s="72">
        <f t="shared" si="103"/>
        <v>260</v>
      </c>
      <c r="G428" s="180">
        <f t="shared" si="99"/>
        <v>680399.20905677963</v>
      </c>
      <c r="H428" s="186">
        <f>-Hotel!$E$100/12</f>
        <v>7392.3894537764108</v>
      </c>
      <c r="I428" s="149">
        <f>Hotel!$E$98/12*G427</f>
        <v>1144.4119775550018</v>
      </c>
      <c r="J428" s="187">
        <f t="shared" si="100"/>
        <v>6247.9774762214092</v>
      </c>
      <c r="K428" s="72">
        <f t="shared" si="104"/>
        <v>260</v>
      </c>
      <c r="L428" s="180">
        <f t="shared" si="101"/>
        <v>7972018.7697855737</v>
      </c>
      <c r="M428" s="181">
        <f t="shared" si="101"/>
        <v>93255.530343239312</v>
      </c>
      <c r="N428" s="180">
        <f t="shared" si="101"/>
        <v>25654.321285256854</v>
      </c>
      <c r="O428" s="132">
        <f t="shared" si="101"/>
        <v>67601.209057982458</v>
      </c>
    </row>
    <row r="429" spans="1:15" x14ac:dyDescent="0.25">
      <c r="A429" s="72">
        <f t="shared" si="102"/>
        <v>261</v>
      </c>
      <c r="B429" s="183">
        <f t="shared" si="97"/>
        <v>7230061.8183750939</v>
      </c>
      <c r="C429" s="184">
        <f>-Hotel!$E$95/12</f>
        <v>85863.140889462898</v>
      </c>
      <c r="D429" s="183">
        <f>Hotel!$E$93/12*B428</f>
        <v>24305.398535762648</v>
      </c>
      <c r="E429" s="185">
        <f t="shared" si="98"/>
        <v>61557.742353700247</v>
      </c>
      <c r="F429" s="72">
        <f t="shared" si="103"/>
        <v>261</v>
      </c>
      <c r="G429" s="180">
        <f t="shared" si="99"/>
        <v>674140.81828476454</v>
      </c>
      <c r="H429" s="186">
        <f>-Hotel!$E$100/12</f>
        <v>7392.3894537764108</v>
      </c>
      <c r="I429" s="149">
        <f>Hotel!$E$98/12*G428</f>
        <v>1133.9986817612994</v>
      </c>
      <c r="J429" s="187">
        <f t="shared" si="100"/>
        <v>6258.390772015111</v>
      </c>
      <c r="K429" s="72">
        <f t="shared" si="104"/>
        <v>261</v>
      </c>
      <c r="L429" s="180">
        <f t="shared" si="101"/>
        <v>7904202.6366598587</v>
      </c>
      <c r="M429" s="181">
        <f t="shared" si="101"/>
        <v>93255.530343239312</v>
      </c>
      <c r="N429" s="180">
        <f t="shared" si="101"/>
        <v>25439.397217523947</v>
      </c>
      <c r="O429" s="132">
        <f t="shared" si="101"/>
        <v>67816.133125715365</v>
      </c>
    </row>
    <row r="430" spans="1:15" x14ac:dyDescent="0.25">
      <c r="A430" s="72">
        <f t="shared" si="102"/>
        <v>262</v>
      </c>
      <c r="B430" s="183">
        <f t="shared" si="97"/>
        <v>7168298.8835468814</v>
      </c>
      <c r="C430" s="184">
        <f>-Hotel!$E$95/12</f>
        <v>85863.140889462898</v>
      </c>
      <c r="D430" s="183">
        <f>Hotel!$E$93/12*B429</f>
        <v>24100.206061250316</v>
      </c>
      <c r="E430" s="185">
        <f t="shared" si="98"/>
        <v>61762.934828212587</v>
      </c>
      <c r="F430" s="72">
        <f t="shared" si="103"/>
        <v>262</v>
      </c>
      <c r="G430" s="180">
        <f t="shared" si="99"/>
        <v>667871.99686146271</v>
      </c>
      <c r="H430" s="186">
        <f>-Hotel!$E$100/12</f>
        <v>7392.3894537764108</v>
      </c>
      <c r="I430" s="149">
        <f>Hotel!$E$98/12*G429</f>
        <v>1123.5680304746077</v>
      </c>
      <c r="J430" s="187">
        <f t="shared" si="100"/>
        <v>6268.8214233018034</v>
      </c>
      <c r="K430" s="72">
        <f t="shared" si="104"/>
        <v>262</v>
      </c>
      <c r="L430" s="180">
        <f t="shared" si="101"/>
        <v>7836170.8804083439</v>
      </c>
      <c r="M430" s="181">
        <f t="shared" si="101"/>
        <v>93255.530343239312</v>
      </c>
      <c r="N430" s="180">
        <f t="shared" si="101"/>
        <v>25223.774091724925</v>
      </c>
      <c r="O430" s="132">
        <f t="shared" si="101"/>
        <v>68031.756251514395</v>
      </c>
    </row>
    <row r="431" spans="1:15" x14ac:dyDescent="0.25">
      <c r="A431" s="72">
        <f t="shared" si="102"/>
        <v>263</v>
      </c>
      <c r="B431" s="183">
        <f t="shared" si="97"/>
        <v>7106330.0722692413</v>
      </c>
      <c r="C431" s="184">
        <f>-Hotel!$E$95/12</f>
        <v>85863.140889462898</v>
      </c>
      <c r="D431" s="183">
        <f>Hotel!$E$93/12*B430</f>
        <v>23894.329611822941</v>
      </c>
      <c r="E431" s="185">
        <f t="shared" si="98"/>
        <v>61968.811277639958</v>
      </c>
      <c r="F431" s="72">
        <f t="shared" si="103"/>
        <v>263</v>
      </c>
      <c r="G431" s="180">
        <f t="shared" si="99"/>
        <v>661592.72740245541</v>
      </c>
      <c r="H431" s="186">
        <f>-Hotel!$E$100/12</f>
        <v>7392.3894537764108</v>
      </c>
      <c r="I431" s="149">
        <f>Hotel!$E$98/12*G430</f>
        <v>1113.1199947691046</v>
      </c>
      <c r="J431" s="187">
        <f t="shared" si="100"/>
        <v>6279.2694590073061</v>
      </c>
      <c r="K431" s="72">
        <f t="shared" si="104"/>
        <v>263</v>
      </c>
      <c r="L431" s="180">
        <f t="shared" si="101"/>
        <v>7767922.7996716965</v>
      </c>
      <c r="M431" s="181">
        <f t="shared" si="101"/>
        <v>93255.530343239312</v>
      </c>
      <c r="N431" s="180">
        <f t="shared" si="101"/>
        <v>25007.449606592047</v>
      </c>
      <c r="O431" s="132">
        <f t="shared" si="101"/>
        <v>68248.080736647258</v>
      </c>
    </row>
    <row r="432" spans="1:15" x14ac:dyDescent="0.25">
      <c r="A432" s="72">
        <f t="shared" si="102"/>
        <v>264</v>
      </c>
      <c r="B432" s="183">
        <f t="shared" si="97"/>
        <v>7044154.6982873427</v>
      </c>
      <c r="C432" s="184">
        <f>-Hotel!$E$95/12</f>
        <v>85863.140889462898</v>
      </c>
      <c r="D432" s="183">
        <f>Hotel!$E$93/12*B431</f>
        <v>23687.766907564139</v>
      </c>
      <c r="E432" s="185">
        <f t="shared" si="98"/>
        <v>62175.37398189876</v>
      </c>
      <c r="F432" s="72">
        <f t="shared" si="103"/>
        <v>264</v>
      </c>
      <c r="G432" s="180">
        <f t="shared" si="99"/>
        <v>655302.99249434972</v>
      </c>
      <c r="H432" s="186">
        <f>-Hotel!$E$100/12</f>
        <v>7392.3894537764108</v>
      </c>
      <c r="I432" s="149">
        <f>Hotel!$E$98/12*G431</f>
        <v>1102.654545670759</v>
      </c>
      <c r="J432" s="187">
        <f t="shared" si="100"/>
        <v>6289.7349081056518</v>
      </c>
      <c r="K432" s="72">
        <f t="shared" si="104"/>
        <v>264</v>
      </c>
      <c r="L432" s="180">
        <f t="shared" si="101"/>
        <v>7699457.690781692</v>
      </c>
      <c r="M432" s="181">
        <f t="shared" si="101"/>
        <v>93255.530343239312</v>
      </c>
      <c r="N432" s="180">
        <f t="shared" si="101"/>
        <v>24790.4214532349</v>
      </c>
      <c r="O432" s="132">
        <f t="shared" si="101"/>
        <v>68465.108890004412</v>
      </c>
    </row>
    <row r="433" spans="1:15" x14ac:dyDescent="0.25">
      <c r="A433" s="72">
        <f t="shared" si="102"/>
        <v>265</v>
      </c>
      <c r="B433" s="183">
        <f t="shared" si="97"/>
        <v>6981772.073058838</v>
      </c>
      <c r="C433" s="184">
        <f>-Hotel!$E$95/12</f>
        <v>85863.140889462898</v>
      </c>
      <c r="D433" s="183">
        <f>Hotel!$E$93/12*B432</f>
        <v>23480.515660957812</v>
      </c>
      <c r="E433" s="185">
        <f t="shared" si="98"/>
        <v>62382.625228505087</v>
      </c>
      <c r="F433" s="72">
        <f t="shared" si="103"/>
        <v>265</v>
      </c>
      <c r="G433" s="180">
        <f t="shared" si="99"/>
        <v>649002.77469473053</v>
      </c>
      <c r="H433" s="186">
        <f>-Hotel!$E$100/12</f>
        <v>7392.3894537764108</v>
      </c>
      <c r="I433" s="149">
        <f>Hotel!$E$98/12*G432</f>
        <v>1092.1716541572496</v>
      </c>
      <c r="J433" s="187">
        <f t="shared" si="100"/>
        <v>6300.2177996191613</v>
      </c>
      <c r="K433" s="72">
        <f t="shared" si="104"/>
        <v>265</v>
      </c>
      <c r="L433" s="180">
        <f t="shared" si="101"/>
        <v>7630774.8477535686</v>
      </c>
      <c r="M433" s="181">
        <f t="shared" si="101"/>
        <v>93255.530343239312</v>
      </c>
      <c r="N433" s="180">
        <f t="shared" si="101"/>
        <v>24572.687315115061</v>
      </c>
      <c r="O433" s="132">
        <f t="shared" si="101"/>
        <v>68682.843028124247</v>
      </c>
    </row>
    <row r="434" spans="1:15" x14ac:dyDescent="0.25">
      <c r="A434" s="72">
        <f t="shared" si="102"/>
        <v>266</v>
      </c>
      <c r="B434" s="183">
        <f t="shared" si="97"/>
        <v>6919181.5057462379</v>
      </c>
      <c r="C434" s="184">
        <f>-Hotel!$E$95/12</f>
        <v>85863.140889462898</v>
      </c>
      <c r="D434" s="183">
        <f>Hotel!$E$93/12*B433</f>
        <v>23272.573576862796</v>
      </c>
      <c r="E434" s="185">
        <f t="shared" si="98"/>
        <v>62590.567312600106</v>
      </c>
      <c r="F434" s="72">
        <f t="shared" si="103"/>
        <v>266</v>
      </c>
      <c r="G434" s="180">
        <f t="shared" si="99"/>
        <v>642692.05653211195</v>
      </c>
      <c r="H434" s="186">
        <f>-Hotel!$E$100/12</f>
        <v>7392.3894537764108</v>
      </c>
      <c r="I434" s="149">
        <f>Hotel!$E$98/12*G433</f>
        <v>1081.6712911578843</v>
      </c>
      <c r="J434" s="187">
        <f t="shared" si="100"/>
        <v>6310.7181626185265</v>
      </c>
      <c r="K434" s="72">
        <f t="shared" si="104"/>
        <v>266</v>
      </c>
      <c r="L434" s="180">
        <f t="shared" si="101"/>
        <v>7561873.5622783499</v>
      </c>
      <c r="M434" s="181">
        <f t="shared" si="101"/>
        <v>93255.530343239312</v>
      </c>
      <c r="N434" s="180">
        <f t="shared" si="101"/>
        <v>24354.24486802068</v>
      </c>
      <c r="O434" s="132">
        <f t="shared" si="101"/>
        <v>68901.285475218639</v>
      </c>
    </row>
    <row r="435" spans="1:15" x14ac:dyDescent="0.25">
      <c r="A435" s="72">
        <f t="shared" si="102"/>
        <v>267</v>
      </c>
      <c r="B435" s="183">
        <f t="shared" si="97"/>
        <v>6856382.3032092629</v>
      </c>
      <c r="C435" s="184">
        <f>-Hotel!$E$95/12</f>
        <v>85863.140889462898</v>
      </c>
      <c r="D435" s="183">
        <f>Hotel!$E$93/12*B434</f>
        <v>23063.938352487461</v>
      </c>
      <c r="E435" s="185">
        <f t="shared" si="98"/>
        <v>62799.202536975441</v>
      </c>
      <c r="F435" s="72">
        <f t="shared" si="103"/>
        <v>267</v>
      </c>
      <c r="G435" s="180">
        <f t="shared" si="99"/>
        <v>636370.82050588902</v>
      </c>
      <c r="H435" s="186">
        <f>-Hotel!$E$100/12</f>
        <v>7392.3894537764108</v>
      </c>
      <c r="I435" s="149">
        <f>Hotel!$E$98/12*G434</f>
        <v>1071.15342755352</v>
      </c>
      <c r="J435" s="187">
        <f t="shared" si="100"/>
        <v>6321.2360262228904</v>
      </c>
      <c r="K435" s="72">
        <f t="shared" si="104"/>
        <v>267</v>
      </c>
      <c r="L435" s="180">
        <f t="shared" si="101"/>
        <v>7492753.123715152</v>
      </c>
      <c r="M435" s="181">
        <f t="shared" si="101"/>
        <v>93255.530343239312</v>
      </c>
      <c r="N435" s="180">
        <f t="shared" si="101"/>
        <v>24135.091780040981</v>
      </c>
      <c r="O435" s="132">
        <f t="shared" si="101"/>
        <v>69120.438563198331</v>
      </c>
    </row>
    <row r="436" spans="1:15" x14ac:dyDescent="0.25">
      <c r="A436" s="72">
        <f t="shared" si="102"/>
        <v>268</v>
      </c>
      <c r="B436" s="183">
        <f t="shared" si="97"/>
        <v>6793373.7699971646</v>
      </c>
      <c r="C436" s="184">
        <f>-Hotel!$E$95/12</f>
        <v>85863.140889462898</v>
      </c>
      <c r="D436" s="183">
        <f>Hotel!$E$93/12*B435</f>
        <v>22854.607677364213</v>
      </c>
      <c r="E436" s="185">
        <f t="shared" si="98"/>
        <v>63008.533212098686</v>
      </c>
      <c r="F436" s="72">
        <f t="shared" si="103"/>
        <v>268</v>
      </c>
      <c r="G436" s="180">
        <f t="shared" si="99"/>
        <v>630039.04908628913</v>
      </c>
      <c r="H436" s="186">
        <f>-Hotel!$E$100/12</f>
        <v>7392.3894537764108</v>
      </c>
      <c r="I436" s="149">
        <f>Hotel!$E$98/12*G435</f>
        <v>1060.6180341764818</v>
      </c>
      <c r="J436" s="187">
        <f t="shared" si="100"/>
        <v>6331.7714195999288</v>
      </c>
      <c r="K436" s="72">
        <f t="shared" si="104"/>
        <v>268</v>
      </c>
      <c r="L436" s="180">
        <f t="shared" si="101"/>
        <v>7423412.8190834541</v>
      </c>
      <c r="M436" s="181">
        <f t="shared" si="101"/>
        <v>93255.530343239312</v>
      </c>
      <c r="N436" s="180">
        <f t="shared" si="101"/>
        <v>23915.225711540694</v>
      </c>
      <c r="O436" s="132">
        <f t="shared" si="101"/>
        <v>69340.304631698615</v>
      </c>
    </row>
    <row r="437" spans="1:15" x14ac:dyDescent="0.25">
      <c r="A437" s="72">
        <f t="shared" si="102"/>
        <v>269</v>
      </c>
      <c r="B437" s="183">
        <f t="shared" si="97"/>
        <v>6730155.2083410257</v>
      </c>
      <c r="C437" s="184">
        <f>-Hotel!$E$95/12</f>
        <v>85863.140889462898</v>
      </c>
      <c r="D437" s="183">
        <f>Hotel!$E$93/12*B436</f>
        <v>22644.579233323882</v>
      </c>
      <c r="E437" s="185">
        <f t="shared" si="98"/>
        <v>63218.56165613902</v>
      </c>
      <c r="F437" s="72">
        <f t="shared" si="103"/>
        <v>269</v>
      </c>
      <c r="G437" s="180">
        <f t="shared" si="99"/>
        <v>623696.72471432318</v>
      </c>
      <c r="H437" s="186">
        <f>-Hotel!$E$100/12</f>
        <v>7392.3894537764108</v>
      </c>
      <c r="I437" s="149">
        <f>Hotel!$E$98/12*G436</f>
        <v>1050.0650818104818</v>
      </c>
      <c r="J437" s="187">
        <f t="shared" si="100"/>
        <v>6342.3243719659295</v>
      </c>
      <c r="K437" s="72">
        <f t="shared" si="104"/>
        <v>269</v>
      </c>
      <c r="L437" s="180">
        <f t="shared" si="101"/>
        <v>7353851.9330553487</v>
      </c>
      <c r="M437" s="181">
        <f t="shared" si="101"/>
        <v>93255.530343239312</v>
      </c>
      <c r="N437" s="180">
        <f t="shared" si="101"/>
        <v>23694.644315134363</v>
      </c>
      <c r="O437" s="132">
        <f t="shared" si="101"/>
        <v>69560.886028104956</v>
      </c>
    </row>
    <row r="438" spans="1:15" x14ac:dyDescent="0.25">
      <c r="A438" s="72">
        <f t="shared" si="102"/>
        <v>270</v>
      </c>
      <c r="B438" s="183">
        <f t="shared" si="97"/>
        <v>6666725.9181460328</v>
      </c>
      <c r="C438" s="184">
        <f>-Hotel!$E$95/12</f>
        <v>85863.140889462898</v>
      </c>
      <c r="D438" s="183">
        <f>Hotel!$E$93/12*B437</f>
        <v>22433.850694470086</v>
      </c>
      <c r="E438" s="185">
        <f t="shared" si="98"/>
        <v>63429.290194992813</v>
      </c>
      <c r="F438" s="72">
        <f t="shared" si="103"/>
        <v>270</v>
      </c>
      <c r="G438" s="180">
        <f t="shared" si="99"/>
        <v>617343.82980173733</v>
      </c>
      <c r="H438" s="186">
        <f>-Hotel!$E$100/12</f>
        <v>7392.3894537764108</v>
      </c>
      <c r="I438" s="149">
        <f>Hotel!$E$98/12*G437</f>
        <v>1039.4945411905387</v>
      </c>
      <c r="J438" s="187">
        <f t="shared" si="100"/>
        <v>6352.8949125858726</v>
      </c>
      <c r="K438" s="72">
        <f t="shared" si="104"/>
        <v>270</v>
      </c>
      <c r="L438" s="180">
        <f t="shared" si="101"/>
        <v>7284069.7479477702</v>
      </c>
      <c r="M438" s="181">
        <f t="shared" si="101"/>
        <v>93255.530343239312</v>
      </c>
      <c r="N438" s="180">
        <f t="shared" si="101"/>
        <v>23473.345235660625</v>
      </c>
      <c r="O438" s="132">
        <f t="shared" si="101"/>
        <v>69782.185107578684</v>
      </c>
    </row>
    <row r="439" spans="1:15" x14ac:dyDescent="0.25">
      <c r="A439" s="72">
        <f t="shared" si="102"/>
        <v>271</v>
      </c>
      <c r="B439" s="183">
        <f t="shared" si="97"/>
        <v>6603085.196983723</v>
      </c>
      <c r="C439" s="184">
        <f>-Hotel!$E$95/12</f>
        <v>85863.140889462898</v>
      </c>
      <c r="D439" s="183">
        <f>Hotel!$E$93/12*B438</f>
        <v>22222.419727153443</v>
      </c>
      <c r="E439" s="185">
        <f t="shared" si="98"/>
        <v>63640.721162309455</v>
      </c>
      <c r="F439" s="72">
        <f t="shared" si="103"/>
        <v>271</v>
      </c>
      <c r="G439" s="180">
        <f t="shared" si="99"/>
        <v>610980.34673096379</v>
      </c>
      <c r="H439" s="186">
        <f>-Hotel!$E$100/12</f>
        <v>7392.3894537764108</v>
      </c>
      <c r="I439" s="149">
        <f>Hotel!$E$98/12*G438</f>
        <v>1028.9063830028956</v>
      </c>
      <c r="J439" s="187">
        <f t="shared" si="100"/>
        <v>6363.4830707735155</v>
      </c>
      <c r="K439" s="72">
        <f t="shared" si="104"/>
        <v>271</v>
      </c>
      <c r="L439" s="180">
        <f t="shared" si="101"/>
        <v>7214065.5437146872</v>
      </c>
      <c r="M439" s="181">
        <f t="shared" si="101"/>
        <v>93255.530343239312</v>
      </c>
      <c r="N439" s="180">
        <f t="shared" si="101"/>
        <v>23251.32611015634</v>
      </c>
      <c r="O439" s="132">
        <f t="shared" si="101"/>
        <v>70004.204233082972</v>
      </c>
    </row>
    <row r="440" spans="1:15" x14ac:dyDescent="0.25">
      <c r="A440" s="72">
        <f t="shared" si="102"/>
        <v>272</v>
      </c>
      <c r="B440" s="183">
        <f t="shared" si="97"/>
        <v>6539232.3400842054</v>
      </c>
      <c r="C440" s="184">
        <f>-Hotel!$E$95/12</f>
        <v>85863.140889462898</v>
      </c>
      <c r="D440" s="183">
        <f>Hotel!$E$93/12*B439</f>
        <v>22010.283989945743</v>
      </c>
      <c r="E440" s="185">
        <f t="shared" si="98"/>
        <v>63852.856899517152</v>
      </c>
      <c r="F440" s="72">
        <f t="shared" si="103"/>
        <v>272</v>
      </c>
      <c r="G440" s="180">
        <f t="shared" si="99"/>
        <v>604606.25785507227</v>
      </c>
      <c r="H440" s="186">
        <f>-Hotel!$E$100/12</f>
        <v>7392.3894537764108</v>
      </c>
      <c r="I440" s="149">
        <f>Hotel!$E$98/12*G439</f>
        <v>1018.3005778849397</v>
      </c>
      <c r="J440" s="187">
        <f t="shared" si="100"/>
        <v>6374.0888758914716</v>
      </c>
      <c r="K440" s="72">
        <f t="shared" si="104"/>
        <v>272</v>
      </c>
      <c r="L440" s="180">
        <f t="shared" si="101"/>
        <v>7143838.597939278</v>
      </c>
      <c r="M440" s="181">
        <f t="shared" si="101"/>
        <v>93255.530343239312</v>
      </c>
      <c r="N440" s="180">
        <f t="shared" si="101"/>
        <v>23028.584567830683</v>
      </c>
      <c r="O440" s="132">
        <f t="shared" si="101"/>
        <v>70226.945775408618</v>
      </c>
    </row>
    <row r="441" spans="1:15" x14ac:dyDescent="0.25">
      <c r="A441" s="72">
        <f t="shared" si="102"/>
        <v>273</v>
      </c>
      <c r="B441" s="183">
        <f t="shared" si="97"/>
        <v>6475166.6403283561</v>
      </c>
      <c r="C441" s="184">
        <f>-Hotel!$E$95/12</f>
        <v>85863.140889462898</v>
      </c>
      <c r="D441" s="183">
        <f>Hotel!$E$93/12*B440</f>
        <v>21797.441133614018</v>
      </c>
      <c r="E441" s="185">
        <f t="shared" si="98"/>
        <v>64065.69975584888</v>
      </c>
      <c r="F441" s="72">
        <f t="shared" si="103"/>
        <v>273</v>
      </c>
      <c r="G441" s="180">
        <f t="shared" si="99"/>
        <v>598221.54549772094</v>
      </c>
      <c r="H441" s="186">
        <f>-Hotel!$E$100/12</f>
        <v>7392.3894537764108</v>
      </c>
      <c r="I441" s="149">
        <f>Hotel!$E$98/12*G440</f>
        <v>1007.6770964251206</v>
      </c>
      <c r="J441" s="187">
        <f t="shared" si="100"/>
        <v>6384.7123573512899</v>
      </c>
      <c r="K441" s="72">
        <f t="shared" si="104"/>
        <v>273</v>
      </c>
      <c r="L441" s="180">
        <f t="shared" si="101"/>
        <v>7073388.1858260771</v>
      </c>
      <c r="M441" s="181">
        <f t="shared" si="101"/>
        <v>93255.530343239312</v>
      </c>
      <c r="N441" s="180">
        <f t="shared" si="101"/>
        <v>22805.118230039137</v>
      </c>
      <c r="O441" s="132">
        <f t="shared" si="101"/>
        <v>70450.412113200175</v>
      </c>
    </row>
    <row r="442" spans="1:15" x14ac:dyDescent="0.25">
      <c r="A442" s="72">
        <f t="shared" si="102"/>
        <v>274</v>
      </c>
      <c r="B442" s="183">
        <f t="shared" si="97"/>
        <v>6410887.3882399881</v>
      </c>
      <c r="C442" s="184">
        <f>-Hotel!$E$95/12</f>
        <v>85863.140889462898</v>
      </c>
      <c r="D442" s="183">
        <f>Hotel!$E$93/12*B441</f>
        <v>21583.888801094523</v>
      </c>
      <c r="E442" s="185">
        <f t="shared" si="98"/>
        <v>64279.252088368376</v>
      </c>
      <c r="F442" s="72">
        <f t="shared" si="103"/>
        <v>274</v>
      </c>
      <c r="G442" s="180">
        <f t="shared" si="99"/>
        <v>591826.19195310737</v>
      </c>
      <c r="H442" s="186">
        <f>-Hotel!$E$100/12</f>
        <v>7392.3894537764108</v>
      </c>
      <c r="I442" s="149">
        <f>Hotel!$E$98/12*G441</f>
        <v>997.03590916286828</v>
      </c>
      <c r="J442" s="187">
        <f t="shared" si="100"/>
        <v>6395.3535446135429</v>
      </c>
      <c r="K442" s="72">
        <f t="shared" si="104"/>
        <v>274</v>
      </c>
      <c r="L442" s="180">
        <f t="shared" si="101"/>
        <v>7002713.5801930958</v>
      </c>
      <c r="M442" s="181">
        <f t="shared" si="101"/>
        <v>93255.530343239312</v>
      </c>
      <c r="N442" s="180">
        <f t="shared" si="101"/>
        <v>22580.92471025739</v>
      </c>
      <c r="O442" s="132">
        <f t="shared" si="101"/>
        <v>70674.605632981926</v>
      </c>
    </row>
    <row r="443" spans="1:15" x14ac:dyDescent="0.25">
      <c r="A443" s="72">
        <f t="shared" si="102"/>
        <v>275</v>
      </c>
      <c r="B443" s="183">
        <f t="shared" si="97"/>
        <v>6346393.8719779914</v>
      </c>
      <c r="C443" s="184">
        <f>-Hotel!$E$95/12</f>
        <v>85863.140889462898</v>
      </c>
      <c r="D443" s="183">
        <f>Hotel!$E$93/12*B442</f>
        <v>21369.62462746663</v>
      </c>
      <c r="E443" s="185">
        <f t="shared" si="98"/>
        <v>64493.516261996265</v>
      </c>
      <c r="F443" s="72">
        <f t="shared" si="103"/>
        <v>275</v>
      </c>
      <c r="G443" s="180">
        <f t="shared" si="99"/>
        <v>585420.17948591942</v>
      </c>
      <c r="H443" s="186">
        <f>-Hotel!$E$100/12</f>
        <v>7392.3894537764108</v>
      </c>
      <c r="I443" s="149">
        <f>Hotel!$E$98/12*G442</f>
        <v>986.3769865885123</v>
      </c>
      <c r="J443" s="187">
        <f t="shared" si="100"/>
        <v>6406.0124671878984</v>
      </c>
      <c r="K443" s="72">
        <f t="shared" si="104"/>
        <v>275</v>
      </c>
      <c r="L443" s="180">
        <f t="shared" si="101"/>
        <v>6931814.0514639113</v>
      </c>
      <c r="M443" s="181">
        <f t="shared" si="101"/>
        <v>93255.530343239312</v>
      </c>
      <c r="N443" s="180">
        <f t="shared" si="101"/>
        <v>22356.001614055142</v>
      </c>
      <c r="O443" s="132">
        <f t="shared" si="101"/>
        <v>70899.528729184167</v>
      </c>
    </row>
    <row r="444" spans="1:15" x14ac:dyDescent="0.25">
      <c r="A444" s="72">
        <f t="shared" si="102"/>
        <v>276</v>
      </c>
      <c r="B444" s="183">
        <f t="shared" si="97"/>
        <v>6281685.3773284554</v>
      </c>
      <c r="C444" s="184">
        <f>-Hotel!$E$95/12</f>
        <v>85863.140889462898</v>
      </c>
      <c r="D444" s="183">
        <f>Hotel!$E$93/12*B443</f>
        <v>21154.646239926638</v>
      </c>
      <c r="E444" s="185">
        <f t="shared" si="98"/>
        <v>64708.49464953626</v>
      </c>
      <c r="F444" s="72">
        <f t="shared" si="103"/>
        <v>276</v>
      </c>
      <c r="G444" s="180">
        <f t="shared" si="99"/>
        <v>579003.49033128622</v>
      </c>
      <c r="H444" s="186">
        <f>-Hotel!$E$100/12</f>
        <v>7392.3894537764108</v>
      </c>
      <c r="I444" s="149">
        <f>Hotel!$E$98/12*G443</f>
        <v>975.70029914319912</v>
      </c>
      <c r="J444" s="187">
        <f t="shared" si="100"/>
        <v>6416.6891546332117</v>
      </c>
      <c r="K444" s="72">
        <f t="shared" si="104"/>
        <v>276</v>
      </c>
      <c r="L444" s="180">
        <f t="shared" si="101"/>
        <v>6860688.867659742</v>
      </c>
      <c r="M444" s="181">
        <f t="shared" si="101"/>
        <v>93255.530343239312</v>
      </c>
      <c r="N444" s="180">
        <f t="shared" si="101"/>
        <v>22130.346539069837</v>
      </c>
      <c r="O444" s="132">
        <f t="shared" si="101"/>
        <v>71125.183804169472</v>
      </c>
    </row>
    <row r="445" spans="1:15" x14ac:dyDescent="0.25">
      <c r="A445" s="72">
        <f t="shared" si="102"/>
        <v>277</v>
      </c>
      <c r="B445" s="183">
        <f t="shared" si="97"/>
        <v>6216761.187696754</v>
      </c>
      <c r="C445" s="184">
        <f>-Hotel!$E$95/12</f>
        <v>85863.140889462898</v>
      </c>
      <c r="D445" s="183">
        <f>Hotel!$E$93/12*B444</f>
        <v>20938.951257761521</v>
      </c>
      <c r="E445" s="185">
        <f t="shared" si="98"/>
        <v>64924.189631701374</v>
      </c>
      <c r="F445" s="72">
        <f t="shared" si="103"/>
        <v>277</v>
      </c>
      <c r="G445" s="180">
        <f t="shared" si="99"/>
        <v>572576.1066947286</v>
      </c>
      <c r="H445" s="186">
        <f>-Hotel!$E$100/12</f>
        <v>7392.3894537764108</v>
      </c>
      <c r="I445" s="149">
        <f>Hotel!$E$98/12*G444</f>
        <v>965.00581721881042</v>
      </c>
      <c r="J445" s="187">
        <f t="shared" si="100"/>
        <v>6427.3836365576008</v>
      </c>
      <c r="K445" s="72">
        <f t="shared" si="104"/>
        <v>277</v>
      </c>
      <c r="L445" s="180">
        <f t="shared" si="101"/>
        <v>6789337.2943914831</v>
      </c>
      <c r="M445" s="181">
        <f t="shared" si="101"/>
        <v>93255.530343239312</v>
      </c>
      <c r="N445" s="180">
        <f t="shared" si="101"/>
        <v>21903.957074980332</v>
      </c>
      <c r="O445" s="132">
        <f t="shared" si="101"/>
        <v>71351.573268258973</v>
      </c>
    </row>
    <row r="446" spans="1:15" x14ac:dyDescent="0.25">
      <c r="A446" s="72">
        <f t="shared" si="102"/>
        <v>278</v>
      </c>
      <c r="B446" s="183">
        <f t="shared" si="97"/>
        <v>6151620.5840996141</v>
      </c>
      <c r="C446" s="184">
        <f>-Hotel!$E$95/12</f>
        <v>85863.140889462898</v>
      </c>
      <c r="D446" s="183">
        <f>Hotel!$E$93/12*B445</f>
        <v>20722.537292322515</v>
      </c>
      <c r="E446" s="185">
        <f t="shared" si="98"/>
        <v>65140.603597140383</v>
      </c>
      <c r="F446" s="72">
        <f t="shared" si="103"/>
        <v>278</v>
      </c>
      <c r="G446" s="180">
        <f t="shared" si="99"/>
        <v>566138.01075211004</v>
      </c>
      <c r="H446" s="186">
        <f>-Hotel!$E$100/12</f>
        <v>7392.3894537764108</v>
      </c>
      <c r="I446" s="149">
        <f>Hotel!$E$98/12*G445</f>
        <v>954.29351115788108</v>
      </c>
      <c r="J446" s="187">
        <f t="shared" si="100"/>
        <v>6438.09594261853</v>
      </c>
      <c r="K446" s="72">
        <f t="shared" si="104"/>
        <v>278</v>
      </c>
      <c r="L446" s="180">
        <f t="shared" si="101"/>
        <v>6717758.5948517239</v>
      </c>
      <c r="M446" s="181">
        <f t="shared" si="101"/>
        <v>93255.530343239312</v>
      </c>
      <c r="N446" s="180">
        <f t="shared" si="101"/>
        <v>21676.830803480396</v>
      </c>
      <c r="O446" s="132">
        <f t="shared" si="101"/>
        <v>71578.69953975892</v>
      </c>
    </row>
    <row r="447" spans="1:15" x14ac:dyDescent="0.25">
      <c r="A447" s="72">
        <f t="shared" si="102"/>
        <v>279</v>
      </c>
      <c r="B447" s="183">
        <f t="shared" si="97"/>
        <v>6086262.8451571502</v>
      </c>
      <c r="C447" s="184">
        <f>-Hotel!$E$95/12</f>
        <v>85863.140889462898</v>
      </c>
      <c r="D447" s="183">
        <f>Hotel!$E$93/12*B446</f>
        <v>20505.401946998714</v>
      </c>
      <c r="E447" s="185">
        <f t="shared" si="98"/>
        <v>65357.738942464188</v>
      </c>
      <c r="F447" s="72">
        <f t="shared" si="103"/>
        <v>279</v>
      </c>
      <c r="G447" s="180">
        <f t="shared" si="99"/>
        <v>559689.18464958714</v>
      </c>
      <c r="H447" s="186">
        <f>-Hotel!$E$100/12</f>
        <v>7392.3894537764108</v>
      </c>
      <c r="I447" s="149">
        <f>Hotel!$E$98/12*G446</f>
        <v>943.56335125351677</v>
      </c>
      <c r="J447" s="187">
        <f t="shared" si="100"/>
        <v>6448.826102522894</v>
      </c>
      <c r="K447" s="72">
        <f t="shared" si="104"/>
        <v>279</v>
      </c>
      <c r="L447" s="180">
        <f t="shared" si="101"/>
        <v>6645952.0298067369</v>
      </c>
      <c r="M447" s="181">
        <f t="shared" si="101"/>
        <v>93255.530343239312</v>
      </c>
      <c r="N447" s="180">
        <f t="shared" si="101"/>
        <v>21448.965298252231</v>
      </c>
      <c r="O447" s="132">
        <f t="shared" si="101"/>
        <v>71806.565044987088</v>
      </c>
    </row>
    <row r="448" spans="1:15" x14ac:dyDescent="0.25">
      <c r="A448" s="72">
        <f t="shared" si="102"/>
        <v>280</v>
      </c>
      <c r="B448" s="183">
        <f t="shared" si="97"/>
        <v>6020687.2470848775</v>
      </c>
      <c r="C448" s="184">
        <f>-Hotel!$E$95/12</f>
        <v>85863.140889462898</v>
      </c>
      <c r="D448" s="183">
        <f>Hotel!$E$93/12*B447</f>
        <v>20287.542817190501</v>
      </c>
      <c r="E448" s="185">
        <f t="shared" si="98"/>
        <v>65575.598072272405</v>
      </c>
      <c r="F448" s="72">
        <f t="shared" si="103"/>
        <v>280</v>
      </c>
      <c r="G448" s="180">
        <f t="shared" si="99"/>
        <v>553229.61050356005</v>
      </c>
      <c r="H448" s="186">
        <f>-Hotel!$E$100/12</f>
        <v>7392.3894537764108</v>
      </c>
      <c r="I448" s="149">
        <f>Hotel!$E$98/12*G447</f>
        <v>932.81530774931196</v>
      </c>
      <c r="J448" s="187">
        <f t="shared" si="100"/>
        <v>6459.5741460270992</v>
      </c>
      <c r="K448" s="72">
        <f t="shared" si="104"/>
        <v>280</v>
      </c>
      <c r="L448" s="180">
        <f t="shared" si="101"/>
        <v>6573916.8575884374</v>
      </c>
      <c r="M448" s="181">
        <f t="shared" si="101"/>
        <v>93255.530343239312</v>
      </c>
      <c r="N448" s="180">
        <f t="shared" si="101"/>
        <v>21220.358124939812</v>
      </c>
      <c r="O448" s="132">
        <f t="shared" si="101"/>
        <v>72035.1722182995</v>
      </c>
    </row>
    <row r="449" spans="1:15" x14ac:dyDescent="0.25">
      <c r="A449" s="72">
        <f t="shared" si="102"/>
        <v>281</v>
      </c>
      <c r="B449" s="183">
        <f t="shared" si="97"/>
        <v>5954893.0636856975</v>
      </c>
      <c r="C449" s="184">
        <f>-Hotel!$E$95/12</f>
        <v>85863.140889462898</v>
      </c>
      <c r="D449" s="183">
        <f>Hotel!$E$93/12*B448</f>
        <v>20068.957490282926</v>
      </c>
      <c r="E449" s="185">
        <f t="shared" si="98"/>
        <v>65794.183399179979</v>
      </c>
      <c r="F449" s="72">
        <f t="shared" si="103"/>
        <v>281</v>
      </c>
      <c r="G449" s="180">
        <f t="shared" si="99"/>
        <v>546759.27040062286</v>
      </c>
      <c r="H449" s="186">
        <f>-Hotel!$E$100/12</f>
        <v>7392.3894537764108</v>
      </c>
      <c r="I449" s="149">
        <f>Hotel!$E$98/12*G448</f>
        <v>922.04935083926682</v>
      </c>
      <c r="J449" s="187">
        <f t="shared" si="100"/>
        <v>6470.3401029371444</v>
      </c>
      <c r="K449" s="72">
        <f t="shared" si="104"/>
        <v>281</v>
      </c>
      <c r="L449" s="180">
        <f t="shared" si="101"/>
        <v>6501652.3340863204</v>
      </c>
      <c r="M449" s="181">
        <f t="shared" si="101"/>
        <v>93255.530343239312</v>
      </c>
      <c r="N449" s="180">
        <f t="shared" si="101"/>
        <v>20991.006841122195</v>
      </c>
      <c r="O449" s="132">
        <f t="shared" si="101"/>
        <v>72264.523502117125</v>
      </c>
    </row>
    <row r="450" spans="1:15" x14ac:dyDescent="0.25">
      <c r="A450" s="72">
        <f t="shared" si="102"/>
        <v>282</v>
      </c>
      <c r="B450" s="183">
        <f t="shared" si="97"/>
        <v>5888879.5663418537</v>
      </c>
      <c r="C450" s="184">
        <f>-Hotel!$E$95/12</f>
        <v>85863.140889462898</v>
      </c>
      <c r="D450" s="183">
        <f>Hotel!$E$93/12*B449</f>
        <v>19849.643545618994</v>
      </c>
      <c r="E450" s="185">
        <f t="shared" si="98"/>
        <v>66013.497343843905</v>
      </c>
      <c r="F450" s="72">
        <f t="shared" si="103"/>
        <v>282</v>
      </c>
      <c r="G450" s="180">
        <f t="shared" si="99"/>
        <v>540278.14639751415</v>
      </c>
      <c r="H450" s="186">
        <f>-Hotel!$E$100/12</f>
        <v>7392.3894537764108</v>
      </c>
      <c r="I450" s="149">
        <f>Hotel!$E$98/12*G449</f>
        <v>911.26545066770484</v>
      </c>
      <c r="J450" s="187">
        <f t="shared" si="100"/>
        <v>6481.1240031087063</v>
      </c>
      <c r="K450" s="72">
        <f t="shared" si="104"/>
        <v>282</v>
      </c>
      <c r="L450" s="180">
        <f t="shared" si="101"/>
        <v>6429157.712739368</v>
      </c>
      <c r="M450" s="181">
        <f t="shared" si="101"/>
        <v>93255.530343239312</v>
      </c>
      <c r="N450" s="180">
        <f t="shared" si="101"/>
        <v>20760.9089962867</v>
      </c>
      <c r="O450" s="132">
        <f t="shared" si="101"/>
        <v>72494.621346952612</v>
      </c>
    </row>
    <row r="451" spans="1:15" x14ac:dyDescent="0.25">
      <c r="A451" s="72">
        <f t="shared" si="102"/>
        <v>283</v>
      </c>
      <c r="B451" s="183">
        <f t="shared" si="97"/>
        <v>5822646.0240068641</v>
      </c>
      <c r="C451" s="184">
        <f>-Hotel!$E$95/12</f>
        <v>85863.140889462898</v>
      </c>
      <c r="D451" s="183">
        <f>Hotel!$E$93/12*B450</f>
        <v>19629.598554472846</v>
      </c>
      <c r="E451" s="185">
        <f t="shared" si="98"/>
        <v>66233.542334990052</v>
      </c>
      <c r="F451" s="72">
        <f t="shared" si="103"/>
        <v>283</v>
      </c>
      <c r="G451" s="180">
        <f t="shared" si="99"/>
        <v>533786.22052106692</v>
      </c>
      <c r="H451" s="186">
        <f>-Hotel!$E$100/12</f>
        <v>7392.3894537764108</v>
      </c>
      <c r="I451" s="149">
        <f>Hotel!$E$98/12*G450</f>
        <v>900.46357732919034</v>
      </c>
      <c r="J451" s="187">
        <f t="shared" si="100"/>
        <v>6491.9258764472206</v>
      </c>
      <c r="K451" s="72">
        <f t="shared" si="104"/>
        <v>283</v>
      </c>
      <c r="L451" s="180">
        <f t="shared" si="101"/>
        <v>6356432.2445279313</v>
      </c>
      <c r="M451" s="181">
        <f t="shared" si="101"/>
        <v>93255.530343239312</v>
      </c>
      <c r="N451" s="180">
        <f t="shared" si="101"/>
        <v>20530.062131802038</v>
      </c>
      <c r="O451" s="132">
        <f t="shared" si="101"/>
        <v>72725.46821143727</v>
      </c>
    </row>
    <row r="452" spans="1:15" x14ac:dyDescent="0.25">
      <c r="A452" s="72">
        <f t="shared" si="102"/>
        <v>284</v>
      </c>
      <c r="B452" s="183">
        <f t="shared" si="97"/>
        <v>5756191.7031974243</v>
      </c>
      <c r="C452" s="184">
        <f>-Hotel!$E$95/12</f>
        <v>85863.140889462898</v>
      </c>
      <c r="D452" s="183">
        <f>Hotel!$E$93/12*B451</f>
        <v>19408.820080022881</v>
      </c>
      <c r="E452" s="185">
        <f t="shared" si="98"/>
        <v>66454.320809440018</v>
      </c>
      <c r="F452" s="72">
        <f t="shared" si="103"/>
        <v>284</v>
      </c>
      <c r="G452" s="180">
        <f t="shared" si="99"/>
        <v>527283.47476815898</v>
      </c>
      <c r="H452" s="186">
        <f>-Hotel!$E$100/12</f>
        <v>7392.3894537764108</v>
      </c>
      <c r="I452" s="149">
        <f>Hotel!$E$98/12*G451</f>
        <v>889.64370086844497</v>
      </c>
      <c r="J452" s="187">
        <f t="shared" si="100"/>
        <v>6502.7457529079657</v>
      </c>
      <c r="K452" s="72">
        <f t="shared" si="104"/>
        <v>284</v>
      </c>
      <c r="L452" s="180">
        <f t="shared" si="101"/>
        <v>6283475.1779655833</v>
      </c>
      <c r="M452" s="181">
        <f t="shared" si="101"/>
        <v>93255.530343239312</v>
      </c>
      <c r="N452" s="180">
        <f t="shared" si="101"/>
        <v>20298.463780891325</v>
      </c>
      <c r="O452" s="132">
        <f t="shared" si="101"/>
        <v>72957.066562347987</v>
      </c>
    </row>
    <row r="453" spans="1:15" x14ac:dyDescent="0.25">
      <c r="A453" s="72">
        <f t="shared" si="102"/>
        <v>285</v>
      </c>
      <c r="B453" s="183">
        <f t="shared" si="97"/>
        <v>5689515.8679852858</v>
      </c>
      <c r="C453" s="184">
        <f>-Hotel!$E$95/12</f>
        <v>85863.140889462898</v>
      </c>
      <c r="D453" s="183">
        <f>Hotel!$E$93/12*B452</f>
        <v>19187.305677324748</v>
      </c>
      <c r="E453" s="185">
        <f t="shared" si="98"/>
        <v>66675.835212138147</v>
      </c>
      <c r="F453" s="72">
        <f t="shared" si="103"/>
        <v>285</v>
      </c>
      <c r="G453" s="180">
        <f t="shared" si="99"/>
        <v>520769.89110566286</v>
      </c>
      <c r="H453" s="186">
        <f>-Hotel!$E$100/12</f>
        <v>7392.3894537764108</v>
      </c>
      <c r="I453" s="149">
        <f>Hotel!$E$98/12*G452</f>
        <v>878.805791280265</v>
      </c>
      <c r="J453" s="187">
        <f t="shared" si="100"/>
        <v>6513.5836624961457</v>
      </c>
      <c r="K453" s="72">
        <f t="shared" si="104"/>
        <v>285</v>
      </c>
      <c r="L453" s="180">
        <f t="shared" si="101"/>
        <v>6210285.7590909488</v>
      </c>
      <c r="M453" s="181">
        <f t="shared" si="101"/>
        <v>93255.530343239312</v>
      </c>
      <c r="N453" s="180">
        <f t="shared" si="101"/>
        <v>20066.111468605013</v>
      </c>
      <c r="O453" s="132">
        <f t="shared" si="101"/>
        <v>73189.418874634299</v>
      </c>
    </row>
    <row r="454" spans="1:15" x14ac:dyDescent="0.25">
      <c r="A454" s="72">
        <f t="shared" si="102"/>
        <v>286</v>
      </c>
      <c r="B454" s="183">
        <f t="shared" si="97"/>
        <v>5622617.7799891075</v>
      </c>
      <c r="C454" s="184">
        <f>-Hotel!$E$95/12</f>
        <v>85863.140889462898</v>
      </c>
      <c r="D454" s="183">
        <f>Hotel!$E$93/12*B453</f>
        <v>18965.052893284286</v>
      </c>
      <c r="E454" s="185">
        <f t="shared" si="98"/>
        <v>66898.087996178612</v>
      </c>
      <c r="F454" s="72">
        <f t="shared" si="103"/>
        <v>286</v>
      </c>
      <c r="G454" s="180">
        <f t="shared" si="99"/>
        <v>514245.4514703959</v>
      </c>
      <c r="H454" s="186">
        <f>-Hotel!$E$100/12</f>
        <v>7392.3894537764108</v>
      </c>
      <c r="I454" s="149">
        <f>Hotel!$E$98/12*G453</f>
        <v>867.94981850943816</v>
      </c>
      <c r="J454" s="187">
        <f t="shared" si="100"/>
        <v>6524.4396352669728</v>
      </c>
      <c r="K454" s="72">
        <f t="shared" si="104"/>
        <v>286</v>
      </c>
      <c r="L454" s="180">
        <f t="shared" si="101"/>
        <v>6136863.2314595031</v>
      </c>
      <c r="M454" s="181">
        <f t="shared" si="101"/>
        <v>93255.530343239312</v>
      </c>
      <c r="N454" s="180">
        <f t="shared" si="101"/>
        <v>19833.002711793724</v>
      </c>
      <c r="O454" s="132">
        <f t="shared" si="101"/>
        <v>73422.527631445584</v>
      </c>
    </row>
    <row r="455" spans="1:15" x14ac:dyDescent="0.25">
      <c r="A455" s="72">
        <f t="shared" si="102"/>
        <v>287</v>
      </c>
      <c r="B455" s="183">
        <f t="shared" si="97"/>
        <v>5555496.6983662751</v>
      </c>
      <c r="C455" s="184">
        <f>-Hotel!$E$95/12</f>
        <v>85863.140889462898</v>
      </c>
      <c r="D455" s="183">
        <f>Hotel!$E$93/12*B454</f>
        <v>18742.05926663036</v>
      </c>
      <c r="E455" s="185">
        <f t="shared" si="98"/>
        <v>67121.081622832542</v>
      </c>
      <c r="F455" s="72">
        <f t="shared" si="103"/>
        <v>287</v>
      </c>
      <c r="G455" s="180">
        <f t="shared" si="99"/>
        <v>507710.13776907016</v>
      </c>
      <c r="H455" s="186">
        <f>-Hotel!$E$100/12</f>
        <v>7392.3894537764108</v>
      </c>
      <c r="I455" s="149">
        <f>Hotel!$E$98/12*G454</f>
        <v>857.07575245065993</v>
      </c>
      <c r="J455" s="187">
        <f t="shared" si="100"/>
        <v>6535.313701325751</v>
      </c>
      <c r="K455" s="72">
        <f t="shared" si="104"/>
        <v>287</v>
      </c>
      <c r="L455" s="180">
        <f t="shared" si="101"/>
        <v>6063206.8361353455</v>
      </c>
      <c r="M455" s="181">
        <f t="shared" si="101"/>
        <v>93255.530343239312</v>
      </c>
      <c r="N455" s="180">
        <f t="shared" si="101"/>
        <v>19599.135019081019</v>
      </c>
      <c r="O455" s="132">
        <f t="shared" si="101"/>
        <v>73656.395324158293</v>
      </c>
    </row>
    <row r="456" spans="1:15" x14ac:dyDescent="0.25">
      <c r="A456" s="72">
        <f t="shared" si="102"/>
        <v>288</v>
      </c>
      <c r="B456" s="183">
        <f t="shared" si="97"/>
        <v>5488151.8798046997</v>
      </c>
      <c r="C456" s="184">
        <f>-Hotel!$E$95/12</f>
        <v>85863.140889462898</v>
      </c>
      <c r="D456" s="183">
        <f>Hotel!$E$93/12*B455</f>
        <v>18518.322327887585</v>
      </c>
      <c r="E456" s="185">
        <f t="shared" si="98"/>
        <v>67344.818561575317</v>
      </c>
      <c r="F456" s="72">
        <f t="shared" si="103"/>
        <v>288</v>
      </c>
      <c r="G456" s="180">
        <f t="shared" si="99"/>
        <v>501163.93187824218</v>
      </c>
      <c r="H456" s="186">
        <f>-Hotel!$E$100/12</f>
        <v>7392.3894537764108</v>
      </c>
      <c r="I456" s="149">
        <f>Hotel!$E$98/12*G455</f>
        <v>846.18356294845034</v>
      </c>
      <c r="J456" s="187">
        <f t="shared" si="100"/>
        <v>6546.2058908279605</v>
      </c>
      <c r="K456" s="72">
        <f t="shared" si="104"/>
        <v>288</v>
      </c>
      <c r="L456" s="180">
        <f t="shared" si="101"/>
        <v>5989315.8116829414</v>
      </c>
      <c r="M456" s="181">
        <f t="shared" si="101"/>
        <v>93255.530343239312</v>
      </c>
      <c r="N456" s="180">
        <f t="shared" si="101"/>
        <v>19364.505890836037</v>
      </c>
      <c r="O456" s="132">
        <f t="shared" si="101"/>
        <v>73891.024452403275</v>
      </c>
    </row>
    <row r="457" spans="1:15" x14ac:dyDescent="0.25">
      <c r="A457" s="72">
        <f t="shared" si="102"/>
        <v>289</v>
      </c>
      <c r="B457" s="183">
        <f t="shared" si="97"/>
        <v>5420582.5785145862</v>
      </c>
      <c r="C457" s="184">
        <f>-Hotel!$E$95/12</f>
        <v>85863.140889462898</v>
      </c>
      <c r="D457" s="183">
        <f>Hotel!$E$93/12*B456</f>
        <v>18293.839599349001</v>
      </c>
      <c r="E457" s="185">
        <f t="shared" si="98"/>
        <v>67569.301290113901</v>
      </c>
      <c r="F457" s="72">
        <f t="shared" si="103"/>
        <v>289</v>
      </c>
      <c r="G457" s="180">
        <f t="shared" si="99"/>
        <v>494606.81564426282</v>
      </c>
      <c r="H457" s="186">
        <f>-Hotel!$E$100/12</f>
        <v>7392.3894537764108</v>
      </c>
      <c r="I457" s="149">
        <f>Hotel!$E$98/12*G456</f>
        <v>835.2732197970704</v>
      </c>
      <c r="J457" s="187">
        <f t="shared" si="100"/>
        <v>6557.1162339793409</v>
      </c>
      <c r="K457" s="72">
        <f t="shared" si="104"/>
        <v>289</v>
      </c>
      <c r="L457" s="180">
        <f t="shared" si="101"/>
        <v>5915189.3941588495</v>
      </c>
      <c r="M457" s="181">
        <f t="shared" si="101"/>
        <v>93255.530343239312</v>
      </c>
      <c r="N457" s="180">
        <f t="shared" si="101"/>
        <v>19129.11281914607</v>
      </c>
      <c r="O457" s="132">
        <f t="shared" si="101"/>
        <v>74126.417524093238</v>
      </c>
    </row>
    <row r="458" spans="1:15" x14ac:dyDescent="0.25">
      <c r="A458" s="72">
        <f t="shared" si="102"/>
        <v>290</v>
      </c>
      <c r="B458" s="183">
        <f t="shared" si="97"/>
        <v>5352788.0462201722</v>
      </c>
      <c r="C458" s="184">
        <f>-Hotel!$E$95/12</f>
        <v>85863.140889462898</v>
      </c>
      <c r="D458" s="183">
        <f>Hotel!$E$93/12*B457</f>
        <v>18068.608595048623</v>
      </c>
      <c r="E458" s="185">
        <f t="shared" si="98"/>
        <v>67794.532294414268</v>
      </c>
      <c r="F458" s="72">
        <f t="shared" si="103"/>
        <v>290</v>
      </c>
      <c r="G458" s="180">
        <f t="shared" si="99"/>
        <v>488038.77088322683</v>
      </c>
      <c r="H458" s="186">
        <f>-Hotel!$E$100/12</f>
        <v>7392.3894537764108</v>
      </c>
      <c r="I458" s="149">
        <f>Hotel!$E$98/12*G457</f>
        <v>824.34469274043806</v>
      </c>
      <c r="J458" s="187">
        <f t="shared" si="100"/>
        <v>6568.0447610359724</v>
      </c>
      <c r="K458" s="72">
        <f t="shared" si="104"/>
        <v>290</v>
      </c>
      <c r="L458" s="180">
        <f t="shared" si="101"/>
        <v>5840826.817103399</v>
      </c>
      <c r="M458" s="181">
        <f t="shared" si="101"/>
        <v>93255.530343239312</v>
      </c>
      <c r="N458" s="180">
        <f t="shared" si="101"/>
        <v>18892.95328778906</v>
      </c>
      <c r="O458" s="132">
        <f t="shared" si="101"/>
        <v>74362.577055450238</v>
      </c>
    </row>
    <row r="459" spans="1:15" x14ac:dyDescent="0.25">
      <c r="A459" s="72">
        <f t="shared" si="102"/>
        <v>291</v>
      </c>
      <c r="B459" s="183">
        <f t="shared" si="97"/>
        <v>5284767.532151443</v>
      </c>
      <c r="C459" s="184">
        <f>-Hotel!$E$95/12</f>
        <v>85863.140889462898</v>
      </c>
      <c r="D459" s="183">
        <f>Hotel!$E$93/12*B458</f>
        <v>17842.626820733909</v>
      </c>
      <c r="E459" s="185">
        <f t="shared" si="98"/>
        <v>68020.514068728982</v>
      </c>
      <c r="F459" s="72">
        <f t="shared" si="103"/>
        <v>291</v>
      </c>
      <c r="G459" s="180">
        <f t="shared" si="99"/>
        <v>481459.77938092244</v>
      </c>
      <c r="H459" s="186">
        <f>-Hotel!$E$100/12</f>
        <v>7392.3894537764108</v>
      </c>
      <c r="I459" s="149">
        <f>Hotel!$E$98/12*G458</f>
        <v>813.39795147204472</v>
      </c>
      <c r="J459" s="187">
        <f t="shared" si="100"/>
        <v>6578.9915023043659</v>
      </c>
      <c r="K459" s="72">
        <f t="shared" si="104"/>
        <v>291</v>
      </c>
      <c r="L459" s="180">
        <f t="shared" si="101"/>
        <v>5766227.3115323652</v>
      </c>
      <c r="M459" s="181">
        <f t="shared" si="101"/>
        <v>93255.530343239312</v>
      </c>
      <c r="N459" s="180">
        <f t="shared" si="101"/>
        <v>18656.024772205954</v>
      </c>
      <c r="O459" s="132">
        <f t="shared" si="101"/>
        <v>74599.505571033354</v>
      </c>
    </row>
    <row r="460" spans="1:15" x14ac:dyDescent="0.25">
      <c r="A460" s="72">
        <f t="shared" si="102"/>
        <v>292</v>
      </c>
      <c r="B460" s="183">
        <f t="shared" si="97"/>
        <v>5216520.2830358185</v>
      </c>
      <c r="C460" s="184">
        <f>-Hotel!$E$95/12</f>
        <v>85863.140889462898</v>
      </c>
      <c r="D460" s="183">
        <f>Hotel!$E$93/12*B459</f>
        <v>17615.891773838146</v>
      </c>
      <c r="E460" s="185">
        <f t="shared" si="98"/>
        <v>68247.249115624756</v>
      </c>
      <c r="F460" s="72">
        <f t="shared" si="103"/>
        <v>292</v>
      </c>
      <c r="G460" s="180">
        <f t="shared" si="99"/>
        <v>474869.82289278088</v>
      </c>
      <c r="H460" s="186">
        <f>-Hotel!$E$100/12</f>
        <v>7392.3894537764108</v>
      </c>
      <c r="I460" s="149">
        <f>Hotel!$E$98/12*G459</f>
        <v>802.43296563487081</v>
      </c>
      <c r="J460" s="187">
        <f t="shared" si="100"/>
        <v>6589.9564881415399</v>
      </c>
      <c r="K460" s="72">
        <f t="shared" si="104"/>
        <v>292</v>
      </c>
      <c r="L460" s="180">
        <f t="shared" si="101"/>
        <v>5691390.1059285998</v>
      </c>
      <c r="M460" s="181">
        <f t="shared" si="101"/>
        <v>93255.530343239312</v>
      </c>
      <c r="N460" s="180">
        <f t="shared" si="101"/>
        <v>18418.324739473017</v>
      </c>
      <c r="O460" s="132">
        <f t="shared" si="101"/>
        <v>74837.205603766299</v>
      </c>
    </row>
    <row r="461" spans="1:15" x14ac:dyDescent="0.25">
      <c r="A461" s="72">
        <f t="shared" si="102"/>
        <v>293</v>
      </c>
      <c r="B461" s="183">
        <f t="shared" si="97"/>
        <v>5148045.543089808</v>
      </c>
      <c r="C461" s="184">
        <f>-Hotel!$E$95/12</f>
        <v>85863.140889462898</v>
      </c>
      <c r="D461" s="183">
        <f>Hotel!$E$93/12*B460</f>
        <v>17388.400943452729</v>
      </c>
      <c r="E461" s="185">
        <f t="shared" si="98"/>
        <v>68474.739946010173</v>
      </c>
      <c r="F461" s="72">
        <f t="shared" si="103"/>
        <v>293</v>
      </c>
      <c r="G461" s="180">
        <f t="shared" si="99"/>
        <v>468268.88314382575</v>
      </c>
      <c r="H461" s="186">
        <f>-Hotel!$E$100/12</f>
        <v>7392.3894537764108</v>
      </c>
      <c r="I461" s="149">
        <f>Hotel!$E$98/12*G460</f>
        <v>791.44970482130157</v>
      </c>
      <c r="J461" s="187">
        <f t="shared" si="100"/>
        <v>6600.9397489551093</v>
      </c>
      <c r="K461" s="72">
        <f t="shared" si="104"/>
        <v>293</v>
      </c>
      <c r="L461" s="180">
        <f t="shared" si="101"/>
        <v>5616314.4262336334</v>
      </c>
      <c r="M461" s="181">
        <f t="shared" si="101"/>
        <v>93255.530343239312</v>
      </c>
      <c r="N461" s="180">
        <f t="shared" si="101"/>
        <v>18179.85064827403</v>
      </c>
      <c r="O461" s="132">
        <f t="shared" si="101"/>
        <v>75075.679694965278</v>
      </c>
    </row>
    <row r="462" spans="1:15" x14ac:dyDescent="0.25">
      <c r="A462" s="72">
        <f t="shared" si="102"/>
        <v>294</v>
      </c>
      <c r="B462" s="183">
        <f t="shared" si="97"/>
        <v>5079342.5540106446</v>
      </c>
      <c r="C462" s="184">
        <f>-Hotel!$E$95/12</f>
        <v>85863.140889462898</v>
      </c>
      <c r="D462" s="183">
        <f>Hotel!$E$93/12*B461</f>
        <v>17160.151810299361</v>
      </c>
      <c r="E462" s="185">
        <f t="shared" si="98"/>
        <v>68702.989079163541</v>
      </c>
      <c r="F462" s="72">
        <f t="shared" si="103"/>
        <v>294</v>
      </c>
      <c r="G462" s="180">
        <f t="shared" si="99"/>
        <v>461656.94182862237</v>
      </c>
      <c r="H462" s="186">
        <f>-Hotel!$E$100/12</f>
        <v>7392.3894537764108</v>
      </c>
      <c r="I462" s="149">
        <f>Hotel!$E$98/12*G461</f>
        <v>780.44813857304291</v>
      </c>
      <c r="J462" s="187">
        <f t="shared" si="100"/>
        <v>6611.9413152033676</v>
      </c>
      <c r="K462" s="72">
        <f t="shared" si="104"/>
        <v>294</v>
      </c>
      <c r="L462" s="180">
        <f t="shared" si="101"/>
        <v>5540999.495839267</v>
      </c>
      <c r="M462" s="181">
        <f t="shared" si="101"/>
        <v>93255.530343239312</v>
      </c>
      <c r="N462" s="180">
        <f t="shared" si="101"/>
        <v>17940.599948872405</v>
      </c>
      <c r="O462" s="132">
        <f t="shared" si="101"/>
        <v>75314.930394366907</v>
      </c>
    </row>
    <row r="463" spans="1:15" x14ac:dyDescent="0.25">
      <c r="A463" s="72">
        <f t="shared" si="102"/>
        <v>295</v>
      </c>
      <c r="B463" s="183">
        <f t="shared" si="97"/>
        <v>5010410.554967884</v>
      </c>
      <c r="C463" s="184">
        <f>-Hotel!$E$95/12</f>
        <v>85863.140889462898</v>
      </c>
      <c r="D463" s="183">
        <f>Hotel!$E$93/12*B462</f>
        <v>16931.14184670215</v>
      </c>
      <c r="E463" s="185">
        <f t="shared" si="98"/>
        <v>68931.999042760755</v>
      </c>
      <c r="F463" s="72">
        <f t="shared" si="103"/>
        <v>295</v>
      </c>
      <c r="G463" s="180">
        <f t="shared" si="99"/>
        <v>455033.98061122699</v>
      </c>
      <c r="H463" s="186">
        <f>-Hotel!$E$100/12</f>
        <v>7392.3894537764108</v>
      </c>
      <c r="I463" s="149">
        <f>Hotel!$E$98/12*G462</f>
        <v>769.42823638103732</v>
      </c>
      <c r="J463" s="187">
        <f t="shared" si="100"/>
        <v>6622.9612173953738</v>
      </c>
      <c r="K463" s="72">
        <f t="shared" si="104"/>
        <v>295</v>
      </c>
      <c r="L463" s="180">
        <f t="shared" si="101"/>
        <v>5465444.5355791114</v>
      </c>
      <c r="M463" s="181">
        <f t="shared" si="101"/>
        <v>93255.530343239312</v>
      </c>
      <c r="N463" s="180">
        <f t="shared" si="101"/>
        <v>17700.570083083188</v>
      </c>
      <c r="O463" s="132">
        <f t="shared" si="101"/>
        <v>75554.960260156135</v>
      </c>
    </row>
    <row r="464" spans="1:15" x14ac:dyDescent="0.25">
      <c r="A464" s="72">
        <f t="shared" si="102"/>
        <v>296</v>
      </c>
      <c r="B464" s="183">
        <f t="shared" si="97"/>
        <v>4941248.7825949807</v>
      </c>
      <c r="C464" s="184">
        <f>-Hotel!$E$95/12</f>
        <v>85863.140889462898</v>
      </c>
      <c r="D464" s="183">
        <f>Hotel!$E$93/12*B463</f>
        <v>16701.368516559614</v>
      </c>
      <c r="E464" s="185">
        <f t="shared" si="98"/>
        <v>69161.772372903288</v>
      </c>
      <c r="F464" s="72">
        <f t="shared" si="103"/>
        <v>296</v>
      </c>
      <c r="G464" s="180">
        <f t="shared" si="99"/>
        <v>448399.98112513596</v>
      </c>
      <c r="H464" s="186">
        <f>-Hotel!$E$100/12</f>
        <v>7392.3894537764108</v>
      </c>
      <c r="I464" s="149">
        <f>Hotel!$E$98/12*G463</f>
        <v>758.38996768537834</v>
      </c>
      <c r="J464" s="187">
        <f t="shared" si="100"/>
        <v>6633.9994860910328</v>
      </c>
      <c r="K464" s="72">
        <f t="shared" si="104"/>
        <v>296</v>
      </c>
      <c r="L464" s="180">
        <f t="shared" si="101"/>
        <v>5389648.7637201166</v>
      </c>
      <c r="M464" s="181">
        <f t="shared" si="101"/>
        <v>93255.530343239312</v>
      </c>
      <c r="N464" s="180">
        <f t="shared" si="101"/>
        <v>17459.758484244994</v>
      </c>
      <c r="O464" s="132">
        <f t="shared" si="101"/>
        <v>75795.771858994325</v>
      </c>
    </row>
    <row r="465" spans="1:15" x14ac:dyDescent="0.25">
      <c r="A465" s="72">
        <f t="shared" si="102"/>
        <v>297</v>
      </c>
      <c r="B465" s="183">
        <f t="shared" si="97"/>
        <v>4871856.4709808342</v>
      </c>
      <c r="C465" s="184">
        <f>-Hotel!$E$95/12</f>
        <v>85863.140889462898</v>
      </c>
      <c r="D465" s="183">
        <f>Hotel!$E$93/12*B464</f>
        <v>16470.829275316602</v>
      </c>
      <c r="E465" s="185">
        <f t="shared" si="98"/>
        <v>69392.311614146296</v>
      </c>
      <c r="F465" s="72">
        <f t="shared" si="103"/>
        <v>297</v>
      </c>
      <c r="G465" s="180">
        <f t="shared" si="99"/>
        <v>441754.92497323477</v>
      </c>
      <c r="H465" s="186">
        <f>-Hotel!$E$100/12</f>
        <v>7392.3894537764108</v>
      </c>
      <c r="I465" s="149">
        <f>Hotel!$E$98/12*G464</f>
        <v>747.33330187522665</v>
      </c>
      <c r="J465" s="187">
        <f t="shared" si="100"/>
        <v>6645.0561519011844</v>
      </c>
      <c r="K465" s="72">
        <f t="shared" si="104"/>
        <v>297</v>
      </c>
      <c r="L465" s="180">
        <f t="shared" si="101"/>
        <v>5313611.3959540688</v>
      </c>
      <c r="M465" s="181">
        <f t="shared" si="101"/>
        <v>93255.530343239312</v>
      </c>
      <c r="N465" s="180">
        <f t="shared" si="101"/>
        <v>17218.16257719183</v>
      </c>
      <c r="O465" s="132">
        <f t="shared" si="101"/>
        <v>76037.367766047479</v>
      </c>
    </row>
    <row r="466" spans="1:15" x14ac:dyDescent="0.25">
      <c r="A466" s="72">
        <f t="shared" si="102"/>
        <v>298</v>
      </c>
      <c r="B466" s="183">
        <f t="shared" si="97"/>
        <v>4802232.8516613077</v>
      </c>
      <c r="C466" s="184">
        <f>-Hotel!$E$95/12</f>
        <v>85863.140889462898</v>
      </c>
      <c r="D466" s="183">
        <f>Hotel!$E$93/12*B465</f>
        <v>16239.521569936114</v>
      </c>
      <c r="E466" s="185">
        <f t="shared" si="98"/>
        <v>69623.619319526784</v>
      </c>
      <c r="F466" s="72">
        <f t="shared" si="103"/>
        <v>298</v>
      </c>
      <c r="G466" s="180">
        <f t="shared" si="99"/>
        <v>435098.79372774711</v>
      </c>
      <c r="H466" s="186">
        <f>-Hotel!$E$100/12</f>
        <v>7392.3894537764108</v>
      </c>
      <c r="I466" s="149">
        <f>Hotel!$E$98/12*G465</f>
        <v>736.25820828872463</v>
      </c>
      <c r="J466" s="187">
        <f t="shared" si="100"/>
        <v>6656.1312454876861</v>
      </c>
      <c r="K466" s="72">
        <f t="shared" si="104"/>
        <v>298</v>
      </c>
      <c r="L466" s="180">
        <f t="shared" si="101"/>
        <v>5237331.6453890549</v>
      </c>
      <c r="M466" s="181">
        <f t="shared" si="101"/>
        <v>93255.530343239312</v>
      </c>
      <c r="N466" s="180">
        <f t="shared" si="101"/>
        <v>16975.779778224838</v>
      </c>
      <c r="O466" s="132">
        <f t="shared" si="101"/>
        <v>76279.750565014474</v>
      </c>
    </row>
    <row r="467" spans="1:15" x14ac:dyDescent="0.25">
      <c r="A467" s="72">
        <f t="shared" si="102"/>
        <v>299</v>
      </c>
      <c r="B467" s="183">
        <f t="shared" si="97"/>
        <v>4732377.1536107156</v>
      </c>
      <c r="C467" s="184">
        <f>-Hotel!$E$95/12</f>
        <v>85863.140889462898</v>
      </c>
      <c r="D467" s="183">
        <f>Hotel!$E$93/12*B466</f>
        <v>16007.442838871028</v>
      </c>
      <c r="E467" s="185">
        <f t="shared" si="98"/>
        <v>69855.698050591876</v>
      </c>
      <c r="F467" s="72">
        <f t="shared" si="103"/>
        <v>299</v>
      </c>
      <c r="G467" s="180">
        <f t="shared" si="99"/>
        <v>428431.5689301836</v>
      </c>
      <c r="H467" s="186">
        <f>-Hotel!$E$100/12</f>
        <v>7392.3894537764108</v>
      </c>
      <c r="I467" s="149">
        <f>Hotel!$E$98/12*G466</f>
        <v>725.16465621291184</v>
      </c>
      <c r="J467" s="187">
        <f t="shared" si="100"/>
        <v>6667.2247975634991</v>
      </c>
      <c r="K467" s="72">
        <f t="shared" si="104"/>
        <v>299</v>
      </c>
      <c r="L467" s="180">
        <f t="shared" si="101"/>
        <v>5160808.7225408992</v>
      </c>
      <c r="M467" s="181">
        <f t="shared" si="101"/>
        <v>93255.530343239312</v>
      </c>
      <c r="N467" s="180">
        <f t="shared" si="101"/>
        <v>16732.607495083939</v>
      </c>
      <c r="O467" s="132">
        <f t="shared" si="101"/>
        <v>76522.922848155373</v>
      </c>
    </row>
    <row r="468" spans="1:15" x14ac:dyDescent="0.25">
      <c r="A468" s="72">
        <f t="shared" si="102"/>
        <v>300</v>
      </c>
      <c r="B468" s="183">
        <f t="shared" si="97"/>
        <v>4662288.603233288</v>
      </c>
      <c r="C468" s="184">
        <f>-Hotel!$E$95/12</f>
        <v>85863.140889462898</v>
      </c>
      <c r="D468" s="183">
        <f>Hotel!$E$93/12*B467</f>
        <v>15774.59051203572</v>
      </c>
      <c r="E468" s="185">
        <f t="shared" si="98"/>
        <v>70088.550377427178</v>
      </c>
      <c r="F468" s="72">
        <f t="shared" si="103"/>
        <v>300</v>
      </c>
      <c r="G468" s="180">
        <f t="shared" si="99"/>
        <v>421753.23209129082</v>
      </c>
      <c r="H468" s="186">
        <f>-Hotel!$E$100/12</f>
        <v>7392.3894537764108</v>
      </c>
      <c r="I468" s="149">
        <f>Hotel!$E$98/12*G467</f>
        <v>714.05261488363942</v>
      </c>
      <c r="J468" s="187">
        <f t="shared" si="100"/>
        <v>6678.3368388927711</v>
      </c>
      <c r="K468" s="72">
        <f t="shared" si="104"/>
        <v>300</v>
      </c>
      <c r="L468" s="180">
        <f t="shared" si="101"/>
        <v>5084041.8353245789</v>
      </c>
      <c r="M468" s="181">
        <f t="shared" si="101"/>
        <v>93255.530343239312</v>
      </c>
      <c r="N468" s="180">
        <f t="shared" si="101"/>
        <v>16488.64312691936</v>
      </c>
      <c r="O468" s="132">
        <f t="shared" si="101"/>
        <v>76766.887216319956</v>
      </c>
    </row>
    <row r="469" spans="1:15" x14ac:dyDescent="0.25">
      <c r="A469" s="72">
        <f t="shared" si="102"/>
        <v>301</v>
      </c>
      <c r="B469" s="183">
        <f t="shared" si="97"/>
        <v>4591966.4243546026</v>
      </c>
      <c r="C469" s="184">
        <f>-Hotel!$E$95/12</f>
        <v>85863.140889462898</v>
      </c>
      <c r="D469" s="183">
        <f>Hotel!$E$93/12*B468</f>
        <v>15540.962010777628</v>
      </c>
      <c r="E469" s="185">
        <f t="shared" si="98"/>
        <v>70322.17887868527</v>
      </c>
      <c r="F469" s="72">
        <f t="shared" si="103"/>
        <v>301</v>
      </c>
      <c r="G469" s="180">
        <f t="shared" si="99"/>
        <v>415063.76469099987</v>
      </c>
      <c r="H469" s="186">
        <f>-Hotel!$E$100/12</f>
        <v>7392.3894537764108</v>
      </c>
      <c r="I469" s="149">
        <f>Hotel!$E$98/12*G468</f>
        <v>702.92205348548475</v>
      </c>
      <c r="J469" s="187">
        <f t="shared" si="100"/>
        <v>6689.467400290926</v>
      </c>
      <c r="K469" s="72">
        <f t="shared" si="104"/>
        <v>301</v>
      </c>
      <c r="L469" s="180">
        <f t="shared" si="101"/>
        <v>5007030.1890456025</v>
      </c>
      <c r="M469" s="181">
        <f t="shared" si="101"/>
        <v>93255.530343239312</v>
      </c>
      <c r="N469" s="180">
        <f t="shared" si="101"/>
        <v>16243.884064263113</v>
      </c>
      <c r="O469" s="132">
        <f t="shared" si="101"/>
        <v>77011.646278976201</v>
      </c>
    </row>
    <row r="470" spans="1:15" x14ac:dyDescent="0.25">
      <c r="A470" s="72">
        <f t="shared" si="102"/>
        <v>302</v>
      </c>
      <c r="B470" s="183">
        <f t="shared" si="97"/>
        <v>4521409.8382129883</v>
      </c>
      <c r="C470" s="184">
        <f>-Hotel!$E$95/12</f>
        <v>85863.140889462898</v>
      </c>
      <c r="D470" s="183">
        <f>Hotel!$E$93/12*B469</f>
        <v>15306.554747848677</v>
      </c>
      <c r="E470" s="185">
        <f t="shared" si="98"/>
        <v>70556.586141614214</v>
      </c>
      <c r="F470" s="72">
        <f t="shared" si="103"/>
        <v>302</v>
      </c>
      <c r="G470" s="180">
        <f t="shared" si="99"/>
        <v>408363.14817837515</v>
      </c>
      <c r="H470" s="186">
        <f>-Hotel!$E$100/12</f>
        <v>7392.3894537764108</v>
      </c>
      <c r="I470" s="149">
        <f>Hotel!$E$98/12*G469</f>
        <v>691.77294115166649</v>
      </c>
      <c r="J470" s="187">
        <f t="shared" si="100"/>
        <v>6700.6165126247442</v>
      </c>
      <c r="K470" s="72">
        <f t="shared" si="104"/>
        <v>302</v>
      </c>
      <c r="L470" s="180">
        <f t="shared" si="101"/>
        <v>4929772.9863913637</v>
      </c>
      <c r="M470" s="181">
        <f t="shared" si="101"/>
        <v>93255.530343239312</v>
      </c>
      <c r="N470" s="180">
        <f t="shared" si="101"/>
        <v>15998.327689000344</v>
      </c>
      <c r="O470" s="132">
        <f t="shared" si="101"/>
        <v>77257.202654238965</v>
      </c>
    </row>
    <row r="471" spans="1:15" x14ac:dyDescent="0.25">
      <c r="A471" s="72">
        <f t="shared" si="102"/>
        <v>303</v>
      </c>
      <c r="B471" s="183">
        <f t="shared" si="97"/>
        <v>4450618.0634509018</v>
      </c>
      <c r="C471" s="184">
        <f>-Hotel!$E$95/12</f>
        <v>85863.140889462898</v>
      </c>
      <c r="D471" s="183">
        <f>Hotel!$E$93/12*B470</f>
        <v>15071.366127376628</v>
      </c>
      <c r="E471" s="185">
        <f t="shared" si="98"/>
        <v>70791.774762086265</v>
      </c>
      <c r="F471" s="72">
        <f t="shared" si="103"/>
        <v>303</v>
      </c>
      <c r="G471" s="180">
        <f t="shared" si="99"/>
        <v>401651.36397156271</v>
      </c>
      <c r="H471" s="186">
        <f>-Hotel!$E$100/12</f>
        <v>7392.3894537764108</v>
      </c>
      <c r="I471" s="149">
        <f>Hotel!$E$98/12*G470</f>
        <v>680.60524696395862</v>
      </c>
      <c r="J471" s="187">
        <f t="shared" si="100"/>
        <v>6711.7842068124519</v>
      </c>
      <c r="K471" s="72">
        <f t="shared" si="104"/>
        <v>303</v>
      </c>
      <c r="L471" s="180">
        <f t="shared" si="101"/>
        <v>4852269.4274224648</v>
      </c>
      <c r="M471" s="181">
        <f t="shared" si="101"/>
        <v>93255.530343239312</v>
      </c>
      <c r="N471" s="180">
        <f t="shared" si="101"/>
        <v>15751.971374340586</v>
      </c>
      <c r="O471" s="132">
        <f t="shared" si="101"/>
        <v>77503.558968898724</v>
      </c>
    </row>
    <row r="472" spans="1:15" x14ac:dyDescent="0.25">
      <c r="A472" s="72">
        <f t="shared" si="102"/>
        <v>304</v>
      </c>
      <c r="B472" s="183">
        <f t="shared" si="97"/>
        <v>4379590.3161062757</v>
      </c>
      <c r="C472" s="184">
        <f>-Hotel!$E$95/12</f>
        <v>85863.140889462898</v>
      </c>
      <c r="D472" s="183">
        <f>Hotel!$E$93/12*B471</f>
        <v>14835.393544836341</v>
      </c>
      <c r="E472" s="185">
        <f t="shared" si="98"/>
        <v>71027.74734462655</v>
      </c>
      <c r="F472" s="72">
        <f t="shared" si="103"/>
        <v>304</v>
      </c>
      <c r="G472" s="180">
        <f t="shared" si="99"/>
        <v>394928.39345773892</v>
      </c>
      <c r="H472" s="186">
        <f>-Hotel!$E$100/12</f>
        <v>7392.3894537764108</v>
      </c>
      <c r="I472" s="149">
        <f>Hotel!$E$98/12*G471</f>
        <v>669.41893995260455</v>
      </c>
      <c r="J472" s="187">
        <f t="shared" si="100"/>
        <v>6722.970513823806</v>
      </c>
      <c r="K472" s="72">
        <f t="shared" si="104"/>
        <v>304</v>
      </c>
      <c r="L472" s="180">
        <f t="shared" si="101"/>
        <v>4774518.7095640143</v>
      </c>
      <c r="M472" s="181">
        <f t="shared" si="101"/>
        <v>93255.530343239312</v>
      </c>
      <c r="N472" s="180">
        <f t="shared" si="101"/>
        <v>15504.812484788945</v>
      </c>
      <c r="O472" s="132">
        <f t="shared" si="101"/>
        <v>77750.717858450356</v>
      </c>
    </row>
    <row r="473" spans="1:15" x14ac:dyDescent="0.25">
      <c r="A473" s="72">
        <f t="shared" si="102"/>
        <v>305</v>
      </c>
      <c r="B473" s="183">
        <f t="shared" si="97"/>
        <v>4308325.8096038336</v>
      </c>
      <c r="C473" s="184">
        <f>-Hotel!$E$95/12</f>
        <v>85863.140889462898</v>
      </c>
      <c r="D473" s="183">
        <f>Hotel!$E$93/12*B472</f>
        <v>14598.63438702092</v>
      </c>
      <c r="E473" s="185">
        <f t="shared" si="98"/>
        <v>71264.506502441975</v>
      </c>
      <c r="F473" s="72">
        <f t="shared" si="103"/>
        <v>305</v>
      </c>
      <c r="G473" s="180">
        <f t="shared" si="99"/>
        <v>388194.21799305873</v>
      </c>
      <c r="H473" s="186">
        <f>-Hotel!$E$100/12</f>
        <v>7392.3894537764108</v>
      </c>
      <c r="I473" s="149">
        <f>Hotel!$E$98/12*G472</f>
        <v>658.21398909623156</v>
      </c>
      <c r="J473" s="187">
        <f t="shared" si="100"/>
        <v>6734.1754646801792</v>
      </c>
      <c r="K473" s="72">
        <f t="shared" si="104"/>
        <v>305</v>
      </c>
      <c r="L473" s="180">
        <f t="shared" si="101"/>
        <v>4696520.0275968928</v>
      </c>
      <c r="M473" s="181">
        <f t="shared" si="101"/>
        <v>93255.530343239312</v>
      </c>
      <c r="N473" s="180">
        <f t="shared" si="101"/>
        <v>15256.848376117152</v>
      </c>
      <c r="O473" s="132">
        <f t="shared" si="101"/>
        <v>77998.68196712216</v>
      </c>
    </row>
    <row r="474" spans="1:15" x14ac:dyDescent="0.25">
      <c r="A474" s="72">
        <f t="shared" si="102"/>
        <v>306</v>
      </c>
      <c r="B474" s="183">
        <f t="shared" si="97"/>
        <v>4236823.7547463831</v>
      </c>
      <c r="C474" s="184">
        <f>-Hotel!$E$95/12</f>
        <v>85863.140889462898</v>
      </c>
      <c r="D474" s="183">
        <f>Hotel!$E$93/12*B473</f>
        <v>14361.086032012779</v>
      </c>
      <c r="E474" s="185">
        <f t="shared" si="98"/>
        <v>71502.054857450115</v>
      </c>
      <c r="F474" s="72">
        <f t="shared" si="103"/>
        <v>306</v>
      </c>
      <c r="G474" s="180">
        <f t="shared" si="99"/>
        <v>381448.81890260411</v>
      </c>
      <c r="H474" s="186">
        <f>-Hotel!$E$100/12</f>
        <v>7392.3894537764108</v>
      </c>
      <c r="I474" s="149">
        <f>Hotel!$E$98/12*G473</f>
        <v>646.99036332176456</v>
      </c>
      <c r="J474" s="187">
        <f t="shared" si="100"/>
        <v>6745.3990904546463</v>
      </c>
      <c r="K474" s="72">
        <f t="shared" si="104"/>
        <v>306</v>
      </c>
      <c r="L474" s="180">
        <f t="shared" si="101"/>
        <v>4618272.5736489873</v>
      </c>
      <c r="M474" s="181">
        <f t="shared" si="101"/>
        <v>93255.530343239312</v>
      </c>
      <c r="N474" s="180">
        <f t="shared" si="101"/>
        <v>15008.076395334545</v>
      </c>
      <c r="O474" s="132">
        <f t="shared" si="101"/>
        <v>78247.453947904767</v>
      </c>
    </row>
    <row r="475" spans="1:15" x14ac:dyDescent="0.25">
      <c r="A475" s="72">
        <f t="shared" si="102"/>
        <v>307</v>
      </c>
      <c r="B475" s="183">
        <f t="shared" si="97"/>
        <v>4165083.3597060749</v>
      </c>
      <c r="C475" s="184">
        <f>-Hotel!$E$95/12</f>
        <v>85863.140889462898</v>
      </c>
      <c r="D475" s="183">
        <f>Hotel!$E$93/12*B474</f>
        <v>14122.745849154611</v>
      </c>
      <c r="E475" s="185">
        <f t="shared" si="98"/>
        <v>71740.395040308285</v>
      </c>
      <c r="F475" s="72">
        <f t="shared" si="103"/>
        <v>307</v>
      </c>
      <c r="G475" s="180">
        <f t="shared" si="99"/>
        <v>374692.17748033203</v>
      </c>
      <c r="H475" s="186">
        <f>-Hotel!$E$100/12</f>
        <v>7392.3894537764108</v>
      </c>
      <c r="I475" s="149">
        <f>Hotel!$E$98/12*G474</f>
        <v>635.74803150434025</v>
      </c>
      <c r="J475" s="187">
        <f t="shared" si="100"/>
        <v>6756.6414222720705</v>
      </c>
      <c r="K475" s="72">
        <f t="shared" si="104"/>
        <v>307</v>
      </c>
      <c r="L475" s="180">
        <f t="shared" si="101"/>
        <v>4539775.5371864066</v>
      </c>
      <c r="M475" s="181">
        <f t="shared" si="101"/>
        <v>93255.530343239312</v>
      </c>
      <c r="N475" s="180">
        <f t="shared" si="101"/>
        <v>14758.493880658951</v>
      </c>
      <c r="O475" s="132">
        <f t="shared" si="101"/>
        <v>78497.036462580349</v>
      </c>
    </row>
    <row r="476" spans="1:15" x14ac:dyDescent="0.25">
      <c r="A476" s="72">
        <f t="shared" si="102"/>
        <v>308</v>
      </c>
      <c r="B476" s="183">
        <f t="shared" si="97"/>
        <v>4093103.8300156323</v>
      </c>
      <c r="C476" s="184">
        <f>-Hotel!$E$95/12</f>
        <v>85863.140889462898</v>
      </c>
      <c r="D476" s="183">
        <f>Hotel!$E$93/12*B475</f>
        <v>13883.61119902025</v>
      </c>
      <c r="E476" s="185">
        <f t="shared" si="98"/>
        <v>71979.52969044265</v>
      </c>
      <c r="F476" s="72">
        <f t="shared" si="103"/>
        <v>308</v>
      </c>
      <c r="G476" s="180">
        <f t="shared" si="99"/>
        <v>367924.27498902282</v>
      </c>
      <c r="H476" s="186">
        <f>-Hotel!$E$100/12</f>
        <v>7392.3894537764108</v>
      </c>
      <c r="I476" s="149">
        <f>Hotel!$E$98/12*G475</f>
        <v>624.48696246722011</v>
      </c>
      <c r="J476" s="187">
        <f t="shared" si="100"/>
        <v>6767.9024913091907</v>
      </c>
      <c r="K476" s="72">
        <f t="shared" si="104"/>
        <v>308</v>
      </c>
      <c r="L476" s="180">
        <f t="shared" si="101"/>
        <v>4461028.1050046552</v>
      </c>
      <c r="M476" s="181">
        <f t="shared" si="101"/>
        <v>93255.530343239312</v>
      </c>
      <c r="N476" s="180">
        <f t="shared" si="101"/>
        <v>14508.098161487469</v>
      </c>
      <c r="O476" s="132">
        <f t="shared" si="101"/>
        <v>78747.432181751836</v>
      </c>
    </row>
    <row r="477" spans="1:15" x14ac:dyDescent="0.25">
      <c r="A477" s="72">
        <f t="shared" si="102"/>
        <v>309</v>
      </c>
      <c r="B477" s="183">
        <f t="shared" si="97"/>
        <v>4020884.3685595547</v>
      </c>
      <c r="C477" s="184">
        <f>-Hotel!$E$95/12</f>
        <v>85863.140889462898</v>
      </c>
      <c r="D477" s="183">
        <f>Hotel!$E$93/12*B476</f>
        <v>13643.679433385441</v>
      </c>
      <c r="E477" s="185">
        <f t="shared" si="98"/>
        <v>72219.461456077464</v>
      </c>
      <c r="F477" s="72">
        <f t="shared" si="103"/>
        <v>309</v>
      </c>
      <c r="G477" s="180">
        <f t="shared" si="99"/>
        <v>361145.09266022808</v>
      </c>
      <c r="H477" s="186">
        <f>-Hotel!$E$100/12</f>
        <v>7392.3894537764108</v>
      </c>
      <c r="I477" s="149">
        <f>Hotel!$E$98/12*G476</f>
        <v>613.20712498170474</v>
      </c>
      <c r="J477" s="187">
        <f t="shared" si="100"/>
        <v>6779.1823287947063</v>
      </c>
      <c r="K477" s="72">
        <f t="shared" si="104"/>
        <v>309</v>
      </c>
      <c r="L477" s="180">
        <f t="shared" si="101"/>
        <v>4382029.4612197829</v>
      </c>
      <c r="M477" s="181">
        <f t="shared" si="101"/>
        <v>93255.530343239312</v>
      </c>
      <c r="N477" s="180">
        <f t="shared" si="101"/>
        <v>14256.886558367147</v>
      </c>
      <c r="O477" s="132">
        <f t="shared" si="101"/>
        <v>78998.643784872169</v>
      </c>
    </row>
    <row r="478" spans="1:15" x14ac:dyDescent="0.25">
      <c r="A478" s="72">
        <f t="shared" si="102"/>
        <v>310</v>
      </c>
      <c r="B478" s="183">
        <f t="shared" si="97"/>
        <v>3948424.1755652903</v>
      </c>
      <c r="C478" s="184">
        <f>-Hotel!$E$95/12</f>
        <v>85863.140889462898</v>
      </c>
      <c r="D478" s="183">
        <f>Hotel!$E$93/12*B477</f>
        <v>13402.947895198517</v>
      </c>
      <c r="E478" s="185">
        <f t="shared" si="98"/>
        <v>72460.192994264376</v>
      </c>
      <c r="F478" s="72">
        <f t="shared" si="103"/>
        <v>310</v>
      </c>
      <c r="G478" s="180">
        <f t="shared" si="99"/>
        <v>354354.61169421871</v>
      </c>
      <c r="H478" s="186">
        <f>-Hotel!$E$100/12</f>
        <v>7392.3894537764108</v>
      </c>
      <c r="I478" s="149">
        <f>Hotel!$E$98/12*G477</f>
        <v>601.90848776704684</v>
      </c>
      <c r="J478" s="187">
        <f t="shared" si="100"/>
        <v>6790.4809660093642</v>
      </c>
      <c r="K478" s="72">
        <f t="shared" si="104"/>
        <v>310</v>
      </c>
      <c r="L478" s="180">
        <f t="shared" si="101"/>
        <v>4302778.7872595089</v>
      </c>
      <c r="M478" s="181">
        <f t="shared" si="101"/>
        <v>93255.530343239312</v>
      </c>
      <c r="N478" s="180">
        <f t="shared" si="101"/>
        <v>14004.856382965563</v>
      </c>
      <c r="O478" s="132">
        <f t="shared" si="101"/>
        <v>79250.673960273736</v>
      </c>
    </row>
    <row r="479" spans="1:15" x14ac:dyDescent="0.25">
      <c r="A479" s="72">
        <f t="shared" si="102"/>
        <v>311</v>
      </c>
      <c r="B479" s="183">
        <f t="shared" si="97"/>
        <v>3875722.4485943783</v>
      </c>
      <c r="C479" s="184">
        <f>-Hotel!$E$95/12</f>
        <v>85863.140889462898</v>
      </c>
      <c r="D479" s="183">
        <f>Hotel!$E$93/12*B478</f>
        <v>13161.413918550968</v>
      </c>
      <c r="E479" s="185">
        <f t="shared" si="98"/>
        <v>72701.726970911928</v>
      </c>
      <c r="F479" s="72">
        <f t="shared" si="103"/>
        <v>311</v>
      </c>
      <c r="G479" s="180">
        <f t="shared" si="99"/>
        <v>347552.81325993268</v>
      </c>
      <c r="H479" s="186">
        <f>-Hotel!$E$100/12</f>
        <v>7392.3894537764108</v>
      </c>
      <c r="I479" s="149">
        <f>Hotel!$E$98/12*G478</f>
        <v>590.5910194903646</v>
      </c>
      <c r="J479" s="187">
        <f t="shared" si="100"/>
        <v>6801.7984342860464</v>
      </c>
      <c r="K479" s="72">
        <f t="shared" si="104"/>
        <v>311</v>
      </c>
      <c r="L479" s="180">
        <f t="shared" si="101"/>
        <v>4223275.2618543115</v>
      </c>
      <c r="M479" s="181">
        <f t="shared" si="101"/>
        <v>93255.530343239312</v>
      </c>
      <c r="N479" s="180">
        <f t="shared" si="101"/>
        <v>13752.004938041333</v>
      </c>
      <c r="O479" s="132">
        <f t="shared" si="101"/>
        <v>79503.525405197972</v>
      </c>
    </row>
    <row r="480" spans="1:15" x14ac:dyDescent="0.25">
      <c r="A480" s="72">
        <f t="shared" si="102"/>
        <v>312</v>
      </c>
      <c r="B480" s="183">
        <f t="shared" si="97"/>
        <v>3802778.3825335633</v>
      </c>
      <c r="C480" s="184">
        <f>-Hotel!$E$95/12</f>
        <v>85863.140889462898</v>
      </c>
      <c r="D480" s="183">
        <f>Hotel!$E$93/12*B479</f>
        <v>12919.074828647928</v>
      </c>
      <c r="E480" s="185">
        <f t="shared" si="98"/>
        <v>72944.066060814977</v>
      </c>
      <c r="F480" s="72">
        <f t="shared" si="103"/>
        <v>312</v>
      </c>
      <c r="G480" s="180">
        <f t="shared" si="99"/>
        <v>340739.67849492282</v>
      </c>
      <c r="H480" s="186">
        <f>-Hotel!$E$100/12</f>
        <v>7392.3894537764108</v>
      </c>
      <c r="I480" s="149">
        <f>Hotel!$E$98/12*G479</f>
        <v>579.25468876655452</v>
      </c>
      <c r="J480" s="187">
        <f t="shared" si="100"/>
        <v>6813.134765009856</v>
      </c>
      <c r="K480" s="72">
        <f t="shared" si="104"/>
        <v>312</v>
      </c>
      <c r="L480" s="180">
        <f t="shared" si="101"/>
        <v>4143518.0610284861</v>
      </c>
      <c r="M480" s="181">
        <f t="shared" si="101"/>
        <v>93255.530343239312</v>
      </c>
      <c r="N480" s="180">
        <f t="shared" si="101"/>
        <v>13498.329517414482</v>
      </c>
      <c r="O480" s="132">
        <f t="shared" si="101"/>
        <v>79757.200825824839</v>
      </c>
    </row>
    <row r="481" spans="1:15" x14ac:dyDescent="0.25">
      <c r="A481" s="72">
        <f t="shared" si="102"/>
        <v>313</v>
      </c>
      <c r="B481" s="183">
        <f t="shared" si="97"/>
        <v>3729591.169585879</v>
      </c>
      <c r="C481" s="184">
        <f>-Hotel!$E$95/12</f>
        <v>85863.140889462898</v>
      </c>
      <c r="D481" s="183">
        <f>Hotel!$E$93/12*B480</f>
        <v>12675.927941778546</v>
      </c>
      <c r="E481" s="185">
        <f t="shared" si="98"/>
        <v>73187.212947684355</v>
      </c>
      <c r="F481" s="72">
        <f t="shared" si="103"/>
        <v>313</v>
      </c>
      <c r="G481" s="180">
        <f t="shared" si="99"/>
        <v>333915.18850530463</v>
      </c>
      <c r="H481" s="186">
        <f>-Hotel!$E$100/12</f>
        <v>7392.3894537764108</v>
      </c>
      <c r="I481" s="149">
        <f>Hotel!$E$98/12*G480</f>
        <v>567.89946415820475</v>
      </c>
      <c r="J481" s="187">
        <f t="shared" si="100"/>
        <v>6824.489989618206</v>
      </c>
      <c r="K481" s="72">
        <f t="shared" si="104"/>
        <v>313</v>
      </c>
      <c r="L481" s="180">
        <f t="shared" si="101"/>
        <v>4063506.3580911835</v>
      </c>
      <c r="M481" s="181">
        <f t="shared" si="101"/>
        <v>93255.530343239312</v>
      </c>
      <c r="N481" s="180">
        <f t="shared" si="101"/>
        <v>13243.82740593675</v>
      </c>
      <c r="O481" s="132">
        <f t="shared" si="101"/>
        <v>80011.702937302558</v>
      </c>
    </row>
    <row r="482" spans="1:15" x14ac:dyDescent="0.25">
      <c r="A482" s="72">
        <f t="shared" si="102"/>
        <v>314</v>
      </c>
      <c r="B482" s="183">
        <f t="shared" si="97"/>
        <v>3656159.9992617024</v>
      </c>
      <c r="C482" s="184">
        <f>-Hotel!$E$95/12</f>
        <v>85863.140889462898</v>
      </c>
      <c r="D482" s="183">
        <f>Hotel!$E$93/12*B481</f>
        <v>12431.970565286265</v>
      </c>
      <c r="E482" s="185">
        <f t="shared" si="98"/>
        <v>73431.170324176637</v>
      </c>
      <c r="F482" s="72">
        <f t="shared" si="103"/>
        <v>314</v>
      </c>
      <c r="G482" s="180">
        <f t="shared" si="99"/>
        <v>327079.32436570374</v>
      </c>
      <c r="H482" s="186">
        <f>-Hotel!$E$100/12</f>
        <v>7392.3894537764108</v>
      </c>
      <c r="I482" s="149">
        <f>Hotel!$E$98/12*G481</f>
        <v>556.52531417550779</v>
      </c>
      <c r="J482" s="187">
        <f t="shared" si="100"/>
        <v>6835.8641396009034</v>
      </c>
      <c r="K482" s="72">
        <f t="shared" si="104"/>
        <v>314</v>
      </c>
      <c r="L482" s="180">
        <f t="shared" si="101"/>
        <v>3983239.3236274063</v>
      </c>
      <c r="M482" s="181">
        <f t="shared" si="101"/>
        <v>93255.530343239312</v>
      </c>
      <c r="N482" s="180">
        <f t="shared" si="101"/>
        <v>12988.495879461772</v>
      </c>
      <c r="O482" s="132">
        <f t="shared" si="101"/>
        <v>80267.034463777542</v>
      </c>
    </row>
    <row r="483" spans="1:15" x14ac:dyDescent="0.25">
      <c r="A483" s="72">
        <f t="shared" si="102"/>
        <v>315</v>
      </c>
      <c r="B483" s="183">
        <f t="shared" si="97"/>
        <v>3582484.0583697786</v>
      </c>
      <c r="C483" s="184">
        <f>-Hotel!$E$95/12</f>
        <v>85863.140889462898</v>
      </c>
      <c r="D483" s="183">
        <f>Hotel!$E$93/12*B482</f>
        <v>12187.199997539008</v>
      </c>
      <c r="E483" s="185">
        <f t="shared" si="98"/>
        <v>73675.940891923892</v>
      </c>
      <c r="F483" s="72">
        <f t="shared" si="103"/>
        <v>315</v>
      </c>
      <c r="G483" s="180">
        <f t="shared" si="99"/>
        <v>320232.06711920351</v>
      </c>
      <c r="H483" s="186">
        <f>-Hotel!$E$100/12</f>
        <v>7392.3894537764108</v>
      </c>
      <c r="I483" s="149">
        <f>Hotel!$E$98/12*G482</f>
        <v>545.13220727617295</v>
      </c>
      <c r="J483" s="187">
        <f t="shared" si="100"/>
        <v>6847.2572465002377</v>
      </c>
      <c r="K483" s="72">
        <f t="shared" si="104"/>
        <v>315</v>
      </c>
      <c r="L483" s="180">
        <f t="shared" si="101"/>
        <v>3902716.1254889821</v>
      </c>
      <c r="M483" s="181">
        <f t="shared" si="101"/>
        <v>93255.530343239312</v>
      </c>
      <c r="N483" s="180">
        <f t="shared" si="101"/>
        <v>12732.33220481518</v>
      </c>
      <c r="O483" s="132">
        <f t="shared" si="101"/>
        <v>80523.198138424137</v>
      </c>
    </row>
    <row r="484" spans="1:15" x14ac:dyDescent="0.25">
      <c r="A484" s="72">
        <f t="shared" si="102"/>
        <v>316</v>
      </c>
      <c r="B484" s="183">
        <f t="shared" si="97"/>
        <v>3508562.5310082147</v>
      </c>
      <c r="C484" s="184">
        <f>-Hotel!$E$95/12</f>
        <v>85863.140889462898</v>
      </c>
      <c r="D484" s="183">
        <f>Hotel!$E$93/12*B483</f>
        <v>11941.613527899262</v>
      </c>
      <c r="E484" s="185">
        <f t="shared" si="98"/>
        <v>73921.52736156364</v>
      </c>
      <c r="F484" s="72">
        <f t="shared" si="103"/>
        <v>316</v>
      </c>
      <c r="G484" s="180">
        <f t="shared" si="99"/>
        <v>313373.39777729241</v>
      </c>
      <c r="H484" s="186">
        <f>-Hotel!$E$100/12</f>
        <v>7392.3894537764108</v>
      </c>
      <c r="I484" s="149">
        <f>Hotel!$E$98/12*G483</f>
        <v>533.72011186533916</v>
      </c>
      <c r="J484" s="187">
        <f t="shared" si="100"/>
        <v>6858.6693419110716</v>
      </c>
      <c r="K484" s="72">
        <f t="shared" si="104"/>
        <v>316</v>
      </c>
      <c r="L484" s="180">
        <f t="shared" si="101"/>
        <v>3821935.9287855071</v>
      </c>
      <c r="M484" s="181">
        <f t="shared" si="101"/>
        <v>93255.530343239312</v>
      </c>
      <c r="N484" s="180">
        <f t="shared" si="101"/>
        <v>12475.333639764602</v>
      </c>
      <c r="O484" s="132">
        <f t="shared" si="101"/>
        <v>80780.196703474707</v>
      </c>
    </row>
    <row r="485" spans="1:15" x14ac:dyDescent="0.25">
      <c r="A485" s="72">
        <f t="shared" si="102"/>
        <v>317</v>
      </c>
      <c r="B485" s="183">
        <f t="shared" si="97"/>
        <v>3434394.5985554457</v>
      </c>
      <c r="C485" s="184">
        <f>-Hotel!$E$95/12</f>
        <v>85863.140889462898</v>
      </c>
      <c r="D485" s="183">
        <f>Hotel!$E$93/12*B484</f>
        <v>11695.208436694049</v>
      </c>
      <c r="E485" s="185">
        <f t="shared" si="98"/>
        <v>74167.932452768844</v>
      </c>
      <c r="F485" s="72">
        <f t="shared" si="103"/>
        <v>317</v>
      </c>
      <c r="G485" s="180">
        <f t="shared" si="99"/>
        <v>306503.29731981148</v>
      </c>
      <c r="H485" s="186">
        <f>-Hotel!$E$100/12</f>
        <v>7392.3894537764108</v>
      </c>
      <c r="I485" s="149">
        <f>Hotel!$E$98/12*G484</f>
        <v>522.28899629548744</v>
      </c>
      <c r="J485" s="187">
        <f t="shared" si="100"/>
        <v>6870.1004574809231</v>
      </c>
      <c r="K485" s="72">
        <f t="shared" si="104"/>
        <v>317</v>
      </c>
      <c r="L485" s="180">
        <f t="shared" si="101"/>
        <v>3740897.895875257</v>
      </c>
      <c r="M485" s="181">
        <f t="shared" si="101"/>
        <v>93255.530343239312</v>
      </c>
      <c r="N485" s="180">
        <f t="shared" si="101"/>
        <v>12217.497432989536</v>
      </c>
      <c r="O485" s="132">
        <f t="shared" si="101"/>
        <v>81038.032910249764</v>
      </c>
    </row>
    <row r="486" spans="1:15" x14ac:dyDescent="0.25">
      <c r="A486" s="72">
        <f t="shared" si="102"/>
        <v>318</v>
      </c>
      <c r="B486" s="183">
        <f t="shared" si="97"/>
        <v>3359979.4396611676</v>
      </c>
      <c r="C486" s="184">
        <f>-Hotel!$E$95/12</f>
        <v>85863.140889462898</v>
      </c>
      <c r="D486" s="183">
        <f>Hotel!$E$93/12*B485</f>
        <v>11447.98199518482</v>
      </c>
      <c r="E486" s="185">
        <f t="shared" si="98"/>
        <v>74415.15889427808</v>
      </c>
      <c r="F486" s="72">
        <f t="shared" si="103"/>
        <v>318</v>
      </c>
      <c r="G486" s="180">
        <f t="shared" si="99"/>
        <v>299621.74669490143</v>
      </c>
      <c r="H486" s="186">
        <f>-Hotel!$E$100/12</f>
        <v>7392.3894537764108</v>
      </c>
      <c r="I486" s="149">
        <f>Hotel!$E$98/12*G485</f>
        <v>510.83882886635251</v>
      </c>
      <c r="J486" s="187">
        <f t="shared" si="100"/>
        <v>6881.5506249100581</v>
      </c>
      <c r="K486" s="72">
        <f t="shared" si="104"/>
        <v>318</v>
      </c>
      <c r="L486" s="180">
        <f t="shared" si="101"/>
        <v>3659601.1863560691</v>
      </c>
      <c r="M486" s="181">
        <f t="shared" si="101"/>
        <v>93255.530343239312</v>
      </c>
      <c r="N486" s="180">
        <f t="shared" si="101"/>
        <v>11958.820824051172</v>
      </c>
      <c r="O486" s="132">
        <f t="shared" si="101"/>
        <v>81296.709519188138</v>
      </c>
    </row>
    <row r="487" spans="1:15" x14ac:dyDescent="0.25">
      <c r="A487" s="72">
        <f t="shared" si="102"/>
        <v>319</v>
      </c>
      <c r="B487" s="183">
        <f t="shared" si="97"/>
        <v>3285316.2302372418</v>
      </c>
      <c r="C487" s="184">
        <f>-Hotel!$E$95/12</f>
        <v>85863.140889462898</v>
      </c>
      <c r="D487" s="183">
        <f>Hotel!$E$93/12*B486</f>
        <v>11199.931465537225</v>
      </c>
      <c r="E487" s="185">
        <f t="shared" si="98"/>
        <v>74663.209423925669</v>
      </c>
      <c r="F487" s="72">
        <f t="shared" si="103"/>
        <v>319</v>
      </c>
      <c r="G487" s="180">
        <f t="shared" si="99"/>
        <v>292728.72681894986</v>
      </c>
      <c r="H487" s="186">
        <f>-Hotel!$E$100/12</f>
        <v>7392.3894537764108</v>
      </c>
      <c r="I487" s="149">
        <f>Hotel!$E$98/12*G486</f>
        <v>499.36957782483574</v>
      </c>
      <c r="J487" s="187">
        <f t="shared" si="100"/>
        <v>6893.0198759515752</v>
      </c>
      <c r="K487" s="72">
        <f t="shared" si="104"/>
        <v>319</v>
      </c>
      <c r="L487" s="180">
        <f t="shared" si="101"/>
        <v>3578044.9570561917</v>
      </c>
      <c r="M487" s="181">
        <f t="shared" si="101"/>
        <v>93255.530343239312</v>
      </c>
      <c r="N487" s="180">
        <f t="shared" si="101"/>
        <v>11699.301043362062</v>
      </c>
      <c r="O487" s="132">
        <f t="shared" si="101"/>
        <v>81556.229299877246</v>
      </c>
    </row>
    <row r="488" spans="1:15" x14ac:dyDescent="0.25">
      <c r="A488" s="72">
        <f t="shared" si="102"/>
        <v>320</v>
      </c>
      <c r="B488" s="183">
        <f t="shared" si="97"/>
        <v>3210404.1434485698</v>
      </c>
      <c r="C488" s="184">
        <f>-Hotel!$E$95/12</f>
        <v>85863.140889462898</v>
      </c>
      <c r="D488" s="183">
        <f>Hotel!$E$93/12*B487</f>
        <v>10951.054100790807</v>
      </c>
      <c r="E488" s="185">
        <f t="shared" si="98"/>
        <v>74912.086788672095</v>
      </c>
      <c r="F488" s="72">
        <f t="shared" si="103"/>
        <v>320</v>
      </c>
      <c r="G488" s="180">
        <f t="shared" si="99"/>
        <v>285824.21857653838</v>
      </c>
      <c r="H488" s="186">
        <f>-Hotel!$E$100/12</f>
        <v>7392.3894537764108</v>
      </c>
      <c r="I488" s="149">
        <f>Hotel!$E$98/12*G487</f>
        <v>487.88121136491645</v>
      </c>
      <c r="J488" s="187">
        <f t="shared" si="100"/>
        <v>6904.5082424114944</v>
      </c>
      <c r="K488" s="72">
        <f t="shared" si="104"/>
        <v>320</v>
      </c>
      <c r="L488" s="180">
        <f t="shared" si="101"/>
        <v>3496228.3620251082</v>
      </c>
      <c r="M488" s="181">
        <f t="shared" si="101"/>
        <v>93255.530343239312</v>
      </c>
      <c r="N488" s="180">
        <f t="shared" si="101"/>
        <v>11438.935312155723</v>
      </c>
      <c r="O488" s="132">
        <f t="shared" ref="O488:O528" si="105">J488+E488</f>
        <v>81816.595031083591</v>
      </c>
    </row>
    <row r="489" spans="1:15" x14ac:dyDescent="0.25">
      <c r="A489" s="72">
        <f t="shared" si="102"/>
        <v>321</v>
      </c>
      <c r="B489" s="183">
        <f t="shared" ref="B489:B528" si="106">B488-E489</f>
        <v>3135242.3497039354</v>
      </c>
      <c r="C489" s="184">
        <f>-Hotel!$E$95/12</f>
        <v>85863.140889462898</v>
      </c>
      <c r="D489" s="183">
        <f>Hotel!$E$93/12*B488</f>
        <v>10701.347144828567</v>
      </c>
      <c r="E489" s="185">
        <f t="shared" ref="E489:E528" si="107">C489-D489</f>
        <v>75161.793744634328</v>
      </c>
      <c r="F489" s="72">
        <f t="shared" si="103"/>
        <v>321</v>
      </c>
      <c r="G489" s="180">
        <f t="shared" ref="G489:G528" si="108">G488-J489</f>
        <v>278908.20282038953</v>
      </c>
      <c r="H489" s="186">
        <f>-Hotel!$E$100/12</f>
        <v>7392.3894537764108</v>
      </c>
      <c r="I489" s="149">
        <f>Hotel!$E$98/12*G488</f>
        <v>476.37369762756401</v>
      </c>
      <c r="J489" s="187">
        <f t="shared" ref="J489:J528" si="109">H489-I489</f>
        <v>6916.0157561488468</v>
      </c>
      <c r="K489" s="72">
        <f t="shared" si="104"/>
        <v>321</v>
      </c>
      <c r="L489" s="180">
        <f t="shared" ref="L489:N528" si="110">G489+B489</f>
        <v>3414150.552524325</v>
      </c>
      <c r="M489" s="181">
        <f t="shared" si="110"/>
        <v>93255.530343239312</v>
      </c>
      <c r="N489" s="180">
        <f t="shared" si="110"/>
        <v>11177.72084245613</v>
      </c>
      <c r="O489" s="132">
        <f t="shared" si="105"/>
        <v>82077.809500783173</v>
      </c>
    </row>
    <row r="490" spans="1:15" x14ac:dyDescent="0.25">
      <c r="A490" s="72">
        <f t="shared" ref="A490:A528" si="111">A489+1</f>
        <v>322</v>
      </c>
      <c r="B490" s="183">
        <f t="shared" si="106"/>
        <v>3059830.0166468192</v>
      </c>
      <c r="C490" s="184">
        <f>-Hotel!$E$95/12</f>
        <v>85863.140889462898</v>
      </c>
      <c r="D490" s="183">
        <f>Hotel!$E$93/12*B489</f>
        <v>10450.807832346452</v>
      </c>
      <c r="E490" s="185">
        <f t="shared" si="107"/>
        <v>75412.333057116441</v>
      </c>
      <c r="F490" s="72">
        <f t="shared" ref="F490:F528" si="112">F489+1</f>
        <v>322</v>
      </c>
      <c r="G490" s="180">
        <f t="shared" si="108"/>
        <v>271980.66037131374</v>
      </c>
      <c r="H490" s="186">
        <f>-Hotel!$E$100/12</f>
        <v>7392.3894537764108</v>
      </c>
      <c r="I490" s="149">
        <f>Hotel!$E$98/12*G489</f>
        <v>464.84700470064922</v>
      </c>
      <c r="J490" s="187">
        <f t="shared" si="109"/>
        <v>6927.5424490757614</v>
      </c>
      <c r="K490" s="72">
        <f t="shared" ref="K490:K528" si="113">K489+1</f>
        <v>322</v>
      </c>
      <c r="L490" s="180">
        <f t="shared" si="110"/>
        <v>3331810.677018133</v>
      </c>
      <c r="M490" s="181">
        <f t="shared" si="110"/>
        <v>93255.530343239312</v>
      </c>
      <c r="N490" s="180">
        <f t="shared" si="110"/>
        <v>10915.654837047101</v>
      </c>
      <c r="O490" s="132">
        <f t="shared" si="105"/>
        <v>82339.875506192198</v>
      </c>
    </row>
    <row r="491" spans="1:15" x14ac:dyDescent="0.25">
      <c r="A491" s="72">
        <f t="shared" si="111"/>
        <v>323</v>
      </c>
      <c r="B491" s="183">
        <f t="shared" si="106"/>
        <v>2984166.3091461789</v>
      </c>
      <c r="C491" s="184">
        <f>-Hotel!$E$95/12</f>
        <v>85863.140889462898</v>
      </c>
      <c r="D491" s="183">
        <f>Hotel!$E$93/12*B490</f>
        <v>10199.433388822732</v>
      </c>
      <c r="E491" s="185">
        <f t="shared" si="107"/>
        <v>75663.707500640172</v>
      </c>
      <c r="F491" s="72">
        <f t="shared" si="112"/>
        <v>323</v>
      </c>
      <c r="G491" s="180">
        <f t="shared" si="108"/>
        <v>265041.57201815618</v>
      </c>
      <c r="H491" s="186">
        <f>-Hotel!$E$100/12</f>
        <v>7392.3894537764108</v>
      </c>
      <c r="I491" s="149">
        <f>Hotel!$E$98/12*G490</f>
        <v>453.30110061885625</v>
      </c>
      <c r="J491" s="187">
        <f t="shared" si="109"/>
        <v>6939.0883531575546</v>
      </c>
      <c r="K491" s="72">
        <f t="shared" si="113"/>
        <v>323</v>
      </c>
      <c r="L491" s="180">
        <f t="shared" si="110"/>
        <v>3249207.8811643352</v>
      </c>
      <c r="M491" s="181">
        <f t="shared" si="110"/>
        <v>93255.530343239312</v>
      </c>
      <c r="N491" s="180">
        <f t="shared" si="110"/>
        <v>10652.734489441587</v>
      </c>
      <c r="O491" s="132">
        <f t="shared" si="105"/>
        <v>82602.795853797725</v>
      </c>
    </row>
    <row r="492" spans="1:15" x14ac:dyDescent="0.25">
      <c r="A492" s="72">
        <f t="shared" si="111"/>
        <v>324</v>
      </c>
      <c r="B492" s="183">
        <f t="shared" si="106"/>
        <v>2908250.3892872031</v>
      </c>
      <c r="C492" s="184">
        <f>-Hotel!$E$95/12</f>
        <v>85863.140889462898</v>
      </c>
      <c r="D492" s="183">
        <f>Hotel!$E$93/12*B491</f>
        <v>9947.2210304872642</v>
      </c>
      <c r="E492" s="185">
        <f t="shared" si="107"/>
        <v>75915.919858975627</v>
      </c>
      <c r="F492" s="72">
        <f t="shared" si="112"/>
        <v>324</v>
      </c>
      <c r="G492" s="180">
        <f t="shared" si="108"/>
        <v>258090.91851774335</v>
      </c>
      <c r="H492" s="186">
        <f>-Hotel!$E$100/12</f>
        <v>7392.3894537764108</v>
      </c>
      <c r="I492" s="149">
        <f>Hotel!$E$98/12*G491</f>
        <v>441.73595336359364</v>
      </c>
      <c r="J492" s="187">
        <f t="shared" si="109"/>
        <v>6950.6535004128173</v>
      </c>
      <c r="K492" s="72">
        <f t="shared" si="113"/>
        <v>324</v>
      </c>
      <c r="L492" s="180">
        <f t="shared" si="110"/>
        <v>3166341.3078049463</v>
      </c>
      <c r="M492" s="181">
        <f t="shared" si="110"/>
        <v>93255.530343239312</v>
      </c>
      <c r="N492" s="180">
        <f t="shared" si="110"/>
        <v>10388.956983850858</v>
      </c>
      <c r="O492" s="132">
        <f t="shared" si="105"/>
        <v>82866.573359388451</v>
      </c>
    </row>
    <row r="493" spans="1:15" x14ac:dyDescent="0.25">
      <c r="A493" s="72">
        <f t="shared" si="111"/>
        <v>325</v>
      </c>
      <c r="B493" s="183">
        <f t="shared" si="106"/>
        <v>2832081.4163620309</v>
      </c>
      <c r="C493" s="184">
        <f>-Hotel!$E$95/12</f>
        <v>85863.140889462898</v>
      </c>
      <c r="D493" s="183">
        <f>Hotel!$E$93/12*B492</f>
        <v>9694.1679642906784</v>
      </c>
      <c r="E493" s="185">
        <f t="shared" si="107"/>
        <v>76168.972925172216</v>
      </c>
      <c r="F493" s="72">
        <f t="shared" si="112"/>
        <v>325</v>
      </c>
      <c r="G493" s="180">
        <f t="shared" si="108"/>
        <v>251128.68059482984</v>
      </c>
      <c r="H493" s="186">
        <f>-Hotel!$E$100/12</f>
        <v>7392.3894537764108</v>
      </c>
      <c r="I493" s="149">
        <f>Hotel!$E$98/12*G492</f>
        <v>430.15153086290564</v>
      </c>
      <c r="J493" s="187">
        <f t="shared" si="109"/>
        <v>6962.2379229135049</v>
      </c>
      <c r="K493" s="72">
        <f t="shared" si="113"/>
        <v>325</v>
      </c>
      <c r="L493" s="180">
        <f t="shared" si="110"/>
        <v>3083210.0969568607</v>
      </c>
      <c r="M493" s="181">
        <f t="shared" si="110"/>
        <v>93255.530343239312</v>
      </c>
      <c r="N493" s="180">
        <f t="shared" si="110"/>
        <v>10124.319495153584</v>
      </c>
      <c r="O493" s="132">
        <f t="shared" si="105"/>
        <v>83131.210848085728</v>
      </c>
    </row>
    <row r="494" spans="1:15" x14ac:dyDescent="0.25">
      <c r="A494" s="72">
        <f t="shared" si="111"/>
        <v>326</v>
      </c>
      <c r="B494" s="183">
        <f t="shared" si="106"/>
        <v>2755658.5468604416</v>
      </c>
      <c r="C494" s="184">
        <f>-Hotel!$E$95/12</f>
        <v>85863.140889462898</v>
      </c>
      <c r="D494" s="183">
        <f>Hotel!$E$93/12*B493</f>
        <v>9440.2713878734376</v>
      </c>
      <c r="E494" s="185">
        <f t="shared" si="107"/>
        <v>76422.869501589463</v>
      </c>
      <c r="F494" s="72">
        <f t="shared" si="112"/>
        <v>326</v>
      </c>
      <c r="G494" s="180">
        <f t="shared" si="108"/>
        <v>244154.83894204482</v>
      </c>
      <c r="H494" s="186">
        <f>-Hotel!$E$100/12</f>
        <v>7392.3894537764108</v>
      </c>
      <c r="I494" s="149">
        <f>Hotel!$E$98/12*G493</f>
        <v>418.5478009913831</v>
      </c>
      <c r="J494" s="187">
        <f t="shared" si="109"/>
        <v>6973.8416527850277</v>
      </c>
      <c r="K494" s="72">
        <f t="shared" si="113"/>
        <v>326</v>
      </c>
      <c r="L494" s="180">
        <f t="shared" si="110"/>
        <v>2999813.3858024864</v>
      </c>
      <c r="M494" s="181">
        <f t="shared" si="110"/>
        <v>93255.530343239312</v>
      </c>
      <c r="N494" s="180">
        <f t="shared" si="110"/>
        <v>9858.8191888648198</v>
      </c>
      <c r="O494" s="132">
        <f t="shared" si="105"/>
        <v>83396.711154374498</v>
      </c>
    </row>
    <row r="495" spans="1:15" x14ac:dyDescent="0.25">
      <c r="A495" s="72">
        <f t="shared" si="111"/>
        <v>327</v>
      </c>
      <c r="B495" s="183">
        <f t="shared" si="106"/>
        <v>2678980.9344605133</v>
      </c>
      <c r="C495" s="184">
        <f>-Hotel!$E$95/12</f>
        <v>85863.140889462898</v>
      </c>
      <c r="D495" s="183">
        <f>Hotel!$E$93/12*B494</f>
        <v>9185.528489534805</v>
      </c>
      <c r="E495" s="185">
        <f t="shared" si="107"/>
        <v>76677.612399928097</v>
      </c>
      <c r="F495" s="72">
        <f t="shared" si="112"/>
        <v>327</v>
      </c>
      <c r="G495" s="180">
        <f t="shared" si="108"/>
        <v>237169.37421983847</v>
      </c>
      <c r="H495" s="186">
        <f>-Hotel!$E$100/12</f>
        <v>7392.3894537764108</v>
      </c>
      <c r="I495" s="149">
        <f>Hotel!$E$98/12*G494</f>
        <v>406.92473157007475</v>
      </c>
      <c r="J495" s="187">
        <f t="shared" si="109"/>
        <v>6985.4647222063359</v>
      </c>
      <c r="K495" s="72">
        <f t="shared" si="113"/>
        <v>327</v>
      </c>
      <c r="L495" s="180">
        <f t="shared" si="110"/>
        <v>2916150.3086803518</v>
      </c>
      <c r="M495" s="181">
        <f t="shared" si="110"/>
        <v>93255.530343239312</v>
      </c>
      <c r="N495" s="180">
        <f t="shared" si="110"/>
        <v>9592.453221104879</v>
      </c>
      <c r="O495" s="132">
        <f t="shared" si="105"/>
        <v>83663.077122134433</v>
      </c>
    </row>
    <row r="496" spans="1:15" x14ac:dyDescent="0.25">
      <c r="A496" s="72">
        <f t="shared" si="111"/>
        <v>328</v>
      </c>
      <c r="B496" s="183">
        <f t="shared" si="106"/>
        <v>2602047.7300192523</v>
      </c>
      <c r="C496" s="184">
        <f>-Hotel!$E$95/12</f>
        <v>85863.140889462898</v>
      </c>
      <c r="D496" s="183">
        <f>Hotel!$E$93/12*B495</f>
        <v>8929.9364482017118</v>
      </c>
      <c r="E496" s="185">
        <f t="shared" si="107"/>
        <v>76933.204441261187</v>
      </c>
      <c r="F496" s="72">
        <f t="shared" si="112"/>
        <v>328</v>
      </c>
      <c r="G496" s="180">
        <f t="shared" si="108"/>
        <v>230172.26705642845</v>
      </c>
      <c r="H496" s="186">
        <f>-Hotel!$E$100/12</f>
        <v>7392.3894537764108</v>
      </c>
      <c r="I496" s="149">
        <f>Hotel!$E$98/12*G495</f>
        <v>395.28229036639749</v>
      </c>
      <c r="J496" s="187">
        <f t="shared" si="109"/>
        <v>6997.1071634100135</v>
      </c>
      <c r="K496" s="72">
        <f t="shared" si="113"/>
        <v>328</v>
      </c>
      <c r="L496" s="180">
        <f t="shared" si="110"/>
        <v>2832219.9970756806</v>
      </c>
      <c r="M496" s="181">
        <f t="shared" si="110"/>
        <v>93255.530343239312</v>
      </c>
      <c r="N496" s="180">
        <f t="shared" si="110"/>
        <v>9325.21873856811</v>
      </c>
      <c r="O496" s="132">
        <f t="shared" si="105"/>
        <v>83930.311604671195</v>
      </c>
    </row>
    <row r="497" spans="1:15" x14ac:dyDescent="0.25">
      <c r="A497" s="72">
        <f t="shared" si="111"/>
        <v>329</v>
      </c>
      <c r="B497" s="183">
        <f t="shared" si="106"/>
        <v>2524858.0815631868</v>
      </c>
      <c r="C497" s="184">
        <f>-Hotel!$E$95/12</f>
        <v>85863.140889462898</v>
      </c>
      <c r="D497" s="183">
        <f>Hotel!$E$93/12*B496</f>
        <v>8673.4924333975086</v>
      </c>
      <c r="E497" s="185">
        <f t="shared" si="107"/>
        <v>77189.648456065392</v>
      </c>
      <c r="F497" s="72">
        <f t="shared" si="112"/>
        <v>329</v>
      </c>
      <c r="G497" s="180">
        <f t="shared" si="108"/>
        <v>223163.49804774608</v>
      </c>
      <c r="H497" s="186">
        <f>-Hotel!$E$100/12</f>
        <v>7392.3894537764108</v>
      </c>
      <c r="I497" s="149">
        <f>Hotel!$E$98/12*G496</f>
        <v>383.62044509404745</v>
      </c>
      <c r="J497" s="187">
        <f t="shared" si="109"/>
        <v>7008.7690086823632</v>
      </c>
      <c r="K497" s="72">
        <f t="shared" si="113"/>
        <v>329</v>
      </c>
      <c r="L497" s="180">
        <f t="shared" si="110"/>
        <v>2748021.5796109331</v>
      </c>
      <c r="M497" s="181">
        <f t="shared" si="110"/>
        <v>93255.530343239312</v>
      </c>
      <c r="N497" s="180">
        <f t="shared" si="110"/>
        <v>9057.1128784915563</v>
      </c>
      <c r="O497" s="132">
        <f t="shared" si="105"/>
        <v>84198.417464747748</v>
      </c>
    </row>
    <row r="498" spans="1:15" x14ac:dyDescent="0.25">
      <c r="A498" s="72">
        <f t="shared" si="111"/>
        <v>330</v>
      </c>
      <c r="B498" s="183">
        <f t="shared" si="106"/>
        <v>2447411.1342789344</v>
      </c>
      <c r="C498" s="184">
        <f>-Hotel!$E$95/12</f>
        <v>85863.140889462898</v>
      </c>
      <c r="D498" s="183">
        <f>Hotel!$E$93/12*B497</f>
        <v>8416.193605210623</v>
      </c>
      <c r="E498" s="185">
        <f t="shared" si="107"/>
        <v>77446.947284252281</v>
      </c>
      <c r="F498" s="72">
        <f t="shared" si="112"/>
        <v>330</v>
      </c>
      <c r="G498" s="180">
        <f t="shared" si="108"/>
        <v>216143.04775738256</v>
      </c>
      <c r="H498" s="186">
        <f>-Hotel!$E$100/12</f>
        <v>7392.3894537764108</v>
      </c>
      <c r="I498" s="149">
        <f>Hotel!$E$98/12*G497</f>
        <v>371.93916341291015</v>
      </c>
      <c r="J498" s="187">
        <f t="shared" si="109"/>
        <v>7020.4502903635002</v>
      </c>
      <c r="K498" s="72">
        <f t="shared" si="113"/>
        <v>330</v>
      </c>
      <c r="L498" s="180">
        <f t="shared" si="110"/>
        <v>2663554.182036317</v>
      </c>
      <c r="M498" s="181">
        <f t="shared" si="110"/>
        <v>93255.530343239312</v>
      </c>
      <c r="N498" s="180">
        <f t="shared" si="110"/>
        <v>8788.1327686235327</v>
      </c>
      <c r="O498" s="132">
        <f t="shared" si="105"/>
        <v>84467.397574615781</v>
      </c>
    </row>
    <row r="499" spans="1:15" x14ac:dyDescent="0.25">
      <c r="A499" s="72">
        <f t="shared" si="111"/>
        <v>331</v>
      </c>
      <c r="B499" s="183">
        <f t="shared" si="106"/>
        <v>2369706.0305037345</v>
      </c>
      <c r="C499" s="184">
        <f>-Hotel!$E$95/12</f>
        <v>85863.140889462898</v>
      </c>
      <c r="D499" s="183">
        <f>Hotel!$E$93/12*B498</f>
        <v>8158.0371142631157</v>
      </c>
      <c r="E499" s="185">
        <f t="shared" si="107"/>
        <v>77705.103775199779</v>
      </c>
      <c r="F499" s="72">
        <f t="shared" si="112"/>
        <v>331</v>
      </c>
      <c r="G499" s="180">
        <f t="shared" si="108"/>
        <v>209110.89671653512</v>
      </c>
      <c r="H499" s="186">
        <f>-Hotel!$E$100/12</f>
        <v>7392.3894537764108</v>
      </c>
      <c r="I499" s="149">
        <f>Hotel!$E$98/12*G498</f>
        <v>360.23841292897094</v>
      </c>
      <c r="J499" s="187">
        <f t="shared" si="109"/>
        <v>7032.1510408474396</v>
      </c>
      <c r="K499" s="72">
        <f t="shared" si="113"/>
        <v>331</v>
      </c>
      <c r="L499" s="180">
        <f t="shared" si="110"/>
        <v>2578816.9272202696</v>
      </c>
      <c r="M499" s="181">
        <f t="shared" si="110"/>
        <v>93255.530343239312</v>
      </c>
      <c r="N499" s="180">
        <f t="shared" si="110"/>
        <v>8518.2755271920869</v>
      </c>
      <c r="O499" s="132">
        <f t="shared" si="105"/>
        <v>84737.254816047222</v>
      </c>
    </row>
    <row r="500" spans="1:15" x14ac:dyDescent="0.25">
      <c r="A500" s="72">
        <f t="shared" si="111"/>
        <v>332</v>
      </c>
      <c r="B500" s="183">
        <f t="shared" si="106"/>
        <v>2291741.9097159505</v>
      </c>
      <c r="C500" s="184">
        <f>-Hotel!$E$95/12</f>
        <v>85863.140889462898</v>
      </c>
      <c r="D500" s="183">
        <f>Hotel!$E$93/12*B499</f>
        <v>7899.0201016791152</v>
      </c>
      <c r="E500" s="185">
        <f t="shared" si="107"/>
        <v>77964.120787783788</v>
      </c>
      <c r="F500" s="72">
        <f t="shared" si="112"/>
        <v>332</v>
      </c>
      <c r="G500" s="180">
        <f t="shared" si="108"/>
        <v>202067.02542395293</v>
      </c>
      <c r="H500" s="186">
        <f>-Hotel!$E$100/12</f>
        <v>7392.3894537764108</v>
      </c>
      <c r="I500" s="149">
        <f>Hotel!$E$98/12*G499</f>
        <v>348.51816119422523</v>
      </c>
      <c r="J500" s="187">
        <f t="shared" si="109"/>
        <v>7043.8712925821856</v>
      </c>
      <c r="K500" s="72">
        <f t="shared" si="113"/>
        <v>332</v>
      </c>
      <c r="L500" s="180">
        <f t="shared" si="110"/>
        <v>2493808.9351399033</v>
      </c>
      <c r="M500" s="181">
        <f t="shared" si="110"/>
        <v>93255.530343239312</v>
      </c>
      <c r="N500" s="180">
        <f t="shared" si="110"/>
        <v>8247.5382628733405</v>
      </c>
      <c r="O500" s="132">
        <f t="shared" si="105"/>
        <v>85007.992080365977</v>
      </c>
    </row>
    <row r="501" spans="1:15" x14ac:dyDescent="0.25">
      <c r="A501" s="72">
        <f t="shared" si="111"/>
        <v>333</v>
      </c>
      <c r="B501" s="183">
        <f t="shared" si="106"/>
        <v>2213517.908525541</v>
      </c>
      <c r="C501" s="184">
        <f>-Hotel!$E$95/12</f>
        <v>85863.140889462898</v>
      </c>
      <c r="D501" s="183">
        <f>Hotel!$E$93/12*B500</f>
        <v>7639.1396990531684</v>
      </c>
      <c r="E501" s="185">
        <f t="shared" si="107"/>
        <v>78224.001190409734</v>
      </c>
      <c r="F501" s="72">
        <f t="shared" si="112"/>
        <v>333</v>
      </c>
      <c r="G501" s="180">
        <f t="shared" si="108"/>
        <v>195011.41434588309</v>
      </c>
      <c r="H501" s="186">
        <f>-Hotel!$E$100/12</f>
        <v>7392.3894537764108</v>
      </c>
      <c r="I501" s="149">
        <f>Hotel!$E$98/12*G500</f>
        <v>336.77837570658824</v>
      </c>
      <c r="J501" s="187">
        <f t="shared" si="109"/>
        <v>7055.6110780698227</v>
      </c>
      <c r="K501" s="72">
        <f t="shared" si="113"/>
        <v>333</v>
      </c>
      <c r="L501" s="180">
        <f t="shared" si="110"/>
        <v>2408529.3228714243</v>
      </c>
      <c r="M501" s="181">
        <f t="shared" si="110"/>
        <v>93255.530343239312</v>
      </c>
      <c r="N501" s="180">
        <f t="shared" si="110"/>
        <v>7975.9180747597566</v>
      </c>
      <c r="O501" s="132">
        <f t="shared" si="105"/>
        <v>85279.612268479555</v>
      </c>
    </row>
    <row r="502" spans="1:15" x14ac:dyDescent="0.25">
      <c r="A502" s="72">
        <f t="shared" si="111"/>
        <v>334</v>
      </c>
      <c r="B502" s="183">
        <f t="shared" si="106"/>
        <v>2135033.1606644965</v>
      </c>
      <c r="C502" s="184">
        <f>-Hotel!$E$95/12</f>
        <v>85863.140889462898</v>
      </c>
      <c r="D502" s="183">
        <f>Hotel!$E$93/12*B501</f>
        <v>7378.3930284184707</v>
      </c>
      <c r="E502" s="185">
        <f t="shared" si="107"/>
        <v>78484.747861044423</v>
      </c>
      <c r="F502" s="72">
        <f t="shared" si="112"/>
        <v>334</v>
      </c>
      <c r="G502" s="180">
        <f t="shared" si="108"/>
        <v>187944.0439160165</v>
      </c>
      <c r="H502" s="186">
        <f>-Hotel!$E$100/12</f>
        <v>7392.3894537764108</v>
      </c>
      <c r="I502" s="149">
        <f>Hotel!$E$98/12*G501</f>
        <v>325.01902390980518</v>
      </c>
      <c r="J502" s="187">
        <f t="shared" si="109"/>
        <v>7067.3704298666053</v>
      </c>
      <c r="K502" s="72">
        <f t="shared" si="113"/>
        <v>334</v>
      </c>
      <c r="L502" s="180">
        <f t="shared" si="110"/>
        <v>2322977.2045805128</v>
      </c>
      <c r="M502" s="181">
        <f t="shared" si="110"/>
        <v>93255.530343239312</v>
      </c>
      <c r="N502" s="180">
        <f t="shared" si="110"/>
        <v>7703.4120523282763</v>
      </c>
      <c r="O502" s="132">
        <f t="shared" si="105"/>
        <v>85552.118290911021</v>
      </c>
    </row>
    <row r="503" spans="1:15" x14ac:dyDescent="0.25">
      <c r="A503" s="72">
        <f t="shared" si="111"/>
        <v>335</v>
      </c>
      <c r="B503" s="183">
        <f t="shared" si="106"/>
        <v>2056286.7969772485</v>
      </c>
      <c r="C503" s="184">
        <f>-Hotel!$E$95/12</f>
        <v>85863.140889462898</v>
      </c>
      <c r="D503" s="183">
        <f>Hotel!$E$93/12*B502</f>
        <v>7116.7772022149884</v>
      </c>
      <c r="E503" s="185">
        <f t="shared" si="107"/>
        <v>78746.363687247911</v>
      </c>
      <c r="F503" s="72">
        <f t="shared" si="112"/>
        <v>335</v>
      </c>
      <c r="G503" s="180">
        <f t="shared" si="108"/>
        <v>180864.89453543344</v>
      </c>
      <c r="H503" s="186">
        <f>-Hotel!$E$100/12</f>
        <v>7392.3894537764108</v>
      </c>
      <c r="I503" s="149">
        <f>Hotel!$E$98/12*G502</f>
        <v>313.24007319336084</v>
      </c>
      <c r="J503" s="187">
        <f t="shared" si="109"/>
        <v>7079.1493805830496</v>
      </c>
      <c r="K503" s="72">
        <f t="shared" si="113"/>
        <v>335</v>
      </c>
      <c r="L503" s="180">
        <f t="shared" si="110"/>
        <v>2237151.691512682</v>
      </c>
      <c r="M503" s="181">
        <f t="shared" si="110"/>
        <v>93255.530343239312</v>
      </c>
      <c r="N503" s="180">
        <f t="shared" si="110"/>
        <v>7430.0172754083496</v>
      </c>
      <c r="O503" s="132">
        <f t="shared" si="105"/>
        <v>85825.513067830965</v>
      </c>
    </row>
    <row r="504" spans="1:15" x14ac:dyDescent="0.25">
      <c r="A504" s="72">
        <f t="shared" si="111"/>
        <v>336</v>
      </c>
      <c r="B504" s="183">
        <f t="shared" si="106"/>
        <v>1977277.945411043</v>
      </c>
      <c r="C504" s="184">
        <f>-Hotel!$E$95/12</f>
        <v>85863.140889462898</v>
      </c>
      <c r="D504" s="183">
        <f>Hotel!$E$93/12*B503</f>
        <v>6854.2893232574952</v>
      </c>
      <c r="E504" s="185">
        <f t="shared" si="107"/>
        <v>79008.851566205398</v>
      </c>
      <c r="F504" s="72">
        <f t="shared" si="112"/>
        <v>336</v>
      </c>
      <c r="G504" s="180">
        <f t="shared" si="108"/>
        <v>173773.94657254941</v>
      </c>
      <c r="H504" s="186">
        <f>-Hotel!$E$100/12</f>
        <v>7392.3894537764108</v>
      </c>
      <c r="I504" s="149">
        <f>Hotel!$E$98/12*G503</f>
        <v>301.44149089238908</v>
      </c>
      <c r="J504" s="187">
        <f t="shared" si="109"/>
        <v>7090.9479628840218</v>
      </c>
      <c r="K504" s="72">
        <f t="shared" si="113"/>
        <v>336</v>
      </c>
      <c r="L504" s="180">
        <f t="shared" si="110"/>
        <v>2151051.8919835924</v>
      </c>
      <c r="M504" s="181">
        <f t="shared" si="110"/>
        <v>93255.530343239312</v>
      </c>
      <c r="N504" s="180">
        <f t="shared" si="110"/>
        <v>7155.7308141498843</v>
      </c>
      <c r="O504" s="132">
        <f t="shared" si="105"/>
        <v>86099.799529089418</v>
      </c>
    </row>
    <row r="505" spans="1:15" x14ac:dyDescent="0.25">
      <c r="A505" s="72">
        <f t="shared" si="111"/>
        <v>337</v>
      </c>
      <c r="B505" s="183">
        <f t="shared" si="106"/>
        <v>1898005.7310062835</v>
      </c>
      <c r="C505" s="184">
        <f>-Hotel!$E$95/12</f>
        <v>85863.140889462898</v>
      </c>
      <c r="D505" s="183">
        <f>Hotel!$E$93/12*B504</f>
        <v>6590.9264847034774</v>
      </c>
      <c r="E505" s="185">
        <f t="shared" si="107"/>
        <v>79272.214404759419</v>
      </c>
      <c r="F505" s="72">
        <f t="shared" si="112"/>
        <v>337</v>
      </c>
      <c r="G505" s="180">
        <f t="shared" si="108"/>
        <v>166671.18036306059</v>
      </c>
      <c r="H505" s="186">
        <f>-Hotel!$E$100/12</f>
        <v>7392.3894537764108</v>
      </c>
      <c r="I505" s="149">
        <f>Hotel!$E$98/12*G504</f>
        <v>289.62324428758234</v>
      </c>
      <c r="J505" s="187">
        <f t="shared" si="109"/>
        <v>7102.7662094888283</v>
      </c>
      <c r="K505" s="72">
        <f t="shared" si="113"/>
        <v>337</v>
      </c>
      <c r="L505" s="180">
        <f t="shared" si="110"/>
        <v>2064676.9113693442</v>
      </c>
      <c r="M505" s="181">
        <f t="shared" si="110"/>
        <v>93255.530343239312</v>
      </c>
      <c r="N505" s="180">
        <f t="shared" si="110"/>
        <v>6880.54972899106</v>
      </c>
      <c r="O505" s="132">
        <f t="shared" si="105"/>
        <v>86374.980614248241</v>
      </c>
    </row>
    <row r="506" spans="1:15" x14ac:dyDescent="0.25">
      <c r="A506" s="72">
        <f t="shared" si="111"/>
        <v>338</v>
      </c>
      <c r="B506" s="183">
        <f t="shared" si="106"/>
        <v>1818469.2758868416</v>
      </c>
      <c r="C506" s="184">
        <f>-Hotel!$E$95/12</f>
        <v>85863.140889462898</v>
      </c>
      <c r="D506" s="183">
        <f>Hotel!$E$93/12*B505</f>
        <v>6326.6857700209457</v>
      </c>
      <c r="E506" s="185">
        <f t="shared" si="107"/>
        <v>79536.455119441947</v>
      </c>
      <c r="F506" s="72">
        <f t="shared" si="112"/>
        <v>338</v>
      </c>
      <c r="G506" s="180">
        <f t="shared" si="108"/>
        <v>159556.57620988929</v>
      </c>
      <c r="H506" s="186">
        <f>-Hotel!$E$100/12</f>
        <v>7392.3894537764108</v>
      </c>
      <c r="I506" s="149">
        <f>Hotel!$E$98/12*G505</f>
        <v>277.78530060510099</v>
      </c>
      <c r="J506" s="187">
        <f t="shared" si="109"/>
        <v>7114.6041531713099</v>
      </c>
      <c r="K506" s="72">
        <f t="shared" si="113"/>
        <v>338</v>
      </c>
      <c r="L506" s="180">
        <f t="shared" si="110"/>
        <v>1978025.8520967308</v>
      </c>
      <c r="M506" s="181">
        <f t="shared" si="110"/>
        <v>93255.530343239312</v>
      </c>
      <c r="N506" s="180">
        <f t="shared" si="110"/>
        <v>6604.4710706260466</v>
      </c>
      <c r="O506" s="132">
        <f t="shared" si="105"/>
        <v>86651.05927261326</v>
      </c>
    </row>
    <row r="507" spans="1:15" x14ac:dyDescent="0.25">
      <c r="A507" s="72">
        <f t="shared" si="111"/>
        <v>339</v>
      </c>
      <c r="B507" s="183">
        <f t="shared" si="106"/>
        <v>1738667.6992503349</v>
      </c>
      <c r="C507" s="184">
        <f>-Hotel!$E$95/12</f>
        <v>85863.140889462898</v>
      </c>
      <c r="D507" s="183">
        <f>Hotel!$E$93/12*B506</f>
        <v>6061.5642529561392</v>
      </c>
      <c r="E507" s="185">
        <f t="shared" si="107"/>
        <v>79801.576636506754</v>
      </c>
      <c r="F507" s="72">
        <f t="shared" si="112"/>
        <v>339</v>
      </c>
      <c r="G507" s="180">
        <f t="shared" si="108"/>
        <v>152430.11438312934</v>
      </c>
      <c r="H507" s="186">
        <f>-Hotel!$E$100/12</f>
        <v>7392.3894537764108</v>
      </c>
      <c r="I507" s="149">
        <f>Hotel!$E$98/12*G506</f>
        <v>265.92762701648218</v>
      </c>
      <c r="J507" s="187">
        <f t="shared" si="109"/>
        <v>7126.461826759929</v>
      </c>
      <c r="K507" s="72">
        <f t="shared" si="113"/>
        <v>339</v>
      </c>
      <c r="L507" s="180">
        <f t="shared" si="110"/>
        <v>1891097.8136334643</v>
      </c>
      <c r="M507" s="181">
        <f t="shared" si="110"/>
        <v>93255.530343239312</v>
      </c>
      <c r="N507" s="180">
        <f t="shared" si="110"/>
        <v>6327.4918799726211</v>
      </c>
      <c r="O507" s="132">
        <f t="shared" si="105"/>
        <v>86928.038463266683</v>
      </c>
    </row>
    <row r="508" spans="1:15" x14ac:dyDescent="0.25">
      <c r="A508" s="72">
        <f t="shared" si="111"/>
        <v>340</v>
      </c>
      <c r="B508" s="183">
        <f t="shared" si="106"/>
        <v>1658600.117358373</v>
      </c>
      <c r="C508" s="184">
        <f>-Hotel!$E$95/12</f>
        <v>85863.140889462898</v>
      </c>
      <c r="D508" s="183">
        <f>Hotel!$E$93/12*B507</f>
        <v>5795.5589975011162</v>
      </c>
      <c r="E508" s="185">
        <f t="shared" si="107"/>
        <v>80067.581891961789</v>
      </c>
      <c r="F508" s="72">
        <f t="shared" si="112"/>
        <v>340</v>
      </c>
      <c r="G508" s="180">
        <f t="shared" si="108"/>
        <v>145291.77511999148</v>
      </c>
      <c r="H508" s="186">
        <f>-Hotel!$E$100/12</f>
        <v>7392.3894537764108</v>
      </c>
      <c r="I508" s="149">
        <f>Hotel!$E$98/12*G507</f>
        <v>254.05019063854891</v>
      </c>
      <c r="J508" s="187">
        <f t="shared" si="109"/>
        <v>7138.339263137862</v>
      </c>
      <c r="K508" s="72">
        <f t="shared" si="113"/>
        <v>340</v>
      </c>
      <c r="L508" s="180">
        <f t="shared" si="110"/>
        <v>1803891.8924783645</v>
      </c>
      <c r="M508" s="181">
        <f t="shared" si="110"/>
        <v>93255.530343239312</v>
      </c>
      <c r="N508" s="180">
        <f t="shared" si="110"/>
        <v>6049.6091881396651</v>
      </c>
      <c r="O508" s="132">
        <f t="shared" si="105"/>
        <v>87205.921155099655</v>
      </c>
    </row>
    <row r="509" spans="1:15" x14ac:dyDescent="0.25">
      <c r="A509" s="72">
        <f t="shared" si="111"/>
        <v>341</v>
      </c>
      <c r="B509" s="183">
        <f t="shared" si="106"/>
        <v>1578265.6435267713</v>
      </c>
      <c r="C509" s="184">
        <f>-Hotel!$E$95/12</f>
        <v>85863.140889462898</v>
      </c>
      <c r="D509" s="183">
        <f>Hotel!$E$93/12*B508</f>
        <v>5528.6670578612438</v>
      </c>
      <c r="E509" s="185">
        <f t="shared" si="107"/>
        <v>80334.473831601659</v>
      </c>
      <c r="F509" s="72">
        <f t="shared" si="112"/>
        <v>341</v>
      </c>
      <c r="G509" s="180">
        <f t="shared" si="108"/>
        <v>138141.53862474838</v>
      </c>
      <c r="H509" s="186">
        <f>-Hotel!$E$100/12</f>
        <v>7392.3894537764108</v>
      </c>
      <c r="I509" s="149">
        <f>Hotel!$E$98/12*G508</f>
        <v>242.15295853331915</v>
      </c>
      <c r="J509" s="187">
        <f t="shared" si="109"/>
        <v>7150.2364952430917</v>
      </c>
      <c r="K509" s="72">
        <f t="shared" si="113"/>
        <v>341</v>
      </c>
      <c r="L509" s="180">
        <f t="shared" si="110"/>
        <v>1716407.1821515197</v>
      </c>
      <c r="M509" s="181">
        <f t="shared" si="110"/>
        <v>93255.530343239312</v>
      </c>
      <c r="N509" s="180">
        <f t="shared" si="110"/>
        <v>5770.820016394563</v>
      </c>
      <c r="O509" s="132">
        <f t="shared" si="105"/>
        <v>87484.710326844754</v>
      </c>
    </row>
    <row r="510" spans="1:15" x14ac:dyDescent="0.25">
      <c r="A510" s="72">
        <f t="shared" si="111"/>
        <v>342</v>
      </c>
      <c r="B510" s="183">
        <f t="shared" si="106"/>
        <v>1497663.3881157311</v>
      </c>
      <c r="C510" s="184">
        <f>-Hotel!$E$95/12</f>
        <v>85863.140889462898</v>
      </c>
      <c r="D510" s="183">
        <f>Hotel!$E$93/12*B509</f>
        <v>5260.8854784225714</v>
      </c>
      <c r="E510" s="185">
        <f t="shared" si="107"/>
        <v>80602.255411040329</v>
      </c>
      <c r="F510" s="72">
        <f t="shared" si="112"/>
        <v>342</v>
      </c>
      <c r="G510" s="180">
        <f t="shared" si="108"/>
        <v>130979.38506867988</v>
      </c>
      <c r="H510" s="186">
        <f>-Hotel!$E$100/12</f>
        <v>7392.3894537764108</v>
      </c>
      <c r="I510" s="149">
        <f>Hotel!$E$98/12*G509</f>
        <v>230.23589770791398</v>
      </c>
      <c r="J510" s="187">
        <f t="shared" si="109"/>
        <v>7162.153556068497</v>
      </c>
      <c r="K510" s="72">
        <f t="shared" si="113"/>
        <v>342</v>
      </c>
      <c r="L510" s="180">
        <f t="shared" si="110"/>
        <v>1628642.773184411</v>
      </c>
      <c r="M510" s="181">
        <f t="shared" si="110"/>
        <v>93255.530343239312</v>
      </c>
      <c r="N510" s="180">
        <f t="shared" si="110"/>
        <v>5491.1213761304853</v>
      </c>
      <c r="O510" s="132">
        <f t="shared" si="105"/>
        <v>87764.40896710883</v>
      </c>
    </row>
    <row r="511" spans="1:15" x14ac:dyDescent="0.25">
      <c r="A511" s="72">
        <f t="shared" si="111"/>
        <v>343</v>
      </c>
      <c r="B511" s="183">
        <f t="shared" si="106"/>
        <v>1416792.4585199873</v>
      </c>
      <c r="C511" s="184">
        <f>-Hotel!$E$95/12</f>
        <v>85863.140889462898</v>
      </c>
      <c r="D511" s="183">
        <f>Hotel!$E$93/12*B510</f>
        <v>4992.2112937191041</v>
      </c>
      <c r="E511" s="185">
        <f t="shared" si="107"/>
        <v>80870.929595743801</v>
      </c>
      <c r="F511" s="72">
        <f t="shared" si="112"/>
        <v>343</v>
      </c>
      <c r="G511" s="180">
        <f t="shared" si="108"/>
        <v>123805.29459001793</v>
      </c>
      <c r="H511" s="186">
        <f>-Hotel!$E$100/12</f>
        <v>7392.3894537764108</v>
      </c>
      <c r="I511" s="149">
        <f>Hotel!$E$98/12*G510</f>
        <v>218.29897511446649</v>
      </c>
      <c r="J511" s="187">
        <f t="shared" si="109"/>
        <v>7174.090478661944</v>
      </c>
      <c r="K511" s="72">
        <f t="shared" si="113"/>
        <v>343</v>
      </c>
      <c r="L511" s="180">
        <f t="shared" si="110"/>
        <v>1540597.7531100053</v>
      </c>
      <c r="M511" s="181">
        <f t="shared" si="110"/>
        <v>93255.530343239312</v>
      </c>
      <c r="N511" s="180">
        <f t="shared" si="110"/>
        <v>5210.510268833571</v>
      </c>
      <c r="O511" s="132">
        <f t="shared" si="105"/>
        <v>88045.020074405751</v>
      </c>
    </row>
    <row r="512" spans="1:15" x14ac:dyDescent="0.25">
      <c r="A512" s="72">
        <f t="shared" si="111"/>
        <v>344</v>
      </c>
      <c r="B512" s="183">
        <f t="shared" si="106"/>
        <v>1335651.9591589244</v>
      </c>
      <c r="C512" s="184">
        <f>-Hotel!$E$95/12</f>
        <v>85863.140889462898</v>
      </c>
      <c r="D512" s="183">
        <f>Hotel!$E$93/12*B511</f>
        <v>4722.6415283999577</v>
      </c>
      <c r="E512" s="185">
        <f t="shared" si="107"/>
        <v>81140.499361062946</v>
      </c>
      <c r="F512" s="72">
        <f t="shared" si="112"/>
        <v>344</v>
      </c>
      <c r="G512" s="180">
        <f t="shared" si="108"/>
        <v>116619.24729389155</v>
      </c>
      <c r="H512" s="186">
        <f>-Hotel!$E$100/12</f>
        <v>7392.3894537764108</v>
      </c>
      <c r="I512" s="149">
        <f>Hotel!$E$98/12*G511</f>
        <v>206.34215765002989</v>
      </c>
      <c r="J512" s="187">
        <f t="shared" si="109"/>
        <v>7186.0472961263813</v>
      </c>
      <c r="K512" s="72">
        <f t="shared" si="113"/>
        <v>344</v>
      </c>
      <c r="L512" s="180">
        <f t="shared" si="110"/>
        <v>1452271.206452816</v>
      </c>
      <c r="M512" s="181">
        <f t="shared" si="110"/>
        <v>93255.530343239312</v>
      </c>
      <c r="N512" s="180">
        <f t="shared" si="110"/>
        <v>4928.9836860499872</v>
      </c>
      <c r="O512" s="132">
        <f t="shared" si="105"/>
        <v>88326.546657189334</v>
      </c>
    </row>
    <row r="513" spans="1:15" x14ac:dyDescent="0.25">
      <c r="A513" s="72">
        <f t="shared" si="111"/>
        <v>345</v>
      </c>
      <c r="B513" s="183">
        <f t="shared" si="106"/>
        <v>1254240.991466658</v>
      </c>
      <c r="C513" s="184">
        <f>-Hotel!$E$95/12</f>
        <v>85863.140889462898</v>
      </c>
      <c r="D513" s="183">
        <f>Hotel!$E$93/12*B512</f>
        <v>4452.1731971964145</v>
      </c>
      <c r="E513" s="185">
        <f t="shared" si="107"/>
        <v>81410.96769226648</v>
      </c>
      <c r="F513" s="72">
        <f t="shared" si="112"/>
        <v>345</v>
      </c>
      <c r="G513" s="180">
        <f t="shared" si="108"/>
        <v>109421.22325227162</v>
      </c>
      <c r="H513" s="186">
        <f>-Hotel!$E$100/12</f>
        <v>7392.3894537764108</v>
      </c>
      <c r="I513" s="149">
        <f>Hotel!$E$98/12*G512</f>
        <v>194.36541215648592</v>
      </c>
      <c r="J513" s="187">
        <f t="shared" si="109"/>
        <v>7198.0240416199249</v>
      </c>
      <c r="K513" s="72">
        <f t="shared" si="113"/>
        <v>345</v>
      </c>
      <c r="L513" s="180">
        <f t="shared" si="110"/>
        <v>1363662.2147189295</v>
      </c>
      <c r="M513" s="181">
        <f t="shared" si="110"/>
        <v>93255.530343239312</v>
      </c>
      <c r="N513" s="180">
        <f t="shared" si="110"/>
        <v>4646.5386093529005</v>
      </c>
      <c r="O513" s="132">
        <f t="shared" si="105"/>
        <v>88608.991733886403</v>
      </c>
    </row>
    <row r="514" spans="1:15" x14ac:dyDescent="0.25">
      <c r="A514" s="72">
        <f t="shared" si="111"/>
        <v>346</v>
      </c>
      <c r="B514" s="183">
        <f t="shared" si="106"/>
        <v>1172558.6538820839</v>
      </c>
      <c r="C514" s="184">
        <f>-Hotel!$E$95/12</f>
        <v>85863.140889462898</v>
      </c>
      <c r="D514" s="183">
        <f>Hotel!$E$93/12*B513</f>
        <v>4180.8033048888601</v>
      </c>
      <c r="E514" s="185">
        <f t="shared" si="107"/>
        <v>81682.337584574037</v>
      </c>
      <c r="F514" s="72">
        <f t="shared" si="112"/>
        <v>346</v>
      </c>
      <c r="G514" s="180">
        <f t="shared" si="108"/>
        <v>102211.20250391566</v>
      </c>
      <c r="H514" s="186">
        <f>-Hotel!$E$100/12</f>
        <v>7392.3894537764108</v>
      </c>
      <c r="I514" s="149">
        <f>Hotel!$E$98/12*G513</f>
        <v>182.36870542045273</v>
      </c>
      <c r="J514" s="187">
        <f t="shared" si="109"/>
        <v>7210.0207483559579</v>
      </c>
      <c r="K514" s="72">
        <f t="shared" si="113"/>
        <v>346</v>
      </c>
      <c r="L514" s="180">
        <f t="shared" si="110"/>
        <v>1274769.8563859996</v>
      </c>
      <c r="M514" s="181">
        <f t="shared" si="110"/>
        <v>93255.530343239312</v>
      </c>
      <c r="N514" s="180">
        <f t="shared" si="110"/>
        <v>4363.172010309313</v>
      </c>
      <c r="O514" s="132">
        <f t="shared" si="105"/>
        <v>88892.358332930002</v>
      </c>
    </row>
    <row r="515" spans="1:15" x14ac:dyDescent="0.25">
      <c r="A515" s="72">
        <f t="shared" si="111"/>
        <v>347</v>
      </c>
      <c r="B515" s="183">
        <f t="shared" si="106"/>
        <v>1090604.0418388946</v>
      </c>
      <c r="C515" s="184">
        <f>-Hotel!$E$95/12</f>
        <v>85863.140889462898</v>
      </c>
      <c r="D515" s="183">
        <f>Hotel!$E$93/12*B514</f>
        <v>3908.5288462736135</v>
      </c>
      <c r="E515" s="185">
        <f t="shared" si="107"/>
        <v>81954.612043189292</v>
      </c>
      <c r="F515" s="72">
        <f t="shared" si="112"/>
        <v>347</v>
      </c>
      <c r="G515" s="180">
        <f t="shared" si="108"/>
        <v>94989.165054312441</v>
      </c>
      <c r="H515" s="186">
        <f>-Hotel!$E$100/12</f>
        <v>7392.3894537764108</v>
      </c>
      <c r="I515" s="149">
        <f>Hotel!$E$98/12*G514</f>
        <v>170.35200417319277</v>
      </c>
      <c r="J515" s="187">
        <f t="shared" si="109"/>
        <v>7222.0374496032182</v>
      </c>
      <c r="K515" s="72">
        <f t="shared" si="113"/>
        <v>347</v>
      </c>
      <c r="L515" s="180">
        <f t="shared" si="110"/>
        <v>1185593.206893207</v>
      </c>
      <c r="M515" s="181">
        <f t="shared" si="110"/>
        <v>93255.530343239312</v>
      </c>
      <c r="N515" s="180">
        <f t="shared" si="110"/>
        <v>4078.8808504468061</v>
      </c>
      <c r="O515" s="132">
        <f t="shared" si="105"/>
        <v>89176.649492792509</v>
      </c>
    </row>
    <row r="516" spans="1:15" x14ac:dyDescent="0.25">
      <c r="A516" s="72">
        <f t="shared" si="111"/>
        <v>348</v>
      </c>
      <c r="B516" s="183">
        <f t="shared" si="106"/>
        <v>1008376.2477555614</v>
      </c>
      <c r="C516" s="184">
        <f>-Hotel!$E$95/12</f>
        <v>85863.140889462898</v>
      </c>
      <c r="D516" s="183">
        <f>Hotel!$E$93/12*B515</f>
        <v>3635.3468061296489</v>
      </c>
      <c r="E516" s="185">
        <f t="shared" si="107"/>
        <v>82227.794083333254</v>
      </c>
      <c r="F516" s="72">
        <f t="shared" si="112"/>
        <v>348</v>
      </c>
      <c r="G516" s="180">
        <f t="shared" si="108"/>
        <v>87755.090875626556</v>
      </c>
      <c r="H516" s="186">
        <f>-Hotel!$E$100/12</f>
        <v>7392.3894537764108</v>
      </c>
      <c r="I516" s="149">
        <f>Hotel!$E$98/12*G515</f>
        <v>158.31527509052074</v>
      </c>
      <c r="J516" s="187">
        <f t="shared" si="109"/>
        <v>7234.0741786858898</v>
      </c>
      <c r="K516" s="72">
        <f t="shared" si="113"/>
        <v>348</v>
      </c>
      <c r="L516" s="180">
        <f t="shared" si="110"/>
        <v>1096131.338631188</v>
      </c>
      <c r="M516" s="181">
        <f t="shared" si="110"/>
        <v>93255.530343239312</v>
      </c>
      <c r="N516" s="180">
        <f t="shared" si="110"/>
        <v>3793.6620812201695</v>
      </c>
      <c r="O516" s="132">
        <f t="shared" si="105"/>
        <v>89461.868262019139</v>
      </c>
    </row>
    <row r="517" spans="1:15" x14ac:dyDescent="0.25">
      <c r="A517" s="72">
        <f t="shared" si="111"/>
        <v>349</v>
      </c>
      <c r="B517" s="183">
        <f t="shared" si="106"/>
        <v>925874.3610252837</v>
      </c>
      <c r="C517" s="184">
        <f>-Hotel!$E$95/12</f>
        <v>85863.140889462898</v>
      </c>
      <c r="D517" s="183">
        <f>Hotel!$E$93/12*B516</f>
        <v>3361.2541591852046</v>
      </c>
      <c r="E517" s="185">
        <f t="shared" si="107"/>
        <v>82501.886730277693</v>
      </c>
      <c r="F517" s="72">
        <f t="shared" si="112"/>
        <v>349</v>
      </c>
      <c r="G517" s="180">
        <f t="shared" si="108"/>
        <v>80508.959906642849</v>
      </c>
      <c r="H517" s="186">
        <f>-Hotel!$E$100/12</f>
        <v>7392.3894537764108</v>
      </c>
      <c r="I517" s="149">
        <f>Hotel!$E$98/12*G516</f>
        <v>146.25848479271093</v>
      </c>
      <c r="J517" s="187">
        <f t="shared" si="109"/>
        <v>7246.1309689836999</v>
      </c>
      <c r="K517" s="72">
        <f t="shared" si="113"/>
        <v>349</v>
      </c>
      <c r="L517" s="180">
        <f t="shared" si="110"/>
        <v>1006383.3209319266</v>
      </c>
      <c r="M517" s="181">
        <f t="shared" si="110"/>
        <v>93255.530343239312</v>
      </c>
      <c r="N517" s="180">
        <f t="shared" si="110"/>
        <v>3507.5126439779156</v>
      </c>
      <c r="O517" s="132">
        <f t="shared" si="105"/>
        <v>89748.0176992614</v>
      </c>
    </row>
    <row r="518" spans="1:15" x14ac:dyDescent="0.25">
      <c r="A518" s="72">
        <f t="shared" si="111"/>
        <v>350</v>
      </c>
      <c r="B518" s="183">
        <f t="shared" si="106"/>
        <v>843097.46800590504</v>
      </c>
      <c r="C518" s="184">
        <f>-Hotel!$E$95/12</f>
        <v>85863.140889462898</v>
      </c>
      <c r="D518" s="183">
        <f>Hotel!$E$93/12*B517</f>
        <v>3086.2478700842794</v>
      </c>
      <c r="E518" s="185">
        <f t="shared" si="107"/>
        <v>82776.893019378622</v>
      </c>
      <c r="F518" s="72">
        <f t="shared" si="112"/>
        <v>350</v>
      </c>
      <c r="G518" s="180">
        <f t="shared" si="108"/>
        <v>73250.752052710843</v>
      </c>
      <c r="H518" s="186">
        <f>-Hotel!$E$100/12</f>
        <v>7392.3894537764108</v>
      </c>
      <c r="I518" s="149">
        <f>Hotel!$E$98/12*G517</f>
        <v>134.18159984440476</v>
      </c>
      <c r="J518" s="187">
        <f t="shared" si="109"/>
        <v>7258.2078539320064</v>
      </c>
      <c r="K518" s="72">
        <f t="shared" si="113"/>
        <v>350</v>
      </c>
      <c r="L518" s="180">
        <f t="shared" si="110"/>
        <v>916348.2200586159</v>
      </c>
      <c r="M518" s="181">
        <f t="shared" si="110"/>
        <v>93255.530343239312</v>
      </c>
      <c r="N518" s="180">
        <f t="shared" si="110"/>
        <v>3220.4294699286843</v>
      </c>
      <c r="O518" s="132">
        <f t="shared" si="105"/>
        <v>90035.100873310628</v>
      </c>
    </row>
    <row r="519" spans="1:15" x14ac:dyDescent="0.25">
      <c r="A519" s="72">
        <f t="shared" si="111"/>
        <v>351</v>
      </c>
      <c r="B519" s="183">
        <f t="shared" si="106"/>
        <v>760044.65200979519</v>
      </c>
      <c r="C519" s="184">
        <f>-Hotel!$E$95/12</f>
        <v>85863.140889462898</v>
      </c>
      <c r="D519" s="183">
        <f>Hotel!$E$93/12*B518</f>
        <v>2810.3248933530172</v>
      </c>
      <c r="E519" s="185">
        <f t="shared" si="107"/>
        <v>83052.815996109886</v>
      </c>
      <c r="F519" s="72">
        <f t="shared" si="112"/>
        <v>351</v>
      </c>
      <c r="G519" s="180">
        <f t="shared" si="108"/>
        <v>65980.447185688943</v>
      </c>
      <c r="H519" s="186">
        <f>-Hotel!$E$100/12</f>
        <v>7392.3894537764108</v>
      </c>
      <c r="I519" s="149">
        <f>Hotel!$E$98/12*G518</f>
        <v>122.08458675451809</v>
      </c>
      <c r="J519" s="187">
        <f t="shared" si="109"/>
        <v>7270.3048670218932</v>
      </c>
      <c r="K519" s="72">
        <f t="shared" si="113"/>
        <v>351</v>
      </c>
      <c r="L519" s="180">
        <f t="shared" si="110"/>
        <v>826025.09919548407</v>
      </c>
      <c r="M519" s="181">
        <f t="shared" si="110"/>
        <v>93255.530343239312</v>
      </c>
      <c r="N519" s="180">
        <f t="shared" si="110"/>
        <v>2932.4094801075353</v>
      </c>
      <c r="O519" s="132">
        <f t="shared" si="105"/>
        <v>90323.120863131786</v>
      </c>
    </row>
    <row r="520" spans="1:15" x14ac:dyDescent="0.25">
      <c r="A520" s="72">
        <f t="shared" si="111"/>
        <v>352</v>
      </c>
      <c r="B520" s="183">
        <f t="shared" si="106"/>
        <v>676714.9932936983</v>
      </c>
      <c r="C520" s="184">
        <f>-Hotel!$E$95/12</f>
        <v>85863.140889462898</v>
      </c>
      <c r="D520" s="183">
        <f>Hotel!$E$93/12*B519</f>
        <v>2533.4821733659842</v>
      </c>
      <c r="E520" s="185">
        <f t="shared" si="107"/>
        <v>83329.658716096921</v>
      </c>
      <c r="F520" s="72">
        <f t="shared" si="112"/>
        <v>352</v>
      </c>
      <c r="G520" s="180">
        <f t="shared" si="108"/>
        <v>58698.025143888677</v>
      </c>
      <c r="H520" s="186">
        <f>-Hotel!$E$100/12</f>
        <v>7392.3894537764108</v>
      </c>
      <c r="I520" s="149">
        <f>Hotel!$E$98/12*G519</f>
        <v>109.96741197614824</v>
      </c>
      <c r="J520" s="187">
        <f t="shared" si="109"/>
        <v>7282.4220418002624</v>
      </c>
      <c r="K520" s="72">
        <f t="shared" si="113"/>
        <v>352</v>
      </c>
      <c r="L520" s="180">
        <f t="shared" si="110"/>
        <v>735413.01843758696</v>
      </c>
      <c r="M520" s="181">
        <f t="shared" si="110"/>
        <v>93255.530343239312</v>
      </c>
      <c r="N520" s="180">
        <f t="shared" si="110"/>
        <v>2643.4495853421322</v>
      </c>
      <c r="O520" s="132">
        <f t="shared" si="105"/>
        <v>90612.080757897187</v>
      </c>
    </row>
    <row r="521" spans="1:15" x14ac:dyDescent="0.25">
      <c r="A521" s="72">
        <f t="shared" si="111"/>
        <v>353</v>
      </c>
      <c r="B521" s="183">
        <f t="shared" si="106"/>
        <v>593107.56904854777</v>
      </c>
      <c r="C521" s="184">
        <f>-Hotel!$E$95/12</f>
        <v>85863.140889462898</v>
      </c>
      <c r="D521" s="183">
        <f>Hotel!$E$93/12*B520</f>
        <v>2255.7166443123278</v>
      </c>
      <c r="E521" s="185">
        <f t="shared" si="107"/>
        <v>83607.424245150571</v>
      </c>
      <c r="F521" s="72">
        <f t="shared" si="112"/>
        <v>353</v>
      </c>
      <c r="G521" s="180">
        <f t="shared" si="108"/>
        <v>51403.465732018747</v>
      </c>
      <c r="H521" s="186">
        <f>-Hotel!$E$100/12</f>
        <v>7392.3894537764108</v>
      </c>
      <c r="I521" s="149">
        <f>Hotel!$E$98/12*G520</f>
        <v>97.830041906481128</v>
      </c>
      <c r="J521" s="187">
        <f t="shared" si="109"/>
        <v>7294.55941186993</v>
      </c>
      <c r="K521" s="72">
        <f t="shared" si="113"/>
        <v>353</v>
      </c>
      <c r="L521" s="180">
        <f t="shared" si="110"/>
        <v>644511.03478056646</v>
      </c>
      <c r="M521" s="181">
        <f t="shared" si="110"/>
        <v>93255.530343239312</v>
      </c>
      <c r="N521" s="180">
        <f t="shared" si="110"/>
        <v>2353.5466862188091</v>
      </c>
      <c r="O521" s="132">
        <f t="shared" si="105"/>
        <v>90901.983657020493</v>
      </c>
    </row>
    <row r="522" spans="1:15" x14ac:dyDescent="0.25">
      <c r="A522" s="72">
        <f t="shared" si="111"/>
        <v>354</v>
      </c>
      <c r="B522" s="183">
        <f t="shared" si="106"/>
        <v>509221.45338924672</v>
      </c>
      <c r="C522" s="184">
        <f>-Hotel!$E$95/12</f>
        <v>85863.140889462898</v>
      </c>
      <c r="D522" s="183">
        <f>Hotel!$E$93/12*B521</f>
        <v>1977.0252301618261</v>
      </c>
      <c r="E522" s="185">
        <f t="shared" si="107"/>
        <v>83886.115659301067</v>
      </c>
      <c r="F522" s="72">
        <f t="shared" si="112"/>
        <v>354</v>
      </c>
      <c r="G522" s="180">
        <f t="shared" si="108"/>
        <v>44096.748721129035</v>
      </c>
      <c r="H522" s="186">
        <f>-Hotel!$E$100/12</f>
        <v>7392.3894537764108</v>
      </c>
      <c r="I522" s="149">
        <f>Hotel!$E$98/12*G521</f>
        <v>85.672442886697922</v>
      </c>
      <c r="J522" s="187">
        <f t="shared" si="109"/>
        <v>7306.7170108897126</v>
      </c>
      <c r="K522" s="72">
        <f t="shared" si="113"/>
        <v>354</v>
      </c>
      <c r="L522" s="180">
        <f t="shared" si="110"/>
        <v>553318.20211037574</v>
      </c>
      <c r="M522" s="181">
        <f t="shared" si="110"/>
        <v>93255.530343239312</v>
      </c>
      <c r="N522" s="180">
        <f t="shared" si="110"/>
        <v>2062.6976730485239</v>
      </c>
      <c r="O522" s="132">
        <f t="shared" si="105"/>
        <v>91192.832670190779</v>
      </c>
    </row>
    <row r="523" spans="1:15" x14ac:dyDescent="0.25">
      <c r="A523" s="72">
        <f t="shared" si="111"/>
        <v>355</v>
      </c>
      <c r="B523" s="183">
        <f t="shared" si="106"/>
        <v>425055.71734441468</v>
      </c>
      <c r="C523" s="184">
        <f>-Hotel!$E$95/12</f>
        <v>85863.140889462898</v>
      </c>
      <c r="D523" s="183">
        <f>Hotel!$E$93/12*B522</f>
        <v>1697.4048446308225</v>
      </c>
      <c r="E523" s="185">
        <f t="shared" si="107"/>
        <v>84165.736044832069</v>
      </c>
      <c r="F523" s="72">
        <f t="shared" si="112"/>
        <v>355</v>
      </c>
      <c r="G523" s="180">
        <f t="shared" si="108"/>
        <v>36777.853848554507</v>
      </c>
      <c r="H523" s="186">
        <f>-Hotel!$E$100/12</f>
        <v>7392.3894537764108</v>
      </c>
      <c r="I523" s="149">
        <f>Hotel!$E$98/12*G522</f>
        <v>73.494581201881729</v>
      </c>
      <c r="J523" s="187">
        <f t="shared" si="109"/>
        <v>7318.8948725745295</v>
      </c>
      <c r="K523" s="72">
        <f t="shared" si="113"/>
        <v>355</v>
      </c>
      <c r="L523" s="180">
        <f t="shared" si="110"/>
        <v>461833.57119296916</v>
      </c>
      <c r="M523" s="181">
        <f t="shared" si="110"/>
        <v>93255.530343239312</v>
      </c>
      <c r="N523" s="180">
        <f t="shared" si="110"/>
        <v>1770.8994258327043</v>
      </c>
      <c r="O523" s="132">
        <f t="shared" si="105"/>
        <v>91484.630917406597</v>
      </c>
    </row>
    <row r="524" spans="1:15" x14ac:dyDescent="0.25">
      <c r="A524" s="72">
        <f t="shared" si="111"/>
        <v>356</v>
      </c>
      <c r="B524" s="183">
        <f t="shared" si="106"/>
        <v>340609.42884609982</v>
      </c>
      <c r="C524" s="184">
        <f>-Hotel!$E$95/12</f>
        <v>85863.140889462898</v>
      </c>
      <c r="D524" s="183">
        <f>Hotel!$E$93/12*B523</f>
        <v>1416.852391148049</v>
      </c>
      <c r="E524" s="185">
        <f t="shared" si="107"/>
        <v>84446.288498314854</v>
      </c>
      <c r="F524" s="72">
        <f t="shared" si="112"/>
        <v>356</v>
      </c>
      <c r="G524" s="180">
        <f t="shared" si="108"/>
        <v>29446.76081785902</v>
      </c>
      <c r="H524" s="186">
        <f>-Hotel!$E$100/12</f>
        <v>7392.3894537764108</v>
      </c>
      <c r="I524" s="149">
        <f>Hotel!$E$98/12*G523</f>
        <v>61.296423080924185</v>
      </c>
      <c r="J524" s="187">
        <f t="shared" si="109"/>
        <v>7331.093030695487</v>
      </c>
      <c r="K524" s="72">
        <f t="shared" si="113"/>
        <v>356</v>
      </c>
      <c r="L524" s="180">
        <f t="shared" si="110"/>
        <v>370056.18966395885</v>
      </c>
      <c r="M524" s="181">
        <f t="shared" si="110"/>
        <v>93255.530343239312</v>
      </c>
      <c r="N524" s="180">
        <f t="shared" si="110"/>
        <v>1478.1488142289732</v>
      </c>
      <c r="O524" s="132">
        <f t="shared" si="105"/>
        <v>91777.381529010338</v>
      </c>
    </row>
    <row r="525" spans="1:15" x14ac:dyDescent="0.25">
      <c r="A525" s="72">
        <f t="shared" si="111"/>
        <v>357</v>
      </c>
      <c r="B525" s="183">
        <f t="shared" si="106"/>
        <v>255881.65271945726</v>
      </c>
      <c r="C525" s="184">
        <f>-Hotel!$E$95/12</f>
        <v>85863.140889462898</v>
      </c>
      <c r="D525" s="183">
        <f>Hotel!$E$93/12*B524</f>
        <v>1135.3647628203328</v>
      </c>
      <c r="E525" s="185">
        <f t="shared" si="107"/>
        <v>84727.776126642566</v>
      </c>
      <c r="F525" s="72">
        <f t="shared" si="112"/>
        <v>357</v>
      </c>
      <c r="G525" s="180">
        <f t="shared" si="108"/>
        <v>22103.44929877904</v>
      </c>
      <c r="H525" s="186">
        <f>-Hotel!$E$100/12</f>
        <v>7392.3894537764108</v>
      </c>
      <c r="I525" s="149">
        <f>Hotel!$E$98/12*G524</f>
        <v>49.077934696431704</v>
      </c>
      <c r="J525" s="187">
        <f t="shared" si="109"/>
        <v>7343.311519079979</v>
      </c>
      <c r="K525" s="72">
        <f t="shared" si="113"/>
        <v>357</v>
      </c>
      <c r="L525" s="180">
        <f t="shared" si="110"/>
        <v>277985.1020182363</v>
      </c>
      <c r="M525" s="181">
        <f t="shared" si="110"/>
        <v>93255.530343239312</v>
      </c>
      <c r="N525" s="180">
        <f t="shared" si="110"/>
        <v>1184.4426975167644</v>
      </c>
      <c r="O525" s="132">
        <f t="shared" si="105"/>
        <v>92071.087645722539</v>
      </c>
    </row>
    <row r="526" spans="1:15" x14ac:dyDescent="0.25">
      <c r="A526" s="72">
        <f t="shared" si="111"/>
        <v>358</v>
      </c>
      <c r="B526" s="183">
        <f t="shared" si="106"/>
        <v>170871.45067239256</v>
      </c>
      <c r="C526" s="184">
        <f>-Hotel!$E$95/12</f>
        <v>85863.140889462898</v>
      </c>
      <c r="D526" s="183">
        <f>Hotel!$E$93/12*B525</f>
        <v>852.9388423981909</v>
      </c>
      <c r="E526" s="185">
        <f t="shared" si="107"/>
        <v>85010.202047064711</v>
      </c>
      <c r="F526" s="72">
        <f t="shared" si="112"/>
        <v>358</v>
      </c>
      <c r="G526" s="180">
        <f t="shared" si="108"/>
        <v>14747.898927167262</v>
      </c>
      <c r="H526" s="186">
        <f>-Hotel!$E$100/12</f>
        <v>7392.3894537764108</v>
      </c>
      <c r="I526" s="149">
        <f>Hotel!$E$98/12*G525</f>
        <v>36.839082164631733</v>
      </c>
      <c r="J526" s="187">
        <f t="shared" si="109"/>
        <v>7355.5503716117792</v>
      </c>
      <c r="K526" s="72">
        <f t="shared" si="113"/>
        <v>358</v>
      </c>
      <c r="L526" s="180">
        <f t="shared" si="110"/>
        <v>185619.34959955982</v>
      </c>
      <c r="M526" s="181">
        <f t="shared" si="110"/>
        <v>93255.530343239312</v>
      </c>
      <c r="N526" s="180">
        <f t="shared" si="110"/>
        <v>889.77792456282259</v>
      </c>
      <c r="O526" s="132">
        <f t="shared" si="105"/>
        <v>92365.752418676493</v>
      </c>
    </row>
    <row r="527" spans="1:15" x14ac:dyDescent="0.25">
      <c r="A527" s="72">
        <f t="shared" si="111"/>
        <v>359</v>
      </c>
      <c r="B527" s="183">
        <f t="shared" si="106"/>
        <v>85577.881285170966</v>
      </c>
      <c r="C527" s="184">
        <f>-Hotel!$E$95/12</f>
        <v>85863.140889462898</v>
      </c>
      <c r="D527" s="183">
        <f>Hotel!$E$93/12*B526</f>
        <v>569.57150224130862</v>
      </c>
      <c r="E527" s="185">
        <f t="shared" si="107"/>
        <v>85293.569387221592</v>
      </c>
      <c r="F527" s="72">
        <f t="shared" si="112"/>
        <v>359</v>
      </c>
      <c r="G527" s="180">
        <f t="shared" si="108"/>
        <v>7380.0893049361293</v>
      </c>
      <c r="H527" s="186">
        <f>-Hotel!$E$100/12</f>
        <v>7392.3894537764108</v>
      </c>
      <c r="I527" s="149">
        <f>Hotel!$E$98/12*G526</f>
        <v>24.579831545278772</v>
      </c>
      <c r="J527" s="187">
        <f t="shared" si="109"/>
        <v>7367.8096222311324</v>
      </c>
      <c r="K527" s="72">
        <f t="shared" si="113"/>
        <v>359</v>
      </c>
      <c r="L527" s="180">
        <f t="shared" si="110"/>
        <v>92957.970590107099</v>
      </c>
      <c r="M527" s="181">
        <f t="shared" si="110"/>
        <v>93255.530343239312</v>
      </c>
      <c r="N527" s="180">
        <f t="shared" si="110"/>
        <v>594.15133378658743</v>
      </c>
      <c r="O527" s="132">
        <f t="shared" si="105"/>
        <v>92661.379009452721</v>
      </c>
    </row>
    <row r="528" spans="1:15" ht="16.5" thickBot="1" x14ac:dyDescent="0.3">
      <c r="A528" s="73">
        <f t="shared" si="111"/>
        <v>360</v>
      </c>
      <c r="B528" s="191">
        <f t="shared" si="106"/>
        <v>-8.0326572060585022E-9</v>
      </c>
      <c r="C528" s="192">
        <f>-Hotel!$E$95/12</f>
        <v>85863.140889462898</v>
      </c>
      <c r="D528" s="191">
        <f>Hotel!$E$93/12*B527</f>
        <v>285.25960428390323</v>
      </c>
      <c r="E528" s="193">
        <f t="shared" si="107"/>
        <v>85577.881285178999</v>
      </c>
      <c r="F528" s="73">
        <f t="shared" si="112"/>
        <v>360</v>
      </c>
      <c r="G528" s="188">
        <f t="shared" si="108"/>
        <v>1.2787495506927371E-9</v>
      </c>
      <c r="H528" s="194">
        <f>-Hotel!$E$100/12</f>
        <v>7392.3894537764108</v>
      </c>
      <c r="I528" s="195">
        <f>Hotel!$E$98/12*G527</f>
        <v>12.300148841560217</v>
      </c>
      <c r="J528" s="196">
        <f t="shared" si="109"/>
        <v>7380.0893049348506</v>
      </c>
      <c r="K528" s="73">
        <f t="shared" si="113"/>
        <v>360</v>
      </c>
      <c r="L528" s="188">
        <f t="shared" si="110"/>
        <v>-6.7539076553657651E-9</v>
      </c>
      <c r="M528" s="189">
        <f t="shared" si="110"/>
        <v>93255.530343239312</v>
      </c>
      <c r="N528" s="188">
        <f t="shared" si="110"/>
        <v>297.55975312546343</v>
      </c>
      <c r="O528" s="190">
        <f t="shared" si="105"/>
        <v>92957.970590113851</v>
      </c>
    </row>
  </sheetData>
  <sortState ref="I90:I91">
    <sortCondition ref="I88"/>
  </sortState>
  <pageMargins left="0" right="0" top="0" bottom="0" header="0" footer="0"/>
  <pageSetup scale="55"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526"/>
  <sheetViews>
    <sheetView zoomScale="70" zoomScaleNormal="70" zoomScalePageLayoutView="70" workbookViewId="0"/>
  </sheetViews>
  <sheetFormatPr defaultColWidth="8.85546875" defaultRowHeight="15.75" x14ac:dyDescent="0.25"/>
  <cols>
    <col min="1" max="1" width="15.28515625" style="11" customWidth="1"/>
    <col min="2" max="2" width="29" style="11" customWidth="1"/>
    <col min="3" max="3" width="23.140625" style="11" customWidth="1"/>
    <col min="4" max="4" width="21.42578125" style="11" customWidth="1"/>
    <col min="5" max="5" width="17.85546875" style="11" customWidth="1"/>
    <col min="6" max="6" width="17" style="11" customWidth="1"/>
    <col min="7" max="7" width="14.85546875" style="11" customWidth="1"/>
    <col min="8" max="8" width="13.42578125" style="11" customWidth="1"/>
    <col min="9" max="9" width="13.28515625" style="11" customWidth="1"/>
    <col min="10" max="10" width="15" style="11" customWidth="1"/>
    <col min="11" max="11" width="13.42578125" style="11" customWidth="1"/>
    <col min="12" max="12" width="14.42578125" style="11" customWidth="1"/>
    <col min="13" max="13" width="14.140625" style="11" customWidth="1"/>
    <col min="14" max="14" width="14.85546875" style="11" customWidth="1"/>
    <col min="15" max="15" width="16.28515625" style="11" customWidth="1"/>
    <col min="16" max="16" width="14.7109375" style="11" customWidth="1"/>
    <col min="17" max="17" width="14.140625" style="11" customWidth="1"/>
    <col min="18" max="18" width="16.42578125" style="11" customWidth="1"/>
    <col min="19" max="21" width="14.28515625" style="11" customWidth="1"/>
    <col min="22" max="22" width="17.140625" style="11" customWidth="1"/>
    <col min="23" max="23" width="15.7109375" style="11" bestFit="1" customWidth="1"/>
    <col min="24" max="24" width="13.85546875" style="11" customWidth="1"/>
    <col min="25" max="25" width="16.85546875" style="11" customWidth="1"/>
    <col min="26" max="26" width="14" style="11" customWidth="1"/>
    <col min="27" max="27" width="15.140625" style="11" customWidth="1"/>
    <col min="28" max="28" width="14.85546875" style="11" customWidth="1"/>
    <col min="29" max="29" width="14.42578125" style="11" customWidth="1"/>
    <col min="30" max="30" width="14" style="11" customWidth="1"/>
    <col min="31" max="31" width="15.7109375" style="11" bestFit="1" customWidth="1"/>
    <col min="32" max="32" width="14.140625" style="11" customWidth="1"/>
    <col min="33" max="33" width="13.42578125" style="11" customWidth="1"/>
    <col min="34" max="34" width="15.85546875" style="11" customWidth="1"/>
    <col min="35" max="35" width="13.42578125" style="11" customWidth="1"/>
    <col min="36" max="16384" width="8.85546875" style="11"/>
  </cols>
  <sheetData>
    <row r="1" spans="1:27" ht="23.25" x14ac:dyDescent="0.35">
      <c r="A1" s="228" t="s">
        <v>547</v>
      </c>
      <c r="B1" s="270"/>
      <c r="C1" s="270"/>
      <c r="D1" s="270"/>
      <c r="E1" s="270"/>
      <c r="F1" s="270"/>
      <c r="G1" s="270"/>
      <c r="I1" s="270"/>
      <c r="J1" s="270"/>
      <c r="K1" s="270"/>
      <c r="S1" s="39"/>
      <c r="T1" s="39"/>
      <c r="U1" s="39"/>
      <c r="V1" s="39"/>
      <c r="W1" s="39"/>
      <c r="X1" s="39"/>
      <c r="Y1" s="39"/>
      <c r="Z1" s="39"/>
      <c r="AA1" s="39"/>
    </row>
    <row r="2" spans="1:27" ht="16.5" thickBot="1" x14ac:dyDescent="0.3">
      <c r="A2" s="336"/>
      <c r="H2" s="39"/>
      <c r="I2" s="336"/>
      <c r="S2" s="39"/>
      <c r="Y2" s="39"/>
      <c r="Z2" s="39"/>
      <c r="AA2" s="39"/>
    </row>
    <row r="3" spans="1:27" ht="16.5" thickBot="1" x14ac:dyDescent="0.3">
      <c r="A3" s="271" t="s">
        <v>18</v>
      </c>
      <c r="B3" s="14"/>
      <c r="C3" s="14"/>
      <c r="D3" s="14"/>
      <c r="E3" s="15"/>
      <c r="F3" s="16"/>
      <c r="H3" s="344" t="s">
        <v>440</v>
      </c>
      <c r="I3" s="12"/>
      <c r="J3" s="12"/>
      <c r="K3" s="12"/>
      <c r="L3" s="362" t="s">
        <v>192</v>
      </c>
      <c r="M3" s="336"/>
      <c r="S3" s="39"/>
      <c r="Y3" s="39"/>
      <c r="Z3" s="39"/>
      <c r="AA3" s="39"/>
    </row>
    <row r="4" spans="1:27" ht="16.5" thickBot="1" x14ac:dyDescent="0.3">
      <c r="A4" s="19" t="s">
        <v>36</v>
      </c>
      <c r="B4" s="20"/>
      <c r="C4" s="20"/>
      <c r="D4" s="21" t="s">
        <v>19</v>
      </c>
      <c r="E4" s="21" t="s">
        <v>20</v>
      </c>
      <c r="F4" s="22" t="s">
        <v>5</v>
      </c>
      <c r="H4" s="70" t="s">
        <v>431</v>
      </c>
      <c r="I4" s="114"/>
      <c r="J4" s="114"/>
      <c r="K4" s="114"/>
      <c r="L4" s="463">
        <f>C25</f>
        <v>2400000</v>
      </c>
      <c r="M4" s="336"/>
      <c r="S4" s="39"/>
      <c r="Y4" s="39"/>
      <c r="Z4" s="39"/>
      <c r="AA4" s="39"/>
    </row>
    <row r="5" spans="1:27" x14ac:dyDescent="0.25">
      <c r="A5" s="67" t="s">
        <v>37</v>
      </c>
      <c r="B5" s="65"/>
      <c r="C5" s="65"/>
      <c r="D5" s="310">
        <v>0.1</v>
      </c>
      <c r="E5" s="311">
        <f>G125</f>
        <v>6.8490395678479393E-2</v>
      </c>
      <c r="F5" s="290"/>
      <c r="G5" s="336"/>
      <c r="H5" s="17" t="s">
        <v>38</v>
      </c>
      <c r="I5" s="18"/>
      <c r="J5" s="18"/>
      <c r="K5" s="18"/>
      <c r="L5" s="134">
        <f>H73</f>
        <v>0</v>
      </c>
    </row>
    <row r="6" spans="1:27" x14ac:dyDescent="0.25">
      <c r="A6" s="17" t="s">
        <v>416</v>
      </c>
      <c r="B6" s="18"/>
      <c r="C6" s="18"/>
      <c r="D6" s="247">
        <v>0.12</v>
      </c>
      <c r="E6" s="312">
        <f>IF($C$11=10,N138,IF($C$11=15,S138,IF($C$11=20,X138,IF($C$11=25,AC138,IF($C$11=30,AH138)))))</f>
        <v>5.1101385980766301E-2</v>
      </c>
      <c r="F6" s="313">
        <f>IF($C$11=10,N139,IF($C$11=15,S139,IF($C$11=20,X139,IF($C$11=25,AC139,IF($C$11=30,AH139)))))</f>
        <v>-811423.29451516084</v>
      </c>
      <c r="H6" s="17" t="s">
        <v>39</v>
      </c>
      <c r="I6" s="24"/>
      <c r="J6" s="24"/>
      <c r="K6" s="24"/>
      <c r="L6" s="134">
        <f>H47</f>
        <v>0</v>
      </c>
    </row>
    <row r="7" spans="1:27" x14ac:dyDescent="0.25">
      <c r="A7" s="17" t="s">
        <v>417</v>
      </c>
      <c r="B7" s="18"/>
      <c r="C7" s="18"/>
      <c r="D7" s="247">
        <v>0.25</v>
      </c>
      <c r="E7" s="312">
        <f>IF($C$11=10,N146,IF($C$11=15,S146,IF($C$11=20,X146,IF($C$11=25,AC146,IF($C$11=30,AH146)))))</f>
        <v>3.4124867603331444E-2</v>
      </c>
      <c r="F7" s="313">
        <f>IF($C$11=10,N147,IF($C$11=15,S147,IF($C$11=20,X147,IF($C$11=25,AC147,IF($C$11=30,AH147)))))</f>
        <v>788729.65012010233</v>
      </c>
      <c r="G7" s="336"/>
      <c r="H7" s="17" t="s">
        <v>40</v>
      </c>
      <c r="I7" s="24"/>
      <c r="J7" s="24"/>
      <c r="K7" s="24"/>
      <c r="L7" s="134">
        <f>H53</f>
        <v>250000</v>
      </c>
    </row>
    <row r="8" spans="1:27" x14ac:dyDescent="0.25">
      <c r="A8" s="17" t="s">
        <v>24</v>
      </c>
      <c r="B8" s="18"/>
      <c r="C8" s="18"/>
      <c r="D8" s="100">
        <v>1.25</v>
      </c>
      <c r="E8" s="33">
        <f>G119/G121</f>
        <v>0.61488292294627667</v>
      </c>
      <c r="F8" s="34"/>
      <c r="H8" s="17" t="s">
        <v>533</v>
      </c>
      <c r="I8" s="24"/>
      <c r="J8" s="27"/>
      <c r="K8" s="27"/>
      <c r="L8" s="28">
        <f>SUM(L5:L7)</f>
        <v>250000</v>
      </c>
      <c r="P8" s="272"/>
    </row>
    <row r="9" spans="1:27" ht="16.5" thickBot="1" x14ac:dyDescent="0.3">
      <c r="A9" s="35" t="s">
        <v>418</v>
      </c>
      <c r="B9" s="36"/>
      <c r="C9" s="36"/>
      <c r="D9" s="37">
        <f>L98</f>
        <v>0.05</v>
      </c>
      <c r="E9" s="314">
        <f>IF($C$11=10,N159,IF($C$11=15,S159,IF($C$11=20,X159,IF($C$11=25,AC159,IF($C$11=30,AH159)))))</f>
        <v>4.975136895124721E-2</v>
      </c>
      <c r="F9" s="315">
        <f>IF($C$11=10,N160,IF($C$11=15,S160,IF($C$11=20,X160,IF($C$11=25,AC160,IF($C$11=30,AH160)))))</f>
        <v>-3605.7505175743718</v>
      </c>
      <c r="H9" s="29" t="s">
        <v>432</v>
      </c>
      <c r="I9" s="30"/>
      <c r="J9" s="31"/>
      <c r="K9" s="31"/>
      <c r="L9" s="32">
        <f>L4-L8</f>
        <v>2150000</v>
      </c>
    </row>
    <row r="10" spans="1:27" ht="16.5" thickBot="1" x14ac:dyDescent="0.3">
      <c r="F10" s="38"/>
      <c r="G10" s="38"/>
      <c r="U10" s="369"/>
      <c r="V10" s="263"/>
    </row>
    <row r="11" spans="1:27" ht="16.5" thickBot="1" x14ac:dyDescent="0.3">
      <c r="A11" s="829" t="s">
        <v>427</v>
      </c>
      <c r="B11" s="304"/>
      <c r="C11" s="305">
        <v>10</v>
      </c>
      <c r="D11" s="166" t="s">
        <v>555</v>
      </c>
      <c r="E11" s="38"/>
      <c r="H11" s="344" t="s">
        <v>457</v>
      </c>
      <c r="I11" s="12"/>
      <c r="J11" s="12"/>
      <c r="K11" s="12"/>
      <c r="L11" s="13"/>
      <c r="U11" s="369"/>
      <c r="V11" s="263"/>
    </row>
    <row r="12" spans="1:27" ht="16.5" thickBot="1" x14ac:dyDescent="0.3">
      <c r="H12" s="40" t="s">
        <v>42</v>
      </c>
      <c r="I12" s="15"/>
      <c r="J12" s="15"/>
      <c r="K12" s="15"/>
      <c r="L12" s="246">
        <v>2.5000000000000001E-3</v>
      </c>
      <c r="U12" s="369"/>
      <c r="V12" s="263"/>
    </row>
    <row r="13" spans="1:27" ht="16.5" thickBot="1" x14ac:dyDescent="0.3">
      <c r="A13" s="43" t="s">
        <v>409</v>
      </c>
      <c r="B13" s="51"/>
      <c r="C13" s="359" t="s">
        <v>407</v>
      </c>
      <c r="H13" s="50" t="s">
        <v>131</v>
      </c>
      <c r="I13" s="44"/>
      <c r="J13" s="44"/>
      <c r="K13" s="15"/>
      <c r="L13" s="246">
        <v>2.5000000000000001E-3</v>
      </c>
      <c r="U13" s="369"/>
      <c r="V13" s="263"/>
    </row>
    <row r="14" spans="1:27" ht="16.5" thickBot="1" x14ac:dyDescent="0.3">
      <c r="A14" s="414" t="s">
        <v>408</v>
      </c>
      <c r="B14" s="128"/>
      <c r="C14" s="415">
        <v>0</v>
      </c>
      <c r="D14" s="166" t="s">
        <v>525</v>
      </c>
      <c r="H14" s="43" t="s">
        <v>61</v>
      </c>
      <c r="I14" s="76" t="s">
        <v>81</v>
      </c>
      <c r="J14" s="77" t="s">
        <v>82</v>
      </c>
      <c r="K14" s="77" t="s">
        <v>83</v>
      </c>
      <c r="L14" s="78" t="s">
        <v>84</v>
      </c>
      <c r="U14" s="369"/>
      <c r="V14" s="263"/>
    </row>
    <row r="15" spans="1:27" x14ac:dyDescent="0.25">
      <c r="A15" s="416" t="s">
        <v>528</v>
      </c>
      <c r="B15" s="58"/>
      <c r="C15" s="411"/>
      <c r="H15" s="335" t="s">
        <v>85</v>
      </c>
      <c r="I15" s="310">
        <v>0</v>
      </c>
      <c r="J15" s="310">
        <v>0</v>
      </c>
      <c r="K15" s="363">
        <v>0</v>
      </c>
      <c r="L15" s="364">
        <v>0</v>
      </c>
      <c r="U15" s="369"/>
      <c r="V15" s="263"/>
    </row>
    <row r="16" spans="1:27" x14ac:dyDescent="0.25">
      <c r="A16" s="72" t="s">
        <v>423</v>
      </c>
      <c r="B16" s="24"/>
      <c r="C16" s="252">
        <v>1500000</v>
      </c>
      <c r="D16" s="166" t="s">
        <v>521</v>
      </c>
      <c r="H16" s="72" t="s">
        <v>86</v>
      </c>
      <c r="I16" s="247">
        <v>0</v>
      </c>
      <c r="J16" s="247">
        <v>0</v>
      </c>
      <c r="K16" s="243">
        <v>0</v>
      </c>
      <c r="L16" s="252">
        <v>0</v>
      </c>
      <c r="U16" s="369"/>
      <c r="V16" s="263"/>
    </row>
    <row r="17" spans="1:22" x14ac:dyDescent="0.25">
      <c r="A17" s="72" t="s">
        <v>384</v>
      </c>
      <c r="B17" s="24"/>
      <c r="C17" s="252"/>
      <c r="H17" s="72" t="s">
        <v>87</v>
      </c>
      <c r="I17" s="247">
        <v>0</v>
      </c>
      <c r="J17" s="247">
        <v>0</v>
      </c>
      <c r="K17" s="243">
        <v>0</v>
      </c>
      <c r="L17" s="252">
        <v>0</v>
      </c>
      <c r="U17" s="369"/>
      <c r="V17" s="263"/>
    </row>
    <row r="18" spans="1:22" x14ac:dyDescent="0.25">
      <c r="A18" s="72" t="s">
        <v>389</v>
      </c>
      <c r="B18" s="24"/>
      <c r="C18" s="252">
        <v>50000</v>
      </c>
      <c r="D18" s="166" t="s">
        <v>521</v>
      </c>
      <c r="H18" s="72" t="s">
        <v>88</v>
      </c>
      <c r="I18" s="247">
        <v>0</v>
      </c>
      <c r="J18" s="247">
        <v>0</v>
      </c>
      <c r="K18" s="243">
        <v>0</v>
      </c>
      <c r="L18" s="252">
        <v>0</v>
      </c>
      <c r="U18" s="369"/>
      <c r="V18" s="263"/>
    </row>
    <row r="19" spans="1:22" x14ac:dyDescent="0.25">
      <c r="A19" s="72" t="s">
        <v>385</v>
      </c>
      <c r="B19" s="24"/>
      <c r="C19" s="252">
        <v>50000</v>
      </c>
      <c r="D19" s="166" t="s">
        <v>521</v>
      </c>
      <c r="H19" s="72" t="s">
        <v>89</v>
      </c>
      <c r="I19" s="247">
        <v>0</v>
      </c>
      <c r="J19" s="247">
        <v>0</v>
      </c>
      <c r="K19" s="243">
        <v>0</v>
      </c>
      <c r="L19" s="252">
        <v>0</v>
      </c>
      <c r="U19" s="369"/>
      <c r="V19" s="263"/>
    </row>
    <row r="20" spans="1:22" x14ac:dyDescent="0.25">
      <c r="A20" s="72" t="s">
        <v>386</v>
      </c>
      <c r="B20" s="24"/>
      <c r="C20" s="252">
        <v>100000</v>
      </c>
      <c r="D20" s="166" t="s">
        <v>521</v>
      </c>
      <c r="H20" s="72" t="s">
        <v>90</v>
      </c>
      <c r="I20" s="247">
        <v>0</v>
      </c>
      <c r="J20" s="247">
        <v>0</v>
      </c>
      <c r="K20" s="243">
        <v>0</v>
      </c>
      <c r="L20" s="252">
        <v>0</v>
      </c>
      <c r="U20" s="369"/>
      <c r="V20" s="263"/>
    </row>
    <row r="21" spans="1:22" x14ac:dyDescent="0.25">
      <c r="A21" s="72" t="s">
        <v>387</v>
      </c>
      <c r="B21" s="24"/>
      <c r="C21" s="252">
        <v>100000</v>
      </c>
      <c r="D21" s="166" t="s">
        <v>521</v>
      </c>
      <c r="H21" s="72" t="s">
        <v>91</v>
      </c>
      <c r="I21" s="247">
        <v>0</v>
      </c>
      <c r="J21" s="247">
        <v>0</v>
      </c>
      <c r="K21" s="243">
        <v>0</v>
      </c>
      <c r="L21" s="252">
        <v>0</v>
      </c>
      <c r="U21" s="369"/>
      <c r="V21" s="263"/>
    </row>
    <row r="22" spans="1:22" x14ac:dyDescent="0.25">
      <c r="A22" s="72" t="s">
        <v>388</v>
      </c>
      <c r="B22" s="24"/>
      <c r="C22" s="252">
        <v>100000</v>
      </c>
      <c r="D22" s="166" t="s">
        <v>521</v>
      </c>
      <c r="H22" s="72" t="s">
        <v>92</v>
      </c>
      <c r="I22" s="247">
        <v>0</v>
      </c>
      <c r="J22" s="247">
        <v>0</v>
      </c>
      <c r="K22" s="243">
        <v>0</v>
      </c>
      <c r="L22" s="252">
        <v>0</v>
      </c>
      <c r="U22" s="369"/>
      <c r="V22" s="263"/>
    </row>
    <row r="23" spans="1:22" x14ac:dyDescent="0.25">
      <c r="A23" s="72" t="s">
        <v>390</v>
      </c>
      <c r="B23" s="24"/>
      <c r="C23" s="134">
        <f>SUM(C18:C22)</f>
        <v>400000</v>
      </c>
      <c r="H23" s="72" t="s">
        <v>93</v>
      </c>
      <c r="I23" s="247">
        <v>0</v>
      </c>
      <c r="J23" s="247">
        <v>0</v>
      </c>
      <c r="K23" s="243">
        <v>0</v>
      </c>
      <c r="L23" s="252">
        <v>0</v>
      </c>
      <c r="U23" s="369"/>
      <c r="V23" s="263"/>
    </row>
    <row r="24" spans="1:22" x14ac:dyDescent="0.25">
      <c r="A24" s="413" t="s">
        <v>398</v>
      </c>
      <c r="B24" s="27"/>
      <c r="C24" s="252">
        <v>500000</v>
      </c>
      <c r="D24" s="166" t="s">
        <v>521</v>
      </c>
      <c r="H24" s="72" t="s">
        <v>94</v>
      </c>
      <c r="I24" s="247">
        <v>0</v>
      </c>
      <c r="J24" s="247">
        <v>0</v>
      </c>
      <c r="K24" s="243">
        <v>0</v>
      </c>
      <c r="L24" s="252">
        <v>0</v>
      </c>
      <c r="U24" s="369"/>
      <c r="V24" s="263"/>
    </row>
    <row r="25" spans="1:22" x14ac:dyDescent="0.25">
      <c r="A25" s="418" t="s">
        <v>44</v>
      </c>
      <c r="B25" s="27"/>
      <c r="C25" s="412">
        <f>IF(C14&gt;0,C14,C16+C23+C24)</f>
        <v>2400000</v>
      </c>
      <c r="H25" s="72" t="s">
        <v>239</v>
      </c>
      <c r="I25" s="247">
        <v>0</v>
      </c>
      <c r="J25" s="247">
        <v>0</v>
      </c>
      <c r="K25" s="243">
        <v>0</v>
      </c>
      <c r="L25" s="252">
        <v>0</v>
      </c>
      <c r="U25" s="369"/>
      <c r="V25" s="263"/>
    </row>
    <row r="26" spans="1:22" x14ac:dyDescent="0.25">
      <c r="A26" s="49" t="s">
        <v>533</v>
      </c>
      <c r="B26" s="24"/>
      <c r="C26" s="827">
        <f>L8</f>
        <v>250000</v>
      </c>
      <c r="D26" s="166" t="s">
        <v>532</v>
      </c>
      <c r="H26" s="72" t="s">
        <v>240</v>
      </c>
      <c r="I26" s="247">
        <v>0</v>
      </c>
      <c r="J26" s="247">
        <v>0</v>
      </c>
      <c r="K26" s="243">
        <v>0</v>
      </c>
      <c r="L26" s="252">
        <v>0</v>
      </c>
      <c r="U26" s="369"/>
      <c r="V26" s="263"/>
    </row>
    <row r="27" spans="1:22" ht="16.5" thickBot="1" x14ac:dyDescent="0.3">
      <c r="A27" s="118" t="s">
        <v>534</v>
      </c>
      <c r="B27" s="36"/>
      <c r="C27" s="421">
        <f>L9</f>
        <v>2150000</v>
      </c>
      <c r="D27" s="336"/>
      <c r="H27" s="72" t="s">
        <v>241</v>
      </c>
      <c r="I27" s="247">
        <v>0</v>
      </c>
      <c r="J27" s="247">
        <v>0</v>
      </c>
      <c r="K27" s="243">
        <v>0</v>
      </c>
      <c r="L27" s="252">
        <v>0</v>
      </c>
      <c r="U27" s="369"/>
      <c r="V27" s="263"/>
    </row>
    <row r="28" spans="1:22" ht="16.5" thickBot="1" x14ac:dyDescent="0.3">
      <c r="H28" s="72" t="s">
        <v>242</v>
      </c>
      <c r="I28" s="247">
        <v>0</v>
      </c>
      <c r="J28" s="247">
        <v>0</v>
      </c>
      <c r="K28" s="243">
        <v>0</v>
      </c>
      <c r="L28" s="252">
        <v>0</v>
      </c>
      <c r="U28" s="369"/>
      <c r="V28" s="263"/>
    </row>
    <row r="29" spans="1:22" ht="16.5" thickBot="1" x14ac:dyDescent="0.3">
      <c r="A29" s="43" t="s">
        <v>400</v>
      </c>
      <c r="B29" s="51"/>
      <c r="C29" s="53"/>
      <c r="H29" s="72" t="s">
        <v>243</v>
      </c>
      <c r="I29" s="247">
        <v>0</v>
      </c>
      <c r="J29" s="247">
        <v>0</v>
      </c>
      <c r="K29" s="243">
        <v>0</v>
      </c>
      <c r="L29" s="252">
        <v>0</v>
      </c>
      <c r="U29" s="369"/>
      <c r="V29" s="263"/>
    </row>
    <row r="30" spans="1:22" x14ac:dyDescent="0.25">
      <c r="A30" s="54" t="s">
        <v>550</v>
      </c>
      <c r="B30" s="24"/>
      <c r="C30" s="422">
        <v>10500</v>
      </c>
      <c r="H30" s="72" t="s">
        <v>244</v>
      </c>
      <c r="I30" s="247">
        <v>0</v>
      </c>
      <c r="J30" s="247">
        <v>0</v>
      </c>
      <c r="K30" s="243">
        <v>0</v>
      </c>
      <c r="L30" s="252">
        <v>0</v>
      </c>
      <c r="U30" s="369"/>
      <c r="V30" s="263"/>
    </row>
    <row r="31" spans="1:22" x14ac:dyDescent="0.25">
      <c r="A31" s="54" t="s">
        <v>391</v>
      </c>
      <c r="B31" s="24"/>
      <c r="C31" s="424">
        <v>1</v>
      </c>
      <c r="H31" s="72" t="s">
        <v>245</v>
      </c>
      <c r="I31" s="247">
        <v>0</v>
      </c>
      <c r="J31" s="247">
        <v>0</v>
      </c>
      <c r="K31" s="243">
        <v>0</v>
      </c>
      <c r="L31" s="252">
        <v>0</v>
      </c>
      <c r="U31" s="369"/>
      <c r="V31" s="263"/>
    </row>
    <row r="32" spans="1:22" x14ac:dyDescent="0.25">
      <c r="A32" s="54" t="s">
        <v>402</v>
      </c>
      <c r="B32" s="24"/>
      <c r="C32" s="423">
        <f>C30/C31</f>
        <v>10500</v>
      </c>
      <c r="H32" s="72" t="s">
        <v>246</v>
      </c>
      <c r="I32" s="247">
        <v>0</v>
      </c>
      <c r="J32" s="247">
        <v>0</v>
      </c>
      <c r="K32" s="243">
        <v>0</v>
      </c>
      <c r="L32" s="252">
        <v>0</v>
      </c>
      <c r="U32" s="369"/>
      <c r="V32" s="263"/>
    </row>
    <row r="33" spans="1:22" ht="16.5" thickBot="1" x14ac:dyDescent="0.3">
      <c r="A33" s="73" t="s">
        <v>393</v>
      </c>
      <c r="B33" s="36"/>
      <c r="C33" s="427">
        <f>C32/43560</f>
        <v>0.24104683195592286</v>
      </c>
      <c r="H33" s="72" t="s">
        <v>247</v>
      </c>
      <c r="I33" s="247">
        <v>0</v>
      </c>
      <c r="J33" s="247">
        <v>0</v>
      </c>
      <c r="K33" s="243">
        <v>0</v>
      </c>
      <c r="L33" s="252">
        <v>0</v>
      </c>
      <c r="U33" s="369"/>
      <c r="V33" s="263"/>
    </row>
    <row r="34" spans="1:22" ht="16.5" thickBot="1" x14ac:dyDescent="0.3">
      <c r="H34" s="72" t="s">
        <v>248</v>
      </c>
      <c r="I34" s="247">
        <v>0</v>
      </c>
      <c r="J34" s="247">
        <v>0</v>
      </c>
      <c r="K34" s="243">
        <v>0</v>
      </c>
      <c r="L34" s="252">
        <v>0</v>
      </c>
      <c r="U34" s="369"/>
      <c r="V34" s="263"/>
    </row>
    <row r="35" spans="1:22" ht="16.5" thickBot="1" x14ac:dyDescent="0.3">
      <c r="A35" s="43" t="s">
        <v>397</v>
      </c>
      <c r="B35" s="44"/>
      <c r="C35" s="45"/>
      <c r="H35" s="72" t="s">
        <v>249</v>
      </c>
      <c r="I35" s="247">
        <v>0</v>
      </c>
      <c r="J35" s="247">
        <v>0</v>
      </c>
      <c r="K35" s="243">
        <v>0</v>
      </c>
      <c r="L35" s="252">
        <v>0</v>
      </c>
      <c r="U35" s="369"/>
      <c r="V35" s="263"/>
    </row>
    <row r="36" spans="1:22" x14ac:dyDescent="0.25">
      <c r="A36" s="72" t="s">
        <v>404</v>
      </c>
      <c r="B36" s="24"/>
      <c r="C36" s="830">
        <v>17.5</v>
      </c>
      <c r="E36" s="39"/>
      <c r="H36" s="72" t="s">
        <v>250</v>
      </c>
      <c r="I36" s="247">
        <v>0</v>
      </c>
      <c r="J36" s="247">
        <v>0</v>
      </c>
      <c r="K36" s="243">
        <v>0</v>
      </c>
      <c r="L36" s="252">
        <v>0</v>
      </c>
      <c r="U36" s="369"/>
      <c r="V36" s="263"/>
    </row>
    <row r="37" spans="1:22" x14ac:dyDescent="0.25">
      <c r="A37" s="72" t="s">
        <v>429</v>
      </c>
      <c r="B37" s="18"/>
      <c r="C37" s="835">
        <v>0.05</v>
      </c>
      <c r="E37" s="39"/>
      <c r="H37" s="72" t="s">
        <v>251</v>
      </c>
      <c r="I37" s="247">
        <v>0</v>
      </c>
      <c r="J37" s="247">
        <v>0</v>
      </c>
      <c r="K37" s="243">
        <v>0</v>
      </c>
      <c r="L37" s="252">
        <v>0</v>
      </c>
      <c r="U37" s="369"/>
      <c r="V37" s="263"/>
    </row>
    <row r="38" spans="1:22" x14ac:dyDescent="0.25">
      <c r="A38" s="333" t="s">
        <v>394</v>
      </c>
      <c r="B38" s="18"/>
      <c r="C38" s="250">
        <v>0.05</v>
      </c>
      <c r="E38" s="39"/>
      <c r="H38" s="72" t="s">
        <v>252</v>
      </c>
      <c r="I38" s="247">
        <v>0</v>
      </c>
      <c r="J38" s="247">
        <v>0</v>
      </c>
      <c r="K38" s="243">
        <v>0</v>
      </c>
      <c r="L38" s="252">
        <v>0</v>
      </c>
      <c r="U38" s="369"/>
      <c r="V38" s="263"/>
    </row>
    <row r="39" spans="1:22" x14ac:dyDescent="0.25">
      <c r="A39" s="333" t="s">
        <v>395</v>
      </c>
      <c r="B39" s="18"/>
      <c r="C39" s="250">
        <v>0.02</v>
      </c>
      <c r="E39" s="39"/>
      <c r="H39" s="72" t="s">
        <v>253</v>
      </c>
      <c r="I39" s="247">
        <v>0</v>
      </c>
      <c r="J39" s="247">
        <v>0</v>
      </c>
      <c r="K39" s="243">
        <v>0</v>
      </c>
      <c r="L39" s="252">
        <v>0</v>
      </c>
      <c r="U39" s="369"/>
      <c r="V39" s="263"/>
    </row>
    <row r="40" spans="1:22" ht="16.5" thickBot="1" x14ac:dyDescent="0.3">
      <c r="A40" s="334" t="s">
        <v>463</v>
      </c>
      <c r="B40" s="31"/>
      <c r="C40" s="464">
        <v>5</v>
      </c>
      <c r="D40" s="11" t="s">
        <v>406</v>
      </c>
      <c r="H40" s="72" t="s">
        <v>254</v>
      </c>
      <c r="I40" s="247">
        <v>0</v>
      </c>
      <c r="J40" s="247">
        <v>0</v>
      </c>
      <c r="K40" s="243">
        <v>0</v>
      </c>
      <c r="L40" s="252">
        <v>0</v>
      </c>
      <c r="U40" s="369"/>
      <c r="V40" s="263"/>
    </row>
    <row r="41" spans="1:22" ht="16.5" thickBot="1" x14ac:dyDescent="0.3">
      <c r="E41" s="39"/>
      <c r="H41" s="72" t="s">
        <v>255</v>
      </c>
      <c r="I41" s="247">
        <v>0</v>
      </c>
      <c r="J41" s="247">
        <v>0</v>
      </c>
      <c r="K41" s="243">
        <v>0</v>
      </c>
      <c r="L41" s="252">
        <v>0</v>
      </c>
      <c r="U41" s="369"/>
      <c r="V41" s="263"/>
    </row>
    <row r="42" spans="1:22" ht="16.5" thickBot="1" x14ac:dyDescent="0.3">
      <c r="A42" s="84" t="s">
        <v>428</v>
      </c>
      <c r="B42" s="85"/>
      <c r="C42" s="52" t="s">
        <v>43</v>
      </c>
      <c r="D42" s="86"/>
      <c r="E42" s="39"/>
      <c r="H42" s="72" t="s">
        <v>256</v>
      </c>
      <c r="I42" s="247">
        <v>0</v>
      </c>
      <c r="J42" s="247">
        <v>0</v>
      </c>
      <c r="K42" s="243">
        <v>0</v>
      </c>
      <c r="L42" s="252">
        <v>0</v>
      </c>
      <c r="U42" s="369"/>
      <c r="V42" s="263"/>
    </row>
    <row r="43" spans="1:22" s="39" customFormat="1" x14ac:dyDescent="0.25">
      <c r="A43" s="87" t="s">
        <v>432</v>
      </c>
      <c r="B43" s="82"/>
      <c r="C43" s="88">
        <f>C27</f>
        <v>2150000</v>
      </c>
      <c r="D43" s="290"/>
      <c r="F43" s="11"/>
      <c r="G43" s="11"/>
      <c r="H43" s="72" t="s">
        <v>257</v>
      </c>
      <c r="I43" s="247">
        <v>0</v>
      </c>
      <c r="J43" s="247">
        <v>0</v>
      </c>
      <c r="K43" s="243">
        <v>0</v>
      </c>
      <c r="L43" s="252">
        <v>0</v>
      </c>
      <c r="U43" s="369"/>
      <c r="V43" s="263"/>
    </row>
    <row r="44" spans="1:22" ht="16.5" thickBot="1" x14ac:dyDescent="0.3">
      <c r="A44" s="90" t="s">
        <v>535</v>
      </c>
      <c r="B44" s="24"/>
      <c r="C44" s="832">
        <f>C43/C30</f>
        <v>204.76190476190476</v>
      </c>
      <c r="D44" s="91"/>
      <c r="G44" s="39"/>
      <c r="H44" s="73" t="s">
        <v>258</v>
      </c>
      <c r="I44" s="253">
        <v>0</v>
      </c>
      <c r="J44" s="253">
        <v>0</v>
      </c>
      <c r="K44" s="254">
        <v>0</v>
      </c>
      <c r="L44" s="255">
        <v>0</v>
      </c>
      <c r="U44" s="369"/>
      <c r="V44" s="263"/>
    </row>
    <row r="45" spans="1:22" ht="16.5" thickBot="1" x14ac:dyDescent="0.3">
      <c r="A45" s="50" t="s">
        <v>45</v>
      </c>
      <c r="B45" s="51"/>
      <c r="C45" s="52" t="s">
        <v>43</v>
      </c>
      <c r="D45" s="53" t="s">
        <v>137</v>
      </c>
      <c r="E45" s="39"/>
      <c r="U45" s="369"/>
      <c r="V45" s="263"/>
    </row>
    <row r="46" spans="1:22" ht="16.5" thickBot="1" x14ac:dyDescent="0.3">
      <c r="A46" s="54" t="s">
        <v>49</v>
      </c>
      <c r="B46" s="24"/>
      <c r="C46" s="828">
        <f>C30</f>
        <v>10500</v>
      </c>
      <c r="D46" s="465">
        <f>C36</f>
        <v>17.5</v>
      </c>
      <c r="E46" s="39"/>
      <c r="H46" s="43" t="s">
        <v>419</v>
      </c>
      <c r="I46" s="44"/>
      <c r="J46" s="44"/>
      <c r="K46" s="44"/>
      <c r="L46" s="45"/>
      <c r="U46" s="369"/>
      <c r="V46" s="263"/>
    </row>
    <row r="47" spans="1:22" x14ac:dyDescent="0.25">
      <c r="A47" s="57"/>
      <c r="B47" s="58"/>
      <c r="C47" s="93"/>
      <c r="D47" s="466"/>
      <c r="E47" s="39"/>
      <c r="H47" s="273">
        <f>SUM(H48:H52)</f>
        <v>0</v>
      </c>
      <c r="I47" s="274" t="s">
        <v>441</v>
      </c>
      <c r="J47" s="128"/>
      <c r="K47" s="128"/>
      <c r="L47" s="267"/>
      <c r="M47" s="336"/>
      <c r="U47" s="369"/>
      <c r="V47" s="263"/>
    </row>
    <row r="48" spans="1:22" x14ac:dyDescent="0.25">
      <c r="A48" s="17" t="s">
        <v>420</v>
      </c>
      <c r="B48" s="18"/>
      <c r="C48" s="97"/>
      <c r="D48" s="217">
        <f>C46*D46</f>
        <v>183750</v>
      </c>
      <c r="E48" s="39"/>
      <c r="F48" s="39"/>
      <c r="H48" s="264">
        <v>0</v>
      </c>
      <c r="I48" s="265" t="s">
        <v>147</v>
      </c>
      <c r="J48" s="24"/>
      <c r="K48" s="24"/>
      <c r="L48" s="275"/>
      <c r="U48" s="369"/>
      <c r="V48" s="263"/>
    </row>
    <row r="49" spans="1:22" x14ac:dyDescent="0.25">
      <c r="A49" s="17" t="s">
        <v>421</v>
      </c>
      <c r="B49" s="18"/>
      <c r="C49" s="25">
        <f>C37</f>
        <v>0.05</v>
      </c>
      <c r="D49" s="134">
        <f>D48*C49</f>
        <v>9187.5</v>
      </c>
      <c r="E49" s="39"/>
      <c r="F49" s="39"/>
      <c r="H49" s="264">
        <v>0</v>
      </c>
      <c r="I49" s="265" t="s">
        <v>151</v>
      </c>
      <c r="J49" s="24"/>
      <c r="K49" s="24"/>
      <c r="L49" s="275"/>
      <c r="U49" s="369"/>
      <c r="V49" s="263"/>
    </row>
    <row r="50" spans="1:22" x14ac:dyDescent="0.25">
      <c r="A50" s="17" t="s">
        <v>430</v>
      </c>
      <c r="B50" s="18"/>
      <c r="C50" s="247"/>
      <c r="D50" s="217">
        <f>D48+D49</f>
        <v>192937.5</v>
      </c>
      <c r="E50" s="39"/>
      <c r="F50" s="39"/>
      <c r="H50" s="264">
        <v>0</v>
      </c>
      <c r="I50" s="266" t="s">
        <v>149</v>
      </c>
      <c r="J50" s="24"/>
      <c r="K50" s="24"/>
      <c r="L50" s="275"/>
    </row>
    <row r="51" spans="1:22" x14ac:dyDescent="0.25">
      <c r="A51" s="59" t="s">
        <v>54</v>
      </c>
      <c r="B51" s="18"/>
      <c r="C51" s="25">
        <f>C38</f>
        <v>0.05</v>
      </c>
      <c r="D51" s="217">
        <f>D50*C51</f>
        <v>9646.875</v>
      </c>
      <c r="E51" s="39"/>
      <c r="F51" s="39"/>
      <c r="G51" s="39"/>
      <c r="H51" s="264">
        <v>0</v>
      </c>
      <c r="I51" s="265" t="s">
        <v>458</v>
      </c>
      <c r="J51" s="24"/>
      <c r="K51" s="24"/>
      <c r="L51" s="275"/>
      <c r="U51" s="261"/>
      <c r="V51" s="166"/>
    </row>
    <row r="52" spans="1:22" ht="16.5" thickBot="1" x14ac:dyDescent="0.3">
      <c r="A52" s="59" t="s">
        <v>55</v>
      </c>
      <c r="B52" s="18"/>
      <c r="C52" s="25">
        <f>C39</f>
        <v>0.02</v>
      </c>
      <c r="D52" s="217">
        <f>D50*C52</f>
        <v>3858.75</v>
      </c>
      <c r="E52" s="39"/>
      <c r="F52" s="39"/>
      <c r="G52" s="39"/>
      <c r="H52" s="264">
        <v>0</v>
      </c>
      <c r="I52" s="265" t="s">
        <v>458</v>
      </c>
      <c r="J52" s="24"/>
      <c r="K52" s="24"/>
      <c r="L52" s="275"/>
      <c r="U52" s="369"/>
      <c r="V52" s="263"/>
    </row>
    <row r="53" spans="1:22" x14ac:dyDescent="0.25">
      <c r="A53" s="17" t="s">
        <v>56</v>
      </c>
      <c r="B53" s="18"/>
      <c r="C53" s="100"/>
      <c r="D53" s="217">
        <f>D50-D51-D52</f>
        <v>179431.875</v>
      </c>
      <c r="E53" s="39"/>
      <c r="F53" s="39"/>
      <c r="G53" s="39"/>
      <c r="H53" s="273">
        <f>SUM(H54:H72)</f>
        <v>250000</v>
      </c>
      <c r="I53" s="274" t="s">
        <v>195</v>
      </c>
      <c r="J53" s="128"/>
      <c r="K53" s="128"/>
      <c r="L53" s="267"/>
      <c r="U53" s="369"/>
      <c r="V53" s="263"/>
    </row>
    <row r="54" spans="1:22" ht="16.5" thickBot="1" x14ac:dyDescent="0.3">
      <c r="A54" s="59" t="s">
        <v>422</v>
      </c>
      <c r="B54" s="18"/>
      <c r="C54" s="368">
        <f>C40</f>
        <v>5</v>
      </c>
      <c r="D54" s="217">
        <f>C54*C46</f>
        <v>52500</v>
      </c>
      <c r="E54" s="39"/>
      <c r="F54" s="39"/>
      <c r="G54" s="39"/>
      <c r="H54" s="264">
        <v>0</v>
      </c>
      <c r="I54" s="265" t="s">
        <v>161</v>
      </c>
      <c r="J54" s="24"/>
      <c r="K54" s="24"/>
      <c r="L54" s="275"/>
      <c r="U54" s="369"/>
      <c r="V54" s="263"/>
    </row>
    <row r="55" spans="1:22" ht="16.5" thickBot="1" x14ac:dyDescent="0.3">
      <c r="A55" s="102" t="s">
        <v>4</v>
      </c>
      <c r="B55" s="103"/>
      <c r="C55" s="104"/>
      <c r="D55" s="140">
        <f>D53-D54</f>
        <v>126931.875</v>
      </c>
      <c r="E55" s="39"/>
      <c r="F55" s="39"/>
      <c r="G55" s="39"/>
      <c r="H55" s="264">
        <v>0</v>
      </c>
      <c r="I55" s="265" t="s">
        <v>196</v>
      </c>
      <c r="J55" s="24"/>
      <c r="K55" s="24"/>
      <c r="L55" s="275"/>
    </row>
    <row r="56" spans="1:22" ht="16.5" thickBot="1" x14ac:dyDescent="0.3">
      <c r="E56" s="39"/>
      <c r="F56" s="39"/>
      <c r="G56" s="11" t="s">
        <v>9</v>
      </c>
      <c r="H56" s="264">
        <v>0</v>
      </c>
      <c r="I56" s="265" t="s">
        <v>197</v>
      </c>
      <c r="J56" s="24"/>
      <c r="K56" s="24"/>
      <c r="L56" s="275"/>
      <c r="U56" s="261"/>
      <c r="V56" s="166"/>
    </row>
    <row r="57" spans="1:22" ht="16.5" thickBot="1" x14ac:dyDescent="0.3">
      <c r="A57" s="60" t="s">
        <v>58</v>
      </c>
      <c r="B57" s="61"/>
      <c r="C57" s="62"/>
      <c r="E57" s="39"/>
      <c r="F57" s="39"/>
      <c r="H57" s="264">
        <v>0</v>
      </c>
      <c r="I57" s="265" t="s">
        <v>204</v>
      </c>
      <c r="J57" s="24"/>
      <c r="K57" s="24"/>
      <c r="L57" s="275"/>
      <c r="U57" s="261"/>
      <c r="V57" s="166"/>
    </row>
    <row r="58" spans="1:22" ht="16.5" thickBot="1" x14ac:dyDescent="0.3">
      <c r="A58" s="64" t="s">
        <v>59</v>
      </c>
      <c r="B58" s="65"/>
      <c r="C58" s="106">
        <f>IFERROR(D55/L4,0)</f>
        <v>5.2888281250000002E-2</v>
      </c>
      <c r="E58" s="39"/>
      <c r="F58" s="39"/>
      <c r="H58" s="264">
        <v>250000</v>
      </c>
      <c r="I58" s="265" t="s">
        <v>199</v>
      </c>
      <c r="J58" s="24"/>
      <c r="K58" s="24"/>
      <c r="L58" s="275"/>
      <c r="P58" s="39"/>
      <c r="U58" s="369"/>
      <c r="V58" s="263"/>
    </row>
    <row r="59" spans="1:22" x14ac:dyDescent="0.25">
      <c r="A59" s="107" t="s">
        <v>60</v>
      </c>
      <c r="B59" s="108"/>
      <c r="C59" s="109">
        <f>IFERROR(-E100,0)</f>
        <v>202741.0772609665</v>
      </c>
      <c r="E59" s="39"/>
      <c r="F59" s="39"/>
      <c r="H59" s="264">
        <v>0</v>
      </c>
      <c r="I59" s="265" t="s">
        <v>175</v>
      </c>
      <c r="J59" s="24"/>
      <c r="K59" s="24"/>
      <c r="L59" s="275"/>
      <c r="P59" s="39"/>
      <c r="U59" s="369"/>
      <c r="V59" s="263"/>
    </row>
    <row r="60" spans="1:22" ht="16.5" thickBot="1" x14ac:dyDescent="0.3">
      <c r="A60" s="59" t="s">
        <v>436</v>
      </c>
      <c r="B60" s="110"/>
      <c r="C60" s="111">
        <f>D55-C59</f>
        <v>-75809.2022609665</v>
      </c>
      <c r="E60" s="39"/>
      <c r="F60" s="39"/>
      <c r="H60" s="264">
        <v>0</v>
      </c>
      <c r="I60" s="265" t="s">
        <v>203</v>
      </c>
      <c r="J60" s="24"/>
      <c r="K60" s="24"/>
      <c r="L60" s="275"/>
      <c r="P60" s="39"/>
      <c r="U60" s="369"/>
      <c r="V60" s="263"/>
    </row>
    <row r="61" spans="1:22" ht="16.5" thickBot="1" x14ac:dyDescent="0.3">
      <c r="A61" s="102" t="s">
        <v>62</v>
      </c>
      <c r="B61" s="103"/>
      <c r="C61" s="112">
        <f>IFERROR(C60/E103,0)</f>
        <v>6.6499300228917979E-2</v>
      </c>
      <c r="E61" s="39"/>
      <c r="F61" s="39"/>
      <c r="H61" s="264">
        <v>0</v>
      </c>
      <c r="I61" s="265" t="s">
        <v>167</v>
      </c>
      <c r="J61" s="24"/>
      <c r="K61" s="24"/>
      <c r="L61" s="275"/>
      <c r="U61" s="369"/>
      <c r="V61" s="263"/>
    </row>
    <row r="62" spans="1:22" ht="16.5" thickBot="1" x14ac:dyDescent="0.3">
      <c r="A62" s="113" t="s">
        <v>63</v>
      </c>
      <c r="B62" s="114"/>
      <c r="C62" s="63"/>
      <c r="E62" s="39"/>
      <c r="F62" s="39"/>
      <c r="H62" s="264">
        <v>0</v>
      </c>
      <c r="I62" s="265" t="s">
        <v>200</v>
      </c>
      <c r="J62" s="24"/>
      <c r="K62" s="24"/>
      <c r="L62" s="275"/>
    </row>
    <row r="63" spans="1:22" x14ac:dyDescent="0.25">
      <c r="A63" s="59" t="s">
        <v>64</v>
      </c>
      <c r="B63" s="18"/>
      <c r="C63" s="115">
        <f>D55</f>
        <v>126931.875</v>
      </c>
      <c r="E63" s="39"/>
      <c r="F63" s="39"/>
      <c r="H63" s="264">
        <v>0</v>
      </c>
      <c r="I63" s="265" t="s">
        <v>165</v>
      </c>
      <c r="J63" s="24"/>
      <c r="K63" s="24"/>
      <c r="L63" s="275"/>
    </row>
    <row r="64" spans="1:22" ht="16.5" thickBot="1" x14ac:dyDescent="0.3">
      <c r="A64" s="59" t="s">
        <v>65</v>
      </c>
      <c r="B64" s="18"/>
      <c r="C64" s="250">
        <v>7.4999999999999997E-2</v>
      </c>
      <c r="E64" s="39"/>
      <c r="F64" s="39"/>
      <c r="H64" s="396">
        <v>0</v>
      </c>
      <c r="I64" s="46" t="s">
        <v>497</v>
      </c>
      <c r="J64" s="24"/>
      <c r="K64" s="24"/>
      <c r="L64" s="275"/>
    </row>
    <row r="65" spans="1:12" ht="16.5" thickBot="1" x14ac:dyDescent="0.3">
      <c r="A65" s="19" t="s">
        <v>66</v>
      </c>
      <c r="B65" s="20"/>
      <c r="C65" s="117">
        <f>IFERROR(C63/C64,0)</f>
        <v>1692425</v>
      </c>
      <c r="E65" s="39"/>
      <c r="F65" s="39"/>
      <c r="H65" s="264">
        <v>0</v>
      </c>
      <c r="I65" s="265" t="s">
        <v>163</v>
      </c>
      <c r="J65" s="24"/>
      <c r="K65" s="24"/>
      <c r="L65" s="275"/>
    </row>
    <row r="66" spans="1:12" ht="16.5" thickBot="1" x14ac:dyDescent="0.3">
      <c r="A66" s="655" t="s">
        <v>559</v>
      </c>
      <c r="B66" s="36"/>
      <c r="C66" s="119">
        <f>C65-C43</f>
        <v>-457575</v>
      </c>
      <c r="E66" s="39"/>
      <c r="F66" s="39"/>
      <c r="H66" s="264">
        <v>0</v>
      </c>
      <c r="I66" s="265" t="s">
        <v>206</v>
      </c>
      <c r="J66" s="24"/>
      <c r="K66" s="24"/>
      <c r="L66" s="275"/>
    </row>
    <row r="67" spans="1:12" ht="16.5" thickBot="1" x14ac:dyDescent="0.3">
      <c r="E67" s="38"/>
      <c r="F67" s="39"/>
      <c r="H67" s="264">
        <v>0</v>
      </c>
      <c r="I67" s="265" t="s">
        <v>198</v>
      </c>
      <c r="J67" s="24"/>
      <c r="K67" s="24"/>
      <c r="L67" s="275"/>
    </row>
    <row r="68" spans="1:12" ht="16.5" thickBot="1" x14ac:dyDescent="0.3">
      <c r="A68" s="79" t="s">
        <v>96</v>
      </c>
      <c r="B68" s="51"/>
      <c r="C68" s="51"/>
      <c r="D68" s="80"/>
      <c r="E68" s="38"/>
      <c r="F68" s="39"/>
      <c r="H68" s="264">
        <v>0</v>
      </c>
      <c r="I68" s="265" t="s">
        <v>201</v>
      </c>
      <c r="J68" s="24"/>
      <c r="K68" s="24"/>
      <c r="L68" s="275"/>
    </row>
    <row r="69" spans="1:12" x14ac:dyDescent="0.25">
      <c r="A69" s="429" t="s">
        <v>425</v>
      </c>
      <c r="B69" s="122"/>
      <c r="C69" s="128" t="s">
        <v>96</v>
      </c>
      <c r="D69" s="476">
        <v>0.03</v>
      </c>
      <c r="E69" s="38"/>
      <c r="F69" s="39"/>
      <c r="H69" s="264">
        <v>0</v>
      </c>
      <c r="I69" s="265" t="s">
        <v>205</v>
      </c>
      <c r="J69" s="24"/>
      <c r="K69" s="24"/>
      <c r="L69" s="275"/>
    </row>
    <row r="70" spans="1:12" ht="16.5" thickBot="1" x14ac:dyDescent="0.3">
      <c r="A70" s="81" t="s">
        <v>438</v>
      </c>
      <c r="B70" s="31"/>
      <c r="C70" s="36" t="s">
        <v>96</v>
      </c>
      <c r="D70" s="248">
        <v>0.03</v>
      </c>
      <c r="E70" s="38"/>
      <c r="F70" s="38"/>
      <c r="H70" s="264">
        <v>0</v>
      </c>
      <c r="I70" s="265" t="s">
        <v>207</v>
      </c>
      <c r="J70" s="24"/>
      <c r="K70" s="24"/>
      <c r="L70" s="275"/>
    </row>
    <row r="71" spans="1:12" ht="16.5" thickBot="1" x14ac:dyDescent="0.3">
      <c r="E71" s="120"/>
      <c r="F71" s="38"/>
      <c r="H71" s="264">
        <v>0</v>
      </c>
      <c r="I71" s="265" t="s">
        <v>458</v>
      </c>
      <c r="J71" s="24"/>
      <c r="K71" s="24"/>
      <c r="L71" s="275"/>
    </row>
    <row r="72" spans="1:12" ht="16.5" thickBot="1" x14ac:dyDescent="0.3">
      <c r="A72" s="79" t="s">
        <v>412</v>
      </c>
      <c r="B72" s="51"/>
      <c r="C72" s="51"/>
      <c r="D72" s="53" t="s">
        <v>85</v>
      </c>
      <c r="E72" s="120"/>
      <c r="F72" s="38"/>
      <c r="H72" s="264">
        <v>0</v>
      </c>
      <c r="I72" s="265" t="s">
        <v>458</v>
      </c>
      <c r="J72" s="24"/>
      <c r="K72" s="24"/>
      <c r="L72" s="275"/>
    </row>
    <row r="73" spans="1:12" x14ac:dyDescent="0.25">
      <c r="A73" s="327" t="s">
        <v>411</v>
      </c>
      <c r="B73" s="122"/>
      <c r="C73" s="128"/>
      <c r="D73" s="476">
        <v>0.08</v>
      </c>
      <c r="E73" s="120"/>
      <c r="F73" s="38"/>
      <c r="H73" s="273">
        <f>SUM(H74:H79)</f>
        <v>0</v>
      </c>
      <c r="I73" s="274" t="s">
        <v>208</v>
      </c>
      <c r="J73" s="128"/>
      <c r="K73" s="128"/>
      <c r="L73" s="267"/>
    </row>
    <row r="74" spans="1:12" ht="16.5" thickBot="1" x14ac:dyDescent="0.3">
      <c r="A74" s="35" t="s">
        <v>410</v>
      </c>
      <c r="B74" s="31"/>
      <c r="C74" s="31"/>
      <c r="D74" s="256">
        <v>0.05</v>
      </c>
      <c r="E74" s="120"/>
      <c r="F74" s="120"/>
      <c r="H74" s="264">
        <v>0</v>
      </c>
      <c r="I74" s="265" t="s">
        <v>188</v>
      </c>
      <c r="J74" s="24"/>
      <c r="K74" s="24"/>
      <c r="L74" s="275"/>
    </row>
    <row r="75" spans="1:12" ht="16.5" thickBot="1" x14ac:dyDescent="0.3">
      <c r="E75" s="120"/>
      <c r="F75" s="120"/>
      <c r="H75" s="264">
        <v>0</v>
      </c>
      <c r="I75" s="265" t="s">
        <v>184</v>
      </c>
      <c r="J75" s="24"/>
      <c r="K75" s="24"/>
      <c r="L75" s="275"/>
    </row>
    <row r="76" spans="1:12" ht="16.5" thickBot="1" x14ac:dyDescent="0.3">
      <c r="A76" s="199" t="s">
        <v>67</v>
      </c>
      <c r="B76" s="51"/>
      <c r="C76" s="45" t="s">
        <v>202</v>
      </c>
      <c r="E76" s="120"/>
      <c r="F76" s="120"/>
      <c r="H76" s="264">
        <v>0</v>
      </c>
      <c r="I76" s="265" t="s">
        <v>186</v>
      </c>
      <c r="J76" s="24"/>
      <c r="K76" s="24"/>
      <c r="L76" s="275"/>
    </row>
    <row r="77" spans="1:12" ht="16.5" thickBot="1" x14ac:dyDescent="0.3">
      <c r="A77" s="64" t="s">
        <v>414</v>
      </c>
      <c r="B77" s="65"/>
      <c r="C77" s="66"/>
      <c r="E77" s="120"/>
      <c r="F77" s="120"/>
      <c r="H77" s="394">
        <v>0</v>
      </c>
      <c r="I77" s="46" t="s">
        <v>494</v>
      </c>
      <c r="J77" s="24"/>
      <c r="K77" s="24"/>
      <c r="L77" s="275"/>
    </row>
    <row r="78" spans="1:12" x14ac:dyDescent="0.25">
      <c r="A78" s="335" t="s">
        <v>513</v>
      </c>
      <c r="B78" s="65"/>
      <c r="C78" s="249">
        <v>0.6</v>
      </c>
      <c r="E78" s="120"/>
      <c r="F78" s="120"/>
      <c r="H78" s="264">
        <v>0</v>
      </c>
      <c r="I78" s="265" t="s">
        <v>458</v>
      </c>
      <c r="J78" s="24"/>
      <c r="K78" s="24"/>
      <c r="L78" s="275"/>
    </row>
    <row r="79" spans="1:12" ht="16.5" thickBot="1" x14ac:dyDescent="0.3">
      <c r="A79" s="467" t="s">
        <v>514</v>
      </c>
      <c r="B79" s="468"/>
      <c r="C79" s="469">
        <f>C78*D27</f>
        <v>0</v>
      </c>
      <c r="D79" s="261"/>
      <c r="E79" s="120"/>
      <c r="F79" s="120"/>
      <c r="H79" s="264">
        <v>0</v>
      </c>
      <c r="I79" s="265" t="s">
        <v>458</v>
      </c>
      <c r="J79" s="24"/>
      <c r="K79" s="24"/>
      <c r="L79" s="275"/>
    </row>
    <row r="80" spans="1:12" x14ac:dyDescent="0.25">
      <c r="A80" s="17" t="s">
        <v>515</v>
      </c>
      <c r="B80" s="18"/>
      <c r="C80" s="250">
        <v>0.04</v>
      </c>
      <c r="E80" s="120"/>
      <c r="F80" s="120"/>
      <c r="H80" s="273">
        <f>SUM(H81:H88)</f>
        <v>2000000</v>
      </c>
      <c r="I80" s="274" t="s">
        <v>399</v>
      </c>
      <c r="J80" s="128"/>
      <c r="K80" s="128"/>
      <c r="L80" s="267"/>
    </row>
    <row r="81" spans="1:12" ht="16.5" thickBot="1" x14ac:dyDescent="0.3">
      <c r="A81" s="35" t="s">
        <v>516</v>
      </c>
      <c r="B81" s="31"/>
      <c r="C81" s="251">
        <v>30</v>
      </c>
      <c r="E81" s="120"/>
      <c r="F81" s="120"/>
      <c r="H81" s="264">
        <v>0</v>
      </c>
      <c r="I81" s="265" t="s">
        <v>238</v>
      </c>
      <c r="J81" s="24"/>
      <c r="K81" s="24"/>
      <c r="L81" s="275"/>
    </row>
    <row r="82" spans="1:12" ht="16.5" thickBot="1" x14ac:dyDescent="0.3">
      <c r="A82" s="68" t="s">
        <v>415</v>
      </c>
      <c r="B82" s="31"/>
      <c r="C82" s="69"/>
      <c r="E82" s="120"/>
      <c r="F82" s="120"/>
      <c r="H82" s="264">
        <v>0</v>
      </c>
      <c r="I82" s="265" t="s">
        <v>181</v>
      </c>
      <c r="J82" s="24"/>
      <c r="K82" s="24"/>
      <c r="L82" s="275"/>
    </row>
    <row r="83" spans="1:12" x14ac:dyDescent="0.25">
      <c r="A83" s="438" t="s">
        <v>401</v>
      </c>
      <c r="B83" s="122"/>
      <c r="C83" s="437">
        <f>H80</f>
        <v>2000000</v>
      </c>
      <c r="D83" s="11" t="s">
        <v>524</v>
      </c>
      <c r="E83" s="120"/>
      <c r="F83" s="120"/>
      <c r="H83" s="396">
        <v>0</v>
      </c>
      <c r="I83" s="265" t="s">
        <v>492</v>
      </c>
      <c r="J83" s="24"/>
      <c r="K83" s="24"/>
      <c r="L83" s="275"/>
    </row>
    <row r="84" spans="1:12" x14ac:dyDescent="0.25">
      <c r="A84" s="17" t="s">
        <v>68</v>
      </c>
      <c r="B84" s="18"/>
      <c r="C84" s="250">
        <v>0.05</v>
      </c>
      <c r="E84" s="120"/>
      <c r="F84" s="120"/>
      <c r="H84" s="264">
        <v>0</v>
      </c>
      <c r="I84" s="265" t="s">
        <v>178</v>
      </c>
      <c r="J84" s="24"/>
      <c r="K84" s="24"/>
      <c r="L84" s="275"/>
    </row>
    <row r="85" spans="1:12" ht="16.5" thickBot="1" x14ac:dyDescent="0.3">
      <c r="A85" s="35" t="s">
        <v>69</v>
      </c>
      <c r="B85" s="31"/>
      <c r="C85" s="251">
        <v>30</v>
      </c>
      <c r="E85" s="120"/>
      <c r="F85" s="120"/>
      <c r="H85" s="264">
        <v>2000000</v>
      </c>
      <c r="I85" s="265" t="s">
        <v>180</v>
      </c>
      <c r="J85" s="24"/>
      <c r="K85" s="24"/>
      <c r="L85" s="275"/>
    </row>
    <row r="86" spans="1:12" ht="16.5" thickBot="1" x14ac:dyDescent="0.3">
      <c r="E86" s="120"/>
      <c r="F86" s="120"/>
      <c r="H86" s="264">
        <v>0</v>
      </c>
      <c r="I86" s="265" t="s">
        <v>209</v>
      </c>
      <c r="J86" s="24"/>
      <c r="K86" s="24"/>
      <c r="L86" s="275"/>
    </row>
    <row r="87" spans="1:12" ht="16.5" thickBot="1" x14ac:dyDescent="0.3">
      <c r="A87" s="199" t="s">
        <v>439</v>
      </c>
      <c r="B87" s="51"/>
      <c r="C87" s="51"/>
      <c r="D87" s="51"/>
      <c r="E87" s="80"/>
      <c r="F87" s="120"/>
      <c r="H87" s="264">
        <v>0</v>
      </c>
      <c r="I87" s="265" t="s">
        <v>458</v>
      </c>
      <c r="J87" s="24"/>
      <c r="K87" s="24"/>
      <c r="L87" s="275"/>
    </row>
    <row r="88" spans="1:12" ht="16.5" thickBot="1" x14ac:dyDescent="0.3">
      <c r="A88" s="121" t="s">
        <v>414</v>
      </c>
      <c r="B88" s="122"/>
      <c r="C88" s="122"/>
      <c r="D88" s="123"/>
      <c r="E88" s="124"/>
      <c r="F88" s="120"/>
      <c r="H88" s="264">
        <v>0</v>
      </c>
      <c r="I88" s="265" t="s">
        <v>458</v>
      </c>
      <c r="J88" s="24"/>
      <c r="K88" s="24"/>
      <c r="L88" s="275"/>
    </row>
    <row r="89" spans="1:12" x14ac:dyDescent="0.25">
      <c r="A89" s="17" t="s">
        <v>538</v>
      </c>
      <c r="B89" s="18"/>
      <c r="C89" s="18"/>
      <c r="D89" s="38"/>
      <c r="E89" s="111">
        <f>C27</f>
        <v>2150000</v>
      </c>
      <c r="F89" s="120"/>
      <c r="H89" s="273">
        <f>SUM(H90:H91)</f>
        <v>100000</v>
      </c>
      <c r="I89" s="274" t="s">
        <v>377</v>
      </c>
      <c r="J89" s="128"/>
      <c r="K89" s="128"/>
      <c r="L89" s="267"/>
    </row>
    <row r="90" spans="1:12" x14ac:dyDescent="0.25">
      <c r="A90" s="72" t="s">
        <v>518</v>
      </c>
      <c r="B90" s="18"/>
      <c r="C90" s="18"/>
      <c r="D90" s="365">
        <f>C78</f>
        <v>0.6</v>
      </c>
      <c r="E90" s="111">
        <f>D90*E89</f>
        <v>1290000</v>
      </c>
      <c r="F90" s="120"/>
      <c r="H90" s="264">
        <v>0</v>
      </c>
      <c r="I90" s="265" t="s">
        <v>379</v>
      </c>
      <c r="J90" s="24"/>
      <c r="K90" s="24"/>
      <c r="L90" s="275"/>
    </row>
    <row r="91" spans="1:12" ht="16.5" thickBot="1" x14ac:dyDescent="0.3">
      <c r="A91" s="17" t="s">
        <v>515</v>
      </c>
      <c r="B91" s="18"/>
      <c r="C91" s="18"/>
      <c r="D91" s="38"/>
      <c r="E91" s="116">
        <f>C80</f>
        <v>0.04</v>
      </c>
      <c r="F91" s="120"/>
      <c r="H91" s="268">
        <v>100000</v>
      </c>
      <c r="I91" s="269" t="s">
        <v>382</v>
      </c>
      <c r="J91" s="36"/>
      <c r="K91" s="36"/>
      <c r="L91" s="277"/>
    </row>
    <row r="92" spans="1:12" ht="16.5" thickBot="1" x14ac:dyDescent="0.3">
      <c r="A92" s="17" t="s">
        <v>516</v>
      </c>
      <c r="B92" s="18"/>
      <c r="C92" s="18"/>
      <c r="D92" s="38"/>
      <c r="E92" s="34">
        <f>C81</f>
        <v>30</v>
      </c>
      <c r="F92" s="120"/>
    </row>
    <row r="93" spans="1:12" ht="16.5" thickBot="1" x14ac:dyDescent="0.3">
      <c r="A93" s="125" t="s">
        <v>519</v>
      </c>
      <c r="B93" s="30"/>
      <c r="C93" s="30"/>
      <c r="D93" s="126"/>
      <c r="E93" s="127">
        <f>IFERROR(PMT(E91/12,E92*12,E90)*12,0)</f>
        <v>-73903.887738053134</v>
      </c>
      <c r="F93" s="120"/>
      <c r="H93" s="70" t="s">
        <v>443</v>
      </c>
      <c r="I93" s="71"/>
      <c r="J93" s="71"/>
      <c r="K93" s="71"/>
      <c r="L93" s="341" t="s">
        <v>407</v>
      </c>
    </row>
    <row r="94" spans="1:12" ht="16.5" thickBot="1" x14ac:dyDescent="0.3">
      <c r="A94" s="68" t="s">
        <v>522</v>
      </c>
      <c r="B94" s="122"/>
      <c r="C94" s="128"/>
      <c r="D94" s="129"/>
      <c r="E94" s="130"/>
      <c r="F94" s="120"/>
      <c r="H94" s="72" t="s">
        <v>77</v>
      </c>
      <c r="I94" s="24"/>
      <c r="J94" s="24"/>
      <c r="K94" s="24"/>
      <c r="L94" s="252">
        <v>50000</v>
      </c>
    </row>
    <row r="95" spans="1:12" x14ac:dyDescent="0.25">
      <c r="A95" s="335" t="s">
        <v>520</v>
      </c>
      <c r="B95" s="430"/>
      <c r="C95" s="430"/>
      <c r="D95" s="39"/>
      <c r="E95" s="431">
        <f>C83</f>
        <v>2000000</v>
      </c>
      <c r="F95" s="120"/>
      <c r="H95" s="72" t="s">
        <v>78</v>
      </c>
      <c r="I95" s="24"/>
      <c r="J95" s="24"/>
      <c r="K95" s="24"/>
      <c r="L95" s="252">
        <v>10000</v>
      </c>
    </row>
    <row r="96" spans="1:12" x14ac:dyDescent="0.25">
      <c r="A96" s="17" t="s">
        <v>515</v>
      </c>
      <c r="B96" s="18"/>
      <c r="C96" s="18"/>
      <c r="D96" s="38"/>
      <c r="E96" s="116">
        <f>C84</f>
        <v>0.05</v>
      </c>
      <c r="F96" s="120"/>
      <c r="H96" s="72" t="s">
        <v>442</v>
      </c>
      <c r="I96" s="24"/>
      <c r="J96" s="24"/>
      <c r="K96" s="24"/>
      <c r="L96" s="252">
        <v>0</v>
      </c>
    </row>
    <row r="97" spans="1:34" x14ac:dyDescent="0.25">
      <c r="A97" s="17" t="s">
        <v>516</v>
      </c>
      <c r="B97" s="18"/>
      <c r="C97" s="18"/>
      <c r="D97" s="38"/>
      <c r="E97" s="34">
        <f>C85</f>
        <v>30</v>
      </c>
      <c r="H97" s="72" t="s">
        <v>79</v>
      </c>
      <c r="I97" s="24"/>
      <c r="J97" s="24"/>
      <c r="K97" s="24"/>
      <c r="L97" s="250">
        <v>0.05</v>
      </c>
    </row>
    <row r="98" spans="1:34" ht="16.5" thickBot="1" x14ac:dyDescent="0.3">
      <c r="A98" s="17" t="s">
        <v>519</v>
      </c>
      <c r="B98" s="18"/>
      <c r="C98" s="18"/>
      <c r="D98" s="38"/>
      <c r="E98" s="131">
        <f>IFERROR(PMT(E96/12,E97*12,E95)*12,0)</f>
        <v>-128837.18952291337</v>
      </c>
      <c r="H98" s="73" t="s">
        <v>424</v>
      </c>
      <c r="I98" s="36"/>
      <c r="J98" s="36"/>
      <c r="K98" s="36"/>
      <c r="L98" s="248">
        <v>0.05</v>
      </c>
    </row>
    <row r="99" spans="1:34" x14ac:dyDescent="0.25">
      <c r="A99" s="49" t="s">
        <v>71</v>
      </c>
      <c r="B99" s="24"/>
      <c r="C99" s="24"/>
      <c r="D99" s="39"/>
      <c r="E99" s="132">
        <f>E90+E95</f>
        <v>3290000</v>
      </c>
    </row>
    <row r="100" spans="1:34" ht="16.5" thickBot="1" x14ac:dyDescent="0.3">
      <c r="A100" s="17" t="s">
        <v>539</v>
      </c>
      <c r="B100" s="24"/>
      <c r="C100" s="24"/>
      <c r="D100" s="39"/>
      <c r="E100" s="132">
        <f>E93+E98</f>
        <v>-202741.0772609665</v>
      </c>
      <c r="F100" s="336"/>
    </row>
    <row r="101" spans="1:34" ht="16.5" thickBot="1" x14ac:dyDescent="0.3">
      <c r="A101" s="102" t="s">
        <v>72</v>
      </c>
      <c r="B101" s="114"/>
      <c r="C101" s="114"/>
      <c r="D101" s="104"/>
      <c r="E101" s="63"/>
    </row>
    <row r="102" spans="1:34" x14ac:dyDescent="0.25">
      <c r="A102" s="17" t="s">
        <v>449</v>
      </c>
      <c r="B102" s="18"/>
      <c r="C102" s="18"/>
      <c r="D102" s="38"/>
      <c r="E102" s="111">
        <f>C27</f>
        <v>2150000</v>
      </c>
    </row>
    <row r="103" spans="1:34" ht="16.5" thickBot="1" x14ac:dyDescent="0.3">
      <c r="A103" s="135" t="s">
        <v>74</v>
      </c>
      <c r="B103" s="136"/>
      <c r="C103" s="136"/>
      <c r="D103" s="137"/>
      <c r="E103" s="138">
        <f>E102-E99</f>
        <v>-1140000</v>
      </c>
    </row>
    <row r="105" spans="1:34" ht="16.5" thickBot="1" x14ac:dyDescent="0.3"/>
    <row r="106" spans="1:34" ht="16.5" thickBot="1" x14ac:dyDescent="0.3">
      <c r="A106" s="79" t="s">
        <v>95</v>
      </c>
      <c r="B106" s="51"/>
      <c r="C106" s="51"/>
      <c r="D106" s="51"/>
      <c r="E106" s="355" t="s">
        <v>85</v>
      </c>
      <c r="F106" s="356" t="s">
        <v>86</v>
      </c>
      <c r="G106" s="355" t="s">
        <v>87</v>
      </c>
      <c r="H106" s="356" t="s">
        <v>88</v>
      </c>
      <c r="I106" s="355" t="s">
        <v>89</v>
      </c>
      <c r="J106" s="356" t="s">
        <v>90</v>
      </c>
      <c r="K106" s="355" t="s">
        <v>91</v>
      </c>
      <c r="L106" s="356" t="s">
        <v>92</v>
      </c>
      <c r="M106" s="355" t="s">
        <v>93</v>
      </c>
      <c r="N106" s="355" t="s">
        <v>94</v>
      </c>
      <c r="O106" s="357" t="s">
        <v>239</v>
      </c>
      <c r="P106" s="358" t="s">
        <v>240</v>
      </c>
      <c r="Q106" s="358" t="s">
        <v>241</v>
      </c>
      <c r="R106" s="340" t="s">
        <v>242</v>
      </c>
      <c r="S106" s="358" t="s">
        <v>243</v>
      </c>
      <c r="T106" s="340" t="s">
        <v>244</v>
      </c>
      <c r="U106" s="358" t="s">
        <v>245</v>
      </c>
      <c r="V106" s="340" t="s">
        <v>246</v>
      </c>
      <c r="W106" s="358" t="s">
        <v>247</v>
      </c>
      <c r="X106" s="340" t="s">
        <v>248</v>
      </c>
      <c r="Y106" s="358" t="s">
        <v>249</v>
      </c>
      <c r="Z106" s="340" t="s">
        <v>250</v>
      </c>
      <c r="AA106" s="358" t="s">
        <v>251</v>
      </c>
      <c r="AB106" s="340" t="s">
        <v>252</v>
      </c>
      <c r="AC106" s="358" t="s">
        <v>253</v>
      </c>
      <c r="AD106" s="340" t="s">
        <v>254</v>
      </c>
      <c r="AE106" s="358" t="s">
        <v>255</v>
      </c>
      <c r="AF106" s="340" t="s">
        <v>256</v>
      </c>
      <c r="AG106" s="358" t="s">
        <v>257</v>
      </c>
      <c r="AH106" s="359" t="s">
        <v>258</v>
      </c>
    </row>
    <row r="107" spans="1:34" x14ac:dyDescent="0.25">
      <c r="A107" s="90" t="s">
        <v>425</v>
      </c>
      <c r="B107" s="18"/>
      <c r="C107" s="345" t="s">
        <v>96</v>
      </c>
      <c r="D107" s="25">
        <f>D69</f>
        <v>0.03</v>
      </c>
      <c r="E107" s="203">
        <f>D48</f>
        <v>183750</v>
      </c>
      <c r="F107" s="98">
        <f t="shared" ref="F107:U108" si="0">E107*(1+$D$107)</f>
        <v>189262.5</v>
      </c>
      <c r="G107" s="203">
        <f t="shared" si="0"/>
        <v>194940.375</v>
      </c>
      <c r="H107" s="98">
        <f t="shared" si="0"/>
        <v>200788.58624999999</v>
      </c>
      <c r="I107" s="203">
        <f t="shared" si="0"/>
        <v>206812.24383749999</v>
      </c>
      <c r="J107" s="98">
        <f t="shared" si="0"/>
        <v>213016.611152625</v>
      </c>
      <c r="K107" s="203">
        <f t="shared" si="0"/>
        <v>219407.10948720376</v>
      </c>
      <c r="L107" s="98">
        <f t="shared" si="0"/>
        <v>225989.32277181989</v>
      </c>
      <c r="M107" s="203">
        <f t="shared" si="0"/>
        <v>232769.00245497448</v>
      </c>
      <c r="N107" s="203">
        <f t="shared" si="0"/>
        <v>239752.07252862371</v>
      </c>
      <c r="O107" s="284">
        <f t="shared" si="0"/>
        <v>246944.63470448242</v>
      </c>
      <c r="P107" s="203">
        <f t="shared" si="0"/>
        <v>254352.97374561691</v>
      </c>
      <c r="Q107" s="203">
        <f t="shared" si="0"/>
        <v>261983.56295798541</v>
      </c>
      <c r="R107" s="98">
        <f t="shared" si="0"/>
        <v>269843.06984672497</v>
      </c>
      <c r="S107" s="287">
        <f t="shared" si="0"/>
        <v>277938.36194212671</v>
      </c>
      <c r="T107" s="98">
        <f t="shared" si="0"/>
        <v>286276.51280039054</v>
      </c>
      <c r="U107" s="287">
        <f t="shared" si="0"/>
        <v>294864.80818440224</v>
      </c>
      <c r="V107" s="98">
        <f t="shared" ref="V107:AH108" si="1">U107*(1+$D$107)</f>
        <v>303710.75242993433</v>
      </c>
      <c r="W107" s="203">
        <f t="shared" si="1"/>
        <v>312822.0750028324</v>
      </c>
      <c r="X107" s="98">
        <f t="shared" si="1"/>
        <v>322206.73725291737</v>
      </c>
      <c r="Y107" s="203">
        <f t="shared" si="1"/>
        <v>331872.93937050493</v>
      </c>
      <c r="Z107" s="98">
        <f t="shared" si="1"/>
        <v>341829.12755162007</v>
      </c>
      <c r="AA107" s="203">
        <f t="shared" si="1"/>
        <v>352084.0013781687</v>
      </c>
      <c r="AB107" s="98">
        <f t="shared" si="1"/>
        <v>362646.5214195138</v>
      </c>
      <c r="AC107" s="203">
        <f t="shared" si="1"/>
        <v>373525.91706209921</v>
      </c>
      <c r="AD107" s="98">
        <f t="shared" si="1"/>
        <v>384731.69457396219</v>
      </c>
      <c r="AE107" s="203">
        <f t="shared" si="1"/>
        <v>396273.64541118109</v>
      </c>
      <c r="AF107" s="98">
        <f t="shared" si="1"/>
        <v>408161.85477351653</v>
      </c>
      <c r="AG107" s="203">
        <f t="shared" si="1"/>
        <v>420406.71041672205</v>
      </c>
      <c r="AH107" s="217">
        <f t="shared" si="1"/>
        <v>433018.91172922374</v>
      </c>
    </row>
    <row r="108" spans="1:34" x14ac:dyDescent="0.25">
      <c r="A108" s="17" t="s">
        <v>421</v>
      </c>
      <c r="B108" s="24"/>
      <c r="C108" s="24"/>
      <c r="D108" s="278"/>
      <c r="E108" s="352">
        <f>D49</f>
        <v>9187.5</v>
      </c>
      <c r="F108" s="98">
        <f t="shared" si="0"/>
        <v>9463.125</v>
      </c>
      <c r="G108" s="203">
        <f t="shared" si="0"/>
        <v>9747.0187500000011</v>
      </c>
      <c r="H108" s="98">
        <f t="shared" si="0"/>
        <v>10039.429312500002</v>
      </c>
      <c r="I108" s="203">
        <f t="shared" si="0"/>
        <v>10340.612191875003</v>
      </c>
      <c r="J108" s="98">
        <f t="shared" si="0"/>
        <v>10650.830557631254</v>
      </c>
      <c r="K108" s="203">
        <f t="shared" si="0"/>
        <v>10970.355474360193</v>
      </c>
      <c r="L108" s="98">
        <f t="shared" si="0"/>
        <v>11299.466138590999</v>
      </c>
      <c r="M108" s="203">
        <f t="shared" si="0"/>
        <v>11638.450122748729</v>
      </c>
      <c r="N108" s="203">
        <f t="shared" si="0"/>
        <v>11987.603626431192</v>
      </c>
      <c r="O108" s="284">
        <f t="shared" si="0"/>
        <v>12347.231735224128</v>
      </c>
      <c r="P108" s="283">
        <f t="shared" si="0"/>
        <v>12717.648687280853</v>
      </c>
      <c r="Q108" s="203">
        <f t="shared" si="0"/>
        <v>13099.178147899278</v>
      </c>
      <c r="R108" s="98">
        <f t="shared" si="0"/>
        <v>13492.153492336256</v>
      </c>
      <c r="S108" s="203">
        <f t="shared" si="0"/>
        <v>13896.918097106343</v>
      </c>
      <c r="T108" s="284">
        <f t="shared" si="0"/>
        <v>14313.825640019533</v>
      </c>
      <c r="U108" s="203">
        <f t="shared" si="0"/>
        <v>14743.24040922012</v>
      </c>
      <c r="V108" s="98">
        <f t="shared" si="1"/>
        <v>15185.537621496724</v>
      </c>
      <c r="W108" s="203">
        <f t="shared" si="1"/>
        <v>15641.103750141625</v>
      </c>
      <c r="X108" s="98">
        <f t="shared" si="1"/>
        <v>16110.336862645874</v>
      </c>
      <c r="Y108" s="203">
        <f t="shared" si="1"/>
        <v>16593.646968525252</v>
      </c>
      <c r="Z108" s="98">
        <f t="shared" si="1"/>
        <v>17091.456377581009</v>
      </c>
      <c r="AA108" s="203">
        <f t="shared" si="1"/>
        <v>17604.200068908442</v>
      </c>
      <c r="AB108" s="98">
        <f t="shared" si="1"/>
        <v>18132.326070975694</v>
      </c>
      <c r="AC108" s="203">
        <f t="shared" si="1"/>
        <v>18676.295853104966</v>
      </c>
      <c r="AD108" s="98">
        <f t="shared" si="1"/>
        <v>19236.584728698115</v>
      </c>
      <c r="AE108" s="203">
        <f t="shared" si="1"/>
        <v>19813.68227055906</v>
      </c>
      <c r="AF108" s="98">
        <f t="shared" si="1"/>
        <v>20408.092738675834</v>
      </c>
      <c r="AG108" s="203">
        <f t="shared" si="1"/>
        <v>21020.33552083611</v>
      </c>
      <c r="AH108" s="217">
        <f t="shared" si="1"/>
        <v>21650.945586461195</v>
      </c>
    </row>
    <row r="109" spans="1:34" ht="16.5" thickBot="1" x14ac:dyDescent="0.3">
      <c r="A109" s="29" t="s">
        <v>444</v>
      </c>
      <c r="B109" s="30"/>
      <c r="C109" s="83"/>
      <c r="D109" s="279"/>
      <c r="E109" s="232">
        <f>E107+E108</f>
        <v>192937.5</v>
      </c>
      <c r="F109" s="231">
        <f>F107+F108</f>
        <v>198725.625</v>
      </c>
      <c r="G109" s="232">
        <f>G107+G108</f>
        <v>204687.39374999999</v>
      </c>
      <c r="H109" s="231">
        <f>H107+H108</f>
        <v>210828.01556249999</v>
      </c>
      <c r="I109" s="232">
        <f>I107+I108</f>
        <v>217152.85602937499</v>
      </c>
      <c r="J109" s="231">
        <f t="shared" ref="J109:AH109" si="2">J107+J108</f>
        <v>223667.44171025624</v>
      </c>
      <c r="K109" s="232">
        <f t="shared" si="2"/>
        <v>230377.46496156396</v>
      </c>
      <c r="L109" s="231">
        <f t="shared" si="2"/>
        <v>237288.78891041089</v>
      </c>
      <c r="M109" s="232">
        <f t="shared" si="2"/>
        <v>244407.45257772322</v>
      </c>
      <c r="N109" s="232">
        <f t="shared" si="2"/>
        <v>251739.67615505491</v>
      </c>
      <c r="O109" s="285">
        <f t="shared" si="2"/>
        <v>259291.86643970656</v>
      </c>
      <c r="P109" s="232">
        <f t="shared" si="2"/>
        <v>267070.62243289774</v>
      </c>
      <c r="Q109" s="232">
        <f t="shared" si="2"/>
        <v>275082.74110588466</v>
      </c>
      <c r="R109" s="231">
        <f t="shared" si="2"/>
        <v>283335.22333906125</v>
      </c>
      <c r="S109" s="232">
        <f t="shared" si="2"/>
        <v>291835.28003923304</v>
      </c>
      <c r="T109" s="231">
        <f t="shared" si="2"/>
        <v>300590.33844041009</v>
      </c>
      <c r="U109" s="232">
        <f t="shared" si="2"/>
        <v>309608.04859362234</v>
      </c>
      <c r="V109" s="231">
        <f t="shared" si="2"/>
        <v>318896.29005143105</v>
      </c>
      <c r="W109" s="232">
        <f t="shared" si="2"/>
        <v>328463.17875297402</v>
      </c>
      <c r="X109" s="231">
        <f t="shared" si="2"/>
        <v>338317.07411556324</v>
      </c>
      <c r="Y109" s="232">
        <f t="shared" si="2"/>
        <v>348466.58633903018</v>
      </c>
      <c r="Z109" s="231">
        <f t="shared" si="2"/>
        <v>358920.58392920106</v>
      </c>
      <c r="AA109" s="232">
        <f t="shared" si="2"/>
        <v>369688.20144707715</v>
      </c>
      <c r="AB109" s="231">
        <f t="shared" si="2"/>
        <v>380778.84749048948</v>
      </c>
      <c r="AC109" s="232">
        <f t="shared" si="2"/>
        <v>392202.21291520417</v>
      </c>
      <c r="AD109" s="231">
        <f t="shared" si="2"/>
        <v>403968.27930266032</v>
      </c>
      <c r="AE109" s="232">
        <f t="shared" si="2"/>
        <v>416087.32768174016</v>
      </c>
      <c r="AF109" s="231">
        <f t="shared" si="2"/>
        <v>428569.94751219236</v>
      </c>
      <c r="AG109" s="232">
        <f t="shared" si="2"/>
        <v>441427.04593755817</v>
      </c>
      <c r="AH109" s="245">
        <f t="shared" si="2"/>
        <v>454669.8573156849</v>
      </c>
    </row>
    <row r="110" spans="1:34" x14ac:dyDescent="0.25">
      <c r="A110" s="17" t="s">
        <v>54</v>
      </c>
      <c r="B110" s="18"/>
      <c r="C110" s="24"/>
      <c r="D110" s="280">
        <f>C51</f>
        <v>0.05</v>
      </c>
      <c r="E110" s="203">
        <f t="shared" ref="E110:AH110" si="3">$D$110*E109</f>
        <v>9646.875</v>
      </c>
      <c r="F110" s="98">
        <f t="shared" si="3"/>
        <v>9936.28125</v>
      </c>
      <c r="G110" s="203">
        <f t="shared" si="3"/>
        <v>10234.369687500001</v>
      </c>
      <c r="H110" s="98">
        <f t="shared" si="3"/>
        <v>10541.400778125</v>
      </c>
      <c r="I110" s="203">
        <f t="shared" si="3"/>
        <v>10857.64280146875</v>
      </c>
      <c r="J110" s="98">
        <f t="shared" si="3"/>
        <v>11183.372085512812</v>
      </c>
      <c r="K110" s="203">
        <f t="shared" si="3"/>
        <v>11518.873248078198</v>
      </c>
      <c r="L110" s="98">
        <f t="shared" si="3"/>
        <v>11864.439445520546</v>
      </c>
      <c r="M110" s="203">
        <f t="shared" si="3"/>
        <v>12220.372628886162</v>
      </c>
      <c r="N110" s="203">
        <f t="shared" si="3"/>
        <v>12586.983807752746</v>
      </c>
      <c r="O110" s="284">
        <f t="shared" si="3"/>
        <v>12964.593321985329</v>
      </c>
      <c r="P110" s="203">
        <f t="shared" si="3"/>
        <v>13353.531121644888</v>
      </c>
      <c r="Q110" s="203">
        <f t="shared" si="3"/>
        <v>13754.137055294234</v>
      </c>
      <c r="R110" s="98">
        <f t="shared" si="3"/>
        <v>14166.761166953063</v>
      </c>
      <c r="S110" s="203">
        <f t="shared" si="3"/>
        <v>14591.764001961652</v>
      </c>
      <c r="T110" s="98">
        <f t="shared" si="3"/>
        <v>15029.516922020506</v>
      </c>
      <c r="U110" s="203">
        <f t="shared" si="3"/>
        <v>15480.402429681119</v>
      </c>
      <c r="V110" s="98">
        <f t="shared" si="3"/>
        <v>15944.814502571553</v>
      </c>
      <c r="W110" s="203">
        <f t="shared" si="3"/>
        <v>16423.158937648703</v>
      </c>
      <c r="X110" s="98">
        <f t="shared" si="3"/>
        <v>16915.853705778161</v>
      </c>
      <c r="Y110" s="203">
        <f t="shared" si="3"/>
        <v>17423.329316951509</v>
      </c>
      <c r="Z110" s="98">
        <f t="shared" si="3"/>
        <v>17946.029196460055</v>
      </c>
      <c r="AA110" s="203">
        <f t="shared" si="3"/>
        <v>18484.410072353858</v>
      </c>
      <c r="AB110" s="98">
        <f t="shared" si="3"/>
        <v>19038.942374524475</v>
      </c>
      <c r="AC110" s="203">
        <f t="shared" si="3"/>
        <v>19610.110645760211</v>
      </c>
      <c r="AD110" s="98">
        <f t="shared" si="3"/>
        <v>20198.413965133019</v>
      </c>
      <c r="AE110" s="203">
        <f t="shared" si="3"/>
        <v>20804.36638408701</v>
      </c>
      <c r="AF110" s="98">
        <f t="shared" si="3"/>
        <v>21428.497375609619</v>
      </c>
      <c r="AG110" s="203">
        <f t="shared" si="3"/>
        <v>22071.352296877911</v>
      </c>
      <c r="AH110" s="217">
        <f t="shared" si="3"/>
        <v>22733.492865784247</v>
      </c>
    </row>
    <row r="111" spans="1:34" x14ac:dyDescent="0.25">
      <c r="A111" s="17" t="s">
        <v>55</v>
      </c>
      <c r="B111" s="18"/>
      <c r="C111" s="24"/>
      <c r="D111" s="280">
        <f>C52</f>
        <v>0.02</v>
      </c>
      <c r="E111" s="352">
        <f t="shared" ref="E111:AH111" si="4">$D$111*E109</f>
        <v>3858.75</v>
      </c>
      <c r="F111" s="353">
        <f t="shared" si="4"/>
        <v>3974.5125000000003</v>
      </c>
      <c r="G111" s="352">
        <f t="shared" si="4"/>
        <v>4093.747875</v>
      </c>
      <c r="H111" s="353">
        <f t="shared" si="4"/>
        <v>4216.5603112500003</v>
      </c>
      <c r="I111" s="352">
        <f t="shared" si="4"/>
        <v>4343.0571205875003</v>
      </c>
      <c r="J111" s="353">
        <f t="shared" si="4"/>
        <v>4473.3488342051251</v>
      </c>
      <c r="K111" s="352">
        <f t="shared" si="4"/>
        <v>4607.5492992312793</v>
      </c>
      <c r="L111" s="353">
        <f t="shared" si="4"/>
        <v>4745.7757782082181</v>
      </c>
      <c r="M111" s="352">
        <f t="shared" si="4"/>
        <v>4888.1490515544647</v>
      </c>
      <c r="N111" s="352">
        <f t="shared" si="4"/>
        <v>5034.7935231010988</v>
      </c>
      <c r="O111" s="354">
        <f t="shared" si="4"/>
        <v>5185.8373287941313</v>
      </c>
      <c r="P111" s="352">
        <f t="shared" si="4"/>
        <v>5341.4124486579549</v>
      </c>
      <c r="Q111" s="352">
        <f t="shared" si="4"/>
        <v>5501.6548221176936</v>
      </c>
      <c r="R111" s="353">
        <f t="shared" si="4"/>
        <v>5666.7044667812252</v>
      </c>
      <c r="S111" s="352">
        <f t="shared" si="4"/>
        <v>5836.7056007846613</v>
      </c>
      <c r="T111" s="353">
        <f t="shared" si="4"/>
        <v>6011.8067688082019</v>
      </c>
      <c r="U111" s="352">
        <f t="shared" si="4"/>
        <v>6192.1609718724467</v>
      </c>
      <c r="V111" s="353">
        <f t="shared" si="4"/>
        <v>6377.9258010286212</v>
      </c>
      <c r="W111" s="352">
        <f t="shared" si="4"/>
        <v>6569.2635750594809</v>
      </c>
      <c r="X111" s="353">
        <f t="shared" si="4"/>
        <v>6766.3414823112653</v>
      </c>
      <c r="Y111" s="352">
        <f t="shared" si="4"/>
        <v>6969.3317267806042</v>
      </c>
      <c r="Z111" s="353">
        <f t="shared" si="4"/>
        <v>7178.4116785840215</v>
      </c>
      <c r="AA111" s="352">
        <f t="shared" si="4"/>
        <v>7393.7640289415431</v>
      </c>
      <c r="AB111" s="353">
        <f t="shared" si="4"/>
        <v>7615.5769498097898</v>
      </c>
      <c r="AC111" s="352">
        <f t="shared" si="4"/>
        <v>7844.044258304084</v>
      </c>
      <c r="AD111" s="353">
        <f t="shared" si="4"/>
        <v>8079.3655860532062</v>
      </c>
      <c r="AE111" s="352">
        <f t="shared" si="4"/>
        <v>8321.7465536348027</v>
      </c>
      <c r="AF111" s="353">
        <f t="shared" si="4"/>
        <v>8571.3989502438471</v>
      </c>
      <c r="AG111" s="352">
        <f t="shared" si="4"/>
        <v>8828.5409187511632</v>
      </c>
      <c r="AH111" s="317">
        <f t="shared" si="4"/>
        <v>9093.3971463136986</v>
      </c>
    </row>
    <row r="112" spans="1:34" ht="16.5" thickBot="1" x14ac:dyDescent="0.3">
      <c r="A112" s="29" t="s">
        <v>99</v>
      </c>
      <c r="B112" s="30"/>
      <c r="C112" s="83"/>
      <c r="D112" s="279"/>
      <c r="E112" s="232">
        <f>E109-E110-E111</f>
        <v>179431.875</v>
      </c>
      <c r="F112" s="231">
        <f>F109-F110-F111</f>
        <v>184814.83124999999</v>
      </c>
      <c r="G112" s="232">
        <f>G109-G110-G111</f>
        <v>190359.27618749999</v>
      </c>
      <c r="H112" s="231">
        <f>H109-H110-H111</f>
        <v>196070.05447312497</v>
      </c>
      <c r="I112" s="232">
        <f>I109-I110-I111</f>
        <v>201952.15610731873</v>
      </c>
      <c r="J112" s="231">
        <f t="shared" ref="J112:AH112" si="5">J109-J110-J111</f>
        <v>208010.7207905383</v>
      </c>
      <c r="K112" s="232">
        <f t="shared" si="5"/>
        <v>214251.04241425451</v>
      </c>
      <c r="L112" s="231">
        <f t="shared" si="5"/>
        <v>220678.57368668212</v>
      </c>
      <c r="M112" s="232">
        <f t="shared" si="5"/>
        <v>227298.93089728258</v>
      </c>
      <c r="N112" s="232">
        <f t="shared" si="5"/>
        <v>234117.89882420105</v>
      </c>
      <c r="O112" s="285">
        <f t="shared" si="5"/>
        <v>241141.43578892711</v>
      </c>
      <c r="P112" s="232">
        <f t="shared" si="5"/>
        <v>248375.67886259488</v>
      </c>
      <c r="Q112" s="232">
        <f t="shared" si="5"/>
        <v>255826.94922847272</v>
      </c>
      <c r="R112" s="231">
        <f t="shared" si="5"/>
        <v>263501.75770532695</v>
      </c>
      <c r="S112" s="232">
        <f t="shared" si="5"/>
        <v>271406.81043648667</v>
      </c>
      <c r="T112" s="231">
        <f t="shared" si="5"/>
        <v>279549.01474958134</v>
      </c>
      <c r="U112" s="232">
        <f t="shared" si="5"/>
        <v>287935.48519206879</v>
      </c>
      <c r="V112" s="231">
        <f t="shared" si="5"/>
        <v>296573.5497478309</v>
      </c>
      <c r="W112" s="232">
        <f t="shared" si="5"/>
        <v>305470.75624026585</v>
      </c>
      <c r="X112" s="231">
        <f t="shared" si="5"/>
        <v>314634.87892747385</v>
      </c>
      <c r="Y112" s="232">
        <f t="shared" si="5"/>
        <v>324073.92529529805</v>
      </c>
      <c r="Z112" s="231">
        <f t="shared" si="5"/>
        <v>333796.14305415703</v>
      </c>
      <c r="AA112" s="232">
        <f t="shared" si="5"/>
        <v>343810.0273457818</v>
      </c>
      <c r="AB112" s="231">
        <f t="shared" si="5"/>
        <v>354124.3281661552</v>
      </c>
      <c r="AC112" s="232">
        <f t="shared" si="5"/>
        <v>364748.05801113992</v>
      </c>
      <c r="AD112" s="231">
        <f t="shared" si="5"/>
        <v>375690.49975147407</v>
      </c>
      <c r="AE112" s="232">
        <f t="shared" si="5"/>
        <v>386961.21474401833</v>
      </c>
      <c r="AF112" s="231">
        <f t="shared" si="5"/>
        <v>398570.05118633888</v>
      </c>
      <c r="AG112" s="232">
        <f t="shared" si="5"/>
        <v>410527.15272192913</v>
      </c>
      <c r="AH112" s="245">
        <f t="shared" si="5"/>
        <v>422842.96730358695</v>
      </c>
    </row>
    <row r="113" spans="1:35" x14ac:dyDescent="0.25">
      <c r="A113" s="17" t="s">
        <v>57</v>
      </c>
      <c r="B113" s="18"/>
      <c r="C113" s="345" t="s">
        <v>96</v>
      </c>
      <c r="D113" s="25">
        <f>D70</f>
        <v>0.03</v>
      </c>
      <c r="E113" s="352">
        <f>D54</f>
        <v>52500</v>
      </c>
      <c r="F113" s="353">
        <f t="shared" ref="F113:AH113" si="6">E113*(1+$D$113)</f>
        <v>54075</v>
      </c>
      <c r="G113" s="352">
        <f t="shared" si="6"/>
        <v>55697.25</v>
      </c>
      <c r="H113" s="353">
        <f t="shared" si="6"/>
        <v>57368.167500000003</v>
      </c>
      <c r="I113" s="352">
        <f t="shared" si="6"/>
        <v>59089.212525000003</v>
      </c>
      <c r="J113" s="353">
        <f t="shared" si="6"/>
        <v>60861.888900750004</v>
      </c>
      <c r="K113" s="352">
        <f t="shared" si="6"/>
        <v>62687.745567772508</v>
      </c>
      <c r="L113" s="353">
        <f t="shared" si="6"/>
        <v>64568.377934805685</v>
      </c>
      <c r="M113" s="352">
        <f t="shared" si="6"/>
        <v>66505.429272849855</v>
      </c>
      <c r="N113" s="352">
        <f t="shared" si="6"/>
        <v>68500.592151035351</v>
      </c>
      <c r="O113" s="354">
        <f t="shared" si="6"/>
        <v>70555.609915566412</v>
      </c>
      <c r="P113" s="352">
        <f t="shared" si="6"/>
        <v>72672.278213033409</v>
      </c>
      <c r="Q113" s="352">
        <f t="shared" si="6"/>
        <v>74852.44655942441</v>
      </c>
      <c r="R113" s="353">
        <f t="shared" si="6"/>
        <v>77098.01995620715</v>
      </c>
      <c r="S113" s="352">
        <f t="shared" si="6"/>
        <v>79410.960554893361</v>
      </c>
      <c r="T113" s="353">
        <f t="shared" si="6"/>
        <v>81793.289371540159</v>
      </c>
      <c r="U113" s="352">
        <f t="shared" si="6"/>
        <v>84247.088052686362</v>
      </c>
      <c r="V113" s="353">
        <f t="shared" si="6"/>
        <v>86774.500694266957</v>
      </c>
      <c r="W113" s="352">
        <f t="shared" si="6"/>
        <v>89377.735715094968</v>
      </c>
      <c r="X113" s="353">
        <f t="shared" si="6"/>
        <v>92059.067786547821</v>
      </c>
      <c r="Y113" s="352">
        <f t="shared" si="6"/>
        <v>94820.839820144261</v>
      </c>
      <c r="Z113" s="353">
        <f t="shared" si="6"/>
        <v>97665.465014748595</v>
      </c>
      <c r="AA113" s="352">
        <f t="shared" si="6"/>
        <v>100595.42896519105</v>
      </c>
      <c r="AB113" s="353">
        <f t="shared" si="6"/>
        <v>103613.29183414679</v>
      </c>
      <c r="AC113" s="352">
        <f t="shared" si="6"/>
        <v>106721.69058917119</v>
      </c>
      <c r="AD113" s="353">
        <f t="shared" si="6"/>
        <v>109923.34130684633</v>
      </c>
      <c r="AE113" s="352">
        <f t="shared" si="6"/>
        <v>113221.04154605173</v>
      </c>
      <c r="AF113" s="353">
        <f t="shared" si="6"/>
        <v>116617.67279243328</v>
      </c>
      <c r="AG113" s="352">
        <f t="shared" si="6"/>
        <v>120116.20297620629</v>
      </c>
      <c r="AH113" s="317">
        <f t="shared" si="6"/>
        <v>123719.68906549248</v>
      </c>
    </row>
    <row r="114" spans="1:35" x14ac:dyDescent="0.25">
      <c r="A114" s="17" t="s">
        <v>100</v>
      </c>
      <c r="B114" s="24"/>
      <c r="C114" s="24"/>
      <c r="D114" s="39"/>
      <c r="E114" s="149">
        <f>$L$12*$C$65*I15</f>
        <v>0</v>
      </c>
      <c r="F114" s="200">
        <f>$L$12*$C$65*(1+$D$107)*I16</f>
        <v>0</v>
      </c>
      <c r="G114" s="149">
        <f>$L$12*$C$65*(1+$D$107)^2*I17</f>
        <v>0</v>
      </c>
      <c r="H114" s="200">
        <f>$L$12*$C$65*(1+$D$107)^3*I18</f>
        <v>0</v>
      </c>
      <c r="I114" s="149">
        <f>$L$12*$C$65*(1+$D$107)^4*I19</f>
        <v>0</v>
      </c>
      <c r="J114" s="200">
        <f>$L$12*$C$65*(1+$D$107)^5*I20</f>
        <v>0</v>
      </c>
      <c r="K114" s="149">
        <f>$L$12*$C$65*(1+$D$107)^6*I21</f>
        <v>0</v>
      </c>
      <c r="L114" s="200">
        <f>$L$12*$C$65*(1+$D$107)^7*I22</f>
        <v>0</v>
      </c>
      <c r="M114" s="149">
        <f>$L$12*$C$65*(1+$D$107)^8*I23</f>
        <v>0</v>
      </c>
      <c r="N114" s="149">
        <f>$L$12*$C$65*(1+$D$107)^9*I24</f>
        <v>0</v>
      </c>
      <c r="O114" s="149">
        <f>$L$12*$C$65*(1+$D$107)^10*I25</f>
        <v>0</v>
      </c>
      <c r="P114" s="149">
        <f>$L$12*$C$65*(1+$D$107)^11*I26</f>
        <v>0</v>
      </c>
      <c r="Q114" s="149">
        <f>$L$12*$C$65*(1+$D$107)^12*I27</f>
        <v>0</v>
      </c>
      <c r="R114" s="149">
        <f>$L$12*$C$65*(1+$D$107)^13*I28</f>
        <v>0</v>
      </c>
      <c r="S114" s="149">
        <f>$L$12*$C$65*(1+$D$107)^14*I29</f>
        <v>0</v>
      </c>
      <c r="T114" s="149">
        <f>$L$12*$C$65*(1+$D$107)^15*I30</f>
        <v>0</v>
      </c>
      <c r="U114" s="149">
        <f>$L$12*$C$65*(1+$D$107)^16*I31</f>
        <v>0</v>
      </c>
      <c r="V114" s="149">
        <f>$L$12*$C$65*(1+$D$107)^17*I32</f>
        <v>0</v>
      </c>
      <c r="W114" s="149">
        <f>$L$12*$C$65*(1+$D$107)^18*I33</f>
        <v>0</v>
      </c>
      <c r="X114" s="149">
        <f>$L$12*$C$65*(1+$D$107)^19*I34</f>
        <v>0</v>
      </c>
      <c r="Y114" s="149">
        <f>$L$12*$C$65*(1+$D$107)^20*I35</f>
        <v>0</v>
      </c>
      <c r="Z114" s="149">
        <f>$L$12*$C$65*(1+$D$107)^21*I36</f>
        <v>0</v>
      </c>
      <c r="AA114" s="149">
        <f>$L$12*$C$65*(1+$D$107)^22*I37</f>
        <v>0</v>
      </c>
      <c r="AB114" s="149">
        <f>$L$12*$C$65*(1+$D$107)^23*I38</f>
        <v>0</v>
      </c>
      <c r="AC114" s="149">
        <f>$L$12*$C$65*(1+$D$107)^24*I39</f>
        <v>0</v>
      </c>
      <c r="AD114" s="149">
        <f>$L$12*$C$65*(1+$D$107)^25*I40</f>
        <v>0</v>
      </c>
      <c r="AE114" s="149">
        <f>$L$12*$C$65*(1+$D$107)^26*I41</f>
        <v>0</v>
      </c>
      <c r="AF114" s="149">
        <f>$L$12*$C$65*(1+$D$107)^27*I42</f>
        <v>0</v>
      </c>
      <c r="AG114" s="149">
        <f>$L$12*$C$65*(1+$D$107)^28*I43</f>
        <v>0</v>
      </c>
      <c r="AH114" s="205">
        <f>$L$12*$C$65*(1+$D$107)^29*I44</f>
        <v>0</v>
      </c>
    </row>
    <row r="115" spans="1:35" x14ac:dyDescent="0.25">
      <c r="A115" s="17" t="s">
        <v>133</v>
      </c>
      <c r="B115" s="24"/>
      <c r="C115" s="24"/>
      <c r="D115" s="39"/>
      <c r="E115" s="149">
        <f>J15*$L$13*E109</f>
        <v>0</v>
      </c>
      <c r="F115" s="149">
        <f>J16*$L$13*F109</f>
        <v>0</v>
      </c>
      <c r="G115" s="149">
        <f>J17*$L$13*G109</f>
        <v>0</v>
      </c>
      <c r="H115" s="149">
        <f>J18*$L$13*H109</f>
        <v>0</v>
      </c>
      <c r="I115" s="149">
        <f>J19*$L$13*I109</f>
        <v>0</v>
      </c>
      <c r="J115" s="149">
        <f>J20*$L$13*J109</f>
        <v>0</v>
      </c>
      <c r="K115" s="149">
        <f>J21*$L$13*K109</f>
        <v>0</v>
      </c>
      <c r="L115" s="149">
        <f>J22*$L$13*L109</f>
        <v>0</v>
      </c>
      <c r="M115" s="149">
        <f>J23*$L$13*M109</f>
        <v>0</v>
      </c>
      <c r="N115" s="149">
        <f>J24*$L$13*N109</f>
        <v>0</v>
      </c>
      <c r="O115" s="149">
        <f>J25*$L$13*O109</f>
        <v>0</v>
      </c>
      <c r="P115" s="149">
        <f>J26*$L$13*P109</f>
        <v>0</v>
      </c>
      <c r="Q115" s="149">
        <f>J27*$L$13*Q109</f>
        <v>0</v>
      </c>
      <c r="R115" s="149">
        <f>J28*$L$13*R109</f>
        <v>0</v>
      </c>
      <c r="S115" s="149">
        <f>J29*$L$13*S109</f>
        <v>0</v>
      </c>
      <c r="T115" s="149">
        <f>J30*$L$13*T109</f>
        <v>0</v>
      </c>
      <c r="U115" s="149">
        <f>J31*$L$13*U109</f>
        <v>0</v>
      </c>
      <c r="V115" s="149">
        <f>J32*$L$13*V109</f>
        <v>0</v>
      </c>
      <c r="W115" s="149">
        <f>J33*$L$13*W109</f>
        <v>0</v>
      </c>
      <c r="X115" s="149">
        <f>J34*$L$13*X109</f>
        <v>0</v>
      </c>
      <c r="Y115" s="149">
        <f>J35*$L$13*Y109</f>
        <v>0</v>
      </c>
      <c r="Z115" s="149">
        <f>J36*$L$13*Z109</f>
        <v>0</v>
      </c>
      <c r="AA115" s="149">
        <f>J37*$L$13*AA109</f>
        <v>0</v>
      </c>
      <c r="AB115" s="149">
        <f>J38*$L$13*AB109</f>
        <v>0</v>
      </c>
      <c r="AC115" s="149">
        <f>J39*$L$13*AC109</f>
        <v>0</v>
      </c>
      <c r="AD115" s="149">
        <f>J40*$L$13*AD109</f>
        <v>0</v>
      </c>
      <c r="AE115" s="149">
        <f>J41*$L$13*AE109</f>
        <v>0</v>
      </c>
      <c r="AF115" s="149">
        <f>J42*$L$13*AF109</f>
        <v>0</v>
      </c>
      <c r="AG115" s="149">
        <f>J43*$L$13*AG109</f>
        <v>0</v>
      </c>
      <c r="AH115" s="205">
        <f>J44*$L$13*AH109</f>
        <v>0</v>
      </c>
    </row>
    <row r="116" spans="1:35" x14ac:dyDescent="0.25">
      <c r="A116" s="17" t="s">
        <v>447</v>
      </c>
      <c r="B116" s="24"/>
      <c r="C116" s="24"/>
      <c r="D116" s="39"/>
      <c r="E116" s="149">
        <f t="shared" ref="E116:AH116" si="7">-$L$95</f>
        <v>-10000</v>
      </c>
      <c r="F116" s="149">
        <f t="shared" si="7"/>
        <v>-10000</v>
      </c>
      <c r="G116" s="149">
        <f t="shared" si="7"/>
        <v>-10000</v>
      </c>
      <c r="H116" s="149">
        <f t="shared" si="7"/>
        <v>-10000</v>
      </c>
      <c r="I116" s="149">
        <f t="shared" si="7"/>
        <v>-10000</v>
      </c>
      <c r="J116" s="149">
        <f t="shared" si="7"/>
        <v>-10000</v>
      </c>
      <c r="K116" s="149">
        <f t="shared" si="7"/>
        <v>-10000</v>
      </c>
      <c r="L116" s="149">
        <f t="shared" si="7"/>
        <v>-10000</v>
      </c>
      <c r="M116" s="149">
        <f t="shared" si="7"/>
        <v>-10000</v>
      </c>
      <c r="N116" s="149">
        <f t="shared" si="7"/>
        <v>-10000</v>
      </c>
      <c r="O116" s="149">
        <f t="shared" si="7"/>
        <v>-10000</v>
      </c>
      <c r="P116" s="149">
        <f t="shared" si="7"/>
        <v>-10000</v>
      </c>
      <c r="Q116" s="149">
        <f t="shared" si="7"/>
        <v>-10000</v>
      </c>
      <c r="R116" s="149">
        <f t="shared" si="7"/>
        <v>-10000</v>
      </c>
      <c r="S116" s="149">
        <f t="shared" si="7"/>
        <v>-10000</v>
      </c>
      <c r="T116" s="149">
        <f t="shared" si="7"/>
        <v>-10000</v>
      </c>
      <c r="U116" s="149">
        <f t="shared" si="7"/>
        <v>-10000</v>
      </c>
      <c r="V116" s="149">
        <f t="shared" si="7"/>
        <v>-10000</v>
      </c>
      <c r="W116" s="149">
        <f t="shared" si="7"/>
        <v>-10000</v>
      </c>
      <c r="X116" s="149">
        <f t="shared" si="7"/>
        <v>-10000</v>
      </c>
      <c r="Y116" s="149">
        <f t="shared" si="7"/>
        <v>-10000</v>
      </c>
      <c r="Z116" s="149">
        <f t="shared" si="7"/>
        <v>-10000</v>
      </c>
      <c r="AA116" s="149">
        <f t="shared" si="7"/>
        <v>-10000</v>
      </c>
      <c r="AB116" s="149">
        <f t="shared" si="7"/>
        <v>-10000</v>
      </c>
      <c r="AC116" s="149">
        <f t="shared" si="7"/>
        <v>-10000</v>
      </c>
      <c r="AD116" s="149">
        <f t="shared" si="7"/>
        <v>-10000</v>
      </c>
      <c r="AE116" s="149">
        <f t="shared" si="7"/>
        <v>-10000</v>
      </c>
      <c r="AF116" s="149">
        <f t="shared" si="7"/>
        <v>-10000</v>
      </c>
      <c r="AG116" s="149">
        <f t="shared" si="7"/>
        <v>-10000</v>
      </c>
      <c r="AH116" s="205">
        <f t="shared" si="7"/>
        <v>-10000</v>
      </c>
    </row>
    <row r="117" spans="1:35" x14ac:dyDescent="0.25">
      <c r="A117" s="17" t="s">
        <v>446</v>
      </c>
      <c r="B117" s="24"/>
      <c r="C117" s="24"/>
      <c r="D117" s="39"/>
      <c r="E117" s="149">
        <f t="shared" ref="E117:AH117" si="8">-$L$96</f>
        <v>0</v>
      </c>
      <c r="F117" s="149">
        <f t="shared" si="8"/>
        <v>0</v>
      </c>
      <c r="G117" s="149">
        <f t="shared" si="8"/>
        <v>0</v>
      </c>
      <c r="H117" s="149">
        <f t="shared" si="8"/>
        <v>0</v>
      </c>
      <c r="I117" s="149">
        <f t="shared" si="8"/>
        <v>0</v>
      </c>
      <c r="J117" s="149">
        <f t="shared" si="8"/>
        <v>0</v>
      </c>
      <c r="K117" s="149">
        <f t="shared" si="8"/>
        <v>0</v>
      </c>
      <c r="L117" s="149">
        <f t="shared" si="8"/>
        <v>0</v>
      </c>
      <c r="M117" s="149">
        <f t="shared" si="8"/>
        <v>0</v>
      </c>
      <c r="N117" s="149">
        <f t="shared" si="8"/>
        <v>0</v>
      </c>
      <c r="O117" s="149">
        <f t="shared" si="8"/>
        <v>0</v>
      </c>
      <c r="P117" s="149">
        <f t="shared" si="8"/>
        <v>0</v>
      </c>
      <c r="Q117" s="149">
        <f t="shared" si="8"/>
        <v>0</v>
      </c>
      <c r="R117" s="149">
        <f t="shared" si="8"/>
        <v>0</v>
      </c>
      <c r="S117" s="149">
        <f t="shared" si="8"/>
        <v>0</v>
      </c>
      <c r="T117" s="149">
        <f t="shared" si="8"/>
        <v>0</v>
      </c>
      <c r="U117" s="149">
        <f t="shared" si="8"/>
        <v>0</v>
      </c>
      <c r="V117" s="149">
        <f t="shared" si="8"/>
        <v>0</v>
      </c>
      <c r="W117" s="149">
        <f t="shared" si="8"/>
        <v>0</v>
      </c>
      <c r="X117" s="149">
        <f t="shared" si="8"/>
        <v>0</v>
      </c>
      <c r="Y117" s="149">
        <f t="shared" si="8"/>
        <v>0</v>
      </c>
      <c r="Z117" s="149">
        <f t="shared" si="8"/>
        <v>0</v>
      </c>
      <c r="AA117" s="149">
        <f t="shared" si="8"/>
        <v>0</v>
      </c>
      <c r="AB117" s="149">
        <f t="shared" si="8"/>
        <v>0</v>
      </c>
      <c r="AC117" s="149">
        <f t="shared" si="8"/>
        <v>0</v>
      </c>
      <c r="AD117" s="149">
        <f t="shared" si="8"/>
        <v>0</v>
      </c>
      <c r="AE117" s="149">
        <f t="shared" si="8"/>
        <v>0</v>
      </c>
      <c r="AF117" s="149">
        <f t="shared" si="8"/>
        <v>0</v>
      </c>
      <c r="AG117" s="149">
        <f t="shared" si="8"/>
        <v>0</v>
      </c>
      <c r="AH117" s="205">
        <f t="shared" si="8"/>
        <v>0</v>
      </c>
    </row>
    <row r="118" spans="1:35" x14ac:dyDescent="0.25">
      <c r="A118" s="17" t="s">
        <v>445</v>
      </c>
      <c r="B118" s="24"/>
      <c r="C118" s="24"/>
      <c r="D118" s="39"/>
      <c r="E118" s="149">
        <f>K15+L15</f>
        <v>0</v>
      </c>
      <c r="F118" s="200">
        <f>K16+L16</f>
        <v>0</v>
      </c>
      <c r="G118" s="149">
        <f>K17+L17</f>
        <v>0</v>
      </c>
      <c r="H118" s="200">
        <f>K18+L18</f>
        <v>0</v>
      </c>
      <c r="I118" s="149">
        <f>K19+L19</f>
        <v>0</v>
      </c>
      <c r="J118" s="200">
        <f>K20+L20</f>
        <v>0</v>
      </c>
      <c r="K118" s="149">
        <f>K21+L21</f>
        <v>0</v>
      </c>
      <c r="L118" s="200">
        <f>K22+L22</f>
        <v>0</v>
      </c>
      <c r="M118" s="149">
        <f>K23+L23</f>
        <v>0</v>
      </c>
      <c r="N118" s="149">
        <f>K24+L24</f>
        <v>0</v>
      </c>
      <c r="O118" s="149">
        <f>K25+L25</f>
        <v>0</v>
      </c>
      <c r="P118" s="149">
        <f>K26+L26</f>
        <v>0</v>
      </c>
      <c r="Q118" s="149">
        <f>K27+L27</f>
        <v>0</v>
      </c>
      <c r="R118" s="149">
        <f>K28+L28</f>
        <v>0</v>
      </c>
      <c r="S118" s="200">
        <f>K29+L29</f>
        <v>0</v>
      </c>
      <c r="T118" s="149">
        <f>K30+L30</f>
        <v>0</v>
      </c>
      <c r="U118" s="200">
        <f>K31+L31</f>
        <v>0</v>
      </c>
      <c r="V118" s="149">
        <f>K32+L32</f>
        <v>0</v>
      </c>
      <c r="W118" s="200">
        <f>K33+L33</f>
        <v>0</v>
      </c>
      <c r="X118" s="149">
        <f>K34+L34</f>
        <v>0</v>
      </c>
      <c r="Y118" s="200">
        <f>K35+L35</f>
        <v>0</v>
      </c>
      <c r="Z118" s="149">
        <f>K36+L36</f>
        <v>0</v>
      </c>
      <c r="AA118" s="200">
        <f>K37+L37</f>
        <v>0</v>
      </c>
      <c r="AB118" s="149">
        <f>K38+L38</f>
        <v>0</v>
      </c>
      <c r="AC118" s="200">
        <f>K39+L39</f>
        <v>0</v>
      </c>
      <c r="AD118" s="149">
        <f>K40+L40</f>
        <v>0</v>
      </c>
      <c r="AE118" s="200">
        <f>K41+L41</f>
        <v>0</v>
      </c>
      <c r="AF118" s="149">
        <f>K42+L42</f>
        <v>0</v>
      </c>
      <c r="AG118" s="200">
        <f>K43+L43</f>
        <v>0</v>
      </c>
      <c r="AH118" s="205">
        <f>K44+L44</f>
        <v>0</v>
      </c>
    </row>
    <row r="119" spans="1:35" ht="16.5" thickBot="1" x14ac:dyDescent="0.3">
      <c r="A119" s="29" t="s">
        <v>64</v>
      </c>
      <c r="B119" s="30"/>
      <c r="C119" s="83"/>
      <c r="D119" s="126"/>
      <c r="E119" s="232">
        <f>E112-E113+E114+E115+E116+E117+E118</f>
        <v>116931.875</v>
      </c>
      <c r="F119" s="232">
        <f t="shared" ref="F119:AH119" si="9">F112-F113+F114+F115+F116+F117+F118</f>
        <v>120739.83124999999</v>
      </c>
      <c r="G119" s="232">
        <f t="shared" si="9"/>
        <v>124662.02618749999</v>
      </c>
      <c r="H119" s="232">
        <f t="shared" si="9"/>
        <v>128701.88697312496</v>
      </c>
      <c r="I119" s="232">
        <f t="shared" si="9"/>
        <v>132862.94358231872</v>
      </c>
      <c r="J119" s="232">
        <f t="shared" si="9"/>
        <v>137148.8318897883</v>
      </c>
      <c r="K119" s="232">
        <f t="shared" si="9"/>
        <v>141563.296846482</v>
      </c>
      <c r="L119" s="232">
        <f t="shared" si="9"/>
        <v>146110.19575187645</v>
      </c>
      <c r="M119" s="232">
        <f t="shared" si="9"/>
        <v>150793.50162443274</v>
      </c>
      <c r="N119" s="232">
        <f t="shared" si="9"/>
        <v>155617.3066731657</v>
      </c>
      <c r="O119" s="232">
        <f t="shared" si="9"/>
        <v>160585.82587336068</v>
      </c>
      <c r="P119" s="232">
        <f t="shared" si="9"/>
        <v>165703.40064956149</v>
      </c>
      <c r="Q119" s="232">
        <f t="shared" si="9"/>
        <v>170974.50266904832</v>
      </c>
      <c r="R119" s="232">
        <f t="shared" si="9"/>
        <v>176403.73774911981</v>
      </c>
      <c r="S119" s="232">
        <f t="shared" si="9"/>
        <v>181995.84988159331</v>
      </c>
      <c r="T119" s="232">
        <f t="shared" si="9"/>
        <v>187755.72537804118</v>
      </c>
      <c r="U119" s="232">
        <f t="shared" si="9"/>
        <v>193688.39713938243</v>
      </c>
      <c r="V119" s="232">
        <f t="shared" si="9"/>
        <v>199799.04905356394</v>
      </c>
      <c r="W119" s="232">
        <f t="shared" si="9"/>
        <v>206093.0205251709</v>
      </c>
      <c r="X119" s="232">
        <f t="shared" si="9"/>
        <v>212575.81114092603</v>
      </c>
      <c r="Y119" s="232">
        <f t="shared" si="9"/>
        <v>219253.08547515378</v>
      </c>
      <c r="Z119" s="232">
        <f t="shared" si="9"/>
        <v>226130.67803940843</v>
      </c>
      <c r="AA119" s="232">
        <f t="shared" si="9"/>
        <v>233214.59838059073</v>
      </c>
      <c r="AB119" s="232">
        <f t="shared" si="9"/>
        <v>240511.03633200843</v>
      </c>
      <c r="AC119" s="232">
        <f t="shared" si="9"/>
        <v>248026.36742196872</v>
      </c>
      <c r="AD119" s="232">
        <f t="shared" si="9"/>
        <v>255767.15844462777</v>
      </c>
      <c r="AE119" s="232">
        <f t="shared" si="9"/>
        <v>263740.17319796659</v>
      </c>
      <c r="AF119" s="232">
        <f t="shared" si="9"/>
        <v>271952.37839390559</v>
      </c>
      <c r="AG119" s="232">
        <f t="shared" si="9"/>
        <v>280410.94974572281</v>
      </c>
      <c r="AH119" s="204">
        <f t="shared" si="9"/>
        <v>289123.27823809447</v>
      </c>
      <c r="AI119" s="11" t="s">
        <v>462</v>
      </c>
    </row>
    <row r="120" spans="1:35" x14ac:dyDescent="0.25">
      <c r="A120" s="17"/>
      <c r="B120" s="18"/>
      <c r="C120" s="24"/>
      <c r="D120" s="38"/>
      <c r="E120" s="281"/>
      <c r="F120" s="98"/>
      <c r="G120" s="203"/>
      <c r="H120" s="98"/>
      <c r="I120" s="203"/>
      <c r="J120" s="98"/>
      <c r="K120" s="203"/>
      <c r="L120" s="98"/>
      <c r="M120" s="203"/>
      <c r="N120" s="203"/>
      <c r="O120" s="39"/>
      <c r="P120" s="159"/>
      <c r="Q120" s="159"/>
      <c r="R120" s="39"/>
      <c r="S120" s="159"/>
      <c r="T120" s="39"/>
      <c r="U120" s="159"/>
      <c r="V120" s="39"/>
      <c r="W120" s="159"/>
      <c r="X120" s="39"/>
      <c r="Y120" s="159"/>
      <c r="Z120" s="39"/>
      <c r="AA120" s="159"/>
      <c r="AB120" s="39"/>
      <c r="AC120" s="159"/>
      <c r="AD120" s="39"/>
      <c r="AE120" s="159"/>
      <c r="AF120" s="39"/>
      <c r="AG120" s="159"/>
      <c r="AH120" s="26"/>
    </row>
    <row r="121" spans="1:35" x14ac:dyDescent="0.25">
      <c r="A121" s="17" t="s">
        <v>101</v>
      </c>
      <c r="B121" s="18"/>
      <c r="C121" s="18"/>
      <c r="D121" s="38"/>
      <c r="E121" s="352">
        <f>-$E$100+(IF($L$102&gt;=1,#REF!,0))+(IF($L$104&gt;=1,#REF!,0))</f>
        <v>202741.0772609665</v>
      </c>
      <c r="F121" s="352">
        <f>-$E$100+(IF($L$102&gt;=2,#REF!,0))+(IF($L$104&gt;=2,#REF!,0))</f>
        <v>202741.0772609665</v>
      </c>
      <c r="G121" s="352">
        <f>-$E$100+(IF($L$102&gt;=3,#REF!,0))+(IF($L$104&gt;=3,#REF!,0))</f>
        <v>202741.0772609665</v>
      </c>
      <c r="H121" s="352">
        <f>-$E$100+(IF($L$102&gt;=4,#REF!,0))+(IF($L$104&gt;=4,#REF!,0))</f>
        <v>202741.0772609665</v>
      </c>
      <c r="I121" s="352">
        <f>-$E$100+(IF($L$102&gt;=5,#REF!,0))+(IF($L$104&gt;=5,#REF!,0))</f>
        <v>202741.0772609665</v>
      </c>
      <c r="J121" s="352">
        <f>-$E$100+(IF($L$102&gt;=6,#REF!,0))+(IF($L$104&gt;=6,#REF!,0))</f>
        <v>202741.0772609665</v>
      </c>
      <c r="K121" s="352">
        <f>-$E$100+(IF($L$102&gt;=7,#REF!,0))+(IF($L$104&gt;=7,#REF!,0))</f>
        <v>202741.0772609665</v>
      </c>
      <c r="L121" s="352">
        <f>-$E$100+(IF($L$102&gt;=8,#REF!,0))+(IF($L$104&gt;=8,#REF!,0))</f>
        <v>202741.0772609665</v>
      </c>
      <c r="M121" s="352">
        <f>-$E$100+(IF($L$102&gt;=9,#REF!,0))+(IF($L$104&gt;=9,#REF!,0))</f>
        <v>202741.0772609665</v>
      </c>
      <c r="N121" s="352">
        <f>-$E$100+(IF($L$102&gt;=10,#REF!,0))+(IF($L$104&gt;=10,#REF!,0))</f>
        <v>202741.0772609665</v>
      </c>
      <c r="O121" s="352">
        <f>-$E$100+(IF($L$102&gt;=11,#REF!,0))+(IF($L$104&gt;=11,#REF!,0))</f>
        <v>202741.0772609665</v>
      </c>
      <c r="P121" s="352">
        <f>-$E$100+(IF($L$102&gt;=12,#REF!,0))+(IF($L$104&gt;=12,#REF!,0))</f>
        <v>202741.0772609665</v>
      </c>
      <c r="Q121" s="352">
        <f>-$E$100+(IF($L$102&gt;=13,#REF!,0))+(IF($L$104&gt;=13,#REF!,0))</f>
        <v>202741.0772609665</v>
      </c>
      <c r="R121" s="352">
        <f>-$E$100+(IF($L$102&gt;=14,#REF!,0))+(IF($L$104&gt;=14,#REF!,0))</f>
        <v>202741.0772609665</v>
      </c>
      <c r="S121" s="352">
        <f>-$E$100+(IF($L$102&gt;=15,#REF!,0))+(IF($L$104&gt;=15,#REF!,0))</f>
        <v>202741.0772609665</v>
      </c>
      <c r="T121" s="352">
        <f>-$E$100+(IF($L$102&gt;=16,#REF!,0))+(IF($L$104&gt;=16,#REF!,0))</f>
        <v>202741.0772609665</v>
      </c>
      <c r="U121" s="352">
        <f>-$E$100+(IF($L$102&gt;=17,#REF!,0))+(IF($L$104&gt;=17,#REF!,0))</f>
        <v>202741.0772609665</v>
      </c>
      <c r="V121" s="352">
        <f>-$E$100+(IF($L$102&gt;=18,#REF!,0))+(IF($L$104&gt;=18,#REF!,0))</f>
        <v>202741.0772609665</v>
      </c>
      <c r="W121" s="352">
        <f>-$E$100+(IF($L$102&gt;=19,#REF!,0))+(IF($L$104&gt;=19,#REF!,0))</f>
        <v>202741.0772609665</v>
      </c>
      <c r="X121" s="352">
        <f>-$E$100+(IF($L$102&gt;=20,#REF!,0))+(IF($L$104&gt;=20,#REF!,0))</f>
        <v>202741.0772609665</v>
      </c>
      <c r="Y121" s="352">
        <f>-$E$100+(IF($L$102&gt;=21,#REF!,0))+(IF($L$104&gt;=21,#REF!,0))</f>
        <v>202741.0772609665</v>
      </c>
      <c r="Z121" s="352">
        <f>-$E$100+(IF($L$102&gt;=22,#REF!,0))+(IF($L$104&gt;=22,#REF!,0))</f>
        <v>202741.0772609665</v>
      </c>
      <c r="AA121" s="352">
        <f>-$E$100+(IF($L$102&gt;=23,#REF!,0))+(IF($L$104&gt;=23,#REF!,0))</f>
        <v>202741.0772609665</v>
      </c>
      <c r="AB121" s="352">
        <f>-$E$100+(IF($L$102&gt;=24,#REF!,0))+(IF($L$104&gt;=24,#REF!,0))</f>
        <v>202741.0772609665</v>
      </c>
      <c r="AC121" s="352">
        <f>-$E$100+(IF($L$102&gt;=25,#REF!,0))+(IF($L$104&gt;=25,#REF!,0))</f>
        <v>202741.0772609665</v>
      </c>
      <c r="AD121" s="352">
        <f>-$E$100+(IF($L$102&gt;=26,#REF!,0))+(IF($L$104&gt;=26,#REF!,0))</f>
        <v>202741.0772609665</v>
      </c>
      <c r="AE121" s="352">
        <f>-$E$100+(IF($L$102&gt;=27,#REF!,0))+(IF($L$104&gt;=27,#REF!,0))</f>
        <v>202741.0772609665</v>
      </c>
      <c r="AF121" s="352">
        <f>-$E$100+(IF($L$102&gt;=28,#REF!,0))+(IF($L$104&gt;=28,#REF!,0))</f>
        <v>202741.0772609665</v>
      </c>
      <c r="AG121" s="352">
        <f>-$E$100+(IF($L$102&gt;=29,#REF!,0))+(IF($L$104&gt;=29,#REF!,0))</f>
        <v>202741.0772609665</v>
      </c>
      <c r="AH121" s="317">
        <f>-$E$100+(IF($L$102&gt;=30,#REF!,0))+(IF($L$104&gt;=30,#REF!,0))</f>
        <v>202741.0772609665</v>
      </c>
    </row>
    <row r="122" spans="1:35" ht="16.5" thickBot="1" x14ac:dyDescent="0.3">
      <c r="A122" s="29" t="s">
        <v>436</v>
      </c>
      <c r="B122" s="30"/>
      <c r="C122" s="30"/>
      <c r="D122" s="126"/>
      <c r="E122" s="232">
        <f t="shared" ref="E122:AH122" si="10">E119-E121</f>
        <v>-85809.2022609665</v>
      </c>
      <c r="F122" s="231">
        <f t="shared" si="10"/>
        <v>-82001.246010966512</v>
      </c>
      <c r="G122" s="232">
        <f t="shared" si="10"/>
        <v>-78079.051073466515</v>
      </c>
      <c r="H122" s="231">
        <f t="shared" si="10"/>
        <v>-74039.190287841542</v>
      </c>
      <c r="I122" s="232">
        <f t="shared" si="10"/>
        <v>-69878.133678647777</v>
      </c>
      <c r="J122" s="231">
        <f t="shared" si="10"/>
        <v>-65592.2453711782</v>
      </c>
      <c r="K122" s="232">
        <f t="shared" si="10"/>
        <v>-61177.780414484499</v>
      </c>
      <c r="L122" s="231">
        <f t="shared" si="10"/>
        <v>-56630.881509090046</v>
      </c>
      <c r="M122" s="232">
        <f t="shared" si="10"/>
        <v>-51947.575636533758</v>
      </c>
      <c r="N122" s="232">
        <f t="shared" si="10"/>
        <v>-47123.770587800798</v>
      </c>
      <c r="O122" s="231">
        <f t="shared" si="10"/>
        <v>-42155.251387605822</v>
      </c>
      <c r="P122" s="232">
        <f t="shared" si="10"/>
        <v>-37037.676611405011</v>
      </c>
      <c r="Q122" s="232">
        <f t="shared" si="10"/>
        <v>-31766.574591918179</v>
      </c>
      <c r="R122" s="231">
        <f t="shared" si="10"/>
        <v>-26337.339511846687</v>
      </c>
      <c r="S122" s="232">
        <f t="shared" si="10"/>
        <v>-20745.227379373187</v>
      </c>
      <c r="T122" s="231">
        <f t="shared" si="10"/>
        <v>-14985.351882925315</v>
      </c>
      <c r="U122" s="232">
        <f t="shared" si="10"/>
        <v>-9052.6801215840678</v>
      </c>
      <c r="V122" s="231">
        <f t="shared" si="10"/>
        <v>-2942.0282074025599</v>
      </c>
      <c r="W122" s="232">
        <f t="shared" si="10"/>
        <v>3351.9432642043976</v>
      </c>
      <c r="X122" s="231">
        <f t="shared" si="10"/>
        <v>9834.7338799595309</v>
      </c>
      <c r="Y122" s="232">
        <f t="shared" si="10"/>
        <v>16512.008214187284</v>
      </c>
      <c r="Z122" s="231">
        <f t="shared" si="10"/>
        <v>23389.600778441934</v>
      </c>
      <c r="AA122" s="232">
        <f t="shared" si="10"/>
        <v>30473.521119624231</v>
      </c>
      <c r="AB122" s="231">
        <f t="shared" si="10"/>
        <v>37769.959071041929</v>
      </c>
      <c r="AC122" s="232">
        <f t="shared" si="10"/>
        <v>45285.290161002224</v>
      </c>
      <c r="AD122" s="231">
        <f t="shared" si="10"/>
        <v>53026.08118366127</v>
      </c>
      <c r="AE122" s="232">
        <f t="shared" si="10"/>
        <v>60999.095937000093</v>
      </c>
      <c r="AF122" s="231">
        <f t="shared" si="10"/>
        <v>69211.301132939087</v>
      </c>
      <c r="AG122" s="232">
        <f t="shared" si="10"/>
        <v>77669.872484756313</v>
      </c>
      <c r="AH122" s="245">
        <f t="shared" si="10"/>
        <v>86382.20097712797</v>
      </c>
    </row>
    <row r="123" spans="1:35" x14ac:dyDescent="0.25">
      <c r="A123" s="90"/>
      <c r="B123" s="18"/>
      <c r="C123" s="18"/>
      <c r="D123" s="38"/>
      <c r="E123" s="206"/>
      <c r="F123" s="133"/>
      <c r="G123" s="206"/>
      <c r="H123" s="133"/>
      <c r="I123" s="206"/>
      <c r="J123" s="133"/>
      <c r="K123" s="206"/>
      <c r="L123" s="133"/>
      <c r="M123" s="206"/>
      <c r="N123" s="206"/>
      <c r="O123" s="39"/>
      <c r="P123" s="159"/>
      <c r="Q123" s="159"/>
      <c r="R123" s="39"/>
      <c r="S123" s="159"/>
      <c r="T123" s="39"/>
      <c r="U123" s="159"/>
      <c r="V123" s="39"/>
      <c r="W123" s="159"/>
      <c r="X123" s="39"/>
      <c r="Y123" s="159"/>
      <c r="Z123" s="39"/>
      <c r="AA123" s="159"/>
      <c r="AB123" s="39"/>
      <c r="AC123" s="159"/>
      <c r="AD123" s="39"/>
      <c r="AE123" s="159"/>
      <c r="AF123" s="39"/>
      <c r="AG123" s="159"/>
      <c r="AH123" s="26"/>
    </row>
    <row r="124" spans="1:35" x14ac:dyDescent="0.25">
      <c r="A124" s="17" t="s">
        <v>6</v>
      </c>
      <c r="B124" s="18"/>
      <c r="C124" s="18"/>
      <c r="D124" s="38"/>
      <c r="E124" s="207">
        <f t="shared" ref="E124:AH124" si="11">IFERROR(E119/$E$102,0)</f>
        <v>5.4386918604651162E-2</v>
      </c>
      <c r="F124" s="209">
        <f t="shared" si="11"/>
        <v>5.6158061046511623E-2</v>
      </c>
      <c r="G124" s="207">
        <f t="shared" si="11"/>
        <v>5.7982337761627901E-2</v>
      </c>
      <c r="H124" s="209">
        <f t="shared" si="11"/>
        <v>5.9861342778197657E-2</v>
      </c>
      <c r="I124" s="207">
        <f t="shared" si="11"/>
        <v>6.179671794526452E-2</v>
      </c>
      <c r="J124" s="209">
        <f t="shared" si="11"/>
        <v>6.3790154367343394E-2</v>
      </c>
      <c r="K124" s="207">
        <f t="shared" si="11"/>
        <v>6.5843393882084655E-2</v>
      </c>
      <c r="L124" s="209">
        <f t="shared" si="11"/>
        <v>6.7958230582268117E-2</v>
      </c>
      <c r="M124" s="207">
        <f t="shared" si="11"/>
        <v>7.0136512383457084E-2</v>
      </c>
      <c r="N124" s="207">
        <f t="shared" si="11"/>
        <v>7.2380142638681727E-2</v>
      </c>
      <c r="O124" s="209">
        <f t="shared" si="11"/>
        <v>7.46910818015631E-2</v>
      </c>
      <c r="P124" s="207">
        <f t="shared" si="11"/>
        <v>7.7071349139330919E-2</v>
      </c>
      <c r="Q124" s="207">
        <f t="shared" si="11"/>
        <v>7.9523024497231781E-2</v>
      </c>
      <c r="R124" s="209">
        <f t="shared" si="11"/>
        <v>8.2048250115869678E-2</v>
      </c>
      <c r="S124" s="207">
        <f t="shared" si="11"/>
        <v>8.4649232503066663E-2</v>
      </c>
      <c r="T124" s="209">
        <f t="shared" si="11"/>
        <v>8.7328244361879623E-2</v>
      </c>
      <c r="U124" s="207">
        <f t="shared" si="11"/>
        <v>9.0087626576456942E-2</v>
      </c>
      <c r="V124" s="209">
        <f t="shared" si="11"/>
        <v>9.2929790257471598E-2</v>
      </c>
      <c r="W124" s="207">
        <f t="shared" si="11"/>
        <v>9.5857218848916695E-2</v>
      </c>
      <c r="X124" s="209">
        <f t="shared" si="11"/>
        <v>9.8872470298105128E-2</v>
      </c>
      <c r="Y124" s="207">
        <f t="shared" si="11"/>
        <v>0.1019781792907692</v>
      </c>
      <c r="Z124" s="209">
        <f t="shared" si="11"/>
        <v>0.10517705955321323</v>
      </c>
      <c r="AA124" s="207">
        <f t="shared" si="11"/>
        <v>0.10847190622353058</v>
      </c>
      <c r="AB124" s="209">
        <f t="shared" si="11"/>
        <v>0.11186559829395741</v>
      </c>
      <c r="AC124" s="207">
        <f t="shared" si="11"/>
        <v>0.11536110112649708</v>
      </c>
      <c r="AD124" s="209">
        <f t="shared" si="11"/>
        <v>0.11896146904401292</v>
      </c>
      <c r="AE124" s="207">
        <f t="shared" si="11"/>
        <v>0.12266984799905423</v>
      </c>
      <c r="AF124" s="209">
        <f t="shared" si="11"/>
        <v>0.12648947832274679</v>
      </c>
      <c r="AG124" s="207">
        <f t="shared" si="11"/>
        <v>0.13042369755615016</v>
      </c>
      <c r="AH124" s="282">
        <f t="shared" si="11"/>
        <v>0.13447594336655558</v>
      </c>
    </row>
    <row r="125" spans="1:35" ht="16.5" thickBot="1" x14ac:dyDescent="0.3">
      <c r="A125" s="135" t="s">
        <v>451</v>
      </c>
      <c r="B125" s="136"/>
      <c r="C125" s="349" t="s">
        <v>19</v>
      </c>
      <c r="D125" s="350">
        <f>D5</f>
        <v>0.1</v>
      </c>
      <c r="E125" s="225">
        <f t="shared" ref="E125:AH125" si="12">IFERROR(E122/$E$103,0)</f>
        <v>7.5271230053479382E-2</v>
      </c>
      <c r="F125" s="225">
        <f t="shared" si="12"/>
        <v>7.1930917553479398E-2</v>
      </c>
      <c r="G125" s="225">
        <f t="shared" si="12"/>
        <v>6.8490395678479393E-2</v>
      </c>
      <c r="H125" s="225">
        <f t="shared" si="12"/>
        <v>6.4946658147229427E-2</v>
      </c>
      <c r="I125" s="225">
        <f t="shared" si="12"/>
        <v>6.1296608490041912E-2</v>
      </c>
      <c r="J125" s="225">
        <f t="shared" si="12"/>
        <v>5.753705734313877E-2</v>
      </c>
      <c r="K125" s="225">
        <f t="shared" si="12"/>
        <v>5.3664719661828508E-2</v>
      </c>
      <c r="L125" s="225">
        <f t="shared" si="12"/>
        <v>4.9676211850078991E-2</v>
      </c>
      <c r="M125" s="225">
        <f t="shared" si="12"/>
        <v>4.5568048803976982E-2</v>
      </c>
      <c r="N125" s="225">
        <f t="shared" si="12"/>
        <v>4.1336640866491928E-2</v>
      </c>
      <c r="O125" s="286">
        <f t="shared" si="12"/>
        <v>3.69782906908823E-2</v>
      </c>
      <c r="P125" s="225">
        <f t="shared" si="12"/>
        <v>3.2489190010004394E-2</v>
      </c>
      <c r="Q125" s="225">
        <f t="shared" si="12"/>
        <v>2.7865416308700156E-2</v>
      </c>
      <c r="R125" s="286">
        <f t="shared" si="12"/>
        <v>2.3102929396356744E-2</v>
      </c>
      <c r="S125" s="225">
        <f t="shared" si="12"/>
        <v>1.8197567876643148E-2</v>
      </c>
      <c r="T125" s="286">
        <f t="shared" si="12"/>
        <v>1.3145045511337996E-2</v>
      </c>
      <c r="U125" s="225">
        <f t="shared" si="12"/>
        <v>7.9409474750737445E-3</v>
      </c>
      <c r="V125" s="286">
        <f t="shared" si="12"/>
        <v>2.5807264977215439E-3</v>
      </c>
      <c r="W125" s="225">
        <f t="shared" si="12"/>
        <v>-2.9403011089512258E-3</v>
      </c>
      <c r="X125" s="286">
        <f t="shared" si="12"/>
        <v>-8.6269595438241507E-3</v>
      </c>
      <c r="Y125" s="225">
        <f t="shared" si="12"/>
        <v>-1.4484217731743233E-2</v>
      </c>
      <c r="Z125" s="286">
        <f t="shared" si="12"/>
        <v>-2.0517193665299943E-2</v>
      </c>
      <c r="AA125" s="225">
        <f t="shared" si="12"/>
        <v>-2.6731158876863361E-2</v>
      </c>
      <c r="AB125" s="286">
        <f t="shared" si="12"/>
        <v>-3.3131543044773622E-2</v>
      </c>
      <c r="AC125" s="225">
        <f t="shared" si="12"/>
        <v>-3.9723938737721246E-2</v>
      </c>
      <c r="AD125" s="286">
        <f t="shared" si="12"/>
        <v>-4.6514106301457254E-2</v>
      </c>
      <c r="AE125" s="225">
        <f t="shared" si="12"/>
        <v>-5.3507978892105346E-2</v>
      </c>
      <c r="AF125" s="286">
        <f t="shared" si="12"/>
        <v>-6.0711667660472882E-2</v>
      </c>
      <c r="AG125" s="225">
        <f t="shared" si="12"/>
        <v>-6.8131467091891509E-2</v>
      </c>
      <c r="AH125" s="216">
        <f t="shared" si="12"/>
        <v>-7.5773860506252608E-2</v>
      </c>
    </row>
    <row r="126" spans="1:35" ht="16.5" thickBot="1" x14ac:dyDescent="0.3">
      <c r="A126" s="38"/>
      <c r="B126" s="38"/>
      <c r="C126" s="38"/>
      <c r="D126" s="38"/>
      <c r="E126" s="38"/>
      <c r="F126" s="38"/>
      <c r="G126" s="38"/>
      <c r="H126" s="38"/>
      <c r="I126" s="38"/>
      <c r="J126" s="38"/>
      <c r="K126" s="38"/>
      <c r="L126" s="38"/>
      <c r="M126" s="38"/>
      <c r="N126" s="38"/>
    </row>
    <row r="127" spans="1:35" ht="16.5" thickBot="1" x14ac:dyDescent="0.3">
      <c r="A127" s="79" t="s">
        <v>448</v>
      </c>
      <c r="B127" s="51"/>
      <c r="C127" s="51"/>
      <c r="D127" s="360" t="s">
        <v>104</v>
      </c>
      <c r="E127" s="360" t="s">
        <v>85</v>
      </c>
      <c r="F127" s="360" t="s">
        <v>86</v>
      </c>
      <c r="G127" s="360" t="s">
        <v>87</v>
      </c>
      <c r="H127" s="360" t="s">
        <v>88</v>
      </c>
      <c r="I127" s="360" t="s">
        <v>89</v>
      </c>
      <c r="J127" s="360" t="s">
        <v>90</v>
      </c>
      <c r="K127" s="360" t="s">
        <v>91</v>
      </c>
      <c r="L127" s="360" t="s">
        <v>92</v>
      </c>
      <c r="M127" s="360" t="s">
        <v>93</v>
      </c>
      <c r="N127" s="356" t="s">
        <v>94</v>
      </c>
      <c r="O127" s="357" t="s">
        <v>239</v>
      </c>
      <c r="P127" s="358" t="s">
        <v>240</v>
      </c>
      <c r="Q127" s="358" t="s">
        <v>241</v>
      </c>
      <c r="R127" s="340" t="s">
        <v>242</v>
      </c>
      <c r="S127" s="358" t="s">
        <v>243</v>
      </c>
      <c r="T127" s="340" t="s">
        <v>244</v>
      </c>
      <c r="U127" s="358" t="s">
        <v>245</v>
      </c>
      <c r="V127" s="340" t="s">
        <v>246</v>
      </c>
      <c r="W127" s="358" t="s">
        <v>247</v>
      </c>
      <c r="X127" s="340" t="s">
        <v>248</v>
      </c>
      <c r="Y127" s="358" t="s">
        <v>249</v>
      </c>
      <c r="Z127" s="340" t="s">
        <v>250</v>
      </c>
      <c r="AA127" s="358" t="s">
        <v>251</v>
      </c>
      <c r="AB127" s="340" t="s">
        <v>252</v>
      </c>
      <c r="AC127" s="358" t="s">
        <v>253</v>
      </c>
      <c r="AD127" s="340" t="s">
        <v>254</v>
      </c>
      <c r="AE127" s="358" t="s">
        <v>255</v>
      </c>
      <c r="AF127" s="340" t="s">
        <v>256</v>
      </c>
      <c r="AG127" s="358" t="s">
        <v>257</v>
      </c>
      <c r="AH127" s="359" t="s">
        <v>258</v>
      </c>
    </row>
    <row r="128" spans="1:35" x14ac:dyDescent="0.25">
      <c r="A128" s="17" t="s">
        <v>105</v>
      </c>
      <c r="B128" s="18"/>
      <c r="C128" s="24"/>
      <c r="D128" s="342">
        <f>D73</f>
        <v>0.08</v>
      </c>
      <c r="E128" s="336"/>
      <c r="F128" s="211"/>
      <c r="G128" s="143"/>
      <c r="H128" s="143"/>
      <c r="I128" s="142"/>
      <c r="J128" s="144"/>
      <c r="K128" s="144"/>
      <c r="L128" s="144"/>
      <c r="M128" s="144"/>
      <c r="N128" s="98">
        <f>IFERROR(IF($C$11=10,N119/$D$128,0),0)</f>
        <v>1945216.3334145711</v>
      </c>
      <c r="O128" s="160"/>
      <c r="P128" s="198"/>
      <c r="Q128" s="160"/>
      <c r="R128" s="198"/>
      <c r="S128" s="203">
        <f>IFERROR(IF($C$11=15,S119/$D$128,0),0)</f>
        <v>0</v>
      </c>
      <c r="T128" s="98"/>
      <c r="U128" s="149"/>
      <c r="V128" s="200"/>
      <c r="W128" s="149"/>
      <c r="X128" s="98">
        <f>IFERROR(IF($C$11=20,X119/$D$128,0),0)</f>
        <v>0</v>
      </c>
      <c r="Y128" s="149"/>
      <c r="Z128" s="200"/>
      <c r="AA128" s="149"/>
      <c r="AB128" s="200"/>
      <c r="AC128" s="203">
        <f>IFERROR(IF($C$11=25,AC119/$D$128,0),0)</f>
        <v>0</v>
      </c>
      <c r="AD128" s="200"/>
      <c r="AE128" s="149"/>
      <c r="AF128" s="200"/>
      <c r="AG128" s="149"/>
      <c r="AH128" s="217">
        <f>IFERROR(IF($C$11=30,AH119/$D$128,0),0)</f>
        <v>0</v>
      </c>
    </row>
    <row r="129" spans="1:35" ht="18" x14ac:dyDescent="0.4">
      <c r="A129" s="17" t="s">
        <v>106</v>
      </c>
      <c r="B129" s="18"/>
      <c r="C129" s="18"/>
      <c r="D129" s="343">
        <f>D74</f>
        <v>0.05</v>
      </c>
      <c r="E129" s="336"/>
      <c r="F129" s="211"/>
      <c r="G129" s="143"/>
      <c r="H129" s="143"/>
      <c r="I129" s="142"/>
      <c r="J129" s="145"/>
      <c r="K129" s="145"/>
      <c r="L129" s="145"/>
      <c r="M129" s="145"/>
      <c r="N129" s="353">
        <f>N128*(1-$D$129)</f>
        <v>1847955.5167438425</v>
      </c>
      <c r="O129" s="226"/>
      <c r="P129" s="288"/>
      <c r="Q129" s="226"/>
      <c r="R129" s="288"/>
      <c r="S129" s="352">
        <f>S128*(1-$D$129)</f>
        <v>0</v>
      </c>
      <c r="T129" s="200"/>
      <c r="U129" s="149"/>
      <c r="V129" s="200"/>
      <c r="W129" s="149"/>
      <c r="X129" s="353">
        <f>X128*(1-$D$129)</f>
        <v>0</v>
      </c>
      <c r="Y129" s="149"/>
      <c r="Z129" s="200"/>
      <c r="AA129" s="149"/>
      <c r="AB129" s="200"/>
      <c r="AC129" s="352">
        <f>AC128*(1-$D$129)</f>
        <v>0</v>
      </c>
      <c r="AD129" s="200"/>
      <c r="AE129" s="149"/>
      <c r="AF129" s="200"/>
      <c r="AG129" s="149"/>
      <c r="AH129" s="317">
        <f>AH128*(1-$D$129)</f>
        <v>0</v>
      </c>
    </row>
    <row r="130" spans="1:35" x14ac:dyDescent="0.25">
      <c r="A130" s="17" t="s">
        <v>107</v>
      </c>
      <c r="B130" s="24"/>
      <c r="C130" s="24"/>
      <c r="D130" s="142"/>
      <c r="E130" s="142"/>
      <c r="F130" s="142"/>
      <c r="G130" s="142"/>
      <c r="H130" s="142"/>
      <c r="I130" s="142"/>
      <c r="J130" s="142"/>
      <c r="K130" s="142"/>
      <c r="L130" s="142"/>
      <c r="M130" s="142"/>
      <c r="N130" s="200">
        <f>IF($C$11=10,-AA175,0)</f>
        <v>-2643154.3636690038</v>
      </c>
      <c r="O130" s="180"/>
      <c r="P130" s="39"/>
      <c r="Q130" s="159"/>
      <c r="R130" s="39"/>
      <c r="S130" s="149">
        <f>IF($C$11=15,-AA180,0)</f>
        <v>0</v>
      </c>
      <c r="T130" s="200"/>
      <c r="U130" s="149"/>
      <c r="V130" s="200"/>
      <c r="W130" s="149"/>
      <c r="X130" s="200">
        <f>IF($C$11=20,-AA185,0)</f>
        <v>0</v>
      </c>
      <c r="Y130" s="149"/>
      <c r="Z130" s="200"/>
      <c r="AA130" s="149"/>
      <c r="AB130" s="200"/>
      <c r="AC130" s="149">
        <f>IF($C$11=25,-AA190,0)</f>
        <v>0</v>
      </c>
      <c r="AD130" s="200"/>
      <c r="AE130" s="149"/>
      <c r="AF130" s="200"/>
      <c r="AG130" s="149"/>
      <c r="AH130" s="316">
        <f>V195</f>
        <v>2.5574991013854742E-9</v>
      </c>
    </row>
    <row r="131" spans="1:35" ht="16.5" thickBot="1" x14ac:dyDescent="0.3">
      <c r="A131" s="125" t="s">
        <v>108</v>
      </c>
      <c r="B131" s="83"/>
      <c r="C131" s="83"/>
      <c r="D131" s="146"/>
      <c r="E131" s="147"/>
      <c r="F131" s="147"/>
      <c r="G131" s="147"/>
      <c r="H131" s="147"/>
      <c r="I131" s="147"/>
      <c r="J131" s="147"/>
      <c r="K131" s="147"/>
      <c r="L131" s="147"/>
      <c r="M131" s="147"/>
      <c r="N131" s="231">
        <f>N129+N130</f>
        <v>-795198.84692516131</v>
      </c>
      <c r="O131" s="214"/>
      <c r="P131" s="215"/>
      <c r="Q131" s="214"/>
      <c r="R131" s="215"/>
      <c r="S131" s="232">
        <f>S129+S130</f>
        <v>0</v>
      </c>
      <c r="T131" s="443"/>
      <c r="U131" s="442"/>
      <c r="V131" s="443"/>
      <c r="W131" s="442"/>
      <c r="X131" s="231">
        <f>X129+X130</f>
        <v>0</v>
      </c>
      <c r="Y131" s="442"/>
      <c r="Z131" s="443"/>
      <c r="AA131" s="442"/>
      <c r="AB131" s="443"/>
      <c r="AC131" s="232">
        <f>AC129+AC130</f>
        <v>0</v>
      </c>
      <c r="AD131" s="443"/>
      <c r="AE131" s="442"/>
      <c r="AF131" s="443"/>
      <c r="AG131" s="442"/>
      <c r="AH131" s="245">
        <f>AH129+AH130</f>
        <v>2.5574991013854742E-9</v>
      </c>
    </row>
    <row r="132" spans="1:35" ht="16.5" thickBot="1" x14ac:dyDescent="0.3"/>
    <row r="133" spans="1:35" ht="16.5" thickBot="1" x14ac:dyDescent="0.3">
      <c r="A133" s="79" t="s">
        <v>433</v>
      </c>
      <c r="B133" s="44"/>
      <c r="C133" s="44"/>
      <c r="D133" s="360" t="s">
        <v>104</v>
      </c>
      <c r="E133" s="355" t="s">
        <v>85</v>
      </c>
      <c r="F133" s="355" t="s">
        <v>86</v>
      </c>
      <c r="G133" s="355" t="s">
        <v>87</v>
      </c>
      <c r="H133" s="355" t="s">
        <v>88</v>
      </c>
      <c r="I133" s="355" t="s">
        <v>89</v>
      </c>
      <c r="J133" s="355" t="s">
        <v>90</v>
      </c>
      <c r="K133" s="355" t="s">
        <v>91</v>
      </c>
      <c r="L133" s="355" t="s">
        <v>92</v>
      </c>
      <c r="M133" s="355" t="s">
        <v>93</v>
      </c>
      <c r="N133" s="356" t="s">
        <v>94</v>
      </c>
      <c r="O133" s="357" t="s">
        <v>239</v>
      </c>
      <c r="P133" s="358" t="s">
        <v>240</v>
      </c>
      <c r="Q133" s="358" t="s">
        <v>241</v>
      </c>
      <c r="R133" s="340" t="s">
        <v>242</v>
      </c>
      <c r="S133" s="358" t="s">
        <v>243</v>
      </c>
      <c r="T133" s="340" t="s">
        <v>244</v>
      </c>
      <c r="U133" s="358" t="s">
        <v>245</v>
      </c>
      <c r="V133" s="340" t="s">
        <v>246</v>
      </c>
      <c r="W133" s="358" t="s">
        <v>247</v>
      </c>
      <c r="X133" s="340" t="s">
        <v>248</v>
      </c>
      <c r="Y133" s="358" t="s">
        <v>249</v>
      </c>
      <c r="Z133" s="340" t="s">
        <v>250</v>
      </c>
      <c r="AA133" s="358" t="s">
        <v>251</v>
      </c>
      <c r="AB133" s="340" t="s">
        <v>252</v>
      </c>
      <c r="AC133" s="358" t="s">
        <v>253</v>
      </c>
      <c r="AD133" s="340" t="s">
        <v>254</v>
      </c>
      <c r="AE133" s="358" t="s">
        <v>255</v>
      </c>
      <c r="AF133" s="340" t="s">
        <v>256</v>
      </c>
      <c r="AG133" s="358" t="s">
        <v>257</v>
      </c>
      <c r="AH133" s="359" t="s">
        <v>258</v>
      </c>
    </row>
    <row r="134" spans="1:35" x14ac:dyDescent="0.25">
      <c r="A134" s="17" t="s">
        <v>449</v>
      </c>
      <c r="B134" s="24"/>
      <c r="C134" s="24"/>
      <c r="D134" s="161">
        <f>-C27</f>
        <v>-2150000</v>
      </c>
      <c r="E134" s="149"/>
      <c r="F134" s="149"/>
      <c r="G134" s="149"/>
      <c r="H134" s="149"/>
      <c r="I134" s="149"/>
      <c r="J134" s="149"/>
      <c r="K134" s="149"/>
      <c r="L134" s="149"/>
      <c r="M134" s="149"/>
      <c r="N134" s="200"/>
      <c r="O134" s="149"/>
      <c r="P134" s="200"/>
      <c r="Q134" s="149"/>
      <c r="R134" s="200"/>
      <c r="S134" s="149"/>
      <c r="T134" s="200"/>
      <c r="U134" s="149"/>
      <c r="V134" s="200"/>
      <c r="W134" s="149"/>
      <c r="X134" s="200"/>
      <c r="Y134" s="149"/>
      <c r="Z134" s="200"/>
      <c r="AA134" s="149"/>
      <c r="AB134" s="200"/>
      <c r="AC134" s="149"/>
      <c r="AD134" s="200"/>
      <c r="AE134" s="149"/>
      <c r="AF134" s="200"/>
      <c r="AG134" s="149"/>
      <c r="AH134" s="134"/>
    </row>
    <row r="135" spans="1:35" x14ac:dyDescent="0.25">
      <c r="A135" s="17" t="s">
        <v>110</v>
      </c>
      <c r="B135" s="24"/>
      <c r="C135" s="24"/>
      <c r="D135" s="161"/>
      <c r="E135" s="149">
        <f t="shared" ref="E135:AH135" si="13">E119</f>
        <v>116931.875</v>
      </c>
      <c r="F135" s="149">
        <f t="shared" si="13"/>
        <v>120739.83124999999</v>
      </c>
      <c r="G135" s="149">
        <f t="shared" si="13"/>
        <v>124662.02618749999</v>
      </c>
      <c r="H135" s="149">
        <f t="shared" si="13"/>
        <v>128701.88697312496</v>
      </c>
      <c r="I135" s="149">
        <f t="shared" si="13"/>
        <v>132862.94358231872</v>
      </c>
      <c r="J135" s="149">
        <f t="shared" si="13"/>
        <v>137148.8318897883</v>
      </c>
      <c r="K135" s="149">
        <f t="shared" si="13"/>
        <v>141563.296846482</v>
      </c>
      <c r="L135" s="149">
        <f t="shared" si="13"/>
        <v>146110.19575187645</v>
      </c>
      <c r="M135" s="149">
        <f t="shared" si="13"/>
        <v>150793.50162443274</v>
      </c>
      <c r="N135" s="200">
        <f t="shared" si="13"/>
        <v>155617.3066731657</v>
      </c>
      <c r="O135" s="149">
        <f t="shared" si="13"/>
        <v>160585.82587336068</v>
      </c>
      <c r="P135" s="200">
        <f t="shared" si="13"/>
        <v>165703.40064956149</v>
      </c>
      <c r="Q135" s="149">
        <f t="shared" si="13"/>
        <v>170974.50266904832</v>
      </c>
      <c r="R135" s="200">
        <f t="shared" si="13"/>
        <v>176403.73774911981</v>
      </c>
      <c r="S135" s="149">
        <f t="shared" si="13"/>
        <v>181995.84988159331</v>
      </c>
      <c r="T135" s="200">
        <f t="shared" si="13"/>
        <v>187755.72537804118</v>
      </c>
      <c r="U135" s="149">
        <f t="shared" si="13"/>
        <v>193688.39713938243</v>
      </c>
      <c r="V135" s="200">
        <f t="shared" si="13"/>
        <v>199799.04905356394</v>
      </c>
      <c r="W135" s="149">
        <f t="shared" si="13"/>
        <v>206093.0205251709</v>
      </c>
      <c r="X135" s="200">
        <f t="shared" si="13"/>
        <v>212575.81114092603</v>
      </c>
      <c r="Y135" s="149">
        <f t="shared" si="13"/>
        <v>219253.08547515378</v>
      </c>
      <c r="Z135" s="200">
        <f t="shared" si="13"/>
        <v>226130.67803940843</v>
      </c>
      <c r="AA135" s="149">
        <f t="shared" si="13"/>
        <v>233214.59838059073</v>
      </c>
      <c r="AB135" s="200">
        <f t="shared" si="13"/>
        <v>240511.03633200843</v>
      </c>
      <c r="AC135" s="149">
        <f t="shared" si="13"/>
        <v>248026.36742196872</v>
      </c>
      <c r="AD135" s="200">
        <f t="shared" si="13"/>
        <v>255767.15844462777</v>
      </c>
      <c r="AE135" s="149">
        <f t="shared" si="13"/>
        <v>263740.17319796659</v>
      </c>
      <c r="AF135" s="200">
        <f t="shared" si="13"/>
        <v>271952.37839390559</v>
      </c>
      <c r="AG135" s="149">
        <f t="shared" si="13"/>
        <v>280410.94974572281</v>
      </c>
      <c r="AH135" s="134">
        <f t="shared" si="13"/>
        <v>289123.27823809447</v>
      </c>
    </row>
    <row r="136" spans="1:35" x14ac:dyDescent="0.25">
      <c r="A136" s="17" t="s">
        <v>111</v>
      </c>
      <c r="B136" s="24"/>
      <c r="C136" s="24"/>
      <c r="D136" s="161"/>
      <c r="E136" s="149"/>
      <c r="F136" s="149"/>
      <c r="G136" s="149"/>
      <c r="H136" s="149"/>
      <c r="I136" s="149"/>
      <c r="J136" s="149"/>
      <c r="K136" s="149"/>
      <c r="L136" s="149"/>
      <c r="M136" s="149"/>
      <c r="N136" s="200">
        <f>N129</f>
        <v>1847955.5167438425</v>
      </c>
      <c r="O136" s="149"/>
      <c r="P136" s="200"/>
      <c r="Q136" s="149"/>
      <c r="R136" s="200"/>
      <c r="S136" s="149">
        <f>S129</f>
        <v>0</v>
      </c>
      <c r="T136" s="200"/>
      <c r="U136" s="149"/>
      <c r="V136" s="200"/>
      <c r="W136" s="149"/>
      <c r="X136" s="200">
        <f>X129</f>
        <v>0</v>
      </c>
      <c r="Y136" s="149"/>
      <c r="Z136" s="200"/>
      <c r="AA136" s="149"/>
      <c r="AB136" s="200"/>
      <c r="AC136" s="149">
        <f>AC129</f>
        <v>0</v>
      </c>
      <c r="AD136" s="200"/>
      <c r="AE136" s="149"/>
      <c r="AF136" s="200"/>
      <c r="AG136" s="149"/>
      <c r="AH136" s="134">
        <f>AH129</f>
        <v>0</v>
      </c>
    </row>
    <row r="137" spans="1:35" ht="16.5" thickBot="1" x14ac:dyDescent="0.3">
      <c r="A137" s="125" t="s">
        <v>3</v>
      </c>
      <c r="B137" s="83"/>
      <c r="C137" s="83"/>
      <c r="D137" s="441">
        <f>SUM(D134:D136)</f>
        <v>-2150000</v>
      </c>
      <c r="E137" s="442">
        <f>SUM(E134:E136)</f>
        <v>116931.875</v>
      </c>
      <c r="F137" s="442">
        <f t="shared" ref="F137:AH137" si="14">SUM(F134:F136)</f>
        <v>120739.83124999999</v>
      </c>
      <c r="G137" s="442">
        <f t="shared" si="14"/>
        <v>124662.02618749999</v>
      </c>
      <c r="H137" s="442">
        <f t="shared" si="14"/>
        <v>128701.88697312496</v>
      </c>
      <c r="I137" s="442">
        <f t="shared" si="14"/>
        <v>132862.94358231872</v>
      </c>
      <c r="J137" s="442">
        <f t="shared" si="14"/>
        <v>137148.8318897883</v>
      </c>
      <c r="K137" s="442">
        <f t="shared" si="14"/>
        <v>141563.296846482</v>
      </c>
      <c r="L137" s="442">
        <f t="shared" si="14"/>
        <v>146110.19575187645</v>
      </c>
      <c r="M137" s="442">
        <f t="shared" si="14"/>
        <v>150793.50162443274</v>
      </c>
      <c r="N137" s="443">
        <f t="shared" si="14"/>
        <v>2003572.8234170082</v>
      </c>
      <c r="O137" s="442">
        <f t="shared" si="14"/>
        <v>160585.82587336068</v>
      </c>
      <c r="P137" s="443">
        <f t="shared" si="14"/>
        <v>165703.40064956149</v>
      </c>
      <c r="Q137" s="442">
        <f t="shared" si="14"/>
        <v>170974.50266904832</v>
      </c>
      <c r="R137" s="443">
        <f t="shared" si="14"/>
        <v>176403.73774911981</v>
      </c>
      <c r="S137" s="442">
        <f t="shared" si="14"/>
        <v>181995.84988159331</v>
      </c>
      <c r="T137" s="443">
        <f t="shared" si="14"/>
        <v>187755.72537804118</v>
      </c>
      <c r="U137" s="442">
        <f t="shared" si="14"/>
        <v>193688.39713938243</v>
      </c>
      <c r="V137" s="443">
        <f t="shared" si="14"/>
        <v>199799.04905356394</v>
      </c>
      <c r="W137" s="442">
        <f t="shared" si="14"/>
        <v>206093.0205251709</v>
      </c>
      <c r="X137" s="443">
        <f t="shared" si="14"/>
        <v>212575.81114092603</v>
      </c>
      <c r="Y137" s="442">
        <f t="shared" si="14"/>
        <v>219253.08547515378</v>
      </c>
      <c r="Z137" s="443">
        <f t="shared" si="14"/>
        <v>226130.67803940843</v>
      </c>
      <c r="AA137" s="442">
        <f t="shared" si="14"/>
        <v>233214.59838059073</v>
      </c>
      <c r="AB137" s="443">
        <f t="shared" si="14"/>
        <v>240511.03633200843</v>
      </c>
      <c r="AC137" s="442">
        <f t="shared" si="14"/>
        <v>248026.36742196872</v>
      </c>
      <c r="AD137" s="443">
        <f t="shared" si="14"/>
        <v>255767.15844462777</v>
      </c>
      <c r="AE137" s="442">
        <f t="shared" si="14"/>
        <v>263740.17319796659</v>
      </c>
      <c r="AF137" s="443">
        <f t="shared" si="14"/>
        <v>271952.37839390559</v>
      </c>
      <c r="AG137" s="442">
        <f t="shared" si="14"/>
        <v>280410.94974572281</v>
      </c>
      <c r="AH137" s="444">
        <f t="shared" si="14"/>
        <v>289123.27823809447</v>
      </c>
    </row>
    <row r="138" spans="1:35" ht="16.5" thickBot="1" x14ac:dyDescent="0.3">
      <c r="A138" s="19" t="s">
        <v>112</v>
      </c>
      <c r="B138" s="71"/>
      <c r="C138" s="346" t="s">
        <v>19</v>
      </c>
      <c r="D138" s="347">
        <f>D6</f>
        <v>0.12</v>
      </c>
      <c r="E138" s="151"/>
      <c r="F138" s="151"/>
      <c r="G138" s="151"/>
      <c r="H138" s="151"/>
      <c r="I138" s="151"/>
      <c r="J138" s="151"/>
      <c r="K138" s="151"/>
      <c r="L138" s="151"/>
      <c r="M138" s="151"/>
      <c r="N138" s="294">
        <f>IFERROR(IF($C$11=10,IRR(D137:N137),0),0)</f>
        <v>5.1101385980766301E-2</v>
      </c>
      <c r="O138" s="295"/>
      <c r="P138" s="276"/>
      <c r="Q138" s="151"/>
      <c r="R138" s="276"/>
      <c r="S138" s="293">
        <f>IFERROR(IF($C$11=15,IRR(D137:S137),0),0)</f>
        <v>0</v>
      </c>
      <c r="T138" s="296"/>
      <c r="U138" s="151"/>
      <c r="V138" s="276"/>
      <c r="W138" s="151"/>
      <c r="X138" s="292">
        <f>IFERROR(IF($C$11=20,IRR(D137:X137),0),0)</f>
        <v>0</v>
      </c>
      <c r="Y138" s="295"/>
      <c r="Z138" s="276"/>
      <c r="AA138" s="151"/>
      <c r="AB138" s="276"/>
      <c r="AC138" s="293">
        <f>IFERROR(IF($C$11=25,IRR(D137:AC137),0),0)</f>
        <v>0</v>
      </c>
      <c r="AD138" s="296"/>
      <c r="AE138" s="151"/>
      <c r="AF138" s="276"/>
      <c r="AG138" s="151"/>
      <c r="AH138" s="152">
        <f>IFERROR(IF($C$11=30,IRR(D137:AH137),0),0)</f>
        <v>0</v>
      </c>
      <c r="AI138" s="262"/>
    </row>
    <row r="139" spans="1:35" ht="16.5" thickBot="1" x14ac:dyDescent="0.3">
      <c r="A139" s="19" t="s">
        <v>113</v>
      </c>
      <c r="B139" s="114"/>
      <c r="C139" s="346" t="s">
        <v>19</v>
      </c>
      <c r="D139" s="348">
        <f>D6</f>
        <v>0.12</v>
      </c>
      <c r="E139" s="153"/>
      <c r="F139" s="153"/>
      <c r="G139" s="153"/>
      <c r="H139" s="153"/>
      <c r="I139" s="153"/>
      <c r="J139" s="153"/>
      <c r="K139" s="153"/>
      <c r="L139" s="153"/>
      <c r="M139" s="153"/>
      <c r="N139" s="445">
        <f>IF($C$11=10,(NPV(D6,E137:N137))+D137,0)</f>
        <v>-811423.29451516084</v>
      </c>
      <c r="O139" s="446"/>
      <c r="P139" s="447"/>
      <c r="Q139" s="446"/>
      <c r="R139" s="447"/>
      <c r="S139" s="448">
        <f>IF($C$11=15,(NPV(D6,E137:S137))+D137,0)</f>
        <v>0</v>
      </c>
      <c r="T139" s="447"/>
      <c r="U139" s="446"/>
      <c r="V139" s="447"/>
      <c r="W139" s="446"/>
      <c r="X139" s="449">
        <f>IF($C$11=20,(NPV(D6,E137:X137))+D137,0)</f>
        <v>0</v>
      </c>
      <c r="Y139" s="446"/>
      <c r="Z139" s="447"/>
      <c r="AA139" s="446"/>
      <c r="AB139" s="447"/>
      <c r="AC139" s="448">
        <f>IF($C$11=25,(NPV(D6,E137:AC137))+D137,0)</f>
        <v>0</v>
      </c>
      <c r="AD139" s="447"/>
      <c r="AE139" s="446"/>
      <c r="AF139" s="447"/>
      <c r="AG139" s="446"/>
      <c r="AH139" s="450">
        <f>IF($C$11=30,(NPV(D6,E137:AH137))+D137,0)</f>
        <v>0</v>
      </c>
      <c r="AI139" s="157"/>
    </row>
    <row r="140" spans="1:35" ht="16.5" thickBot="1" x14ac:dyDescent="0.3">
      <c r="A140" s="154"/>
      <c r="B140" s="38"/>
      <c r="C140" s="38"/>
      <c r="D140" s="38"/>
      <c r="E140" s="38"/>
      <c r="F140" s="38"/>
      <c r="G140" s="38"/>
      <c r="H140" s="38"/>
      <c r="I140" s="38"/>
      <c r="J140" s="38"/>
      <c r="K140" s="38"/>
      <c r="L140" s="38"/>
      <c r="M140" s="38"/>
      <c r="N140" s="155"/>
    </row>
    <row r="141" spans="1:35" ht="16.5" thickBot="1" x14ac:dyDescent="0.3">
      <c r="A141" s="79" t="s">
        <v>434</v>
      </c>
      <c r="B141" s="51"/>
      <c r="C141" s="51"/>
      <c r="D141" s="360" t="s">
        <v>104</v>
      </c>
      <c r="E141" s="360" t="s">
        <v>85</v>
      </c>
      <c r="F141" s="360" t="s">
        <v>86</v>
      </c>
      <c r="G141" s="360" t="s">
        <v>87</v>
      </c>
      <c r="H141" s="360" t="s">
        <v>88</v>
      </c>
      <c r="I141" s="360" t="s">
        <v>89</v>
      </c>
      <c r="J141" s="360" t="s">
        <v>90</v>
      </c>
      <c r="K141" s="360" t="s">
        <v>91</v>
      </c>
      <c r="L141" s="360" t="s">
        <v>92</v>
      </c>
      <c r="M141" s="360" t="s">
        <v>93</v>
      </c>
      <c r="N141" s="356" t="s">
        <v>94</v>
      </c>
      <c r="O141" s="358" t="s">
        <v>239</v>
      </c>
      <c r="P141" s="340" t="s">
        <v>240</v>
      </c>
      <c r="Q141" s="358" t="s">
        <v>241</v>
      </c>
      <c r="R141" s="340" t="s">
        <v>242</v>
      </c>
      <c r="S141" s="358" t="s">
        <v>243</v>
      </c>
      <c r="T141" s="340" t="s">
        <v>244</v>
      </c>
      <c r="U141" s="358" t="s">
        <v>245</v>
      </c>
      <c r="V141" s="340" t="s">
        <v>246</v>
      </c>
      <c r="W141" s="358" t="s">
        <v>247</v>
      </c>
      <c r="X141" s="340" t="s">
        <v>248</v>
      </c>
      <c r="Y141" s="358" t="s">
        <v>249</v>
      </c>
      <c r="Z141" s="340" t="s">
        <v>250</v>
      </c>
      <c r="AA141" s="358" t="s">
        <v>251</v>
      </c>
      <c r="AB141" s="340" t="s">
        <v>252</v>
      </c>
      <c r="AC141" s="358" t="s">
        <v>253</v>
      </c>
      <c r="AD141" s="340" t="s">
        <v>254</v>
      </c>
      <c r="AE141" s="358" t="s">
        <v>255</v>
      </c>
      <c r="AF141" s="340" t="s">
        <v>256</v>
      </c>
      <c r="AG141" s="358" t="s">
        <v>257</v>
      </c>
      <c r="AH141" s="359" t="s">
        <v>258</v>
      </c>
    </row>
    <row r="142" spans="1:35" x14ac:dyDescent="0.25">
      <c r="A142" s="17" t="s">
        <v>450</v>
      </c>
      <c r="B142" s="18"/>
      <c r="C142" s="18"/>
      <c r="D142" s="158">
        <f>-E103</f>
        <v>1140000</v>
      </c>
      <c r="E142" s="161"/>
      <c r="F142" s="158"/>
      <c r="G142" s="158"/>
      <c r="H142" s="158"/>
      <c r="I142" s="158"/>
      <c r="J142" s="158"/>
      <c r="K142" s="158"/>
      <c r="L142" s="158"/>
      <c r="M142" s="158"/>
      <c r="N142" s="98"/>
      <c r="O142" s="149"/>
      <c r="P142" s="200"/>
      <c r="Q142" s="149"/>
      <c r="R142" s="200"/>
      <c r="S142" s="149"/>
      <c r="T142" s="200"/>
      <c r="U142" s="149"/>
      <c r="V142" s="200"/>
      <c r="W142" s="149"/>
      <c r="X142" s="200"/>
      <c r="Y142" s="149"/>
      <c r="Z142" s="200"/>
      <c r="AA142" s="149"/>
      <c r="AB142" s="200"/>
      <c r="AC142" s="149"/>
      <c r="AD142" s="200"/>
      <c r="AE142" s="149"/>
      <c r="AF142" s="200"/>
      <c r="AG142" s="149"/>
      <c r="AH142" s="134"/>
    </row>
    <row r="143" spans="1:35" x14ac:dyDescent="0.25">
      <c r="A143" s="17" t="s">
        <v>436</v>
      </c>
      <c r="B143" s="18"/>
      <c r="C143" s="18"/>
      <c r="D143" s="158"/>
      <c r="E143" s="158">
        <f t="shared" ref="E143:AH143" si="15">E122</f>
        <v>-85809.2022609665</v>
      </c>
      <c r="F143" s="158">
        <f t="shared" si="15"/>
        <v>-82001.246010966512</v>
      </c>
      <c r="G143" s="158">
        <f t="shared" si="15"/>
        <v>-78079.051073466515</v>
      </c>
      <c r="H143" s="158">
        <f t="shared" si="15"/>
        <v>-74039.190287841542</v>
      </c>
      <c r="I143" s="158">
        <f t="shared" si="15"/>
        <v>-69878.133678647777</v>
      </c>
      <c r="J143" s="158">
        <f t="shared" si="15"/>
        <v>-65592.2453711782</v>
      </c>
      <c r="K143" s="158">
        <f t="shared" si="15"/>
        <v>-61177.780414484499</v>
      </c>
      <c r="L143" s="158">
        <f t="shared" si="15"/>
        <v>-56630.881509090046</v>
      </c>
      <c r="M143" s="158">
        <f t="shared" si="15"/>
        <v>-51947.575636533758</v>
      </c>
      <c r="N143" s="98">
        <f t="shared" si="15"/>
        <v>-47123.770587800798</v>
      </c>
      <c r="O143" s="203">
        <f t="shared" si="15"/>
        <v>-42155.251387605822</v>
      </c>
      <c r="P143" s="98">
        <f t="shared" si="15"/>
        <v>-37037.676611405011</v>
      </c>
      <c r="Q143" s="203">
        <f t="shared" si="15"/>
        <v>-31766.574591918179</v>
      </c>
      <c r="R143" s="98">
        <f t="shared" si="15"/>
        <v>-26337.339511846687</v>
      </c>
      <c r="S143" s="203">
        <f t="shared" si="15"/>
        <v>-20745.227379373187</v>
      </c>
      <c r="T143" s="98">
        <f t="shared" si="15"/>
        <v>-14985.351882925315</v>
      </c>
      <c r="U143" s="203">
        <f t="shared" si="15"/>
        <v>-9052.6801215840678</v>
      </c>
      <c r="V143" s="98">
        <f t="shared" si="15"/>
        <v>-2942.0282074025599</v>
      </c>
      <c r="W143" s="203">
        <f t="shared" si="15"/>
        <v>3351.9432642043976</v>
      </c>
      <c r="X143" s="98">
        <f t="shared" si="15"/>
        <v>9834.7338799595309</v>
      </c>
      <c r="Y143" s="203">
        <f t="shared" si="15"/>
        <v>16512.008214187284</v>
      </c>
      <c r="Z143" s="98">
        <f t="shared" si="15"/>
        <v>23389.600778441934</v>
      </c>
      <c r="AA143" s="203">
        <f t="shared" si="15"/>
        <v>30473.521119624231</v>
      </c>
      <c r="AB143" s="98">
        <f t="shared" si="15"/>
        <v>37769.959071041929</v>
      </c>
      <c r="AC143" s="203">
        <f t="shared" si="15"/>
        <v>45285.290161002224</v>
      </c>
      <c r="AD143" s="98">
        <f t="shared" si="15"/>
        <v>53026.08118366127</v>
      </c>
      <c r="AE143" s="203">
        <f t="shared" si="15"/>
        <v>60999.095937000093</v>
      </c>
      <c r="AF143" s="98">
        <f t="shared" si="15"/>
        <v>69211.301132939087</v>
      </c>
      <c r="AG143" s="203">
        <f t="shared" si="15"/>
        <v>77669.872484756313</v>
      </c>
      <c r="AH143" s="217">
        <f t="shared" si="15"/>
        <v>86382.20097712797</v>
      </c>
    </row>
    <row r="144" spans="1:35" x14ac:dyDescent="0.25">
      <c r="A144" s="17" t="s">
        <v>108</v>
      </c>
      <c r="B144" s="18"/>
      <c r="C144" s="18"/>
      <c r="D144" s="158"/>
      <c r="E144" s="452"/>
      <c r="F144" s="452"/>
      <c r="G144" s="452"/>
      <c r="H144" s="452"/>
      <c r="I144" s="452"/>
      <c r="J144" s="452"/>
      <c r="K144" s="452"/>
      <c r="L144" s="452"/>
      <c r="M144" s="452"/>
      <c r="N144" s="453">
        <f>N131</f>
        <v>-795198.84692516131</v>
      </c>
      <c r="O144" s="149"/>
      <c r="P144" s="200"/>
      <c r="Q144" s="149"/>
      <c r="R144" s="200"/>
      <c r="S144" s="149">
        <f>S131</f>
        <v>0</v>
      </c>
      <c r="T144" s="200"/>
      <c r="U144" s="149"/>
      <c r="V144" s="200"/>
      <c r="W144" s="149"/>
      <c r="X144" s="200">
        <f>X131</f>
        <v>0</v>
      </c>
      <c r="Y144" s="149"/>
      <c r="Z144" s="200"/>
      <c r="AA144" s="149"/>
      <c r="AB144" s="200"/>
      <c r="AC144" s="149">
        <f>AC131</f>
        <v>0</v>
      </c>
      <c r="AD144" s="200"/>
      <c r="AE144" s="149"/>
      <c r="AF144" s="200"/>
      <c r="AG144" s="149"/>
      <c r="AH144" s="134">
        <f>AH131</f>
        <v>2.5574991013854742E-9</v>
      </c>
    </row>
    <row r="145" spans="1:35" ht="16.5" thickBot="1" x14ac:dyDescent="0.3">
      <c r="A145" s="125" t="s">
        <v>3</v>
      </c>
      <c r="B145" s="30"/>
      <c r="C145" s="30"/>
      <c r="D145" s="451">
        <f t="shared" ref="D145:AH145" si="16">SUM(D142:D144)</f>
        <v>1140000</v>
      </c>
      <c r="E145" s="451">
        <f t="shared" si="16"/>
        <v>-85809.2022609665</v>
      </c>
      <c r="F145" s="451">
        <f t="shared" si="16"/>
        <v>-82001.246010966512</v>
      </c>
      <c r="G145" s="451">
        <f t="shared" si="16"/>
        <v>-78079.051073466515</v>
      </c>
      <c r="H145" s="451">
        <f t="shared" si="16"/>
        <v>-74039.190287841542</v>
      </c>
      <c r="I145" s="451">
        <f t="shared" si="16"/>
        <v>-69878.133678647777</v>
      </c>
      <c r="J145" s="451">
        <f t="shared" si="16"/>
        <v>-65592.2453711782</v>
      </c>
      <c r="K145" s="451">
        <f t="shared" si="16"/>
        <v>-61177.780414484499</v>
      </c>
      <c r="L145" s="451">
        <f t="shared" si="16"/>
        <v>-56630.881509090046</v>
      </c>
      <c r="M145" s="451">
        <f t="shared" si="16"/>
        <v>-51947.575636533758</v>
      </c>
      <c r="N145" s="454">
        <f t="shared" si="16"/>
        <v>-842322.61751296208</v>
      </c>
      <c r="O145" s="162">
        <f t="shared" si="16"/>
        <v>-42155.251387605822</v>
      </c>
      <c r="P145" s="454">
        <f t="shared" si="16"/>
        <v>-37037.676611405011</v>
      </c>
      <c r="Q145" s="162">
        <f t="shared" si="16"/>
        <v>-31766.574591918179</v>
      </c>
      <c r="R145" s="454">
        <f t="shared" si="16"/>
        <v>-26337.339511846687</v>
      </c>
      <c r="S145" s="162">
        <f t="shared" si="16"/>
        <v>-20745.227379373187</v>
      </c>
      <c r="T145" s="454">
        <f t="shared" si="16"/>
        <v>-14985.351882925315</v>
      </c>
      <c r="U145" s="162">
        <f t="shared" si="16"/>
        <v>-9052.6801215840678</v>
      </c>
      <c r="V145" s="454">
        <f t="shared" si="16"/>
        <v>-2942.0282074025599</v>
      </c>
      <c r="W145" s="162">
        <f t="shared" si="16"/>
        <v>3351.9432642043976</v>
      </c>
      <c r="X145" s="454">
        <f t="shared" si="16"/>
        <v>9834.7338799595309</v>
      </c>
      <c r="Y145" s="162">
        <f t="shared" si="16"/>
        <v>16512.008214187284</v>
      </c>
      <c r="Z145" s="454">
        <f t="shared" si="16"/>
        <v>23389.600778441934</v>
      </c>
      <c r="AA145" s="162">
        <f t="shared" si="16"/>
        <v>30473.521119624231</v>
      </c>
      <c r="AB145" s="454">
        <f t="shared" si="16"/>
        <v>37769.959071041929</v>
      </c>
      <c r="AC145" s="162">
        <f t="shared" si="16"/>
        <v>45285.290161002224</v>
      </c>
      <c r="AD145" s="454">
        <f t="shared" si="16"/>
        <v>53026.08118366127</v>
      </c>
      <c r="AE145" s="162">
        <f t="shared" si="16"/>
        <v>60999.095937000093</v>
      </c>
      <c r="AF145" s="454">
        <f t="shared" si="16"/>
        <v>69211.301132939087</v>
      </c>
      <c r="AG145" s="162">
        <f t="shared" si="16"/>
        <v>77669.872484756313</v>
      </c>
      <c r="AH145" s="455">
        <f t="shared" si="16"/>
        <v>86382.200977130531</v>
      </c>
    </row>
    <row r="146" spans="1:35" ht="16.5" thickBot="1" x14ac:dyDescent="0.3">
      <c r="A146" s="49" t="s">
        <v>116</v>
      </c>
      <c r="B146" s="139"/>
      <c r="C146" s="346" t="s">
        <v>19</v>
      </c>
      <c r="D146" s="208">
        <f>D7</f>
        <v>0.25</v>
      </c>
      <c r="E146" s="156"/>
      <c r="F146" s="156"/>
      <c r="G146" s="156"/>
      <c r="H146" s="156"/>
      <c r="I146" s="156"/>
      <c r="J146" s="156"/>
      <c r="K146" s="156"/>
      <c r="L146" s="156"/>
      <c r="M146" s="156"/>
      <c r="N146" s="292">
        <f>IFERROR(IF($C$11=10,IRR(D145:N145),0),0)</f>
        <v>3.4124867603331444E-2</v>
      </c>
      <c r="O146" s="299"/>
      <c r="P146" s="141"/>
      <c r="Q146" s="291"/>
      <c r="R146" s="141"/>
      <c r="S146" s="293">
        <f>IFERROR(IF($C$11=15,IRR(D145:S145),0),0)</f>
        <v>0</v>
      </c>
      <c r="T146" s="300"/>
      <c r="U146" s="291"/>
      <c r="V146" s="141"/>
      <c r="W146" s="291"/>
      <c r="X146" s="292">
        <f>IFERROR(IF($C$11=20,IRR(D145:X145),0),0)</f>
        <v>0</v>
      </c>
      <c r="Y146" s="299"/>
      <c r="Z146" s="141"/>
      <c r="AA146" s="291"/>
      <c r="AB146" s="141"/>
      <c r="AC146" s="293">
        <f>IFERROR(IF($C$11=25,IRR(D145:AC145),0),0)</f>
        <v>0</v>
      </c>
      <c r="AD146" s="300"/>
      <c r="AE146" s="291"/>
      <c r="AF146" s="141"/>
      <c r="AG146" s="291"/>
      <c r="AH146" s="152">
        <f>IFERROR(IF($C$11=30,IRR(D145:AH145),0),0)</f>
        <v>0</v>
      </c>
      <c r="AI146" s="262"/>
    </row>
    <row r="147" spans="1:35" ht="16.5" thickBot="1" x14ac:dyDescent="0.3">
      <c r="A147" s="19" t="s">
        <v>117</v>
      </c>
      <c r="B147" s="71"/>
      <c r="C147" s="346" t="s">
        <v>19</v>
      </c>
      <c r="D147" s="347">
        <f>D7</f>
        <v>0.25</v>
      </c>
      <c r="E147" s="150"/>
      <c r="F147" s="150"/>
      <c r="G147" s="150"/>
      <c r="H147" s="150"/>
      <c r="I147" s="150"/>
      <c r="J147" s="150"/>
      <c r="K147" s="150"/>
      <c r="L147" s="150"/>
      <c r="M147" s="150"/>
      <c r="N147" s="449">
        <f>IF($C$11=10,(NPV(D7,E145:N145))+D145,0)</f>
        <v>788729.65012010233</v>
      </c>
      <c r="O147" s="195"/>
      <c r="P147" s="306"/>
      <c r="Q147" s="195"/>
      <c r="R147" s="306"/>
      <c r="S147" s="456">
        <f>IF($C$11=15,(NPV(D7,E145:S145))+D145,0)</f>
        <v>0</v>
      </c>
      <c r="T147" s="306"/>
      <c r="U147" s="195"/>
      <c r="V147" s="306"/>
      <c r="W147" s="195"/>
      <c r="X147" s="445">
        <f>IF($C$11=20,(NPV(D7,E145:X145))+D145,0)</f>
        <v>0</v>
      </c>
      <c r="Y147" s="195"/>
      <c r="Z147" s="306"/>
      <c r="AA147" s="195"/>
      <c r="AB147" s="306"/>
      <c r="AC147" s="456">
        <f>IF($C$11=25,(NPV(D7,E145:AC145))+D145,0)</f>
        <v>0</v>
      </c>
      <c r="AD147" s="306"/>
      <c r="AE147" s="195"/>
      <c r="AF147" s="306"/>
      <c r="AG147" s="195"/>
      <c r="AH147" s="457">
        <f>IF($C$11=30,(NPV(D7,E145:AH145))+D145,0)</f>
        <v>0</v>
      </c>
      <c r="AI147" s="157"/>
    </row>
    <row r="148" spans="1:35" ht="16.5" thickBot="1" x14ac:dyDescent="0.3">
      <c r="A148" s="154"/>
      <c r="N148" s="157"/>
    </row>
    <row r="149" spans="1:35" ht="16.5" thickBot="1" x14ac:dyDescent="0.3">
      <c r="A149" s="79" t="s">
        <v>435</v>
      </c>
      <c r="B149" s="51"/>
      <c r="C149" s="51"/>
      <c r="D149" s="360" t="s">
        <v>104</v>
      </c>
      <c r="E149" s="355" t="s">
        <v>85</v>
      </c>
      <c r="F149" s="355" t="s">
        <v>86</v>
      </c>
      <c r="G149" s="355" t="s">
        <v>87</v>
      </c>
      <c r="H149" s="355" t="s">
        <v>88</v>
      </c>
      <c r="I149" s="355" t="s">
        <v>89</v>
      </c>
      <c r="J149" s="355" t="s">
        <v>90</v>
      </c>
      <c r="K149" s="355" t="s">
        <v>91</v>
      </c>
      <c r="L149" s="355" t="s">
        <v>92</v>
      </c>
      <c r="M149" s="361" t="s">
        <v>93</v>
      </c>
      <c r="N149" s="356" t="s">
        <v>94</v>
      </c>
      <c r="O149" s="358" t="s">
        <v>239</v>
      </c>
      <c r="P149" s="340" t="s">
        <v>240</v>
      </c>
      <c r="Q149" s="358" t="s">
        <v>241</v>
      </c>
      <c r="R149" s="340" t="s">
        <v>242</v>
      </c>
      <c r="S149" s="358" t="s">
        <v>243</v>
      </c>
      <c r="T149" s="340" t="s">
        <v>244</v>
      </c>
      <c r="U149" s="358" t="s">
        <v>245</v>
      </c>
      <c r="V149" s="340" t="s">
        <v>246</v>
      </c>
      <c r="W149" s="358" t="s">
        <v>247</v>
      </c>
      <c r="X149" s="340" t="s">
        <v>248</v>
      </c>
      <c r="Y149" s="358" t="s">
        <v>249</v>
      </c>
      <c r="Z149" s="340" t="s">
        <v>250</v>
      </c>
      <c r="AA149" s="358" t="s">
        <v>251</v>
      </c>
      <c r="AB149" s="340" t="s">
        <v>252</v>
      </c>
      <c r="AC149" s="358" t="s">
        <v>253</v>
      </c>
      <c r="AD149" s="340" t="s">
        <v>254</v>
      </c>
      <c r="AE149" s="358" t="s">
        <v>255</v>
      </c>
      <c r="AF149" s="340" t="s">
        <v>256</v>
      </c>
      <c r="AG149" s="358" t="s">
        <v>257</v>
      </c>
      <c r="AH149" s="359" t="s">
        <v>258</v>
      </c>
    </row>
    <row r="150" spans="1:35" x14ac:dyDescent="0.25">
      <c r="A150" s="17" t="s">
        <v>452</v>
      </c>
      <c r="B150" s="18"/>
      <c r="C150" s="18"/>
      <c r="D150" s="158">
        <f>-E95</f>
        <v>-2000000</v>
      </c>
      <c r="E150" s="243"/>
      <c r="F150" s="203"/>
      <c r="G150" s="203"/>
      <c r="H150" s="203"/>
      <c r="I150" s="203"/>
      <c r="J150" s="203"/>
      <c r="K150" s="203"/>
      <c r="L150" s="203"/>
      <c r="M150" s="203"/>
      <c r="N150" s="98"/>
      <c r="O150" s="149"/>
      <c r="P150" s="200"/>
      <c r="Q150" s="149"/>
      <c r="R150" s="200"/>
      <c r="S150" s="149"/>
      <c r="T150" s="200"/>
      <c r="U150" s="149"/>
      <c r="V150" s="200"/>
      <c r="W150" s="149"/>
      <c r="X150" s="200"/>
      <c r="Y150" s="149"/>
      <c r="Z150" s="200"/>
      <c r="AA150" s="149"/>
      <c r="AB150" s="200"/>
      <c r="AC150" s="149"/>
      <c r="AD150" s="200"/>
      <c r="AE150" s="149"/>
      <c r="AF150" s="200"/>
      <c r="AG150" s="149"/>
      <c r="AH150" s="134"/>
    </row>
    <row r="151" spans="1:35" x14ac:dyDescent="0.25">
      <c r="A151" s="72" t="s">
        <v>77</v>
      </c>
      <c r="B151" s="18"/>
      <c r="C151" s="18"/>
      <c r="D151" s="158">
        <f>-L94</f>
        <v>-50000</v>
      </c>
      <c r="E151" s="458"/>
      <c r="F151" s="203"/>
      <c r="G151" s="203"/>
      <c r="H151" s="203"/>
      <c r="I151" s="203"/>
      <c r="J151" s="203"/>
      <c r="K151" s="203"/>
      <c r="L151" s="203"/>
      <c r="M151" s="203"/>
      <c r="N151" s="98"/>
      <c r="O151" s="149"/>
      <c r="P151" s="200"/>
      <c r="Q151" s="149"/>
      <c r="R151" s="200"/>
      <c r="S151" s="149"/>
      <c r="T151" s="200"/>
      <c r="U151" s="149"/>
      <c r="V151" s="200"/>
      <c r="W151" s="149"/>
      <c r="X151" s="200"/>
      <c r="Y151" s="149"/>
      <c r="Z151" s="200"/>
      <c r="AA151" s="149"/>
      <c r="AB151" s="200"/>
      <c r="AC151" s="149"/>
      <c r="AD151" s="200"/>
      <c r="AE151" s="149"/>
      <c r="AF151" s="200"/>
      <c r="AG151" s="149"/>
      <c r="AH151" s="134"/>
    </row>
    <row r="152" spans="1:35" x14ac:dyDescent="0.25">
      <c r="A152" s="72" t="s">
        <v>453</v>
      </c>
      <c r="B152" s="18"/>
      <c r="C152" s="18"/>
      <c r="D152" s="158">
        <f>D150+D151</f>
        <v>-2050000</v>
      </c>
      <c r="E152" s="458"/>
      <c r="F152" s="203"/>
      <c r="G152" s="203"/>
      <c r="H152" s="203"/>
      <c r="I152" s="203"/>
      <c r="J152" s="203"/>
      <c r="K152" s="203"/>
      <c r="L152" s="203"/>
      <c r="M152" s="203"/>
      <c r="N152" s="98"/>
      <c r="O152" s="149"/>
      <c r="P152" s="200"/>
      <c r="Q152" s="149"/>
      <c r="R152" s="200"/>
      <c r="S152" s="149"/>
      <c r="T152" s="200"/>
      <c r="U152" s="149"/>
      <c r="V152" s="200"/>
      <c r="W152" s="149"/>
      <c r="X152" s="200"/>
      <c r="Y152" s="149"/>
      <c r="Z152" s="200"/>
      <c r="AA152" s="149"/>
      <c r="AB152" s="200"/>
      <c r="AC152" s="149"/>
      <c r="AD152" s="200"/>
      <c r="AE152" s="149"/>
      <c r="AF152" s="200"/>
      <c r="AG152" s="149"/>
      <c r="AH152" s="134"/>
    </row>
    <row r="153" spans="1:35" x14ac:dyDescent="0.25">
      <c r="A153" s="17" t="s">
        <v>454</v>
      </c>
      <c r="B153" s="18"/>
      <c r="C153" s="18"/>
      <c r="D153" s="158"/>
      <c r="E153" s="203">
        <f t="shared" ref="E153:AH153" si="17">-$E$98</f>
        <v>128837.18952291337</v>
      </c>
      <c r="F153" s="203">
        <f t="shared" si="17"/>
        <v>128837.18952291337</v>
      </c>
      <c r="G153" s="203">
        <f t="shared" si="17"/>
        <v>128837.18952291337</v>
      </c>
      <c r="H153" s="203">
        <f t="shared" si="17"/>
        <v>128837.18952291337</v>
      </c>
      <c r="I153" s="203">
        <f t="shared" si="17"/>
        <v>128837.18952291337</v>
      </c>
      <c r="J153" s="203">
        <f t="shared" si="17"/>
        <v>128837.18952291337</v>
      </c>
      <c r="K153" s="203">
        <f t="shared" si="17"/>
        <v>128837.18952291337</v>
      </c>
      <c r="L153" s="203">
        <f t="shared" si="17"/>
        <v>128837.18952291337</v>
      </c>
      <c r="M153" s="203">
        <f t="shared" si="17"/>
        <v>128837.18952291337</v>
      </c>
      <c r="N153" s="98">
        <f t="shared" si="17"/>
        <v>128837.18952291337</v>
      </c>
      <c r="O153" s="203">
        <f t="shared" si="17"/>
        <v>128837.18952291337</v>
      </c>
      <c r="P153" s="98">
        <f t="shared" si="17"/>
        <v>128837.18952291337</v>
      </c>
      <c r="Q153" s="203">
        <f t="shared" si="17"/>
        <v>128837.18952291337</v>
      </c>
      <c r="R153" s="98">
        <f t="shared" si="17"/>
        <v>128837.18952291337</v>
      </c>
      <c r="S153" s="203">
        <f t="shared" si="17"/>
        <v>128837.18952291337</v>
      </c>
      <c r="T153" s="98">
        <f t="shared" si="17"/>
        <v>128837.18952291337</v>
      </c>
      <c r="U153" s="203">
        <f t="shared" si="17"/>
        <v>128837.18952291337</v>
      </c>
      <c r="V153" s="98">
        <f t="shared" si="17"/>
        <v>128837.18952291337</v>
      </c>
      <c r="W153" s="203">
        <f t="shared" si="17"/>
        <v>128837.18952291337</v>
      </c>
      <c r="X153" s="98">
        <f t="shared" si="17"/>
        <v>128837.18952291337</v>
      </c>
      <c r="Y153" s="203">
        <f t="shared" si="17"/>
        <v>128837.18952291337</v>
      </c>
      <c r="Z153" s="98">
        <f t="shared" si="17"/>
        <v>128837.18952291337</v>
      </c>
      <c r="AA153" s="203">
        <f t="shared" si="17"/>
        <v>128837.18952291337</v>
      </c>
      <c r="AB153" s="98">
        <f t="shared" si="17"/>
        <v>128837.18952291337</v>
      </c>
      <c r="AC153" s="203">
        <f t="shared" si="17"/>
        <v>128837.18952291337</v>
      </c>
      <c r="AD153" s="98">
        <f t="shared" si="17"/>
        <v>128837.18952291337</v>
      </c>
      <c r="AE153" s="203">
        <f t="shared" si="17"/>
        <v>128837.18952291337</v>
      </c>
      <c r="AF153" s="98">
        <f t="shared" si="17"/>
        <v>128837.18952291337</v>
      </c>
      <c r="AG153" s="203">
        <f t="shared" si="17"/>
        <v>128837.18952291337</v>
      </c>
      <c r="AH153" s="217">
        <f t="shared" si="17"/>
        <v>128837.18952291337</v>
      </c>
    </row>
    <row r="154" spans="1:35" x14ac:dyDescent="0.25">
      <c r="A154" s="17" t="s">
        <v>455</v>
      </c>
      <c r="B154" s="18"/>
      <c r="C154" s="18"/>
      <c r="D154" s="158"/>
      <c r="E154" s="352">
        <f t="shared" ref="E154:AH154" si="18">$L$95</f>
        <v>10000</v>
      </c>
      <c r="F154" s="352">
        <f t="shared" si="18"/>
        <v>10000</v>
      </c>
      <c r="G154" s="352">
        <f t="shared" si="18"/>
        <v>10000</v>
      </c>
      <c r="H154" s="352">
        <f t="shared" si="18"/>
        <v>10000</v>
      </c>
      <c r="I154" s="352">
        <f t="shared" si="18"/>
        <v>10000</v>
      </c>
      <c r="J154" s="352">
        <f t="shared" si="18"/>
        <v>10000</v>
      </c>
      <c r="K154" s="352">
        <f t="shared" si="18"/>
        <v>10000</v>
      </c>
      <c r="L154" s="352">
        <f t="shared" si="18"/>
        <v>10000</v>
      </c>
      <c r="M154" s="352">
        <f t="shared" si="18"/>
        <v>10000</v>
      </c>
      <c r="N154" s="352">
        <f t="shared" si="18"/>
        <v>10000</v>
      </c>
      <c r="O154" s="352">
        <f t="shared" si="18"/>
        <v>10000</v>
      </c>
      <c r="P154" s="352">
        <f t="shared" si="18"/>
        <v>10000</v>
      </c>
      <c r="Q154" s="352">
        <f t="shared" si="18"/>
        <v>10000</v>
      </c>
      <c r="R154" s="352">
        <f t="shared" si="18"/>
        <v>10000</v>
      </c>
      <c r="S154" s="352">
        <f t="shared" si="18"/>
        <v>10000</v>
      </c>
      <c r="T154" s="352">
        <f t="shared" si="18"/>
        <v>10000</v>
      </c>
      <c r="U154" s="352">
        <f t="shared" si="18"/>
        <v>10000</v>
      </c>
      <c r="V154" s="352">
        <f t="shared" si="18"/>
        <v>10000</v>
      </c>
      <c r="W154" s="352">
        <f t="shared" si="18"/>
        <v>10000</v>
      </c>
      <c r="X154" s="352">
        <f t="shared" si="18"/>
        <v>10000</v>
      </c>
      <c r="Y154" s="352">
        <f t="shared" si="18"/>
        <v>10000</v>
      </c>
      <c r="Z154" s="352">
        <f t="shared" si="18"/>
        <v>10000</v>
      </c>
      <c r="AA154" s="352">
        <f t="shared" si="18"/>
        <v>10000</v>
      </c>
      <c r="AB154" s="352">
        <f t="shared" si="18"/>
        <v>10000</v>
      </c>
      <c r="AC154" s="352">
        <f t="shared" si="18"/>
        <v>10000</v>
      </c>
      <c r="AD154" s="352">
        <f t="shared" si="18"/>
        <v>10000</v>
      </c>
      <c r="AE154" s="352">
        <f t="shared" si="18"/>
        <v>10000</v>
      </c>
      <c r="AF154" s="352">
        <f t="shared" si="18"/>
        <v>10000</v>
      </c>
      <c r="AG154" s="352">
        <f t="shared" si="18"/>
        <v>10000</v>
      </c>
      <c r="AH154" s="459">
        <f t="shared" si="18"/>
        <v>10000</v>
      </c>
    </row>
    <row r="155" spans="1:35" x14ac:dyDescent="0.25">
      <c r="A155" s="17" t="s">
        <v>456</v>
      </c>
      <c r="B155" s="18"/>
      <c r="C155" s="18"/>
      <c r="D155" s="158"/>
      <c r="E155" s="352">
        <f t="shared" ref="E155:AH155" si="19">$L$96</f>
        <v>0</v>
      </c>
      <c r="F155" s="352">
        <f t="shared" si="19"/>
        <v>0</v>
      </c>
      <c r="G155" s="352">
        <f t="shared" si="19"/>
        <v>0</v>
      </c>
      <c r="H155" s="352">
        <f t="shared" si="19"/>
        <v>0</v>
      </c>
      <c r="I155" s="352">
        <f t="shared" si="19"/>
        <v>0</v>
      </c>
      <c r="J155" s="352">
        <f t="shared" si="19"/>
        <v>0</v>
      </c>
      <c r="K155" s="352">
        <f t="shared" si="19"/>
        <v>0</v>
      </c>
      <c r="L155" s="352">
        <f t="shared" si="19"/>
        <v>0</v>
      </c>
      <c r="M155" s="352">
        <f t="shared" si="19"/>
        <v>0</v>
      </c>
      <c r="N155" s="352">
        <f t="shared" si="19"/>
        <v>0</v>
      </c>
      <c r="O155" s="352">
        <f t="shared" si="19"/>
        <v>0</v>
      </c>
      <c r="P155" s="352">
        <f t="shared" si="19"/>
        <v>0</v>
      </c>
      <c r="Q155" s="352">
        <f t="shared" si="19"/>
        <v>0</v>
      </c>
      <c r="R155" s="352">
        <f t="shared" si="19"/>
        <v>0</v>
      </c>
      <c r="S155" s="352">
        <f t="shared" si="19"/>
        <v>0</v>
      </c>
      <c r="T155" s="352">
        <f t="shared" si="19"/>
        <v>0</v>
      </c>
      <c r="U155" s="352">
        <f t="shared" si="19"/>
        <v>0</v>
      </c>
      <c r="V155" s="352">
        <f t="shared" si="19"/>
        <v>0</v>
      </c>
      <c r="W155" s="352">
        <f t="shared" si="19"/>
        <v>0</v>
      </c>
      <c r="X155" s="352">
        <f t="shared" si="19"/>
        <v>0</v>
      </c>
      <c r="Y155" s="352">
        <f t="shared" si="19"/>
        <v>0</v>
      </c>
      <c r="Z155" s="352">
        <f t="shared" si="19"/>
        <v>0</v>
      </c>
      <c r="AA155" s="352">
        <f t="shared" si="19"/>
        <v>0</v>
      </c>
      <c r="AB155" s="352">
        <f t="shared" si="19"/>
        <v>0</v>
      </c>
      <c r="AC155" s="352">
        <f t="shared" si="19"/>
        <v>0</v>
      </c>
      <c r="AD155" s="352">
        <f t="shared" si="19"/>
        <v>0</v>
      </c>
      <c r="AE155" s="352">
        <f t="shared" si="19"/>
        <v>0</v>
      </c>
      <c r="AF155" s="352">
        <f t="shared" si="19"/>
        <v>0</v>
      </c>
      <c r="AG155" s="352">
        <f t="shared" si="19"/>
        <v>0</v>
      </c>
      <c r="AH155" s="459">
        <f t="shared" si="19"/>
        <v>0</v>
      </c>
    </row>
    <row r="156" spans="1:35" x14ac:dyDescent="0.25">
      <c r="A156" s="17" t="s">
        <v>121</v>
      </c>
      <c r="B156" s="24"/>
      <c r="C156" s="24"/>
      <c r="D156" s="161"/>
      <c r="E156" s="149"/>
      <c r="F156" s="149"/>
      <c r="G156" s="149"/>
      <c r="H156" s="149"/>
      <c r="I156" s="149"/>
      <c r="J156" s="149"/>
      <c r="K156" s="149"/>
      <c r="L156" s="149"/>
      <c r="M156" s="149"/>
      <c r="N156" s="200">
        <f>N144*$L$97</f>
        <v>-39759.942346258067</v>
      </c>
      <c r="O156" s="149"/>
      <c r="P156" s="200"/>
      <c r="Q156" s="149"/>
      <c r="R156" s="200"/>
      <c r="S156" s="200">
        <f>S144*$L$97</f>
        <v>0</v>
      </c>
      <c r="T156" s="200"/>
      <c r="U156" s="149"/>
      <c r="V156" s="200"/>
      <c r="W156" s="149"/>
      <c r="X156" s="200">
        <f>X144*$L$97</f>
        <v>0</v>
      </c>
      <c r="Y156" s="149"/>
      <c r="Z156" s="200"/>
      <c r="AA156" s="149"/>
      <c r="AB156" s="200"/>
      <c r="AC156" s="200">
        <f>AC144*$L$97</f>
        <v>0</v>
      </c>
      <c r="AD156" s="200"/>
      <c r="AE156" s="149"/>
      <c r="AF156" s="200"/>
      <c r="AG156" s="149"/>
      <c r="AH156" s="134">
        <f>AH144*$L$97</f>
        <v>1.2787495506927371E-10</v>
      </c>
    </row>
    <row r="157" spans="1:35" x14ac:dyDescent="0.25">
      <c r="A157" s="17" t="s">
        <v>122</v>
      </c>
      <c r="B157" s="24"/>
      <c r="C157" s="24"/>
      <c r="D157" s="161"/>
      <c r="E157" s="149"/>
      <c r="F157" s="149"/>
      <c r="G157" s="149"/>
      <c r="H157" s="149"/>
      <c r="I157" s="149"/>
      <c r="J157" s="149"/>
      <c r="K157" s="149"/>
      <c r="L157" s="149"/>
      <c r="M157" s="149"/>
      <c r="N157" s="200">
        <f>IF($C$11=10,V175,0)</f>
        <v>1626841.2898396074</v>
      </c>
      <c r="O157" s="149"/>
      <c r="P157" s="201"/>
      <c r="Q157" s="149"/>
      <c r="R157" s="200"/>
      <c r="S157" s="149">
        <f>IF($C$11=15,V180,0)</f>
        <v>0</v>
      </c>
      <c r="T157" s="200"/>
      <c r="U157" s="149"/>
      <c r="V157" s="200"/>
      <c r="W157" s="149"/>
      <c r="X157" s="200">
        <f>IF($C$11=20,V185,0)</f>
        <v>0</v>
      </c>
      <c r="Y157" s="149"/>
      <c r="Z157" s="200"/>
      <c r="AA157" s="149"/>
      <c r="AB157" s="200"/>
      <c r="AC157" s="149">
        <f>IF($C$11=25,V190,0)</f>
        <v>0</v>
      </c>
      <c r="AD157" s="200"/>
      <c r="AE157" s="149"/>
      <c r="AF157" s="200"/>
      <c r="AG157" s="149"/>
      <c r="AH157" s="134">
        <f>IF($C$11=30,V195,0)</f>
        <v>0</v>
      </c>
    </row>
    <row r="158" spans="1:35" ht="16.5" thickBot="1" x14ac:dyDescent="0.3">
      <c r="A158" s="125" t="s">
        <v>3</v>
      </c>
      <c r="B158" s="30"/>
      <c r="C158" s="30"/>
      <c r="D158" s="451">
        <f>D152</f>
        <v>-2050000</v>
      </c>
      <c r="E158" s="162">
        <f>SUM(E153:E157)</f>
        <v>138837.18952291337</v>
      </c>
      <c r="F158" s="162">
        <f t="shared" ref="F158:AH158" si="20">SUM(F153:F157)</f>
        <v>138837.18952291337</v>
      </c>
      <c r="G158" s="162">
        <f t="shared" si="20"/>
        <v>138837.18952291337</v>
      </c>
      <c r="H158" s="162">
        <f t="shared" si="20"/>
        <v>138837.18952291337</v>
      </c>
      <c r="I158" s="162">
        <f t="shared" si="20"/>
        <v>138837.18952291337</v>
      </c>
      <c r="J158" s="162">
        <f t="shared" si="20"/>
        <v>138837.18952291337</v>
      </c>
      <c r="K158" s="162">
        <f t="shared" si="20"/>
        <v>138837.18952291337</v>
      </c>
      <c r="L158" s="162">
        <f t="shared" si="20"/>
        <v>138837.18952291337</v>
      </c>
      <c r="M158" s="162">
        <f t="shared" si="20"/>
        <v>138837.18952291337</v>
      </c>
      <c r="N158" s="162">
        <f t="shared" si="20"/>
        <v>1725918.5370162628</v>
      </c>
      <c r="O158" s="162">
        <f t="shared" si="20"/>
        <v>138837.18952291337</v>
      </c>
      <c r="P158" s="162">
        <f t="shared" si="20"/>
        <v>138837.18952291337</v>
      </c>
      <c r="Q158" s="162">
        <f t="shared" si="20"/>
        <v>138837.18952291337</v>
      </c>
      <c r="R158" s="162">
        <f t="shared" si="20"/>
        <v>138837.18952291337</v>
      </c>
      <c r="S158" s="162">
        <f t="shared" si="20"/>
        <v>138837.18952291337</v>
      </c>
      <c r="T158" s="162">
        <f t="shared" si="20"/>
        <v>138837.18952291337</v>
      </c>
      <c r="U158" s="162">
        <f t="shared" si="20"/>
        <v>138837.18952291337</v>
      </c>
      <c r="V158" s="162">
        <f t="shared" si="20"/>
        <v>138837.18952291337</v>
      </c>
      <c r="W158" s="162">
        <f t="shared" si="20"/>
        <v>138837.18952291337</v>
      </c>
      <c r="X158" s="162">
        <f t="shared" si="20"/>
        <v>138837.18952291337</v>
      </c>
      <c r="Y158" s="162">
        <f t="shared" si="20"/>
        <v>138837.18952291337</v>
      </c>
      <c r="Z158" s="162">
        <f t="shared" si="20"/>
        <v>138837.18952291337</v>
      </c>
      <c r="AA158" s="162">
        <f t="shared" si="20"/>
        <v>138837.18952291337</v>
      </c>
      <c r="AB158" s="162">
        <f t="shared" si="20"/>
        <v>138837.18952291337</v>
      </c>
      <c r="AC158" s="162">
        <f t="shared" si="20"/>
        <v>138837.18952291337</v>
      </c>
      <c r="AD158" s="162">
        <f t="shared" si="20"/>
        <v>138837.18952291337</v>
      </c>
      <c r="AE158" s="162">
        <f t="shared" si="20"/>
        <v>138837.18952291337</v>
      </c>
      <c r="AF158" s="162">
        <f t="shared" si="20"/>
        <v>138837.18952291337</v>
      </c>
      <c r="AG158" s="162">
        <f t="shared" si="20"/>
        <v>138837.18952291337</v>
      </c>
      <c r="AH158" s="440">
        <f t="shared" si="20"/>
        <v>138837.18952291348</v>
      </c>
    </row>
    <row r="159" spans="1:35" ht="16.5" thickBot="1" x14ac:dyDescent="0.3">
      <c r="A159" s="19" t="s">
        <v>116</v>
      </c>
      <c r="B159" s="20"/>
      <c r="C159" s="346" t="s">
        <v>19</v>
      </c>
      <c r="D159" s="347">
        <f>D9</f>
        <v>0.05</v>
      </c>
      <c r="E159" s="163"/>
      <c r="F159" s="163"/>
      <c r="G159" s="163"/>
      <c r="H159" s="163"/>
      <c r="I159" s="163"/>
      <c r="J159" s="163"/>
      <c r="K159" s="163"/>
      <c r="L159" s="163"/>
      <c r="M159" s="163"/>
      <c r="N159" s="292">
        <f>IFERROR(IF($C$11=10,IRR(D158:N158),0),0)</f>
        <v>4.975136895124721E-2</v>
      </c>
      <c r="O159" s="299"/>
      <c r="P159" s="141"/>
      <c r="Q159" s="291"/>
      <c r="R159" s="141"/>
      <c r="S159" s="293">
        <f>IFERROR(IF($C$11=15,IRR(D158:S158),0),0)</f>
        <v>0</v>
      </c>
      <c r="T159" s="300"/>
      <c r="U159" s="291"/>
      <c r="V159" s="141"/>
      <c r="W159" s="291"/>
      <c r="X159" s="292">
        <f>IFERROR(IF($C$11=20,IRR(D158:X158),0),0)</f>
        <v>0</v>
      </c>
      <c r="Y159" s="299"/>
      <c r="Z159" s="141"/>
      <c r="AA159" s="291"/>
      <c r="AB159" s="141"/>
      <c r="AC159" s="293">
        <f>IFERROR(IF($C$11=25,IRR(D158:AC158),0),0)</f>
        <v>0</v>
      </c>
      <c r="AD159" s="300"/>
      <c r="AE159" s="291"/>
      <c r="AF159" s="141"/>
      <c r="AG159" s="291"/>
      <c r="AH159" s="152">
        <f>IFERROR(IF($C$11=30,IRR(D158:AH158),0),0)</f>
        <v>0</v>
      </c>
      <c r="AI159" s="262"/>
    </row>
    <row r="160" spans="1:35" ht="16.5" thickBot="1" x14ac:dyDescent="0.3">
      <c r="A160" s="118" t="s">
        <v>117</v>
      </c>
      <c r="B160" s="31"/>
      <c r="C160" s="346" t="s">
        <v>19</v>
      </c>
      <c r="D160" s="351">
        <f>D9</f>
        <v>0.05</v>
      </c>
      <c r="E160" s="164"/>
      <c r="F160" s="164"/>
      <c r="G160" s="164"/>
      <c r="H160" s="460"/>
      <c r="I160" s="460"/>
      <c r="J160" s="460"/>
      <c r="K160" s="460"/>
      <c r="L160" s="460"/>
      <c r="M160" s="460"/>
      <c r="N160" s="445">
        <f>IF(C11=10,(NPV(L98,E158:N158))+D158,0)</f>
        <v>-3605.7505175743718</v>
      </c>
      <c r="O160" s="446"/>
      <c r="P160" s="447"/>
      <c r="Q160" s="446"/>
      <c r="R160" s="447"/>
      <c r="S160" s="448">
        <f>IF($C$11=15,(NPV(L98,E158:S158))+D158,0)</f>
        <v>0</v>
      </c>
      <c r="T160" s="447"/>
      <c r="U160" s="446"/>
      <c r="V160" s="447"/>
      <c r="W160" s="446"/>
      <c r="X160" s="449">
        <f>IF($C$11=20,(NPV(L98,E158:X158))+D158,0)</f>
        <v>0</v>
      </c>
      <c r="Y160" s="446"/>
      <c r="Z160" s="447"/>
      <c r="AA160" s="446"/>
      <c r="AB160" s="447"/>
      <c r="AC160" s="448">
        <f>IF($C$11=25,(NPV(L98,E158:AC158))+D158,0)</f>
        <v>0</v>
      </c>
      <c r="AD160" s="447"/>
      <c r="AE160" s="446"/>
      <c r="AF160" s="447"/>
      <c r="AG160" s="446"/>
      <c r="AH160" s="450">
        <f>IF($C$11=30,(NPV(L98,E158:AH158))+D158,0)</f>
        <v>0</v>
      </c>
      <c r="AI160" s="157"/>
    </row>
    <row r="161" spans="1:30" x14ac:dyDescent="0.25">
      <c r="D161" s="165"/>
    </row>
    <row r="162" spans="1:30" ht="16.5" thickBot="1" x14ac:dyDescent="0.3">
      <c r="A162" s="166" t="s">
        <v>123</v>
      </c>
      <c r="D162" s="165"/>
    </row>
    <row r="163" spans="1:30" ht="16.5" thickBot="1" x14ac:dyDescent="0.3">
      <c r="A163" s="50" t="s">
        <v>540</v>
      </c>
      <c r="B163" s="44"/>
      <c r="C163" s="44"/>
      <c r="D163" s="44"/>
      <c r="E163" s="45"/>
      <c r="F163" s="50" t="s">
        <v>541</v>
      </c>
      <c r="G163" s="44"/>
      <c r="H163" s="44"/>
      <c r="I163" s="44"/>
      <c r="J163" s="45"/>
      <c r="K163" s="50" t="s">
        <v>124</v>
      </c>
      <c r="L163" s="44"/>
      <c r="M163" s="44"/>
      <c r="N163" s="44"/>
      <c r="O163" s="45"/>
      <c r="P163" s="50" t="s">
        <v>235</v>
      </c>
      <c r="Q163" s="44"/>
      <c r="R163" s="44"/>
      <c r="S163" s="44"/>
      <c r="T163" s="45"/>
      <c r="U163" s="50" t="s">
        <v>236</v>
      </c>
      <c r="V163" s="44"/>
      <c r="W163" s="44"/>
      <c r="X163" s="44"/>
      <c r="Y163" s="45"/>
      <c r="Z163" s="50" t="s">
        <v>237</v>
      </c>
      <c r="AA163" s="44"/>
      <c r="AB163" s="44"/>
      <c r="AC163" s="44"/>
      <c r="AD163" s="45"/>
    </row>
    <row r="164" spans="1:30" x14ac:dyDescent="0.25">
      <c r="A164" s="167"/>
      <c r="B164" s="168"/>
      <c r="C164" s="168"/>
      <c r="D164" s="168"/>
      <c r="E164" s="169"/>
      <c r="F164" s="167"/>
      <c r="G164" s="168"/>
      <c r="H164" s="168"/>
      <c r="I164" s="168"/>
      <c r="J164" s="169"/>
      <c r="K164" s="167"/>
      <c r="L164" s="168"/>
      <c r="M164" s="168"/>
      <c r="N164" s="168"/>
      <c r="O164" s="170"/>
      <c r="P164" s="218"/>
      <c r="Q164" s="171"/>
      <c r="R164" s="171"/>
      <c r="S164" s="171"/>
      <c r="T164" s="172"/>
      <c r="U164" s="218"/>
      <c r="V164" s="171"/>
      <c r="W164" s="171"/>
      <c r="X164" s="171"/>
      <c r="Y164" s="172"/>
      <c r="Z164" s="218"/>
      <c r="AA164" s="171"/>
      <c r="AB164" s="171"/>
      <c r="AC164" s="171"/>
      <c r="AD164" s="172"/>
    </row>
    <row r="165" spans="1:30" ht="16.5" thickBot="1" x14ac:dyDescent="0.3">
      <c r="A165" s="173" t="s">
        <v>125</v>
      </c>
      <c r="B165" s="174" t="s">
        <v>126</v>
      </c>
      <c r="C165" s="175" t="s">
        <v>127</v>
      </c>
      <c r="D165" s="174" t="s">
        <v>128</v>
      </c>
      <c r="E165" s="176" t="s">
        <v>129</v>
      </c>
      <c r="F165" s="173" t="s">
        <v>125</v>
      </c>
      <c r="G165" s="174" t="s">
        <v>126</v>
      </c>
      <c r="H165" s="175" t="s">
        <v>127</v>
      </c>
      <c r="I165" s="174" t="s">
        <v>128</v>
      </c>
      <c r="J165" s="176" t="s">
        <v>129</v>
      </c>
      <c r="K165" s="173" t="s">
        <v>125</v>
      </c>
      <c r="L165" s="174" t="s">
        <v>126</v>
      </c>
      <c r="M165" s="175" t="s">
        <v>127</v>
      </c>
      <c r="N165" s="174" t="s">
        <v>128</v>
      </c>
      <c r="O165" s="176" t="s">
        <v>129</v>
      </c>
      <c r="P165" s="173" t="s">
        <v>130</v>
      </c>
      <c r="Q165" s="177" t="s">
        <v>126</v>
      </c>
      <c r="R165" s="178" t="s">
        <v>127</v>
      </c>
      <c r="S165" s="177" t="s">
        <v>128</v>
      </c>
      <c r="T165" s="179" t="s">
        <v>129</v>
      </c>
      <c r="U165" s="173" t="s">
        <v>130</v>
      </c>
      <c r="V165" s="177" t="s">
        <v>126</v>
      </c>
      <c r="W165" s="178" t="s">
        <v>127</v>
      </c>
      <c r="X165" s="177" t="s">
        <v>128</v>
      </c>
      <c r="Y165" s="179" t="s">
        <v>129</v>
      </c>
      <c r="Z165" s="173" t="s">
        <v>130</v>
      </c>
      <c r="AA165" s="177" t="s">
        <v>126</v>
      </c>
      <c r="AB165" s="178" t="s">
        <v>127</v>
      </c>
      <c r="AC165" s="177" t="s">
        <v>128</v>
      </c>
      <c r="AD165" s="179" t="s">
        <v>129</v>
      </c>
    </row>
    <row r="166" spans="1:30" x14ac:dyDescent="0.25">
      <c r="A166" s="72">
        <v>0</v>
      </c>
      <c r="B166" s="180">
        <f>E90</f>
        <v>1290000</v>
      </c>
      <c r="C166" s="39"/>
      <c r="D166" s="159"/>
      <c r="E166" s="26"/>
      <c r="F166" s="72">
        <v>0</v>
      </c>
      <c r="G166" s="180">
        <f>E95</f>
        <v>2000000</v>
      </c>
      <c r="H166" s="39"/>
      <c r="I166" s="159"/>
      <c r="J166" s="26"/>
      <c r="K166" s="72">
        <v>0</v>
      </c>
      <c r="L166" s="180">
        <f>B166+G166</f>
        <v>3290000</v>
      </c>
      <c r="M166" s="39"/>
      <c r="N166" s="159"/>
      <c r="O166" s="26"/>
      <c r="P166" s="72">
        <v>1</v>
      </c>
      <c r="Q166" s="149">
        <f>B178</f>
        <v>1267282.6300110486</v>
      </c>
      <c r="R166" s="200">
        <f>SUM(C167:C178)</f>
        <v>73903.887738053148</v>
      </c>
      <c r="S166" s="259">
        <f>SUM(D167:D178)</f>
        <v>51186.517749101593</v>
      </c>
      <c r="T166" s="134">
        <f>SUM(E167:E178)</f>
        <v>22717.369988951534</v>
      </c>
      <c r="U166" s="72">
        <v>1</v>
      </c>
      <c r="V166" s="180">
        <f>G178</f>
        <v>1970492.6930886505</v>
      </c>
      <c r="W166" s="181">
        <f>SUM(H167:H178)</f>
        <v>128837.18952291337</v>
      </c>
      <c r="X166" s="182">
        <f>SUM(I167:I178)</f>
        <v>99329.882611563764</v>
      </c>
      <c r="Y166" s="132">
        <f>SUM(J167:J178)</f>
        <v>29507.306911349595</v>
      </c>
      <c r="Z166" s="72">
        <v>1</v>
      </c>
      <c r="AA166" s="180">
        <f>Q166+V166</f>
        <v>3237775.3230996989</v>
      </c>
      <c r="AB166" s="180">
        <f t="shared" ref="AB166:AD181" si="21">R166+W166</f>
        <v>202741.07726096653</v>
      </c>
      <c r="AC166" s="180">
        <f t="shared" si="21"/>
        <v>150516.40036066534</v>
      </c>
      <c r="AD166" s="212">
        <f t="shared" si="21"/>
        <v>52224.676900301129</v>
      </c>
    </row>
    <row r="167" spans="1:30" x14ac:dyDescent="0.25">
      <c r="A167" s="72">
        <v>1</v>
      </c>
      <c r="B167" s="183">
        <f t="shared" ref="B167:B230" si="22">B166-E167</f>
        <v>1288141.3426884955</v>
      </c>
      <c r="C167" s="184">
        <f>-Industrial!$E$93/12</f>
        <v>6158.6573115044275</v>
      </c>
      <c r="D167" s="183">
        <f>Industrial!$E$91/12*B166</f>
        <v>4300</v>
      </c>
      <c r="E167" s="185">
        <f t="shared" ref="E167:E230" si="23">C167-D167</f>
        <v>1858.6573115044275</v>
      </c>
      <c r="F167" s="72">
        <v>1</v>
      </c>
      <c r="G167" s="180">
        <f t="shared" ref="G167:G230" si="24">G166-J167</f>
        <v>1997596.9008730906</v>
      </c>
      <c r="H167" s="186">
        <f>-Industrial!$E$98/12</f>
        <v>10736.432460242781</v>
      </c>
      <c r="I167" s="149">
        <f>Industrial!$E$96/12*G166</f>
        <v>8333.3333333333339</v>
      </c>
      <c r="J167" s="187">
        <f t="shared" ref="J167:J230" si="25">H167-I167</f>
        <v>2403.0991269094466</v>
      </c>
      <c r="K167" s="72">
        <v>1</v>
      </c>
      <c r="L167" s="180">
        <f t="shared" ref="L167:O230" si="26">G167+B167</f>
        <v>3285738.2435615864</v>
      </c>
      <c r="M167" s="181">
        <f t="shared" si="26"/>
        <v>16895.089771747207</v>
      </c>
      <c r="N167" s="180">
        <f t="shared" si="26"/>
        <v>12633.333333333334</v>
      </c>
      <c r="O167" s="132">
        <f t="shared" si="26"/>
        <v>4261.7564384138741</v>
      </c>
      <c r="P167" s="72">
        <v>2</v>
      </c>
      <c r="Q167" s="149">
        <f>B190</f>
        <v>1243639.7193176674</v>
      </c>
      <c r="R167" s="200">
        <f>SUM(C179:C190)</f>
        <v>73903.887738053148</v>
      </c>
      <c r="S167" s="149">
        <f>SUM(D179:D190)</f>
        <v>50260.977044671992</v>
      </c>
      <c r="T167" s="134">
        <f>SUM(E179:E190)</f>
        <v>23642.910693381142</v>
      </c>
      <c r="U167" s="72">
        <v>2</v>
      </c>
      <c r="V167" s="180">
        <f>G190</f>
        <v>1939475.7363543373</v>
      </c>
      <c r="W167" s="181">
        <f>SUM(H179:H190)</f>
        <v>128837.18952291337</v>
      </c>
      <c r="X167" s="180">
        <f>SUM(I179:I190)</f>
        <v>97820.232788600333</v>
      </c>
      <c r="Y167" s="132">
        <f>SUM(J179:J190)</f>
        <v>31016.956734313026</v>
      </c>
      <c r="Z167" s="72">
        <v>2</v>
      </c>
      <c r="AA167" s="180">
        <f t="shared" ref="AA167:AD182" si="27">Q167+V167</f>
        <v>3183115.4556720047</v>
      </c>
      <c r="AB167" s="180">
        <f t="shared" si="21"/>
        <v>202741.07726096653</v>
      </c>
      <c r="AC167" s="180">
        <f t="shared" si="21"/>
        <v>148081.20983327233</v>
      </c>
      <c r="AD167" s="212">
        <f t="shared" si="21"/>
        <v>54659.867427694167</v>
      </c>
    </row>
    <row r="168" spans="1:30" x14ac:dyDescent="0.25">
      <c r="A168" s="72">
        <f t="shared" ref="A168:A231" si="28">A167+1</f>
        <v>2</v>
      </c>
      <c r="B168" s="183">
        <f t="shared" si="22"/>
        <v>1286276.4898526194</v>
      </c>
      <c r="C168" s="184">
        <f>-Industrial!$E$93/12</f>
        <v>6158.6573115044275</v>
      </c>
      <c r="D168" s="183">
        <f>Industrial!$E$91/12*B167</f>
        <v>4293.8044756283189</v>
      </c>
      <c r="E168" s="185">
        <f t="shared" si="23"/>
        <v>1864.8528358761087</v>
      </c>
      <c r="F168" s="72">
        <f t="shared" ref="F168:F231" si="29">F167+1</f>
        <v>2</v>
      </c>
      <c r="G168" s="180">
        <f t="shared" si="24"/>
        <v>1995183.7888331523</v>
      </c>
      <c r="H168" s="186">
        <f>-Industrial!$E$98/12</f>
        <v>10736.432460242781</v>
      </c>
      <c r="I168" s="149">
        <f>Industrial!$E$96/12*G167</f>
        <v>8323.3204203045443</v>
      </c>
      <c r="J168" s="187">
        <f t="shared" si="25"/>
        <v>2413.1120399382362</v>
      </c>
      <c r="K168" s="72">
        <f t="shared" ref="K168:K231" si="30">K167+1</f>
        <v>2</v>
      </c>
      <c r="L168" s="180">
        <f t="shared" si="26"/>
        <v>3281460.2786857719</v>
      </c>
      <c r="M168" s="181">
        <f t="shared" si="26"/>
        <v>16895.089771747207</v>
      </c>
      <c r="N168" s="180">
        <f t="shared" si="26"/>
        <v>12617.124895932862</v>
      </c>
      <c r="O168" s="132">
        <f t="shared" si="26"/>
        <v>4277.9648758143449</v>
      </c>
      <c r="P168" s="72">
        <v>3</v>
      </c>
      <c r="Q168" s="149">
        <f>B202</f>
        <v>1219033.5599635229</v>
      </c>
      <c r="R168" s="200">
        <f>SUM(C191:C202)</f>
        <v>73903.887738053148</v>
      </c>
      <c r="S168" s="149">
        <f>SUM(D191:D202)</f>
        <v>49297.728383908849</v>
      </c>
      <c r="T168" s="134">
        <f>SUM(E191:E202)</f>
        <v>24606.159354144285</v>
      </c>
      <c r="U168" s="72">
        <v>3</v>
      </c>
      <c r="V168" s="180">
        <f>G202</f>
        <v>1906871.8932469811</v>
      </c>
      <c r="W168" s="181">
        <f>SUM(H191:H202)</f>
        <v>128837.18952291337</v>
      </c>
      <c r="X168" s="180">
        <f>SUM(I191:I202)</f>
        <v>96233.346415557273</v>
      </c>
      <c r="Y168" s="132">
        <f>SUM(J191:J202)</f>
        <v>32603.843107356101</v>
      </c>
      <c r="Z168" s="72">
        <v>3</v>
      </c>
      <c r="AA168" s="180">
        <f t="shared" si="27"/>
        <v>3125905.4532105038</v>
      </c>
      <c r="AB168" s="180">
        <f t="shared" si="21"/>
        <v>202741.07726096653</v>
      </c>
      <c r="AC168" s="180">
        <f t="shared" si="21"/>
        <v>145531.07479946612</v>
      </c>
      <c r="AD168" s="212">
        <f t="shared" si="21"/>
        <v>57210.002461500386</v>
      </c>
    </row>
    <row r="169" spans="1:30" x14ac:dyDescent="0.25">
      <c r="A169" s="72">
        <f t="shared" si="28"/>
        <v>3</v>
      </c>
      <c r="B169" s="183">
        <f t="shared" si="22"/>
        <v>1284405.4208406236</v>
      </c>
      <c r="C169" s="184">
        <f>-Industrial!$E$93/12</f>
        <v>6158.6573115044275</v>
      </c>
      <c r="D169" s="183">
        <f>Industrial!$E$91/12*B168</f>
        <v>4287.5882995087313</v>
      </c>
      <c r="E169" s="185">
        <f t="shared" si="23"/>
        <v>1871.0690119956962</v>
      </c>
      <c r="F169" s="72">
        <f t="shared" si="29"/>
        <v>3</v>
      </c>
      <c r="G169" s="180">
        <f t="shared" si="24"/>
        <v>1992760.6221597143</v>
      </c>
      <c r="H169" s="186">
        <f>-Industrial!$E$98/12</f>
        <v>10736.432460242781</v>
      </c>
      <c r="I169" s="149">
        <f>Industrial!$E$96/12*G168</f>
        <v>8313.2657868048009</v>
      </c>
      <c r="J169" s="187">
        <f t="shared" si="25"/>
        <v>2423.1666734379796</v>
      </c>
      <c r="K169" s="72">
        <f t="shared" si="30"/>
        <v>3</v>
      </c>
      <c r="L169" s="180">
        <f t="shared" si="26"/>
        <v>3277166.0430003377</v>
      </c>
      <c r="M169" s="181">
        <f t="shared" si="26"/>
        <v>16895.089771747207</v>
      </c>
      <c r="N169" s="180">
        <f t="shared" si="26"/>
        <v>12600.854086313531</v>
      </c>
      <c r="O169" s="132">
        <f t="shared" si="26"/>
        <v>4294.2356854336758</v>
      </c>
      <c r="P169" s="72">
        <v>4</v>
      </c>
      <c r="Q169" s="149">
        <f>B214</f>
        <v>1193424.9077119606</v>
      </c>
      <c r="R169" s="200">
        <f>SUM(C203:C214)</f>
        <v>73903.887738053148</v>
      </c>
      <c r="S169" s="149">
        <f>SUM(D203:D214)</f>
        <v>48295.235486490797</v>
      </c>
      <c r="T169" s="134">
        <f>SUM(E203:E214)</f>
        <v>25608.652251562336</v>
      </c>
      <c r="U169" s="72">
        <v>4</v>
      </c>
      <c r="V169" s="180">
        <f>G214</f>
        <v>1872599.9756480146</v>
      </c>
      <c r="W169" s="181">
        <f>SUM(H203:H214)</f>
        <v>128837.18952291337</v>
      </c>
      <c r="X169" s="180">
        <f>SUM(I203:I214)</f>
        <v>94565.271923946668</v>
      </c>
      <c r="Y169" s="132">
        <f>SUM(J203:J214)</f>
        <v>34271.917598966698</v>
      </c>
      <c r="Z169" s="72">
        <v>4</v>
      </c>
      <c r="AA169" s="180">
        <f t="shared" si="27"/>
        <v>3066024.8833599752</v>
      </c>
      <c r="AB169" s="180">
        <f t="shared" si="21"/>
        <v>202741.07726096653</v>
      </c>
      <c r="AC169" s="180">
        <f t="shared" si="21"/>
        <v>142860.50741043745</v>
      </c>
      <c r="AD169" s="212">
        <f t="shared" si="21"/>
        <v>59880.569850529035</v>
      </c>
    </row>
    <row r="170" spans="1:30" x14ac:dyDescent="0.25">
      <c r="A170" s="72">
        <f t="shared" si="28"/>
        <v>4</v>
      </c>
      <c r="B170" s="183">
        <f t="shared" si="22"/>
        <v>1282528.1149319212</v>
      </c>
      <c r="C170" s="184">
        <f>-Industrial!$E$93/12</f>
        <v>6158.6573115044275</v>
      </c>
      <c r="D170" s="183">
        <f>Industrial!$E$91/12*B169</f>
        <v>4281.3514028020791</v>
      </c>
      <c r="E170" s="185">
        <f t="shared" si="23"/>
        <v>1877.3059087023485</v>
      </c>
      <c r="F170" s="72">
        <f t="shared" si="29"/>
        <v>4</v>
      </c>
      <c r="G170" s="180">
        <f t="shared" si="24"/>
        <v>1990327.3589584704</v>
      </c>
      <c r="H170" s="186">
        <f>-Industrial!$E$98/12</f>
        <v>10736.432460242781</v>
      </c>
      <c r="I170" s="149">
        <f>Industrial!$E$96/12*G169</f>
        <v>8303.1692589988088</v>
      </c>
      <c r="J170" s="187">
        <f t="shared" si="25"/>
        <v>2433.2632012439717</v>
      </c>
      <c r="K170" s="72">
        <f t="shared" si="30"/>
        <v>4</v>
      </c>
      <c r="L170" s="180">
        <f t="shared" si="26"/>
        <v>3272855.4738903916</v>
      </c>
      <c r="M170" s="181">
        <f t="shared" si="26"/>
        <v>16895.089771747207</v>
      </c>
      <c r="N170" s="180">
        <f t="shared" si="26"/>
        <v>12584.520661800889</v>
      </c>
      <c r="O170" s="132">
        <f t="shared" si="26"/>
        <v>4310.5691099463202</v>
      </c>
      <c r="P170" s="72">
        <v>5</v>
      </c>
      <c r="Q170" s="149">
        <f>B226</f>
        <v>1166772.919455573</v>
      </c>
      <c r="R170" s="200">
        <f>SUM(C215:C226)</f>
        <v>73903.887738053148</v>
      </c>
      <c r="S170" s="149">
        <f>SUM(D215:D226)</f>
        <v>47251.899481665794</v>
      </c>
      <c r="T170" s="134">
        <f>SUM(E215:E226)</f>
        <v>26651.988256387347</v>
      </c>
      <c r="U170" s="72">
        <v>5</v>
      </c>
      <c r="V170" s="180">
        <f>G226</f>
        <v>1836574.6417006385</v>
      </c>
      <c r="W170" s="181">
        <f>SUM(H215:H226)</f>
        <v>128837.18952291337</v>
      </c>
      <c r="X170" s="180">
        <f>SUM(I215:I226)</f>
        <v>92811.855575537164</v>
      </c>
      <c r="Y170" s="132">
        <f>SUM(J215:J226)</f>
        <v>36025.333947376195</v>
      </c>
      <c r="Z170" s="72">
        <v>5</v>
      </c>
      <c r="AA170" s="180">
        <f t="shared" si="27"/>
        <v>3003347.5611562114</v>
      </c>
      <c r="AB170" s="180">
        <f t="shared" si="21"/>
        <v>202741.07726096653</v>
      </c>
      <c r="AC170" s="180">
        <f t="shared" si="21"/>
        <v>140063.75505720294</v>
      </c>
      <c r="AD170" s="212">
        <f t="shared" si="21"/>
        <v>62677.322203763542</v>
      </c>
    </row>
    <row r="171" spans="1:30" x14ac:dyDescent="0.25">
      <c r="A171" s="72">
        <f t="shared" si="28"/>
        <v>5</v>
      </c>
      <c r="B171" s="183">
        <f t="shared" si="22"/>
        <v>1280644.5513368566</v>
      </c>
      <c r="C171" s="184">
        <f>-Industrial!$E$93/12</f>
        <v>6158.6573115044275</v>
      </c>
      <c r="D171" s="183">
        <f>Industrial!$E$91/12*B170</f>
        <v>4275.0937164397374</v>
      </c>
      <c r="E171" s="185">
        <f t="shared" si="23"/>
        <v>1883.5635950646902</v>
      </c>
      <c r="F171" s="72">
        <f t="shared" si="29"/>
        <v>5</v>
      </c>
      <c r="G171" s="180">
        <f t="shared" si="24"/>
        <v>1987883.9571605546</v>
      </c>
      <c r="H171" s="186">
        <f>-Industrial!$E$98/12</f>
        <v>10736.432460242781</v>
      </c>
      <c r="I171" s="149">
        <f>Industrial!$E$96/12*G170</f>
        <v>8293.0306623269607</v>
      </c>
      <c r="J171" s="187">
        <f t="shared" si="25"/>
        <v>2443.4017979158198</v>
      </c>
      <c r="K171" s="72">
        <f t="shared" si="30"/>
        <v>5</v>
      </c>
      <c r="L171" s="180">
        <f t="shared" si="26"/>
        <v>3268528.5084974114</v>
      </c>
      <c r="M171" s="181">
        <f t="shared" si="26"/>
        <v>16895.089771747207</v>
      </c>
      <c r="N171" s="180">
        <f t="shared" si="26"/>
        <v>12568.124378766697</v>
      </c>
      <c r="O171" s="132">
        <f t="shared" si="26"/>
        <v>4326.9653929805099</v>
      </c>
      <c r="P171" s="72">
        <v>6</v>
      </c>
      <c r="Q171" s="149">
        <f>B238</f>
        <v>1139035.08807574</v>
      </c>
      <c r="R171" s="200">
        <f>SUM(C227:C238)</f>
        <v>73903.887738053148</v>
      </c>
      <c r="S171" s="149">
        <f>SUM(D227:D238)</f>
        <v>46166.056358220434</v>
      </c>
      <c r="T171" s="134">
        <f>SUM(E227:E238)</f>
        <v>27737.831379832685</v>
      </c>
      <c r="U171" s="72">
        <v>6</v>
      </c>
      <c r="V171" s="180">
        <f>G238</f>
        <v>1798706.1832966914</v>
      </c>
      <c r="W171" s="181">
        <f>SUM(H227:H238)</f>
        <v>128837.18952291337</v>
      </c>
      <c r="X171" s="180">
        <f>SUM(I227:I238)</f>
        <v>90968.731118966185</v>
      </c>
      <c r="Y171" s="132">
        <f>SUM(J227:J238)</f>
        <v>37868.458403947188</v>
      </c>
      <c r="Z171" s="72">
        <v>6</v>
      </c>
      <c r="AA171" s="180">
        <f t="shared" si="27"/>
        <v>2937741.2713724314</v>
      </c>
      <c r="AB171" s="180">
        <f t="shared" si="21"/>
        <v>202741.07726096653</v>
      </c>
      <c r="AC171" s="180">
        <f t="shared" si="21"/>
        <v>137134.78747718662</v>
      </c>
      <c r="AD171" s="212">
        <f t="shared" si="21"/>
        <v>65606.289783779881</v>
      </c>
    </row>
    <row r="172" spans="1:30" x14ac:dyDescent="0.25">
      <c r="A172" s="72">
        <f t="shared" si="28"/>
        <v>6</v>
      </c>
      <c r="B172" s="183">
        <f t="shared" si="22"/>
        <v>1278754.7091964751</v>
      </c>
      <c r="C172" s="184">
        <f>-Industrial!$E$93/12</f>
        <v>6158.6573115044275</v>
      </c>
      <c r="D172" s="183">
        <f>Industrial!$E$91/12*B171</f>
        <v>4268.8151711228556</v>
      </c>
      <c r="E172" s="185">
        <f t="shared" si="23"/>
        <v>1889.8421403815719</v>
      </c>
      <c r="F172" s="72">
        <f t="shared" si="29"/>
        <v>6</v>
      </c>
      <c r="G172" s="180">
        <f t="shared" si="24"/>
        <v>1985430.3745218141</v>
      </c>
      <c r="H172" s="186">
        <f>-Industrial!$E$98/12</f>
        <v>10736.432460242781</v>
      </c>
      <c r="I172" s="149">
        <f>Industrial!$E$96/12*G171</f>
        <v>8282.8498215023101</v>
      </c>
      <c r="J172" s="187">
        <f t="shared" si="25"/>
        <v>2453.5826387404704</v>
      </c>
      <c r="K172" s="72">
        <f t="shared" si="30"/>
        <v>6</v>
      </c>
      <c r="L172" s="180">
        <f t="shared" si="26"/>
        <v>3264185.0837182892</v>
      </c>
      <c r="M172" s="181">
        <f t="shared" si="26"/>
        <v>16895.089771747207</v>
      </c>
      <c r="N172" s="180">
        <f t="shared" si="26"/>
        <v>12551.664992625167</v>
      </c>
      <c r="O172" s="132">
        <f t="shared" si="26"/>
        <v>4343.4247791220423</v>
      </c>
      <c r="P172" s="72">
        <v>7</v>
      </c>
      <c r="Q172" s="149">
        <f>B250</f>
        <v>1110167.1746482439</v>
      </c>
      <c r="R172" s="200">
        <f>SUM(C239:C250)</f>
        <v>73903.887738053148</v>
      </c>
      <c r="S172" s="149">
        <f>SUM(D239:D250)</f>
        <v>45035.974310557089</v>
      </c>
      <c r="T172" s="134">
        <f>SUM(E239:E250)</f>
        <v>28867.913427496034</v>
      </c>
      <c r="U172" s="72">
        <v>7</v>
      </c>
      <c r="V172" s="180">
        <f>G250</f>
        <v>1758900.3026909425</v>
      </c>
      <c r="W172" s="181">
        <f>SUM(H239:H250)</f>
        <v>128837.18952291337</v>
      </c>
      <c r="X172" s="180">
        <f>SUM(I239:I250)</f>
        <v>89031.308917164759</v>
      </c>
      <c r="Y172" s="132">
        <f>SUM(J239:J250)</f>
        <v>39805.8806057486</v>
      </c>
      <c r="Z172" s="72">
        <v>7</v>
      </c>
      <c r="AA172" s="180">
        <f t="shared" si="27"/>
        <v>2869067.4773391867</v>
      </c>
      <c r="AB172" s="180">
        <f t="shared" si="21"/>
        <v>202741.07726096653</v>
      </c>
      <c r="AC172" s="180">
        <f t="shared" si="21"/>
        <v>134067.28322772184</v>
      </c>
      <c r="AD172" s="212">
        <f t="shared" si="21"/>
        <v>68673.794033244631</v>
      </c>
    </row>
    <row r="173" spans="1:30" x14ac:dyDescent="0.25">
      <c r="A173" s="72">
        <f t="shared" si="28"/>
        <v>7</v>
      </c>
      <c r="B173" s="183">
        <f t="shared" si="22"/>
        <v>1276858.5675822922</v>
      </c>
      <c r="C173" s="184">
        <f>-Industrial!$E$93/12</f>
        <v>6158.6573115044275</v>
      </c>
      <c r="D173" s="183">
        <f>Industrial!$E$91/12*B172</f>
        <v>4262.5156973215835</v>
      </c>
      <c r="E173" s="185">
        <f t="shared" si="23"/>
        <v>1896.141614182844</v>
      </c>
      <c r="F173" s="72">
        <f t="shared" si="29"/>
        <v>7</v>
      </c>
      <c r="G173" s="180">
        <f t="shared" si="24"/>
        <v>1982966.5686220787</v>
      </c>
      <c r="H173" s="186">
        <f>-Industrial!$E$98/12</f>
        <v>10736.432460242781</v>
      </c>
      <c r="I173" s="149">
        <f>Industrial!$E$96/12*G172</f>
        <v>8272.6265605075587</v>
      </c>
      <c r="J173" s="187">
        <f t="shared" si="25"/>
        <v>2463.8058997352218</v>
      </c>
      <c r="K173" s="72">
        <f t="shared" si="30"/>
        <v>7</v>
      </c>
      <c r="L173" s="180">
        <f t="shared" si="26"/>
        <v>3259825.1362043712</v>
      </c>
      <c r="M173" s="181">
        <f t="shared" si="26"/>
        <v>16895.089771747207</v>
      </c>
      <c r="N173" s="180">
        <f t="shared" si="26"/>
        <v>12535.142257829142</v>
      </c>
      <c r="O173" s="132">
        <f t="shared" si="26"/>
        <v>4359.9475139180659</v>
      </c>
      <c r="P173" s="72">
        <v>8</v>
      </c>
      <c r="Q173" s="149">
        <f>B262</f>
        <v>1080123.1378868364</v>
      </c>
      <c r="R173" s="200">
        <f>SUM(C251:C262)</f>
        <v>73903.887738053148</v>
      </c>
      <c r="S173" s="149">
        <f>SUM(D251:D262)</f>
        <v>43859.850976645983</v>
      </c>
      <c r="T173" s="134">
        <f>SUM(E251:E262)</f>
        <v>30044.036761407144</v>
      </c>
      <c r="U173" s="72">
        <v>8</v>
      </c>
      <c r="V173" s="180">
        <f>G262</f>
        <v>1717057.8776865501</v>
      </c>
      <c r="W173" s="181">
        <f>SUM(H251:H262)</f>
        <v>128837.18952291337</v>
      </c>
      <c r="X173" s="180">
        <f>SUM(I251:I262)</f>
        <v>86994.764518520984</v>
      </c>
      <c r="Y173" s="132">
        <f>SUM(J251:J262)</f>
        <v>41842.425004392375</v>
      </c>
      <c r="Z173" s="72">
        <v>8</v>
      </c>
      <c r="AA173" s="180">
        <f t="shared" si="27"/>
        <v>2797181.0155733866</v>
      </c>
      <c r="AB173" s="180">
        <f t="shared" si="21"/>
        <v>202741.07726096653</v>
      </c>
      <c r="AC173" s="180">
        <f t="shared" si="21"/>
        <v>130854.61549516697</v>
      </c>
      <c r="AD173" s="212">
        <f t="shared" si="21"/>
        <v>71886.461765799526</v>
      </c>
    </row>
    <row r="174" spans="1:30" x14ac:dyDescent="0.25">
      <c r="A174" s="72">
        <f t="shared" si="28"/>
        <v>8</v>
      </c>
      <c r="B174" s="183">
        <f t="shared" si="22"/>
        <v>1274956.1054960622</v>
      </c>
      <c r="C174" s="184">
        <f>-Industrial!$E$93/12</f>
        <v>6158.6573115044275</v>
      </c>
      <c r="D174" s="183">
        <f>Industrial!$E$91/12*B173</f>
        <v>4256.1952252743076</v>
      </c>
      <c r="E174" s="185">
        <f t="shared" si="23"/>
        <v>1902.4620862301199</v>
      </c>
      <c r="F174" s="72">
        <f t="shared" si="29"/>
        <v>8</v>
      </c>
      <c r="G174" s="180">
        <f t="shared" si="24"/>
        <v>1980492.496864428</v>
      </c>
      <c r="H174" s="186">
        <f>-Industrial!$E$98/12</f>
        <v>10736.432460242781</v>
      </c>
      <c r="I174" s="149">
        <f>Industrial!$E$96/12*G173</f>
        <v>8262.3607025919955</v>
      </c>
      <c r="J174" s="187">
        <f t="shared" si="25"/>
        <v>2474.071757650785</v>
      </c>
      <c r="K174" s="72">
        <f t="shared" si="30"/>
        <v>8</v>
      </c>
      <c r="L174" s="180">
        <f t="shared" si="26"/>
        <v>3255448.6023604902</v>
      </c>
      <c r="M174" s="181">
        <f t="shared" si="26"/>
        <v>16895.089771747207</v>
      </c>
      <c r="N174" s="180">
        <f t="shared" si="26"/>
        <v>12518.555927866302</v>
      </c>
      <c r="O174" s="132">
        <f t="shared" si="26"/>
        <v>4376.5338438809049</v>
      </c>
      <c r="P174" s="72">
        <v>9</v>
      </c>
      <c r="Q174" s="149">
        <f>B274</f>
        <v>1048855.0607122304</v>
      </c>
      <c r="R174" s="200">
        <f>SUM(C263:C274)</f>
        <v>73903.887738053148</v>
      </c>
      <c r="S174" s="149">
        <f>SUM(D263:D274)</f>
        <v>42635.810563447361</v>
      </c>
      <c r="T174" s="134">
        <f>SUM(E263:E274)</f>
        <v>31268.077174605769</v>
      </c>
      <c r="U174" s="72">
        <v>9</v>
      </c>
      <c r="V174" s="180">
        <f>G274</f>
        <v>1673074.7148069595</v>
      </c>
      <c r="W174" s="181">
        <f>SUM(H263:H274)</f>
        <v>128837.18952291337</v>
      </c>
      <c r="X174" s="180">
        <f>SUM(I263:I274)</f>
        <v>84854.026643322199</v>
      </c>
      <c r="Y174" s="132">
        <f>SUM(J263:J274)</f>
        <v>43983.16287959116</v>
      </c>
      <c r="Z174" s="72">
        <v>9</v>
      </c>
      <c r="AA174" s="180">
        <f t="shared" si="27"/>
        <v>2721929.7755191899</v>
      </c>
      <c r="AB174" s="180">
        <f t="shared" si="21"/>
        <v>202741.07726096653</v>
      </c>
      <c r="AC174" s="180">
        <f t="shared" si="21"/>
        <v>127489.83720676956</v>
      </c>
      <c r="AD174" s="212">
        <f t="shared" si="21"/>
        <v>75251.240054196925</v>
      </c>
    </row>
    <row r="175" spans="1:30" x14ac:dyDescent="0.25">
      <c r="A175" s="72">
        <f t="shared" si="28"/>
        <v>9</v>
      </c>
      <c r="B175" s="183">
        <f t="shared" si="22"/>
        <v>1273047.3018695447</v>
      </c>
      <c r="C175" s="184">
        <f>-Industrial!$E$93/12</f>
        <v>6158.6573115044275</v>
      </c>
      <c r="D175" s="183">
        <f>Industrial!$E$91/12*B174</f>
        <v>4249.8536849868742</v>
      </c>
      <c r="E175" s="185">
        <f t="shared" si="23"/>
        <v>1908.8036265175533</v>
      </c>
      <c r="F175" s="72">
        <f t="shared" si="29"/>
        <v>9</v>
      </c>
      <c r="G175" s="180">
        <f t="shared" si="24"/>
        <v>1978008.1164744538</v>
      </c>
      <c r="H175" s="186">
        <f>-Industrial!$E$98/12</f>
        <v>10736.432460242781</v>
      </c>
      <c r="I175" s="149">
        <f>Industrial!$E$96/12*G174</f>
        <v>8252.0520702684498</v>
      </c>
      <c r="J175" s="187">
        <f t="shared" si="25"/>
        <v>2484.3803899743307</v>
      </c>
      <c r="K175" s="72">
        <f t="shared" si="30"/>
        <v>9</v>
      </c>
      <c r="L175" s="180">
        <f t="shared" si="26"/>
        <v>3251055.4183439985</v>
      </c>
      <c r="M175" s="181">
        <f t="shared" si="26"/>
        <v>16895.089771747207</v>
      </c>
      <c r="N175" s="180">
        <f t="shared" si="26"/>
        <v>12501.905755255324</v>
      </c>
      <c r="O175" s="132">
        <f t="shared" si="26"/>
        <v>4393.184016491884</v>
      </c>
      <c r="P175" s="258">
        <v>10</v>
      </c>
      <c r="Q175" s="161">
        <f>B286</f>
        <v>1016313.0738293963</v>
      </c>
      <c r="R175" s="149">
        <f>SUM(C275:C286)</f>
        <v>73903.887738053148</v>
      </c>
      <c r="S175" s="161">
        <f>SUM(D275:D286)</f>
        <v>41361.900855218868</v>
      </c>
      <c r="T175" s="134">
        <f>SUM(E275:E286)</f>
        <v>32541.986882834266</v>
      </c>
      <c r="U175" s="72">
        <v>10</v>
      </c>
      <c r="V175" s="180">
        <f>G286</f>
        <v>1626841.2898396074</v>
      </c>
      <c r="W175" s="260">
        <f>SUM(H275:H286)</f>
        <v>128837.18952291337</v>
      </c>
      <c r="X175" s="180">
        <f>SUM(I275:I286)</f>
        <v>82603.764555560934</v>
      </c>
      <c r="Y175" s="132">
        <f>SUM(J275:J286)</f>
        <v>46233.424967352425</v>
      </c>
      <c r="Z175" s="258">
        <v>10</v>
      </c>
      <c r="AA175" s="180">
        <f t="shared" si="27"/>
        <v>2643154.3636690038</v>
      </c>
      <c r="AB175" s="180">
        <f t="shared" si="21"/>
        <v>202741.07726096653</v>
      </c>
      <c r="AC175" s="180">
        <f t="shared" si="21"/>
        <v>123965.66541077979</v>
      </c>
      <c r="AD175" s="212">
        <f t="shared" si="21"/>
        <v>78775.411850186691</v>
      </c>
    </row>
    <row r="176" spans="1:30" x14ac:dyDescent="0.25">
      <c r="A176" s="72">
        <f t="shared" si="28"/>
        <v>10</v>
      </c>
      <c r="B176" s="183">
        <f t="shared" si="22"/>
        <v>1271132.1355642721</v>
      </c>
      <c r="C176" s="184">
        <f>-Industrial!$E$93/12</f>
        <v>6158.6573115044275</v>
      </c>
      <c r="D176" s="183">
        <f>Industrial!$E$91/12*B175</f>
        <v>4243.4910062318158</v>
      </c>
      <c r="E176" s="185">
        <f t="shared" si="23"/>
        <v>1915.1663052726117</v>
      </c>
      <c r="F176" s="72">
        <f t="shared" si="29"/>
        <v>10</v>
      </c>
      <c r="G176" s="180">
        <f t="shared" si="24"/>
        <v>1975513.3844995212</v>
      </c>
      <c r="H176" s="186">
        <f>-Industrial!$E$98/12</f>
        <v>10736.432460242781</v>
      </c>
      <c r="I176" s="149">
        <f>Industrial!$E$96/12*G175</f>
        <v>8241.7004853102244</v>
      </c>
      <c r="J176" s="187">
        <f t="shared" si="25"/>
        <v>2494.7319749325561</v>
      </c>
      <c r="K176" s="72">
        <f t="shared" si="30"/>
        <v>10</v>
      </c>
      <c r="L176" s="180">
        <f t="shared" si="26"/>
        <v>3246645.5200637933</v>
      </c>
      <c r="M176" s="181">
        <f t="shared" si="26"/>
        <v>16895.089771747207</v>
      </c>
      <c r="N176" s="180">
        <f t="shared" si="26"/>
        <v>12485.19149154204</v>
      </c>
      <c r="O176" s="132">
        <f t="shared" si="26"/>
        <v>4409.8982802051678</v>
      </c>
      <c r="P176" s="258">
        <v>11</v>
      </c>
      <c r="Q176" s="149">
        <f>B298</f>
        <v>982445.27619127964</v>
      </c>
      <c r="R176" s="149">
        <f>SUM(C287:C298)</f>
        <v>73903.887738053148</v>
      </c>
      <c r="S176" s="161">
        <f>SUM(D287:D298)</f>
        <v>40036.090099936649</v>
      </c>
      <c r="T176" s="200">
        <f>SUM(E287:E298)</f>
        <v>33867.797638116484</v>
      </c>
      <c r="U176" s="258">
        <v>11</v>
      </c>
      <c r="V176" s="183">
        <f>G298</f>
        <v>1578242.4751053527</v>
      </c>
      <c r="W176" s="184">
        <f>SUM(H287:H298)</f>
        <v>128837.18952291337</v>
      </c>
      <c r="X176" s="183">
        <f t="shared" ref="X176:Y176" si="31">SUM(I287:I298)</f>
        <v>80238.37478865849</v>
      </c>
      <c r="Y176" s="184">
        <f t="shared" si="31"/>
        <v>48598.814734254869</v>
      </c>
      <c r="Z176" s="72">
        <v>11</v>
      </c>
      <c r="AA176" s="180">
        <f t="shared" si="27"/>
        <v>2560687.7512966325</v>
      </c>
      <c r="AB176" s="180">
        <f t="shared" si="21"/>
        <v>202741.07726096653</v>
      </c>
      <c r="AC176" s="180">
        <f t="shared" si="21"/>
        <v>120274.46488859513</v>
      </c>
      <c r="AD176" s="212">
        <f t="shared" si="21"/>
        <v>82466.612372371354</v>
      </c>
    </row>
    <row r="177" spans="1:30" x14ac:dyDescent="0.25">
      <c r="A177" s="72">
        <f t="shared" si="28"/>
        <v>11</v>
      </c>
      <c r="B177" s="183">
        <f t="shared" si="22"/>
        <v>1269210.5853713152</v>
      </c>
      <c r="C177" s="184">
        <f>-Industrial!$E$93/12</f>
        <v>6158.6573115044275</v>
      </c>
      <c r="D177" s="183">
        <f>Industrial!$E$91/12*B176</f>
        <v>4237.1071185475739</v>
      </c>
      <c r="E177" s="185">
        <f t="shared" si="23"/>
        <v>1921.5501929568536</v>
      </c>
      <c r="F177" s="72">
        <f t="shared" si="29"/>
        <v>11</v>
      </c>
      <c r="G177" s="180">
        <f t="shared" si="24"/>
        <v>1973008.2578080264</v>
      </c>
      <c r="H177" s="186">
        <f>-Industrial!$E$98/12</f>
        <v>10736.432460242781</v>
      </c>
      <c r="I177" s="149">
        <f>Industrial!$E$96/12*G176</f>
        <v>8231.305768748005</v>
      </c>
      <c r="J177" s="187">
        <f t="shared" si="25"/>
        <v>2505.1266914947755</v>
      </c>
      <c r="K177" s="72">
        <f t="shared" si="30"/>
        <v>11</v>
      </c>
      <c r="L177" s="180">
        <f t="shared" si="26"/>
        <v>3242218.8431793414</v>
      </c>
      <c r="M177" s="181">
        <f t="shared" si="26"/>
        <v>16895.089771747207</v>
      </c>
      <c r="N177" s="180">
        <f t="shared" si="26"/>
        <v>12468.412887295579</v>
      </c>
      <c r="O177" s="132">
        <f t="shared" si="26"/>
        <v>4426.6768844516291</v>
      </c>
      <c r="P177" s="258">
        <v>12</v>
      </c>
      <c r="Q177" s="149">
        <f>B310</f>
        <v>947197.65222209098</v>
      </c>
      <c r="R177" s="149">
        <f>SUM(C299:C310)</f>
        <v>73903.887738053148</v>
      </c>
      <c r="S177" s="161">
        <f t="shared" ref="S177:T177" si="32">SUM(D299:D310)</f>
        <v>38656.263768864563</v>
      </c>
      <c r="T177" s="200">
        <f t="shared" si="32"/>
        <v>35247.623969188564</v>
      </c>
      <c r="U177" s="258">
        <v>12</v>
      </c>
      <c r="V177" s="183">
        <f>G310</f>
        <v>1527157.252774491</v>
      </c>
      <c r="W177" s="184">
        <f>SUM(H299:H310)</f>
        <v>128837.18952291337</v>
      </c>
      <c r="X177" s="183">
        <f t="shared" ref="X177:Y177" si="33">SUM(I299:I310)</f>
        <v>77751.967192051277</v>
      </c>
      <c r="Y177" s="184">
        <f t="shared" si="33"/>
        <v>51085.222330862089</v>
      </c>
      <c r="Z177" s="72">
        <v>12</v>
      </c>
      <c r="AA177" s="180">
        <f t="shared" si="27"/>
        <v>2474354.9049965818</v>
      </c>
      <c r="AB177" s="180">
        <f t="shared" si="21"/>
        <v>202741.07726096653</v>
      </c>
      <c r="AC177" s="180">
        <f t="shared" si="21"/>
        <v>116408.23096091584</v>
      </c>
      <c r="AD177" s="212">
        <f t="shared" si="21"/>
        <v>86332.846300050645</v>
      </c>
    </row>
    <row r="178" spans="1:30" x14ac:dyDescent="0.25">
      <c r="A178" s="72">
        <f t="shared" si="28"/>
        <v>12</v>
      </c>
      <c r="B178" s="183">
        <f t="shared" si="22"/>
        <v>1267282.6300110486</v>
      </c>
      <c r="C178" s="184">
        <f>-Industrial!$E$93/12</f>
        <v>6158.6573115044275</v>
      </c>
      <c r="D178" s="183">
        <f>Industrial!$E$91/12*B177</f>
        <v>4230.7019512377174</v>
      </c>
      <c r="E178" s="185">
        <f t="shared" si="23"/>
        <v>1927.9553602667102</v>
      </c>
      <c r="F178" s="72">
        <f t="shared" si="29"/>
        <v>12</v>
      </c>
      <c r="G178" s="180">
        <f t="shared" si="24"/>
        <v>1970492.6930886505</v>
      </c>
      <c r="H178" s="186">
        <f>-Industrial!$E$98/12</f>
        <v>10736.432460242781</v>
      </c>
      <c r="I178" s="149">
        <f>Industrial!$E$96/12*G177</f>
        <v>8220.8677408667772</v>
      </c>
      <c r="J178" s="187">
        <f t="shared" si="25"/>
        <v>2515.5647193760033</v>
      </c>
      <c r="K178" s="72">
        <f t="shared" si="30"/>
        <v>12</v>
      </c>
      <c r="L178" s="180">
        <f t="shared" si="26"/>
        <v>3237775.3230996989</v>
      </c>
      <c r="M178" s="181">
        <f t="shared" si="26"/>
        <v>16895.089771747207</v>
      </c>
      <c r="N178" s="180">
        <f t="shared" si="26"/>
        <v>12451.569692104495</v>
      </c>
      <c r="O178" s="132">
        <f t="shared" si="26"/>
        <v>4443.5200796427134</v>
      </c>
      <c r="P178" s="258">
        <v>13</v>
      </c>
      <c r="Q178" s="149">
        <f>B322</f>
        <v>910513.98566814116</v>
      </c>
      <c r="R178" s="149">
        <f>SUM(C311:C322)</f>
        <v>73903.887738053148</v>
      </c>
      <c r="S178" s="161">
        <f t="shared" ref="S178:T178" si="34">SUM(D311:D322)</f>
        <v>37220.221184103262</v>
      </c>
      <c r="T178" s="200">
        <f t="shared" si="34"/>
        <v>36683.666553949864</v>
      </c>
      <c r="U178" s="258">
        <v>13</v>
      </c>
      <c r="V178" s="183">
        <f>G322</f>
        <v>1473458.4135154721</v>
      </c>
      <c r="W178" s="184">
        <f>SUM(H311:H322)</f>
        <v>128837.18952291337</v>
      </c>
      <c r="X178" s="183">
        <f t="shared" ref="X178:Y178" si="35">SUM(I311:I322)</f>
        <v>75138.350263894114</v>
      </c>
      <c r="Y178" s="184">
        <f t="shared" si="35"/>
        <v>53698.83925901926</v>
      </c>
      <c r="Z178" s="72">
        <v>13</v>
      </c>
      <c r="AA178" s="180">
        <f t="shared" si="27"/>
        <v>2383972.3991836132</v>
      </c>
      <c r="AB178" s="180">
        <f t="shared" si="21"/>
        <v>202741.07726096653</v>
      </c>
      <c r="AC178" s="180">
        <f t="shared" si="21"/>
        <v>112358.57144799738</v>
      </c>
      <c r="AD178" s="212">
        <f t="shared" si="21"/>
        <v>90382.505812969117</v>
      </c>
    </row>
    <row r="179" spans="1:30" x14ac:dyDescent="0.25">
      <c r="A179" s="72">
        <f t="shared" si="28"/>
        <v>13</v>
      </c>
      <c r="B179" s="183">
        <f t="shared" si="22"/>
        <v>1265348.2481329143</v>
      </c>
      <c r="C179" s="184">
        <f>-Industrial!$E$93/12</f>
        <v>6158.6573115044275</v>
      </c>
      <c r="D179" s="183">
        <f>Industrial!$E$91/12*B178</f>
        <v>4224.2754333701623</v>
      </c>
      <c r="E179" s="185">
        <f t="shared" si="23"/>
        <v>1934.3818781342652</v>
      </c>
      <c r="F179" s="72">
        <f t="shared" si="29"/>
        <v>13</v>
      </c>
      <c r="G179" s="180">
        <f t="shared" si="24"/>
        <v>1967966.6468496104</v>
      </c>
      <c r="H179" s="186">
        <f>-Industrial!$E$98/12</f>
        <v>10736.432460242781</v>
      </c>
      <c r="I179" s="149">
        <f>Industrial!$E$96/12*G178</f>
        <v>8210.3862212027107</v>
      </c>
      <c r="J179" s="187">
        <f t="shared" si="25"/>
        <v>2526.0462390400698</v>
      </c>
      <c r="K179" s="72">
        <f t="shared" si="30"/>
        <v>13</v>
      </c>
      <c r="L179" s="180">
        <f t="shared" si="26"/>
        <v>3233314.8949825247</v>
      </c>
      <c r="M179" s="181">
        <f t="shared" si="26"/>
        <v>16895.089771747207</v>
      </c>
      <c r="N179" s="180">
        <f t="shared" si="26"/>
        <v>12434.661654572872</v>
      </c>
      <c r="O179" s="132">
        <f t="shared" si="26"/>
        <v>4460.4281171743351</v>
      </c>
      <c r="P179" s="258">
        <v>14</v>
      </c>
      <c r="Q179" s="149">
        <f>B334</f>
        <v>872335.76993882819</v>
      </c>
      <c r="R179" s="149">
        <f>SUM(C323:C334)</f>
        <v>73903.887738053148</v>
      </c>
      <c r="S179" s="161">
        <f t="shared" ref="S179:T179" si="36">SUM(D323:D334)</f>
        <v>35725.672008740257</v>
      </c>
      <c r="T179" s="200">
        <f t="shared" si="36"/>
        <v>38178.215729312877</v>
      </c>
      <c r="U179" s="258">
        <v>14</v>
      </c>
      <c r="V179" s="183">
        <f>G334</f>
        <v>1417012.239725915</v>
      </c>
      <c r="W179" s="184">
        <f>SUM(H323:H334)</f>
        <v>128837.18952291337</v>
      </c>
      <c r="X179" s="183">
        <f t="shared" ref="X179:Y179" si="37">SUM(I323:I334)</f>
        <v>72391.015733356573</v>
      </c>
      <c r="Y179" s="184">
        <f t="shared" si="37"/>
        <v>56446.173789556793</v>
      </c>
      <c r="Z179" s="72">
        <v>14</v>
      </c>
      <c r="AA179" s="180">
        <f t="shared" si="27"/>
        <v>2289348.0096647432</v>
      </c>
      <c r="AB179" s="180">
        <f t="shared" si="21"/>
        <v>202741.07726096653</v>
      </c>
      <c r="AC179" s="180">
        <f t="shared" si="21"/>
        <v>108116.68774209684</v>
      </c>
      <c r="AD179" s="212">
        <f t="shared" si="21"/>
        <v>94624.389518869662</v>
      </c>
    </row>
    <row r="180" spans="1:30" x14ac:dyDescent="0.25">
      <c r="A180" s="72">
        <f t="shared" si="28"/>
        <v>14</v>
      </c>
      <c r="B180" s="183">
        <f t="shared" si="22"/>
        <v>1263407.4183151862</v>
      </c>
      <c r="C180" s="184">
        <f>-Industrial!$E$93/12</f>
        <v>6158.6573115044275</v>
      </c>
      <c r="D180" s="183">
        <f>Industrial!$E$91/12*B179</f>
        <v>4217.8274937763808</v>
      </c>
      <c r="E180" s="185">
        <f t="shared" si="23"/>
        <v>1940.8298177280467</v>
      </c>
      <c r="F180" s="72">
        <f t="shared" si="29"/>
        <v>14</v>
      </c>
      <c r="G180" s="180">
        <f t="shared" si="24"/>
        <v>1965430.0754179077</v>
      </c>
      <c r="H180" s="186">
        <f>-Industrial!$E$98/12</f>
        <v>10736.432460242781</v>
      </c>
      <c r="I180" s="149">
        <f>Industrial!$E$96/12*G179</f>
        <v>8199.8610285400428</v>
      </c>
      <c r="J180" s="187">
        <f t="shared" si="25"/>
        <v>2536.5714317027378</v>
      </c>
      <c r="K180" s="72">
        <f t="shared" si="30"/>
        <v>14</v>
      </c>
      <c r="L180" s="180">
        <f t="shared" si="26"/>
        <v>3228837.4937330941</v>
      </c>
      <c r="M180" s="181">
        <f t="shared" si="26"/>
        <v>16895.089771747207</v>
      </c>
      <c r="N180" s="180">
        <f t="shared" si="26"/>
        <v>12417.688522316424</v>
      </c>
      <c r="O180" s="132">
        <f t="shared" si="26"/>
        <v>4477.4012494307844</v>
      </c>
      <c r="P180" s="258">
        <v>15</v>
      </c>
      <c r="Q180" s="149">
        <f>B346</f>
        <v>832602.11479477864</v>
      </c>
      <c r="R180" s="149">
        <f>SUM(C335:C346)</f>
        <v>73903.887738053148</v>
      </c>
      <c r="S180" s="161">
        <f t="shared" ref="S180:T180" si="38">SUM(D335:D346)</f>
        <v>34170.232594003479</v>
      </c>
      <c r="T180" s="200">
        <f t="shared" si="38"/>
        <v>39733.655144049655</v>
      </c>
      <c r="U180" s="258">
        <v>15</v>
      </c>
      <c r="V180" s="183">
        <f>G346</f>
        <v>1357678.1725571225</v>
      </c>
      <c r="W180" s="184">
        <f>SUM(H335:H346)</f>
        <v>128837.18952291337</v>
      </c>
      <c r="X180" s="183">
        <f t="shared" ref="X180:Y180" si="39">SUM(I335:I346)</f>
        <v>69503.122354120685</v>
      </c>
      <c r="Y180" s="184">
        <f t="shared" si="39"/>
        <v>59334.067168792681</v>
      </c>
      <c r="Z180" s="72">
        <v>15</v>
      </c>
      <c r="AA180" s="180">
        <f t="shared" si="27"/>
        <v>2190280.2873519012</v>
      </c>
      <c r="AB180" s="180">
        <f t="shared" si="21"/>
        <v>202741.07726096653</v>
      </c>
      <c r="AC180" s="180">
        <f t="shared" si="21"/>
        <v>103673.35494812416</v>
      </c>
      <c r="AD180" s="212">
        <f t="shared" si="21"/>
        <v>99067.722312842336</v>
      </c>
    </row>
    <row r="181" spans="1:30" x14ac:dyDescent="0.25">
      <c r="A181" s="72">
        <f t="shared" si="28"/>
        <v>15</v>
      </c>
      <c r="B181" s="183">
        <f t="shared" si="22"/>
        <v>1261460.1190647325</v>
      </c>
      <c r="C181" s="184">
        <f>-Industrial!$E$93/12</f>
        <v>6158.6573115044275</v>
      </c>
      <c r="D181" s="183">
        <f>Industrial!$E$91/12*B180</f>
        <v>4211.3580610506206</v>
      </c>
      <c r="E181" s="185">
        <f t="shared" si="23"/>
        <v>1947.299250453807</v>
      </c>
      <c r="F181" s="72">
        <f t="shared" si="29"/>
        <v>15</v>
      </c>
      <c r="G181" s="180">
        <f t="shared" si="24"/>
        <v>1962882.9349385728</v>
      </c>
      <c r="H181" s="186">
        <f>-Industrial!$E$98/12</f>
        <v>10736.432460242781</v>
      </c>
      <c r="I181" s="149">
        <f>Industrial!$E$96/12*G180</f>
        <v>8189.2919809079485</v>
      </c>
      <c r="J181" s="187">
        <f t="shared" si="25"/>
        <v>2547.140479334832</v>
      </c>
      <c r="K181" s="72">
        <f t="shared" si="30"/>
        <v>15</v>
      </c>
      <c r="L181" s="180">
        <f t="shared" si="26"/>
        <v>3224343.0540033053</v>
      </c>
      <c r="M181" s="181">
        <f t="shared" si="26"/>
        <v>16895.089771747207</v>
      </c>
      <c r="N181" s="180">
        <f t="shared" si="26"/>
        <v>12400.650041958568</v>
      </c>
      <c r="O181" s="132">
        <f t="shared" si="26"/>
        <v>4494.4397297886389</v>
      </c>
      <c r="P181" s="258">
        <v>16</v>
      </c>
      <c r="Q181" s="149">
        <f>B358</f>
        <v>791249.64923431759</v>
      </c>
      <c r="R181" s="149">
        <f>SUM(C347:C358)</f>
        <v>73903.887738053148</v>
      </c>
      <c r="S181" s="161">
        <f t="shared" ref="S181:T181" si="40">SUM(D347:D358)</f>
        <v>32551.42217759206</v>
      </c>
      <c r="T181" s="200">
        <f t="shared" si="40"/>
        <v>41352.465560461074</v>
      </c>
      <c r="U181" s="258">
        <v>16</v>
      </c>
      <c r="V181" s="183">
        <f>G358</f>
        <v>1295308.4619029325</v>
      </c>
      <c r="W181" s="184">
        <f>SUM(H347:H358)</f>
        <v>128837.18952291337</v>
      </c>
      <c r="X181" s="183">
        <f t="shared" ref="X181:Y181" si="41">SUM(I347:I358)</f>
        <v>66467.478868723032</v>
      </c>
      <c r="Y181" s="184">
        <f t="shared" si="41"/>
        <v>62369.710654190341</v>
      </c>
      <c r="Z181" s="72">
        <v>16</v>
      </c>
      <c r="AA181" s="180">
        <f t="shared" si="27"/>
        <v>2086558.11113725</v>
      </c>
      <c r="AB181" s="180">
        <f t="shared" si="21"/>
        <v>202741.07726096653</v>
      </c>
      <c r="AC181" s="180">
        <f t="shared" si="21"/>
        <v>99018.901046315092</v>
      </c>
      <c r="AD181" s="212">
        <f t="shared" si="21"/>
        <v>103722.17621465141</v>
      </c>
    </row>
    <row r="182" spans="1:30" x14ac:dyDescent="0.25">
      <c r="A182" s="72">
        <f t="shared" si="28"/>
        <v>16</v>
      </c>
      <c r="B182" s="183">
        <f t="shared" si="22"/>
        <v>1259506.3288167771</v>
      </c>
      <c r="C182" s="184">
        <f>-Industrial!$E$93/12</f>
        <v>6158.6573115044275</v>
      </c>
      <c r="D182" s="183">
        <f>Industrial!$E$91/12*B181</f>
        <v>4204.867063549108</v>
      </c>
      <c r="E182" s="185">
        <f t="shared" si="23"/>
        <v>1953.7902479553195</v>
      </c>
      <c r="F182" s="72">
        <f t="shared" si="29"/>
        <v>16</v>
      </c>
      <c r="G182" s="180">
        <f t="shared" si="24"/>
        <v>1960325.1813739075</v>
      </c>
      <c r="H182" s="186">
        <f>-Industrial!$E$98/12</f>
        <v>10736.432460242781</v>
      </c>
      <c r="I182" s="149">
        <f>Industrial!$E$96/12*G181</f>
        <v>8178.6788955773864</v>
      </c>
      <c r="J182" s="187">
        <f t="shared" si="25"/>
        <v>2557.7535646653942</v>
      </c>
      <c r="K182" s="72">
        <f t="shared" si="30"/>
        <v>16</v>
      </c>
      <c r="L182" s="180">
        <f t="shared" si="26"/>
        <v>3219831.5101906843</v>
      </c>
      <c r="M182" s="181">
        <f t="shared" si="26"/>
        <v>16895.089771747207</v>
      </c>
      <c r="N182" s="180">
        <f t="shared" si="26"/>
        <v>12383.545959126495</v>
      </c>
      <c r="O182" s="132">
        <f t="shared" si="26"/>
        <v>4511.5438126207137</v>
      </c>
      <c r="P182" s="258">
        <v>17</v>
      </c>
      <c r="Q182" s="149">
        <f>B370</f>
        <v>748212.42042338604</v>
      </c>
      <c r="R182" s="149">
        <f>SUM(C359:C370)</f>
        <v>73903.887738053148</v>
      </c>
      <c r="S182" s="161">
        <f t="shared" ref="S182:T182" si="42">SUM(D359:D370)</f>
        <v>30866.658927121411</v>
      </c>
      <c r="T182" s="200">
        <f t="shared" si="42"/>
        <v>43037.228810931716</v>
      </c>
      <c r="U182" s="258">
        <v>17</v>
      </c>
      <c r="V182" s="183">
        <f>G370</f>
        <v>1229747.7984813391</v>
      </c>
      <c r="W182" s="184">
        <f>SUM(H359:H370)</f>
        <v>128837.18952291337</v>
      </c>
      <c r="X182" s="183">
        <f t="shared" ref="X182:Y182" si="43">SUM(I359:I370)</f>
        <v>63276.526101320109</v>
      </c>
      <c r="Y182" s="184">
        <f t="shared" si="43"/>
        <v>65560.663421593257</v>
      </c>
      <c r="Z182" s="72">
        <v>17</v>
      </c>
      <c r="AA182" s="180">
        <f t="shared" si="27"/>
        <v>1977960.2189047253</v>
      </c>
      <c r="AB182" s="180">
        <f t="shared" si="27"/>
        <v>202741.07726096653</v>
      </c>
      <c r="AC182" s="180">
        <f t="shared" si="27"/>
        <v>94143.185028441512</v>
      </c>
      <c r="AD182" s="212">
        <f t="shared" si="27"/>
        <v>108597.89223252497</v>
      </c>
    </row>
    <row r="183" spans="1:30" x14ac:dyDescent="0.25">
      <c r="A183" s="72">
        <f t="shared" si="28"/>
        <v>17</v>
      </c>
      <c r="B183" s="183">
        <f t="shared" si="22"/>
        <v>1257546.025934662</v>
      </c>
      <c r="C183" s="184">
        <f>-Industrial!$E$93/12</f>
        <v>6158.6573115044275</v>
      </c>
      <c r="D183" s="183">
        <f>Industrial!$E$91/12*B182</f>
        <v>4198.3544293892573</v>
      </c>
      <c r="E183" s="185">
        <f t="shared" si="23"/>
        <v>1960.3028821151702</v>
      </c>
      <c r="F183" s="72">
        <f t="shared" si="29"/>
        <v>17</v>
      </c>
      <c r="G183" s="180">
        <f t="shared" si="24"/>
        <v>1957756.7705027226</v>
      </c>
      <c r="H183" s="186">
        <f>-Industrial!$E$98/12</f>
        <v>10736.432460242781</v>
      </c>
      <c r="I183" s="149">
        <f>Industrial!$E$96/12*G182</f>
        <v>8168.0215890579475</v>
      </c>
      <c r="J183" s="187">
        <f t="shared" si="25"/>
        <v>2568.410871184833</v>
      </c>
      <c r="K183" s="72">
        <f t="shared" si="30"/>
        <v>17</v>
      </c>
      <c r="L183" s="180">
        <f t="shared" si="26"/>
        <v>3215302.7964373846</v>
      </c>
      <c r="M183" s="181">
        <f t="shared" si="26"/>
        <v>16895.089771747207</v>
      </c>
      <c r="N183" s="180">
        <f t="shared" si="26"/>
        <v>12366.376018447205</v>
      </c>
      <c r="O183" s="132">
        <f t="shared" si="26"/>
        <v>4528.7137533000032</v>
      </c>
      <c r="P183" s="258">
        <v>18</v>
      </c>
      <c r="Q183" s="149">
        <f>B382</f>
        <v>703421.78850770462</v>
      </c>
      <c r="R183" s="149">
        <f>SUM(C371:C382)</f>
        <v>73903.887738053148</v>
      </c>
      <c r="S183" s="161">
        <f t="shared" ref="S183:T183" si="44">SUM(D371:D382)</f>
        <v>29113.255822372033</v>
      </c>
      <c r="T183" s="200">
        <f t="shared" si="44"/>
        <v>44790.631915681101</v>
      </c>
      <c r="U183" s="258">
        <v>18</v>
      </c>
      <c r="V183" s="183">
        <f>G382</f>
        <v>1160832.9270927114</v>
      </c>
      <c r="W183" s="184">
        <f>SUM(H371:H382)</f>
        <v>128837.18952291337</v>
      </c>
      <c r="X183" s="183">
        <f t="shared" ref="X183:Y183" si="45">SUM(I371:I382)</f>
        <v>59922.318134285859</v>
      </c>
      <c r="Y183" s="184">
        <f t="shared" si="45"/>
        <v>68914.871388627507</v>
      </c>
      <c r="Z183" s="72">
        <v>18</v>
      </c>
      <c r="AA183" s="180">
        <f t="shared" ref="AA183:AD195" si="46">Q183+V183</f>
        <v>1864254.7156004161</v>
      </c>
      <c r="AB183" s="180">
        <f t="shared" si="46"/>
        <v>202741.07726096653</v>
      </c>
      <c r="AC183" s="180">
        <f t="shared" si="46"/>
        <v>89035.5739566579</v>
      </c>
      <c r="AD183" s="212">
        <f t="shared" si="46"/>
        <v>113705.5033043086</v>
      </c>
    </row>
    <row r="184" spans="1:30" x14ac:dyDescent="0.25">
      <c r="A184" s="72">
        <f t="shared" si="28"/>
        <v>18</v>
      </c>
      <c r="B184" s="183">
        <f t="shared" si="22"/>
        <v>1255579.1887096064</v>
      </c>
      <c r="C184" s="184">
        <f>-Industrial!$E$93/12</f>
        <v>6158.6573115044275</v>
      </c>
      <c r="D184" s="183">
        <f>Industrial!$E$91/12*B183</f>
        <v>4191.8200864488736</v>
      </c>
      <c r="E184" s="185">
        <f t="shared" si="23"/>
        <v>1966.837225055554</v>
      </c>
      <c r="F184" s="72">
        <f t="shared" si="29"/>
        <v>18</v>
      </c>
      <c r="G184" s="180">
        <f t="shared" si="24"/>
        <v>1955177.6579195745</v>
      </c>
      <c r="H184" s="186">
        <f>-Industrial!$E$98/12</f>
        <v>10736.432460242781</v>
      </c>
      <c r="I184" s="149">
        <f>Industrial!$E$96/12*G183</f>
        <v>8157.3198770946774</v>
      </c>
      <c r="J184" s="187">
        <f t="shared" si="25"/>
        <v>2579.1125831481031</v>
      </c>
      <c r="K184" s="72">
        <f t="shared" si="30"/>
        <v>18</v>
      </c>
      <c r="L184" s="180">
        <f t="shared" si="26"/>
        <v>3210756.8466291809</v>
      </c>
      <c r="M184" s="181">
        <f t="shared" si="26"/>
        <v>16895.089771747207</v>
      </c>
      <c r="N184" s="180">
        <f t="shared" si="26"/>
        <v>12349.139963543552</v>
      </c>
      <c r="O184" s="132">
        <f t="shared" si="26"/>
        <v>4545.9498082036571</v>
      </c>
      <c r="P184" s="258">
        <v>19</v>
      </c>
      <c r="Q184" s="149">
        <f>B394</f>
        <v>656806.31713942636</v>
      </c>
      <c r="R184" s="149">
        <f>SUM(C383:C394)</f>
        <v>73903.887738053148</v>
      </c>
      <c r="S184" s="161">
        <f t="shared" ref="S184:T184" si="47">SUM(D383:D394)</f>
        <v>27288.416369774804</v>
      </c>
      <c r="T184" s="200">
        <f t="shared" si="47"/>
        <v>46615.471368278326</v>
      </c>
      <c r="U184" s="258">
        <v>19</v>
      </c>
      <c r="V184" s="183">
        <f>G394</f>
        <v>1088392.240091566</v>
      </c>
      <c r="W184" s="184">
        <f>SUM(H383:H394)</f>
        <v>128837.18952291337</v>
      </c>
      <c r="X184" s="183">
        <f t="shared" ref="X184:Y184" si="48">SUM(I383:I394)</f>
        <v>56396.502521768125</v>
      </c>
      <c r="Y184" s="184">
        <f t="shared" si="48"/>
        <v>72440.687001145241</v>
      </c>
      <c r="Z184" s="72">
        <v>19</v>
      </c>
      <c r="AA184" s="180">
        <f t="shared" si="46"/>
        <v>1745198.5572309922</v>
      </c>
      <c r="AB184" s="180">
        <f t="shared" si="46"/>
        <v>202741.07726096653</v>
      </c>
      <c r="AC184" s="180">
        <f t="shared" si="46"/>
        <v>83684.918891542926</v>
      </c>
      <c r="AD184" s="212">
        <f t="shared" si="46"/>
        <v>119056.15836942356</v>
      </c>
    </row>
    <row r="185" spans="1:30" x14ac:dyDescent="0.25">
      <c r="A185" s="72">
        <f t="shared" si="28"/>
        <v>19</v>
      </c>
      <c r="B185" s="183">
        <f t="shared" si="22"/>
        <v>1253605.7953604674</v>
      </c>
      <c r="C185" s="184">
        <f>-Industrial!$E$93/12</f>
        <v>6158.6573115044275</v>
      </c>
      <c r="D185" s="183">
        <f>Industrial!$E$91/12*B184</f>
        <v>4185.2639623653549</v>
      </c>
      <c r="E185" s="185">
        <f t="shared" si="23"/>
        <v>1973.3933491390726</v>
      </c>
      <c r="F185" s="72">
        <f t="shared" si="29"/>
        <v>19</v>
      </c>
      <c r="G185" s="180">
        <f t="shared" si="24"/>
        <v>1952587.7990339966</v>
      </c>
      <c r="H185" s="186">
        <f>-Industrial!$E$98/12</f>
        <v>10736.432460242781</v>
      </c>
      <c r="I185" s="149">
        <f>Industrial!$E$96/12*G184</f>
        <v>8146.5735746648934</v>
      </c>
      <c r="J185" s="187">
        <f t="shared" si="25"/>
        <v>2589.8588855778871</v>
      </c>
      <c r="K185" s="72">
        <f t="shared" si="30"/>
        <v>19</v>
      </c>
      <c r="L185" s="180">
        <f t="shared" si="26"/>
        <v>3206193.594394464</v>
      </c>
      <c r="M185" s="181">
        <f t="shared" si="26"/>
        <v>16895.089771747207</v>
      </c>
      <c r="N185" s="180">
        <f t="shared" si="26"/>
        <v>12331.837537030249</v>
      </c>
      <c r="O185" s="132">
        <f t="shared" si="26"/>
        <v>4563.2522347169597</v>
      </c>
      <c r="P185" s="258">
        <v>20</v>
      </c>
      <c r="Q185" s="149">
        <f>B406</f>
        <v>608291.65954367106</v>
      </c>
      <c r="R185" s="149">
        <f>SUM(C395:C406)</f>
        <v>73903.887738053148</v>
      </c>
      <c r="S185" s="161">
        <f t="shared" ref="S185:T185" si="49">SUM(D395:D406)</f>
        <v>25389.230142297867</v>
      </c>
      <c r="T185" s="200">
        <f t="shared" si="49"/>
        <v>48514.657595755263</v>
      </c>
      <c r="U185" s="258">
        <v>20</v>
      </c>
      <c r="V185" s="183">
        <f>G406</f>
        <v>1012245.3500595854</v>
      </c>
      <c r="W185" s="184">
        <f>SUM(H395:H406)</f>
        <v>128837.18952291337</v>
      </c>
      <c r="X185" s="183">
        <f t="shared" ref="X185:Y185" si="50">SUM(I395:I406)</f>
        <v>52690.299490932928</v>
      </c>
      <c r="Y185" s="184">
        <f t="shared" si="50"/>
        <v>76146.890031980452</v>
      </c>
      <c r="Z185" s="258">
        <v>20</v>
      </c>
      <c r="AA185" s="180">
        <f t="shared" si="46"/>
        <v>1620537.0096032564</v>
      </c>
      <c r="AB185" s="180">
        <f t="shared" si="46"/>
        <v>202741.07726096653</v>
      </c>
      <c r="AC185" s="180">
        <f t="shared" si="46"/>
        <v>78079.529633230792</v>
      </c>
      <c r="AD185" s="212">
        <f t="shared" si="46"/>
        <v>124661.54762773571</v>
      </c>
    </row>
    <row r="186" spans="1:30" x14ac:dyDescent="0.25">
      <c r="A186" s="72">
        <f t="shared" si="28"/>
        <v>20</v>
      </c>
      <c r="B186" s="183">
        <f t="shared" si="22"/>
        <v>1251625.8240334978</v>
      </c>
      <c r="C186" s="184">
        <f>-Industrial!$E$93/12</f>
        <v>6158.6573115044275</v>
      </c>
      <c r="D186" s="183">
        <f>Industrial!$E$91/12*B185</f>
        <v>4178.6859845348918</v>
      </c>
      <c r="E186" s="185">
        <f t="shared" si="23"/>
        <v>1979.9713269695358</v>
      </c>
      <c r="F186" s="72">
        <f t="shared" si="29"/>
        <v>20</v>
      </c>
      <c r="G186" s="180">
        <f t="shared" si="24"/>
        <v>1949987.1490697288</v>
      </c>
      <c r="H186" s="186">
        <f>-Industrial!$E$98/12</f>
        <v>10736.432460242781</v>
      </c>
      <c r="I186" s="149">
        <f>Industrial!$E$96/12*G185</f>
        <v>8135.782495974986</v>
      </c>
      <c r="J186" s="187">
        <f t="shared" si="25"/>
        <v>2600.6499642677945</v>
      </c>
      <c r="K186" s="72">
        <f t="shared" si="30"/>
        <v>20</v>
      </c>
      <c r="L186" s="180">
        <f t="shared" si="26"/>
        <v>3201612.9731032266</v>
      </c>
      <c r="M186" s="181">
        <f t="shared" si="26"/>
        <v>16895.089771747207</v>
      </c>
      <c r="N186" s="180">
        <f t="shared" si="26"/>
        <v>12314.468480509877</v>
      </c>
      <c r="O186" s="132">
        <f t="shared" si="26"/>
        <v>4580.6212912373303</v>
      </c>
      <c r="P186" s="258">
        <v>21</v>
      </c>
      <c r="Q186" s="149">
        <f>B418</f>
        <v>557800.43994323921</v>
      </c>
      <c r="R186" s="149">
        <f>SUM(C407:C418)</f>
        <v>73903.887738053148</v>
      </c>
      <c r="S186" s="161">
        <f t="shared" ref="S186:T186" si="51">SUM(D407:D418)</f>
        <v>23412.668137621498</v>
      </c>
      <c r="T186" s="200">
        <f t="shared" si="51"/>
        <v>50491.219600431628</v>
      </c>
      <c r="U186" s="258">
        <v>21</v>
      </c>
      <c r="V186" s="183">
        <f>G418</f>
        <v>932202.64061577711</v>
      </c>
      <c r="W186" s="184">
        <f>SUM(H407:H418)</f>
        <v>128837.18952291337</v>
      </c>
      <c r="X186" s="183">
        <f t="shared" ref="X186:Y186" si="52">SUM(I407:I418)</f>
        <v>48794.480079105153</v>
      </c>
      <c r="Y186" s="184">
        <f t="shared" si="52"/>
        <v>80042.709443808213</v>
      </c>
      <c r="Z186" s="72">
        <v>21</v>
      </c>
      <c r="AA186" s="180">
        <f t="shared" si="46"/>
        <v>1490003.0805590162</v>
      </c>
      <c r="AB186" s="180">
        <f t="shared" si="46"/>
        <v>202741.07726096653</v>
      </c>
      <c r="AC186" s="180">
        <f t="shared" si="46"/>
        <v>72207.148216726651</v>
      </c>
      <c r="AD186" s="212">
        <f t="shared" si="46"/>
        <v>130533.92904423983</v>
      </c>
    </row>
    <row r="187" spans="1:30" x14ac:dyDescent="0.25">
      <c r="A187" s="72">
        <f t="shared" si="28"/>
        <v>21</v>
      </c>
      <c r="B187" s="183">
        <f t="shared" si="22"/>
        <v>1249639.2528021052</v>
      </c>
      <c r="C187" s="184">
        <f>-Industrial!$E$93/12</f>
        <v>6158.6573115044275</v>
      </c>
      <c r="D187" s="183">
        <f>Industrial!$E$91/12*B186</f>
        <v>4172.0860801116596</v>
      </c>
      <c r="E187" s="185">
        <f t="shared" si="23"/>
        <v>1986.5712313927679</v>
      </c>
      <c r="F187" s="72">
        <f t="shared" si="29"/>
        <v>21</v>
      </c>
      <c r="G187" s="180">
        <f t="shared" si="24"/>
        <v>1947375.6630639432</v>
      </c>
      <c r="H187" s="186">
        <f>-Industrial!$E$98/12</f>
        <v>10736.432460242781</v>
      </c>
      <c r="I187" s="149">
        <f>Industrial!$E$96/12*G186</f>
        <v>8124.9464544572029</v>
      </c>
      <c r="J187" s="187">
        <f t="shared" si="25"/>
        <v>2611.4860057855776</v>
      </c>
      <c r="K187" s="72">
        <f t="shared" si="30"/>
        <v>21</v>
      </c>
      <c r="L187" s="180">
        <f t="shared" si="26"/>
        <v>3197014.9158660481</v>
      </c>
      <c r="M187" s="181">
        <f t="shared" si="26"/>
        <v>16895.089771747207</v>
      </c>
      <c r="N187" s="180">
        <f t="shared" si="26"/>
        <v>12297.032534568862</v>
      </c>
      <c r="O187" s="132">
        <f t="shared" si="26"/>
        <v>4598.0572371783455</v>
      </c>
      <c r="P187" s="258">
        <v>22</v>
      </c>
      <c r="Q187" s="149">
        <f>B430</f>
        <v>505252.13015238428</v>
      </c>
      <c r="R187" s="149">
        <f>SUM(C419:C430)</f>
        <v>73903.887738053148</v>
      </c>
      <c r="S187" s="161">
        <f t="shared" ref="S187:T187" si="53">SUM(D419:D430)</f>
        <v>21355.577947197995</v>
      </c>
      <c r="T187" s="200">
        <f t="shared" si="53"/>
        <v>52548.309790855143</v>
      </c>
      <c r="U187" s="258">
        <v>22</v>
      </c>
      <c r="V187" s="183">
        <f>G430</f>
        <v>848064.79424522747</v>
      </c>
      <c r="W187" s="184">
        <f>SUM(H419:H430)</f>
        <v>128837.18952291337</v>
      </c>
      <c r="X187" s="183">
        <f t="shared" ref="X187:Y187" si="54">SUM(I419:I430)</f>
        <v>44699.343152363799</v>
      </c>
      <c r="Y187" s="184">
        <f t="shared" si="54"/>
        <v>84137.846370549581</v>
      </c>
      <c r="Z187" s="72">
        <v>22</v>
      </c>
      <c r="AA187" s="180">
        <f t="shared" si="46"/>
        <v>1353316.9243976118</v>
      </c>
      <c r="AB187" s="180">
        <f t="shared" si="46"/>
        <v>202741.07726096653</v>
      </c>
      <c r="AC187" s="180">
        <f t="shared" si="46"/>
        <v>66054.92109956179</v>
      </c>
      <c r="AD187" s="212">
        <f t="shared" si="46"/>
        <v>136686.15616140474</v>
      </c>
    </row>
    <row r="188" spans="1:30" x14ac:dyDescent="0.25">
      <c r="A188" s="72">
        <f t="shared" si="28"/>
        <v>22</v>
      </c>
      <c r="B188" s="183">
        <f t="shared" si="22"/>
        <v>1247646.0596666078</v>
      </c>
      <c r="C188" s="184">
        <f>-Industrial!$E$93/12</f>
        <v>6158.6573115044275</v>
      </c>
      <c r="D188" s="183">
        <f>Industrial!$E$91/12*B187</f>
        <v>4165.4641760070172</v>
      </c>
      <c r="E188" s="185">
        <f t="shared" si="23"/>
        <v>1993.1931354974104</v>
      </c>
      <c r="F188" s="72">
        <f t="shared" si="29"/>
        <v>22</v>
      </c>
      <c r="G188" s="180">
        <f t="shared" si="24"/>
        <v>1944753.2958664668</v>
      </c>
      <c r="H188" s="186">
        <f>-Industrial!$E$98/12</f>
        <v>10736.432460242781</v>
      </c>
      <c r="I188" s="149">
        <f>Industrial!$E$96/12*G187</f>
        <v>8114.0652627664294</v>
      </c>
      <c r="J188" s="187">
        <f t="shared" si="25"/>
        <v>2622.3671974763511</v>
      </c>
      <c r="K188" s="72">
        <f t="shared" si="30"/>
        <v>22</v>
      </c>
      <c r="L188" s="180">
        <f t="shared" si="26"/>
        <v>3192399.3555330746</v>
      </c>
      <c r="M188" s="181">
        <f t="shared" si="26"/>
        <v>16895.089771747207</v>
      </c>
      <c r="N188" s="180">
        <f t="shared" si="26"/>
        <v>12279.529438773447</v>
      </c>
      <c r="O188" s="132">
        <f t="shared" si="26"/>
        <v>4615.5603329737614</v>
      </c>
      <c r="P188" s="258">
        <v>23</v>
      </c>
      <c r="Q188" s="149">
        <f>B442</f>
        <v>450562.9211428226</v>
      </c>
      <c r="R188" s="149">
        <f>SUM(C431:C442)</f>
        <v>73903.887738053148</v>
      </c>
      <c r="S188" s="161">
        <f t="shared" ref="S188:T188" si="55">SUM(D431:D442)</f>
        <v>19214.678728491468</v>
      </c>
      <c r="T188" s="200">
        <f t="shared" si="55"/>
        <v>54689.209009561666</v>
      </c>
      <c r="U188" s="258">
        <v>23</v>
      </c>
      <c r="V188" s="183">
        <f>G442</f>
        <v>759622.29597067903</v>
      </c>
      <c r="W188" s="184">
        <f>SUM(H431:H442)</f>
        <v>128837.18952291337</v>
      </c>
      <c r="X188" s="183">
        <f t="shared" ref="X188:Y188" si="56">SUM(I431:I442)</f>
        <v>40394.69124836479</v>
      </c>
      <c r="Y188" s="184">
        <f t="shared" si="56"/>
        <v>88442.49827454859</v>
      </c>
      <c r="Z188" s="72">
        <v>23</v>
      </c>
      <c r="AA188" s="180">
        <f t="shared" si="46"/>
        <v>1210185.2171135016</v>
      </c>
      <c r="AB188" s="180">
        <f t="shared" si="46"/>
        <v>202741.07726096653</v>
      </c>
      <c r="AC188" s="180">
        <f t="shared" si="46"/>
        <v>59609.369976856258</v>
      </c>
      <c r="AD188" s="212">
        <f t="shared" si="46"/>
        <v>143131.70728411025</v>
      </c>
    </row>
    <row r="189" spans="1:30" x14ac:dyDescent="0.25">
      <c r="A189" s="72">
        <f t="shared" si="28"/>
        <v>23</v>
      </c>
      <c r="B189" s="183">
        <f t="shared" si="22"/>
        <v>1245646.2225539919</v>
      </c>
      <c r="C189" s="184">
        <f>-Industrial!$E$93/12</f>
        <v>6158.6573115044275</v>
      </c>
      <c r="D189" s="183">
        <f>Industrial!$E$91/12*B188</f>
        <v>4158.8201988886931</v>
      </c>
      <c r="E189" s="185">
        <f t="shared" si="23"/>
        <v>1999.8371126157344</v>
      </c>
      <c r="F189" s="72">
        <f t="shared" si="29"/>
        <v>23</v>
      </c>
      <c r="G189" s="180">
        <f t="shared" si="24"/>
        <v>1942120.0021390009</v>
      </c>
      <c r="H189" s="186">
        <f>-Industrial!$E$98/12</f>
        <v>10736.432460242781</v>
      </c>
      <c r="I189" s="149">
        <f>Industrial!$E$96/12*G188</f>
        <v>8103.1387327769453</v>
      </c>
      <c r="J189" s="187">
        <f t="shared" si="25"/>
        <v>2633.2937274658352</v>
      </c>
      <c r="K189" s="72">
        <f t="shared" si="30"/>
        <v>23</v>
      </c>
      <c r="L189" s="180">
        <f t="shared" si="26"/>
        <v>3187766.2246929929</v>
      </c>
      <c r="M189" s="181">
        <f t="shared" si="26"/>
        <v>16895.089771747207</v>
      </c>
      <c r="N189" s="180">
        <f t="shared" si="26"/>
        <v>12261.958931665638</v>
      </c>
      <c r="O189" s="132">
        <f t="shared" si="26"/>
        <v>4633.1308400815697</v>
      </c>
      <c r="P189" s="258">
        <v>24</v>
      </c>
      <c r="Q189" s="149">
        <f>B454</f>
        <v>393645.58937714866</v>
      </c>
      <c r="R189" s="149">
        <f>SUM(C443:C454)</f>
        <v>73903.887738053148</v>
      </c>
      <c r="S189" s="161">
        <f t="shared" ref="S189:T189" si="57">SUM(D443:D454)</f>
        <v>16986.555972379065</v>
      </c>
      <c r="T189" s="200">
        <f t="shared" si="57"/>
        <v>56917.331765674069</v>
      </c>
      <c r="U189" s="258">
        <v>24</v>
      </c>
      <c r="V189" s="183">
        <f>G454</f>
        <v>666654.91163100244</v>
      </c>
      <c r="W189" s="184">
        <f>SUM(H443:H454)</f>
        <v>128837.18952291337</v>
      </c>
      <c r="X189" s="183">
        <f t="shared" ref="X189:Y189" si="58">SUM(I443:I454)</f>
        <v>35869.805183236967</v>
      </c>
      <c r="Y189" s="184">
        <f t="shared" si="58"/>
        <v>92967.384339676399</v>
      </c>
      <c r="Z189" s="72">
        <v>24</v>
      </c>
      <c r="AA189" s="180">
        <f t="shared" si="46"/>
        <v>1060300.5010081511</v>
      </c>
      <c r="AB189" s="180">
        <f t="shared" si="46"/>
        <v>202741.07726096653</v>
      </c>
      <c r="AC189" s="180">
        <f t="shared" si="46"/>
        <v>52856.361155616032</v>
      </c>
      <c r="AD189" s="212">
        <f t="shared" si="46"/>
        <v>149884.71610535047</v>
      </c>
    </row>
    <row r="190" spans="1:30" x14ac:dyDescent="0.25">
      <c r="A190" s="72">
        <f t="shared" si="28"/>
        <v>24</v>
      </c>
      <c r="B190" s="183">
        <f t="shared" si="22"/>
        <v>1243639.7193176674</v>
      </c>
      <c r="C190" s="184">
        <f>-Industrial!$E$93/12</f>
        <v>6158.6573115044275</v>
      </c>
      <c r="D190" s="183">
        <f>Industrial!$E$91/12*B189</f>
        <v>4152.154075179973</v>
      </c>
      <c r="E190" s="185">
        <f t="shared" si="23"/>
        <v>2006.5032363244545</v>
      </c>
      <c r="F190" s="72">
        <f t="shared" si="29"/>
        <v>24</v>
      </c>
      <c r="G190" s="180">
        <f t="shared" si="24"/>
        <v>1939475.7363543373</v>
      </c>
      <c r="H190" s="186">
        <f>-Industrial!$E$98/12</f>
        <v>10736.432460242781</v>
      </c>
      <c r="I190" s="149">
        <f>Industrial!$E$96/12*G189</f>
        <v>8092.1666755791703</v>
      </c>
      <c r="J190" s="187">
        <f t="shared" si="25"/>
        <v>2644.2657846636102</v>
      </c>
      <c r="K190" s="72">
        <f t="shared" si="30"/>
        <v>24</v>
      </c>
      <c r="L190" s="180">
        <f t="shared" si="26"/>
        <v>3183115.4556720047</v>
      </c>
      <c r="M190" s="181">
        <f t="shared" si="26"/>
        <v>16895.089771747207</v>
      </c>
      <c r="N190" s="180">
        <f t="shared" si="26"/>
        <v>12244.320750759143</v>
      </c>
      <c r="O190" s="132">
        <f t="shared" si="26"/>
        <v>4650.7690209880648</v>
      </c>
      <c r="P190" s="258">
        <v>25</v>
      </c>
      <c r="Q190" s="149">
        <f>B466</f>
        <v>334409.35769646341</v>
      </c>
      <c r="R190" s="149">
        <f>SUM(C455:C466)</f>
        <v>73903.887738053148</v>
      </c>
      <c r="S190" s="161">
        <f t="shared" ref="S190:T190" si="59">SUM(D455:D466)</f>
        <v>14667.656057367953</v>
      </c>
      <c r="T190" s="200">
        <f t="shared" si="59"/>
        <v>59236.231680685174</v>
      </c>
      <c r="U190" s="258">
        <v>25</v>
      </c>
      <c r="V190" s="183">
        <f>G466</f>
        <v>568931.13946740748</v>
      </c>
      <c r="W190" s="184">
        <f>SUM(H455:H466)</f>
        <v>128837.18952291337</v>
      </c>
      <c r="X190" s="183">
        <f t="shared" ref="X190:Y190" si="60">SUM(I455:I466)</f>
        <v>31113.417359318595</v>
      </c>
      <c r="Y190" s="184">
        <f t="shared" si="60"/>
        <v>97723.772163594767</v>
      </c>
      <c r="Z190" s="72">
        <v>25</v>
      </c>
      <c r="AA190" s="180">
        <f t="shared" si="46"/>
        <v>903340.49716387084</v>
      </c>
      <c r="AB190" s="180">
        <f t="shared" si="46"/>
        <v>202741.07726096653</v>
      </c>
      <c r="AC190" s="180">
        <f t="shared" si="46"/>
        <v>45781.073416686544</v>
      </c>
      <c r="AD190" s="212">
        <f t="shared" si="46"/>
        <v>156960.00384427994</v>
      </c>
    </row>
    <row r="191" spans="1:30" x14ac:dyDescent="0.25">
      <c r="A191" s="72">
        <f t="shared" si="28"/>
        <v>25</v>
      </c>
      <c r="B191" s="183">
        <f t="shared" si="22"/>
        <v>1241626.5277372219</v>
      </c>
      <c r="C191" s="184">
        <f>-Industrial!$E$93/12</f>
        <v>6158.6573115044275</v>
      </c>
      <c r="D191" s="183">
        <f>Industrial!$E$91/12*B190</f>
        <v>4145.4657310588918</v>
      </c>
      <c r="E191" s="185">
        <f t="shared" si="23"/>
        <v>2013.1915804455357</v>
      </c>
      <c r="F191" s="72">
        <f t="shared" si="29"/>
        <v>25</v>
      </c>
      <c r="G191" s="180">
        <f t="shared" si="24"/>
        <v>1936820.4527955709</v>
      </c>
      <c r="H191" s="186">
        <f>-Industrial!$E$98/12</f>
        <v>10736.432460242781</v>
      </c>
      <c r="I191" s="149">
        <f>Industrial!$E$96/12*G190</f>
        <v>8081.1489014764056</v>
      </c>
      <c r="J191" s="187">
        <f t="shared" si="25"/>
        <v>2655.2835587663749</v>
      </c>
      <c r="K191" s="72">
        <f t="shared" si="30"/>
        <v>25</v>
      </c>
      <c r="L191" s="180">
        <f t="shared" si="26"/>
        <v>3178446.9805327929</v>
      </c>
      <c r="M191" s="181">
        <f t="shared" si="26"/>
        <v>16895.089771747207</v>
      </c>
      <c r="N191" s="180">
        <f t="shared" si="26"/>
        <v>12226.614632535297</v>
      </c>
      <c r="O191" s="132">
        <f t="shared" si="26"/>
        <v>4668.4751392119106</v>
      </c>
      <c r="P191" s="258">
        <v>26</v>
      </c>
      <c r="Q191" s="149">
        <f>B478</f>
        <v>272759.75054035295</v>
      </c>
      <c r="R191" s="149">
        <f>SUM(C467:C478)</f>
        <v>73903.887738053148</v>
      </c>
      <c r="S191" s="161">
        <f t="shared" ref="S191:T191" si="61">SUM(D467:D478)</f>
        <v>12254.280581942712</v>
      </c>
      <c r="T191" s="200">
        <f t="shared" si="61"/>
        <v>61649.607156110425</v>
      </c>
      <c r="U191" s="258">
        <v>26</v>
      </c>
      <c r="V191" s="183">
        <f>G478</f>
        <v>466207.63365176122</v>
      </c>
      <c r="W191" s="184">
        <f>SUM(H467:H478)</f>
        <v>128837.18952291337</v>
      </c>
      <c r="X191" s="183">
        <f t="shared" ref="X191:Y191" si="62">SUM(I467:I478)</f>
        <v>26113.683707267002</v>
      </c>
      <c r="Y191" s="184">
        <f t="shared" si="62"/>
        <v>102723.50581564636</v>
      </c>
      <c r="Z191" s="72">
        <v>26</v>
      </c>
      <c r="AA191" s="180">
        <f t="shared" si="46"/>
        <v>738967.38419211423</v>
      </c>
      <c r="AB191" s="180">
        <f t="shared" si="46"/>
        <v>202741.07726096653</v>
      </c>
      <c r="AC191" s="180">
        <f t="shared" si="46"/>
        <v>38367.964289209718</v>
      </c>
      <c r="AD191" s="212">
        <f t="shared" si="46"/>
        <v>164373.11297175678</v>
      </c>
    </row>
    <row r="192" spans="1:30" x14ac:dyDescent="0.25">
      <c r="A192" s="72">
        <f t="shared" si="28"/>
        <v>26</v>
      </c>
      <c r="B192" s="183">
        <f t="shared" si="22"/>
        <v>1239606.6255181748</v>
      </c>
      <c r="C192" s="184">
        <f>-Industrial!$E$93/12</f>
        <v>6158.6573115044275</v>
      </c>
      <c r="D192" s="183">
        <f>Industrial!$E$91/12*B191</f>
        <v>4138.755092457407</v>
      </c>
      <c r="E192" s="185">
        <f t="shared" si="23"/>
        <v>2019.9022190470205</v>
      </c>
      <c r="F192" s="72">
        <f t="shared" si="29"/>
        <v>26</v>
      </c>
      <c r="G192" s="180">
        <f t="shared" si="24"/>
        <v>1934154.1055553097</v>
      </c>
      <c r="H192" s="186">
        <f>-Industrial!$E$98/12</f>
        <v>10736.432460242781</v>
      </c>
      <c r="I192" s="149">
        <f>Industrial!$E$96/12*G191</f>
        <v>8070.0852199815454</v>
      </c>
      <c r="J192" s="187">
        <f t="shared" si="25"/>
        <v>2666.3472402612351</v>
      </c>
      <c r="K192" s="72">
        <f t="shared" si="30"/>
        <v>26</v>
      </c>
      <c r="L192" s="180">
        <f t="shared" si="26"/>
        <v>3173760.7310734848</v>
      </c>
      <c r="M192" s="181">
        <f t="shared" si="26"/>
        <v>16895.089771747207</v>
      </c>
      <c r="N192" s="180">
        <f t="shared" si="26"/>
        <v>12208.840312438952</v>
      </c>
      <c r="O192" s="132">
        <f t="shared" si="26"/>
        <v>4686.2494593082556</v>
      </c>
      <c r="P192" s="258">
        <v>27</v>
      </c>
      <c r="Q192" s="149">
        <f>B490</f>
        <v>208598.44326830376</v>
      </c>
      <c r="R192" s="149">
        <f>SUM(C479:C490)</f>
        <v>73903.887738053148</v>
      </c>
      <c r="S192" s="161">
        <f t="shared" ref="S192:T192" si="63">SUM(D479:D490)</f>
        <v>9742.5804660038702</v>
      </c>
      <c r="T192" s="200">
        <f t="shared" si="63"/>
        <v>64161.307272049256</v>
      </c>
      <c r="U192" s="258">
        <v>27</v>
      </c>
      <c r="V192" s="183">
        <f>G490</f>
        <v>358228.59832152113</v>
      </c>
      <c r="W192" s="184">
        <f>SUM(H479:H490)</f>
        <v>128837.18952291337</v>
      </c>
      <c r="X192" s="183">
        <f t="shared" ref="X192:Y192" si="64">SUM(I479:I490)</f>
        <v>20858.154192673272</v>
      </c>
      <c r="Y192" s="184">
        <f t="shared" si="64"/>
        <v>107979.03533024009</v>
      </c>
      <c r="Z192" s="72">
        <v>27</v>
      </c>
      <c r="AA192" s="180">
        <f t="shared" si="46"/>
        <v>566827.04158982495</v>
      </c>
      <c r="AB192" s="180">
        <f t="shared" si="46"/>
        <v>202741.07726096653</v>
      </c>
      <c r="AC192" s="180">
        <f t="shared" si="46"/>
        <v>30600.734658677142</v>
      </c>
      <c r="AD192" s="212">
        <f t="shared" si="46"/>
        <v>172140.34260228934</v>
      </c>
    </row>
    <row r="193" spans="1:30" x14ac:dyDescent="0.25">
      <c r="A193" s="72">
        <f t="shared" si="28"/>
        <v>27</v>
      </c>
      <c r="B193" s="183">
        <f t="shared" si="22"/>
        <v>1237579.990291731</v>
      </c>
      <c r="C193" s="184">
        <f>-Industrial!$E$93/12</f>
        <v>6158.6573115044275</v>
      </c>
      <c r="D193" s="183">
        <f>Industrial!$E$91/12*B192</f>
        <v>4132.0220850605829</v>
      </c>
      <c r="E193" s="185">
        <f t="shared" si="23"/>
        <v>2026.6352264438447</v>
      </c>
      <c r="F193" s="72">
        <f t="shared" si="29"/>
        <v>27</v>
      </c>
      <c r="G193" s="180">
        <f t="shared" si="24"/>
        <v>1931476.6485348807</v>
      </c>
      <c r="H193" s="186">
        <f>-Industrial!$E$98/12</f>
        <v>10736.432460242781</v>
      </c>
      <c r="I193" s="149">
        <f>Industrial!$E$96/12*G192</f>
        <v>8058.9754398137902</v>
      </c>
      <c r="J193" s="187">
        <f t="shared" si="25"/>
        <v>2677.4570204289903</v>
      </c>
      <c r="K193" s="72">
        <f t="shared" si="30"/>
        <v>27</v>
      </c>
      <c r="L193" s="180">
        <f t="shared" si="26"/>
        <v>3169056.6388266115</v>
      </c>
      <c r="M193" s="181">
        <f t="shared" si="26"/>
        <v>16895.089771747207</v>
      </c>
      <c r="N193" s="180">
        <f t="shared" si="26"/>
        <v>12190.997524874372</v>
      </c>
      <c r="O193" s="132">
        <f t="shared" si="26"/>
        <v>4704.0922468728349</v>
      </c>
      <c r="P193" s="258">
        <v>28</v>
      </c>
      <c r="Q193" s="149">
        <f>B502</f>
        <v>141823.10534224045</v>
      </c>
      <c r="R193" s="149">
        <f>SUM(C491:C502)</f>
        <v>73903.887738053148</v>
      </c>
      <c r="S193" s="161">
        <f t="shared" ref="S193:T193" si="65">SUM(D491:D502)</f>
        <v>7128.5498119898657</v>
      </c>
      <c r="T193" s="200">
        <f t="shared" si="65"/>
        <v>66775.337926063265</v>
      </c>
      <c r="U193" s="258">
        <v>28</v>
      </c>
      <c r="V193" s="183">
        <f>G502</f>
        <v>244725.15061234721</v>
      </c>
      <c r="W193" s="184">
        <f>SUM(H491:H502)</f>
        <v>128837.18952291337</v>
      </c>
      <c r="X193" s="183">
        <f t="shared" ref="X193:Y193" si="66">SUM(I491:I502)</f>
        <v>15333.741813739469</v>
      </c>
      <c r="Y193" s="184">
        <f t="shared" si="66"/>
        <v>113503.44770917391</v>
      </c>
      <c r="Z193" s="72">
        <v>28</v>
      </c>
      <c r="AA193" s="180">
        <f t="shared" si="46"/>
        <v>386548.25595458766</v>
      </c>
      <c r="AB193" s="180">
        <f t="shared" si="46"/>
        <v>202741.07726096653</v>
      </c>
      <c r="AC193" s="180">
        <f t="shared" si="46"/>
        <v>22462.291625729333</v>
      </c>
      <c r="AD193" s="212">
        <f t="shared" si="46"/>
        <v>180278.78563523717</v>
      </c>
    </row>
    <row r="194" spans="1:30" x14ac:dyDescent="0.25">
      <c r="A194" s="72">
        <f t="shared" si="28"/>
        <v>28</v>
      </c>
      <c r="B194" s="183">
        <f t="shared" si="22"/>
        <v>1235546.5996145322</v>
      </c>
      <c r="C194" s="184">
        <f>-Industrial!$E$93/12</f>
        <v>6158.6573115044275</v>
      </c>
      <c r="D194" s="183">
        <f>Industrial!$E$91/12*B193</f>
        <v>4125.2666343057699</v>
      </c>
      <c r="E194" s="185">
        <f t="shared" si="23"/>
        <v>2033.3906771986576</v>
      </c>
      <c r="F194" s="72">
        <f t="shared" si="29"/>
        <v>28</v>
      </c>
      <c r="G194" s="180">
        <f t="shared" si="24"/>
        <v>1928788.0354435332</v>
      </c>
      <c r="H194" s="186">
        <f>-Industrial!$E$98/12</f>
        <v>10736.432460242781</v>
      </c>
      <c r="I194" s="149">
        <f>Industrial!$E$96/12*G193</f>
        <v>8047.8193688953361</v>
      </c>
      <c r="J194" s="187">
        <f t="shared" si="25"/>
        <v>2688.6130913474444</v>
      </c>
      <c r="K194" s="72">
        <f t="shared" si="30"/>
        <v>28</v>
      </c>
      <c r="L194" s="180">
        <f t="shared" si="26"/>
        <v>3164334.6350580654</v>
      </c>
      <c r="M194" s="181">
        <f t="shared" si="26"/>
        <v>16895.089771747207</v>
      </c>
      <c r="N194" s="180">
        <f t="shared" si="26"/>
        <v>12173.086003201106</v>
      </c>
      <c r="O194" s="132">
        <f t="shared" si="26"/>
        <v>4722.003768546102</v>
      </c>
      <c r="P194" s="258">
        <v>29</v>
      </c>
      <c r="Q194" s="149">
        <f>B514</f>
        <v>72327.237120079008</v>
      </c>
      <c r="R194" s="149">
        <f>SUM(C503:C514)</f>
        <v>73903.887738053148</v>
      </c>
      <c r="S194" s="161">
        <f t="shared" ref="S194:T194" si="67">SUM(D503:D514)</f>
        <v>4408.0195158916986</v>
      </c>
      <c r="T194" s="200">
        <f t="shared" si="67"/>
        <v>69495.868222161429</v>
      </c>
      <c r="U194" s="258">
        <v>29</v>
      </c>
      <c r="V194" s="183">
        <f>G514</f>
        <v>125414.65110225193</v>
      </c>
      <c r="W194" s="184">
        <f>SUM(H503:H514)</f>
        <v>128837.18952291337</v>
      </c>
      <c r="X194" s="183">
        <f t="shared" ref="X194:Y194" si="68">SUM(I503:I514)</f>
        <v>9526.6900128180714</v>
      </c>
      <c r="Y194" s="184">
        <f t="shared" si="68"/>
        <v>119310.49951009529</v>
      </c>
      <c r="Z194" s="72">
        <v>29</v>
      </c>
      <c r="AA194" s="180">
        <f t="shared" si="46"/>
        <v>197741.88822233095</v>
      </c>
      <c r="AB194" s="180">
        <f t="shared" si="46"/>
        <v>202741.07726096653</v>
      </c>
      <c r="AC194" s="180">
        <f t="shared" si="46"/>
        <v>13934.709528709769</v>
      </c>
      <c r="AD194" s="212">
        <f t="shared" si="46"/>
        <v>188806.36773225671</v>
      </c>
    </row>
    <row r="195" spans="1:30" ht="16.5" thickBot="1" x14ac:dyDescent="0.3">
      <c r="A195" s="72">
        <f t="shared" si="28"/>
        <v>29</v>
      </c>
      <c r="B195" s="183">
        <f t="shared" si="22"/>
        <v>1233506.4309684096</v>
      </c>
      <c r="C195" s="184">
        <f>-Industrial!$E$93/12</f>
        <v>6158.6573115044275</v>
      </c>
      <c r="D195" s="183">
        <f>Industrial!$E$91/12*B194</f>
        <v>4118.4886653817739</v>
      </c>
      <c r="E195" s="185">
        <f t="shared" si="23"/>
        <v>2040.1686461226536</v>
      </c>
      <c r="F195" s="72">
        <f t="shared" si="29"/>
        <v>29</v>
      </c>
      <c r="G195" s="180">
        <f t="shared" si="24"/>
        <v>1926088.2197976385</v>
      </c>
      <c r="H195" s="186">
        <f>-Industrial!$E$98/12</f>
        <v>10736.432460242781</v>
      </c>
      <c r="I195" s="149">
        <f>Industrial!$E$96/12*G194</f>
        <v>8036.6168143480545</v>
      </c>
      <c r="J195" s="187">
        <f t="shared" si="25"/>
        <v>2699.815645894726</v>
      </c>
      <c r="K195" s="72">
        <f t="shared" si="30"/>
        <v>29</v>
      </c>
      <c r="L195" s="180">
        <f t="shared" si="26"/>
        <v>3159594.6507660481</v>
      </c>
      <c r="M195" s="181">
        <f t="shared" si="26"/>
        <v>16895.089771747207</v>
      </c>
      <c r="N195" s="180">
        <f t="shared" si="26"/>
        <v>12155.105479729827</v>
      </c>
      <c r="O195" s="132">
        <f t="shared" si="26"/>
        <v>4739.9842920173796</v>
      </c>
      <c r="P195" s="307">
        <v>30</v>
      </c>
      <c r="Q195" s="195">
        <f>B526</f>
        <v>-3.6470737541094422E-9</v>
      </c>
      <c r="R195" s="195">
        <f>SUM(C515:C526)</f>
        <v>73903.887738053148</v>
      </c>
      <c r="S195" s="308">
        <f t="shared" ref="S195:T195" si="69">SUM(D515:D526)</f>
        <v>1576.6506179704647</v>
      </c>
      <c r="T195" s="306">
        <f t="shared" si="69"/>
        <v>72327.237120082675</v>
      </c>
      <c r="U195" s="307">
        <v>30</v>
      </c>
      <c r="V195" s="191">
        <f>G526</f>
        <v>2.5574991013854742E-9</v>
      </c>
      <c r="W195" s="309">
        <f>SUM(H515:H526)</f>
        <v>128837.18952291337</v>
      </c>
      <c r="X195" s="191">
        <f t="shared" ref="X195:Y195" si="70">SUM(I515:I526)</f>
        <v>3422.5384206639992</v>
      </c>
      <c r="Y195" s="192">
        <f t="shared" si="70"/>
        <v>125414.65110224937</v>
      </c>
      <c r="Z195" s="307">
        <v>30</v>
      </c>
      <c r="AA195" s="188">
        <f t="shared" si="46"/>
        <v>-1.089574652723968E-9</v>
      </c>
      <c r="AB195" s="188">
        <f t="shared" si="46"/>
        <v>202741.07726096653</v>
      </c>
      <c r="AC195" s="188">
        <f t="shared" si="46"/>
        <v>4999.1890386344639</v>
      </c>
      <c r="AD195" s="244">
        <f t="shared" si="46"/>
        <v>197741.88822233205</v>
      </c>
    </row>
    <row r="196" spans="1:30" x14ac:dyDescent="0.25">
      <c r="A196" s="72">
        <f t="shared" si="28"/>
        <v>30</v>
      </c>
      <c r="B196" s="183">
        <f t="shared" si="22"/>
        <v>1231459.4617601333</v>
      </c>
      <c r="C196" s="184">
        <f>-Industrial!$E$93/12</f>
        <v>6158.6573115044275</v>
      </c>
      <c r="D196" s="183">
        <f>Industrial!$E$91/12*B195</f>
        <v>4111.6881032280326</v>
      </c>
      <c r="E196" s="185">
        <f t="shared" si="23"/>
        <v>2046.969208276395</v>
      </c>
      <c r="F196" s="72">
        <f t="shared" si="29"/>
        <v>30</v>
      </c>
      <c r="G196" s="180">
        <f t="shared" si="24"/>
        <v>1923377.1549198858</v>
      </c>
      <c r="H196" s="186">
        <f>-Industrial!$E$98/12</f>
        <v>10736.432460242781</v>
      </c>
      <c r="I196" s="149">
        <f>Industrial!$E$96/12*G195</f>
        <v>8025.3675824901602</v>
      </c>
      <c r="J196" s="187">
        <f t="shared" si="25"/>
        <v>2711.0648777526203</v>
      </c>
      <c r="K196" s="72">
        <f t="shared" si="30"/>
        <v>30</v>
      </c>
      <c r="L196" s="180">
        <f t="shared" si="26"/>
        <v>3154836.6166800191</v>
      </c>
      <c r="M196" s="181">
        <f t="shared" si="26"/>
        <v>16895.089771747207</v>
      </c>
      <c r="N196" s="180">
        <f t="shared" si="26"/>
        <v>12137.055685718193</v>
      </c>
      <c r="O196" s="132">
        <f t="shared" si="26"/>
        <v>4758.0340860290153</v>
      </c>
    </row>
    <row r="197" spans="1:30" x14ac:dyDescent="0.25">
      <c r="A197" s="72">
        <f t="shared" si="28"/>
        <v>31</v>
      </c>
      <c r="B197" s="183">
        <f t="shared" si="22"/>
        <v>1229405.6693211626</v>
      </c>
      <c r="C197" s="184">
        <f>-Industrial!$E$93/12</f>
        <v>6158.6573115044275</v>
      </c>
      <c r="D197" s="183">
        <f>Industrial!$E$91/12*B196</f>
        <v>4104.864872533778</v>
      </c>
      <c r="E197" s="185">
        <f t="shared" si="23"/>
        <v>2053.7924389706495</v>
      </c>
      <c r="F197" s="72">
        <f t="shared" si="29"/>
        <v>31</v>
      </c>
      <c r="G197" s="180">
        <f t="shared" si="24"/>
        <v>1920654.7939384759</v>
      </c>
      <c r="H197" s="186">
        <f>-Industrial!$E$98/12</f>
        <v>10736.432460242781</v>
      </c>
      <c r="I197" s="149">
        <f>Industrial!$E$96/12*G196</f>
        <v>8014.0714788328578</v>
      </c>
      <c r="J197" s="187">
        <f t="shared" si="25"/>
        <v>2722.3609814099227</v>
      </c>
      <c r="K197" s="72">
        <f t="shared" si="30"/>
        <v>31</v>
      </c>
      <c r="L197" s="180">
        <f t="shared" si="26"/>
        <v>3150060.4632596383</v>
      </c>
      <c r="M197" s="181">
        <f t="shared" si="26"/>
        <v>16895.089771747207</v>
      </c>
      <c r="N197" s="180">
        <f t="shared" si="26"/>
        <v>12118.936351366636</v>
      </c>
      <c r="O197" s="132">
        <f t="shared" si="26"/>
        <v>4776.1534203805722</v>
      </c>
    </row>
    <row r="198" spans="1:30" x14ac:dyDescent="0.25">
      <c r="A198" s="72">
        <f t="shared" si="28"/>
        <v>32</v>
      </c>
      <c r="B198" s="183">
        <f t="shared" si="22"/>
        <v>1227345.0309073953</v>
      </c>
      <c r="C198" s="184">
        <f>-Industrial!$E$93/12</f>
        <v>6158.6573115044275</v>
      </c>
      <c r="D198" s="183">
        <f>Industrial!$E$91/12*B197</f>
        <v>4098.018897737209</v>
      </c>
      <c r="E198" s="185">
        <f t="shared" si="23"/>
        <v>2060.6384137672185</v>
      </c>
      <c r="F198" s="72">
        <f t="shared" si="29"/>
        <v>32</v>
      </c>
      <c r="G198" s="180">
        <f t="shared" si="24"/>
        <v>1917921.08978631</v>
      </c>
      <c r="H198" s="186">
        <f>-Industrial!$E$98/12</f>
        <v>10736.432460242781</v>
      </c>
      <c r="I198" s="149">
        <f>Industrial!$E$96/12*G197</f>
        <v>8002.728308076983</v>
      </c>
      <c r="J198" s="187">
        <f t="shared" si="25"/>
        <v>2733.7041521657975</v>
      </c>
      <c r="K198" s="72">
        <f t="shared" si="30"/>
        <v>32</v>
      </c>
      <c r="L198" s="180">
        <f t="shared" si="26"/>
        <v>3145266.120693705</v>
      </c>
      <c r="M198" s="181">
        <f t="shared" si="26"/>
        <v>16895.089771747207</v>
      </c>
      <c r="N198" s="180">
        <f t="shared" si="26"/>
        <v>12100.747205814192</v>
      </c>
      <c r="O198" s="132">
        <f t="shared" si="26"/>
        <v>4794.342565933016</v>
      </c>
    </row>
    <row r="199" spans="1:30" x14ac:dyDescent="0.25">
      <c r="A199" s="72">
        <f t="shared" si="28"/>
        <v>33</v>
      </c>
      <c r="B199" s="183">
        <f t="shared" si="22"/>
        <v>1225277.5236989155</v>
      </c>
      <c r="C199" s="184">
        <f>-Industrial!$E$93/12</f>
        <v>6158.6573115044275</v>
      </c>
      <c r="D199" s="183">
        <f>Industrial!$E$91/12*B198</f>
        <v>4091.1501030246513</v>
      </c>
      <c r="E199" s="185">
        <f t="shared" si="23"/>
        <v>2067.5072084797762</v>
      </c>
      <c r="F199" s="72">
        <f t="shared" si="29"/>
        <v>33</v>
      </c>
      <c r="G199" s="180">
        <f t="shared" si="24"/>
        <v>1915175.9952001767</v>
      </c>
      <c r="H199" s="186">
        <f>-Industrial!$E$98/12</f>
        <v>10736.432460242781</v>
      </c>
      <c r="I199" s="149">
        <f>Industrial!$E$96/12*G198</f>
        <v>7991.3378741096249</v>
      </c>
      <c r="J199" s="187">
        <f t="shared" si="25"/>
        <v>2745.0945861331556</v>
      </c>
      <c r="K199" s="72">
        <f t="shared" si="30"/>
        <v>33</v>
      </c>
      <c r="L199" s="180">
        <f t="shared" si="26"/>
        <v>3140453.5188990925</v>
      </c>
      <c r="M199" s="181">
        <f t="shared" si="26"/>
        <v>16895.089771747207</v>
      </c>
      <c r="N199" s="180">
        <f t="shared" si="26"/>
        <v>12082.487977134277</v>
      </c>
      <c r="O199" s="132">
        <f t="shared" si="26"/>
        <v>4812.6017946129323</v>
      </c>
    </row>
    <row r="200" spans="1:30" x14ac:dyDescent="0.25">
      <c r="A200" s="72">
        <f t="shared" si="28"/>
        <v>34</v>
      </c>
      <c r="B200" s="183">
        <f t="shared" si="22"/>
        <v>1223203.1247997407</v>
      </c>
      <c r="C200" s="184">
        <f>-Industrial!$E$93/12</f>
        <v>6158.6573115044275</v>
      </c>
      <c r="D200" s="183">
        <f>Industrial!$E$91/12*B199</f>
        <v>4084.2584123297188</v>
      </c>
      <c r="E200" s="185">
        <f t="shared" si="23"/>
        <v>2074.3988991747087</v>
      </c>
      <c r="F200" s="72">
        <f t="shared" si="29"/>
        <v>34</v>
      </c>
      <c r="G200" s="180">
        <f t="shared" si="24"/>
        <v>1912419.4627199348</v>
      </c>
      <c r="H200" s="186">
        <f>-Industrial!$E$98/12</f>
        <v>10736.432460242781</v>
      </c>
      <c r="I200" s="149">
        <f>Industrial!$E$96/12*G199</f>
        <v>7979.8999800007359</v>
      </c>
      <c r="J200" s="187">
        <f t="shared" si="25"/>
        <v>2756.5324802420446</v>
      </c>
      <c r="K200" s="72">
        <f t="shared" si="30"/>
        <v>34</v>
      </c>
      <c r="L200" s="180">
        <f t="shared" si="26"/>
        <v>3135622.5875196755</v>
      </c>
      <c r="M200" s="181">
        <f t="shared" si="26"/>
        <v>16895.089771747207</v>
      </c>
      <c r="N200" s="180">
        <f t="shared" si="26"/>
        <v>12064.158392330455</v>
      </c>
      <c r="O200" s="132">
        <f t="shared" si="26"/>
        <v>4830.9313794167538</v>
      </c>
    </row>
    <row r="201" spans="1:30" x14ac:dyDescent="0.25">
      <c r="A201" s="72">
        <f t="shared" si="28"/>
        <v>35</v>
      </c>
      <c r="B201" s="183">
        <f t="shared" si="22"/>
        <v>1221121.8112375687</v>
      </c>
      <c r="C201" s="184">
        <f>-Industrial!$E$93/12</f>
        <v>6158.6573115044275</v>
      </c>
      <c r="D201" s="183">
        <f>Industrial!$E$91/12*B200</f>
        <v>4077.3437493324695</v>
      </c>
      <c r="E201" s="185">
        <f t="shared" si="23"/>
        <v>2081.313562171958</v>
      </c>
      <c r="F201" s="72">
        <f t="shared" si="29"/>
        <v>35</v>
      </c>
      <c r="G201" s="180">
        <f t="shared" si="24"/>
        <v>1909651.4446876918</v>
      </c>
      <c r="H201" s="186">
        <f>-Industrial!$E$98/12</f>
        <v>10736.432460242781</v>
      </c>
      <c r="I201" s="149">
        <f>Industrial!$E$96/12*G200</f>
        <v>7968.4144279997281</v>
      </c>
      <c r="J201" s="187">
        <f t="shared" si="25"/>
        <v>2768.0180322430524</v>
      </c>
      <c r="K201" s="72">
        <f t="shared" si="30"/>
        <v>35</v>
      </c>
      <c r="L201" s="180">
        <f t="shared" si="26"/>
        <v>3130773.2559252605</v>
      </c>
      <c r="M201" s="181">
        <f t="shared" si="26"/>
        <v>16895.089771747207</v>
      </c>
      <c r="N201" s="180">
        <f t="shared" si="26"/>
        <v>12045.758177332198</v>
      </c>
      <c r="O201" s="132">
        <f t="shared" si="26"/>
        <v>4849.3315944150108</v>
      </c>
    </row>
    <row r="202" spans="1:30" x14ac:dyDescent="0.25">
      <c r="A202" s="72">
        <f t="shared" si="28"/>
        <v>36</v>
      </c>
      <c r="B202" s="183">
        <f t="shared" si="22"/>
        <v>1219033.5599635229</v>
      </c>
      <c r="C202" s="184">
        <f>-Industrial!$E$93/12</f>
        <v>6158.6573115044275</v>
      </c>
      <c r="D202" s="183">
        <f>Industrial!$E$91/12*B201</f>
        <v>4070.4060374585629</v>
      </c>
      <c r="E202" s="185">
        <f t="shared" si="23"/>
        <v>2088.2512740458646</v>
      </c>
      <c r="F202" s="72">
        <f t="shared" si="29"/>
        <v>36</v>
      </c>
      <c r="G202" s="180">
        <f t="shared" si="24"/>
        <v>1906871.8932469811</v>
      </c>
      <c r="H202" s="186">
        <f>-Industrial!$E$98/12</f>
        <v>10736.432460242781</v>
      </c>
      <c r="I202" s="149">
        <f>Industrial!$E$96/12*G201</f>
        <v>7956.8810195320484</v>
      </c>
      <c r="J202" s="187">
        <f t="shared" si="25"/>
        <v>2779.5514407107321</v>
      </c>
      <c r="K202" s="72">
        <f t="shared" si="30"/>
        <v>36</v>
      </c>
      <c r="L202" s="180">
        <f t="shared" si="26"/>
        <v>3125905.4532105038</v>
      </c>
      <c r="M202" s="181">
        <f t="shared" si="26"/>
        <v>16895.089771747207</v>
      </c>
      <c r="N202" s="180">
        <f t="shared" si="26"/>
        <v>12027.287056990612</v>
      </c>
      <c r="O202" s="132">
        <f t="shared" si="26"/>
        <v>4867.8027147565972</v>
      </c>
    </row>
    <row r="203" spans="1:30" x14ac:dyDescent="0.25">
      <c r="A203" s="72">
        <f t="shared" si="28"/>
        <v>37</v>
      </c>
      <c r="B203" s="183">
        <f t="shared" si="22"/>
        <v>1216938.3478518969</v>
      </c>
      <c r="C203" s="184">
        <f>-Industrial!$E$93/12</f>
        <v>6158.6573115044275</v>
      </c>
      <c r="D203" s="183">
        <f>Industrial!$E$91/12*B202</f>
        <v>4063.4451998784102</v>
      </c>
      <c r="E203" s="185">
        <f t="shared" si="23"/>
        <v>2095.2121116260173</v>
      </c>
      <c r="F203" s="72">
        <f t="shared" si="29"/>
        <v>37</v>
      </c>
      <c r="G203" s="180">
        <f t="shared" si="24"/>
        <v>1904080.7603419342</v>
      </c>
      <c r="H203" s="186">
        <f>-Industrial!$E$98/12</f>
        <v>10736.432460242781</v>
      </c>
      <c r="I203" s="149">
        <f>Industrial!$E$96/12*G202</f>
        <v>7945.2995551957547</v>
      </c>
      <c r="J203" s="187">
        <f t="shared" si="25"/>
        <v>2791.1329050470258</v>
      </c>
      <c r="K203" s="72">
        <f t="shared" si="30"/>
        <v>37</v>
      </c>
      <c r="L203" s="180">
        <f t="shared" si="26"/>
        <v>3121019.1081938311</v>
      </c>
      <c r="M203" s="181">
        <f t="shared" si="26"/>
        <v>16895.089771747207</v>
      </c>
      <c r="N203" s="180">
        <f t="shared" si="26"/>
        <v>12008.744755074165</v>
      </c>
      <c r="O203" s="132">
        <f t="shared" si="26"/>
        <v>4886.3450166730436</v>
      </c>
    </row>
    <row r="204" spans="1:30" x14ac:dyDescent="0.25">
      <c r="A204" s="72">
        <f t="shared" si="28"/>
        <v>38</v>
      </c>
      <c r="B204" s="183">
        <f t="shared" si="22"/>
        <v>1214836.1516998988</v>
      </c>
      <c r="C204" s="184">
        <f>-Industrial!$E$93/12</f>
        <v>6158.6573115044275</v>
      </c>
      <c r="D204" s="183">
        <f>Industrial!$E$91/12*B203</f>
        <v>4056.4611595063234</v>
      </c>
      <c r="E204" s="185">
        <f t="shared" si="23"/>
        <v>2102.1961519981041</v>
      </c>
      <c r="F204" s="72">
        <f t="shared" si="29"/>
        <v>38</v>
      </c>
      <c r="G204" s="180">
        <f t="shared" si="24"/>
        <v>1901277.9977164494</v>
      </c>
      <c r="H204" s="186">
        <f>-Industrial!$E$98/12</f>
        <v>10736.432460242781</v>
      </c>
      <c r="I204" s="149">
        <f>Industrial!$E$96/12*G203</f>
        <v>7933.6698347580586</v>
      </c>
      <c r="J204" s="187">
        <f t="shared" si="25"/>
        <v>2802.7626254847219</v>
      </c>
      <c r="K204" s="72">
        <f t="shared" si="30"/>
        <v>38</v>
      </c>
      <c r="L204" s="180">
        <f t="shared" si="26"/>
        <v>3116114.149416348</v>
      </c>
      <c r="M204" s="181">
        <f t="shared" si="26"/>
        <v>16895.089771747207</v>
      </c>
      <c r="N204" s="180">
        <f t="shared" si="26"/>
        <v>11990.130994264382</v>
      </c>
      <c r="O204" s="132">
        <f t="shared" si="26"/>
        <v>4904.958777482826</v>
      </c>
    </row>
    <row r="205" spans="1:30" x14ac:dyDescent="0.25">
      <c r="A205" s="72">
        <f t="shared" si="28"/>
        <v>39</v>
      </c>
      <c r="B205" s="183">
        <f t="shared" si="22"/>
        <v>1212726.9482273939</v>
      </c>
      <c r="C205" s="184">
        <f>-Industrial!$E$93/12</f>
        <v>6158.6573115044275</v>
      </c>
      <c r="D205" s="183">
        <f>Industrial!$E$91/12*B204</f>
        <v>4049.4538389996628</v>
      </c>
      <c r="E205" s="185">
        <f t="shared" si="23"/>
        <v>2109.2034725047647</v>
      </c>
      <c r="F205" s="72">
        <f t="shared" si="29"/>
        <v>39</v>
      </c>
      <c r="G205" s="180">
        <f t="shared" si="24"/>
        <v>1898463.5569133586</v>
      </c>
      <c r="H205" s="186">
        <f>-Industrial!$E$98/12</f>
        <v>10736.432460242781</v>
      </c>
      <c r="I205" s="149">
        <f>Industrial!$E$96/12*G204</f>
        <v>7921.9916571518725</v>
      </c>
      <c r="J205" s="187">
        <f t="shared" si="25"/>
        <v>2814.440803090908</v>
      </c>
      <c r="K205" s="72">
        <f t="shared" si="30"/>
        <v>39</v>
      </c>
      <c r="L205" s="180">
        <f t="shared" si="26"/>
        <v>3111190.5051407525</v>
      </c>
      <c r="M205" s="181">
        <f t="shared" si="26"/>
        <v>16895.089771747207</v>
      </c>
      <c r="N205" s="180">
        <f t="shared" si="26"/>
        <v>11971.445496151535</v>
      </c>
      <c r="O205" s="132">
        <f t="shared" si="26"/>
        <v>4923.6442755956723</v>
      </c>
    </row>
    <row r="206" spans="1:30" x14ac:dyDescent="0.25">
      <c r="A206" s="72">
        <f t="shared" si="28"/>
        <v>40</v>
      </c>
      <c r="B206" s="183">
        <f t="shared" si="22"/>
        <v>1210610.7140766475</v>
      </c>
      <c r="C206" s="184">
        <f>-Industrial!$E$93/12</f>
        <v>6158.6573115044275</v>
      </c>
      <c r="D206" s="183">
        <f>Industrial!$E$91/12*B205</f>
        <v>4042.42316075798</v>
      </c>
      <c r="E206" s="185">
        <f t="shared" si="23"/>
        <v>2116.2341507464475</v>
      </c>
      <c r="F206" s="72">
        <f t="shared" si="29"/>
        <v>40</v>
      </c>
      <c r="G206" s="180">
        <f t="shared" si="24"/>
        <v>1895637.3892735881</v>
      </c>
      <c r="H206" s="186">
        <f>-Industrial!$E$98/12</f>
        <v>10736.432460242781</v>
      </c>
      <c r="I206" s="149">
        <f>Industrial!$E$96/12*G205</f>
        <v>7910.2648204723273</v>
      </c>
      <c r="J206" s="187">
        <f t="shared" si="25"/>
        <v>2826.1676397704532</v>
      </c>
      <c r="K206" s="72">
        <f t="shared" si="30"/>
        <v>40</v>
      </c>
      <c r="L206" s="180">
        <f t="shared" si="26"/>
        <v>3106248.1033502356</v>
      </c>
      <c r="M206" s="181">
        <f t="shared" si="26"/>
        <v>16895.089771747207</v>
      </c>
      <c r="N206" s="180">
        <f t="shared" si="26"/>
        <v>11952.687981230307</v>
      </c>
      <c r="O206" s="132">
        <f t="shared" si="26"/>
        <v>4942.4017905169003</v>
      </c>
    </row>
    <row r="207" spans="1:30" x14ac:dyDescent="0.25">
      <c r="A207" s="72">
        <f t="shared" si="28"/>
        <v>41</v>
      </c>
      <c r="B207" s="183">
        <f t="shared" si="22"/>
        <v>1208487.4258120654</v>
      </c>
      <c r="C207" s="184">
        <f>-Industrial!$E$93/12</f>
        <v>6158.6573115044275</v>
      </c>
      <c r="D207" s="183">
        <f>Industrial!$E$91/12*B206</f>
        <v>4035.3690469221588</v>
      </c>
      <c r="E207" s="185">
        <f t="shared" si="23"/>
        <v>2123.2882645822688</v>
      </c>
      <c r="F207" s="72">
        <f t="shared" si="29"/>
        <v>41</v>
      </c>
      <c r="G207" s="180">
        <f t="shared" si="24"/>
        <v>1892799.4459353185</v>
      </c>
      <c r="H207" s="186">
        <f>-Industrial!$E$98/12</f>
        <v>10736.432460242781</v>
      </c>
      <c r="I207" s="149">
        <f>Industrial!$E$96/12*G206</f>
        <v>7898.4891219732835</v>
      </c>
      <c r="J207" s="187">
        <f t="shared" si="25"/>
        <v>2837.943338269497</v>
      </c>
      <c r="K207" s="72">
        <f t="shared" si="30"/>
        <v>41</v>
      </c>
      <c r="L207" s="180">
        <f t="shared" si="26"/>
        <v>3101286.8717473838</v>
      </c>
      <c r="M207" s="181">
        <f t="shared" si="26"/>
        <v>16895.089771747207</v>
      </c>
      <c r="N207" s="180">
        <f t="shared" si="26"/>
        <v>11933.858168895442</v>
      </c>
      <c r="O207" s="132">
        <f t="shared" si="26"/>
        <v>4961.2316028517653</v>
      </c>
    </row>
    <row r="208" spans="1:30" x14ac:dyDescent="0.25">
      <c r="A208" s="72">
        <f t="shared" si="28"/>
        <v>42</v>
      </c>
      <c r="B208" s="183">
        <f t="shared" si="22"/>
        <v>1206357.0599199345</v>
      </c>
      <c r="C208" s="184">
        <f>-Industrial!$E$93/12</f>
        <v>6158.6573115044275</v>
      </c>
      <c r="D208" s="183">
        <f>Industrial!$E$91/12*B207</f>
        <v>4028.2914193735514</v>
      </c>
      <c r="E208" s="185">
        <f t="shared" si="23"/>
        <v>2130.3658921308761</v>
      </c>
      <c r="F208" s="72">
        <f t="shared" si="29"/>
        <v>42</v>
      </c>
      <c r="G208" s="180">
        <f t="shared" si="24"/>
        <v>1889949.6778331394</v>
      </c>
      <c r="H208" s="186">
        <f>-Industrial!$E$98/12</f>
        <v>10736.432460242781</v>
      </c>
      <c r="I208" s="149">
        <f>Industrial!$E$96/12*G207</f>
        <v>7886.6643580638265</v>
      </c>
      <c r="J208" s="187">
        <f t="shared" si="25"/>
        <v>2849.768102178954</v>
      </c>
      <c r="K208" s="72">
        <f t="shared" si="30"/>
        <v>42</v>
      </c>
      <c r="L208" s="180">
        <f t="shared" si="26"/>
        <v>3096306.7377530737</v>
      </c>
      <c r="M208" s="181">
        <f t="shared" si="26"/>
        <v>16895.089771747207</v>
      </c>
      <c r="N208" s="180">
        <f t="shared" si="26"/>
        <v>11914.955777437379</v>
      </c>
      <c r="O208" s="132">
        <f t="shared" si="26"/>
        <v>4980.1339943098301</v>
      </c>
    </row>
    <row r="209" spans="1:15" x14ac:dyDescent="0.25">
      <c r="A209" s="72">
        <f t="shared" si="28"/>
        <v>43</v>
      </c>
      <c r="B209" s="183">
        <f t="shared" si="22"/>
        <v>1204219.5928081633</v>
      </c>
      <c r="C209" s="184">
        <f>-Industrial!$E$93/12</f>
        <v>6158.6573115044275</v>
      </c>
      <c r="D209" s="183">
        <f>Industrial!$E$91/12*B208</f>
        <v>4021.1901997331152</v>
      </c>
      <c r="E209" s="185">
        <f t="shared" si="23"/>
        <v>2137.4671117713124</v>
      </c>
      <c r="F209" s="72">
        <f t="shared" si="29"/>
        <v>43</v>
      </c>
      <c r="G209" s="180">
        <f t="shared" si="24"/>
        <v>1887088.0356972015</v>
      </c>
      <c r="H209" s="186">
        <f>-Industrial!$E$98/12</f>
        <v>10736.432460242781</v>
      </c>
      <c r="I209" s="149">
        <f>Industrial!$E$96/12*G208</f>
        <v>7874.7903243047476</v>
      </c>
      <c r="J209" s="187">
        <f t="shared" si="25"/>
        <v>2861.6421359380329</v>
      </c>
      <c r="K209" s="72">
        <f t="shared" si="30"/>
        <v>43</v>
      </c>
      <c r="L209" s="180">
        <f t="shared" si="26"/>
        <v>3091307.628505365</v>
      </c>
      <c r="M209" s="181">
        <f t="shared" si="26"/>
        <v>16895.089771747207</v>
      </c>
      <c r="N209" s="180">
        <f t="shared" si="26"/>
        <v>11895.980524037863</v>
      </c>
      <c r="O209" s="132">
        <f t="shared" si="26"/>
        <v>4999.1092477093453</v>
      </c>
    </row>
    <row r="210" spans="1:15" x14ac:dyDescent="0.25">
      <c r="A210" s="72">
        <f t="shared" si="28"/>
        <v>44</v>
      </c>
      <c r="B210" s="183">
        <f t="shared" si="22"/>
        <v>1202075.0008060194</v>
      </c>
      <c r="C210" s="184">
        <f>-Industrial!$E$93/12</f>
        <v>6158.6573115044275</v>
      </c>
      <c r="D210" s="183">
        <f>Industrial!$E$91/12*B209</f>
        <v>4014.0653093605442</v>
      </c>
      <c r="E210" s="185">
        <f t="shared" si="23"/>
        <v>2144.5920021438833</v>
      </c>
      <c r="F210" s="72">
        <f t="shared" si="29"/>
        <v>44</v>
      </c>
      <c r="G210" s="180">
        <f t="shared" si="24"/>
        <v>1884214.4700523638</v>
      </c>
      <c r="H210" s="186">
        <f>-Industrial!$E$98/12</f>
        <v>10736.432460242781</v>
      </c>
      <c r="I210" s="149">
        <f>Industrial!$E$96/12*G209</f>
        <v>7862.8668154050065</v>
      </c>
      <c r="J210" s="187">
        <f t="shared" si="25"/>
        <v>2873.565644837774</v>
      </c>
      <c r="K210" s="72">
        <f t="shared" si="30"/>
        <v>44</v>
      </c>
      <c r="L210" s="180">
        <f t="shared" si="26"/>
        <v>3086289.470858383</v>
      </c>
      <c r="M210" s="181">
        <f t="shared" si="26"/>
        <v>16895.089771747207</v>
      </c>
      <c r="N210" s="180">
        <f t="shared" si="26"/>
        <v>11876.93212476555</v>
      </c>
      <c r="O210" s="132">
        <f t="shared" si="26"/>
        <v>5018.1576469816573</v>
      </c>
    </row>
    <row r="211" spans="1:15" x14ac:dyDescent="0.25">
      <c r="A211" s="72">
        <f t="shared" si="28"/>
        <v>45</v>
      </c>
      <c r="B211" s="183">
        <f t="shared" si="22"/>
        <v>1199923.2601638683</v>
      </c>
      <c r="C211" s="184">
        <f>-Industrial!$E$93/12</f>
        <v>6158.6573115044275</v>
      </c>
      <c r="D211" s="183">
        <f>Industrial!$E$91/12*B210</f>
        <v>4006.9166693533984</v>
      </c>
      <c r="E211" s="185">
        <f t="shared" si="23"/>
        <v>2151.7406421510291</v>
      </c>
      <c r="F211" s="72">
        <f t="shared" si="29"/>
        <v>45</v>
      </c>
      <c r="G211" s="180">
        <f t="shared" si="24"/>
        <v>1881328.9312173391</v>
      </c>
      <c r="H211" s="186">
        <f>-Industrial!$E$98/12</f>
        <v>10736.432460242781</v>
      </c>
      <c r="I211" s="149">
        <f>Industrial!$E$96/12*G210</f>
        <v>7850.893625218182</v>
      </c>
      <c r="J211" s="187">
        <f t="shared" si="25"/>
        <v>2885.5388350245985</v>
      </c>
      <c r="K211" s="72">
        <f t="shared" si="30"/>
        <v>45</v>
      </c>
      <c r="L211" s="180">
        <f t="shared" si="26"/>
        <v>3081252.1913812077</v>
      </c>
      <c r="M211" s="181">
        <f t="shared" si="26"/>
        <v>16895.089771747207</v>
      </c>
      <c r="N211" s="180">
        <f t="shared" si="26"/>
        <v>11857.81029457158</v>
      </c>
      <c r="O211" s="132">
        <f t="shared" si="26"/>
        <v>5037.2794771756271</v>
      </c>
    </row>
    <row r="212" spans="1:15" x14ac:dyDescent="0.25">
      <c r="A212" s="72">
        <f t="shared" si="28"/>
        <v>46</v>
      </c>
      <c r="B212" s="183">
        <f t="shared" si="22"/>
        <v>1197764.3470529101</v>
      </c>
      <c r="C212" s="184">
        <f>-Industrial!$E$93/12</f>
        <v>6158.6573115044275</v>
      </c>
      <c r="D212" s="183">
        <f>Industrial!$E$91/12*B211</f>
        <v>3999.7442005462281</v>
      </c>
      <c r="E212" s="185">
        <f t="shared" si="23"/>
        <v>2158.9131109581995</v>
      </c>
      <c r="F212" s="72">
        <f t="shared" si="29"/>
        <v>46</v>
      </c>
      <c r="G212" s="180">
        <f t="shared" si="24"/>
        <v>1878431.3693038353</v>
      </c>
      <c r="H212" s="186">
        <f>-Industrial!$E$98/12</f>
        <v>10736.432460242781</v>
      </c>
      <c r="I212" s="149">
        <f>Industrial!$E$96/12*G211</f>
        <v>7838.8705467389127</v>
      </c>
      <c r="J212" s="187">
        <f t="shared" si="25"/>
        <v>2897.5619135038678</v>
      </c>
      <c r="K212" s="72">
        <f t="shared" si="30"/>
        <v>46</v>
      </c>
      <c r="L212" s="180">
        <f t="shared" si="26"/>
        <v>3076195.7163567455</v>
      </c>
      <c r="M212" s="181">
        <f t="shared" si="26"/>
        <v>16895.089771747207</v>
      </c>
      <c r="N212" s="180">
        <f t="shared" si="26"/>
        <v>11838.614747285141</v>
      </c>
      <c r="O212" s="132">
        <f t="shared" si="26"/>
        <v>5056.4750244620673</v>
      </c>
    </row>
    <row r="213" spans="1:15" x14ac:dyDescent="0.25">
      <c r="A213" s="72">
        <f t="shared" si="28"/>
        <v>47</v>
      </c>
      <c r="B213" s="183">
        <f t="shared" si="22"/>
        <v>1195598.2375649153</v>
      </c>
      <c r="C213" s="184">
        <f>-Industrial!$E$93/12</f>
        <v>6158.6573115044275</v>
      </c>
      <c r="D213" s="183">
        <f>Industrial!$E$91/12*B212</f>
        <v>3992.5478235097007</v>
      </c>
      <c r="E213" s="185">
        <f t="shared" si="23"/>
        <v>2166.1094879947268</v>
      </c>
      <c r="F213" s="72">
        <f t="shared" si="29"/>
        <v>47</v>
      </c>
      <c r="G213" s="180">
        <f t="shared" si="24"/>
        <v>1875521.7342156919</v>
      </c>
      <c r="H213" s="186">
        <f>-Industrial!$E$98/12</f>
        <v>10736.432460242781</v>
      </c>
      <c r="I213" s="149">
        <f>Industrial!$E$96/12*G212</f>
        <v>7826.7973720993141</v>
      </c>
      <c r="J213" s="187">
        <f t="shared" si="25"/>
        <v>2909.6350881434664</v>
      </c>
      <c r="K213" s="72">
        <f t="shared" si="30"/>
        <v>47</v>
      </c>
      <c r="L213" s="180">
        <f t="shared" si="26"/>
        <v>3071119.9717806075</v>
      </c>
      <c r="M213" s="181">
        <f t="shared" si="26"/>
        <v>16895.089771747207</v>
      </c>
      <c r="N213" s="180">
        <f t="shared" si="26"/>
        <v>11819.345195609014</v>
      </c>
      <c r="O213" s="132">
        <f t="shared" si="26"/>
        <v>5075.7445761381932</v>
      </c>
    </row>
    <row r="214" spans="1:15" x14ac:dyDescent="0.25">
      <c r="A214" s="72">
        <f t="shared" si="28"/>
        <v>48</v>
      </c>
      <c r="B214" s="183">
        <f t="shared" si="22"/>
        <v>1193424.9077119606</v>
      </c>
      <c r="C214" s="184">
        <f>-Industrial!$E$93/12</f>
        <v>6158.6573115044275</v>
      </c>
      <c r="D214" s="183">
        <f>Industrial!$E$91/12*B213</f>
        <v>3985.3274585497179</v>
      </c>
      <c r="E214" s="185">
        <f t="shared" si="23"/>
        <v>2173.3298529547096</v>
      </c>
      <c r="F214" s="72">
        <f t="shared" si="29"/>
        <v>48</v>
      </c>
      <c r="G214" s="180">
        <f t="shared" si="24"/>
        <v>1872599.9756480146</v>
      </c>
      <c r="H214" s="186">
        <f>-Industrial!$E$98/12</f>
        <v>10736.432460242781</v>
      </c>
      <c r="I214" s="149">
        <f>Industrial!$E$96/12*G213</f>
        <v>7814.6738925653826</v>
      </c>
      <c r="J214" s="187">
        <f t="shared" si="25"/>
        <v>2921.7585676773979</v>
      </c>
      <c r="K214" s="72">
        <f t="shared" si="30"/>
        <v>48</v>
      </c>
      <c r="L214" s="180">
        <f t="shared" si="26"/>
        <v>3066024.8833599752</v>
      </c>
      <c r="M214" s="181">
        <f t="shared" si="26"/>
        <v>16895.089771747207</v>
      </c>
      <c r="N214" s="180">
        <f t="shared" si="26"/>
        <v>11800.001351115101</v>
      </c>
      <c r="O214" s="132">
        <f t="shared" si="26"/>
        <v>5095.088420632108</v>
      </c>
    </row>
    <row r="215" spans="1:15" x14ac:dyDescent="0.25">
      <c r="A215" s="72">
        <f t="shared" si="28"/>
        <v>49</v>
      </c>
      <c r="B215" s="183">
        <f t="shared" si="22"/>
        <v>1191244.3334261626</v>
      </c>
      <c r="C215" s="184">
        <f>-Industrial!$E$93/12</f>
        <v>6158.6573115044275</v>
      </c>
      <c r="D215" s="183">
        <f>Industrial!$E$91/12*B214</f>
        <v>3978.0830257065354</v>
      </c>
      <c r="E215" s="185">
        <f t="shared" si="23"/>
        <v>2180.5742857978921</v>
      </c>
      <c r="F215" s="72">
        <f t="shared" si="29"/>
        <v>49</v>
      </c>
      <c r="G215" s="180">
        <f t="shared" si="24"/>
        <v>1869666.0430863053</v>
      </c>
      <c r="H215" s="186">
        <f>-Industrial!$E$98/12</f>
        <v>10736.432460242781</v>
      </c>
      <c r="I215" s="149">
        <f>Industrial!$E$96/12*G214</f>
        <v>7802.4998985333941</v>
      </c>
      <c r="J215" s="187">
        <f t="shared" si="25"/>
        <v>2933.9325617093864</v>
      </c>
      <c r="K215" s="72">
        <f t="shared" si="30"/>
        <v>49</v>
      </c>
      <c r="L215" s="180">
        <f t="shared" si="26"/>
        <v>3060910.3765124679</v>
      </c>
      <c r="M215" s="181">
        <f t="shared" si="26"/>
        <v>16895.089771747207</v>
      </c>
      <c r="N215" s="180">
        <f t="shared" si="26"/>
        <v>11780.58292423993</v>
      </c>
      <c r="O215" s="132">
        <f t="shared" si="26"/>
        <v>5114.5068475072785</v>
      </c>
    </row>
    <row r="216" spans="1:15" x14ac:dyDescent="0.25">
      <c r="A216" s="72">
        <f t="shared" si="28"/>
        <v>50</v>
      </c>
      <c r="B216" s="183">
        <f t="shared" si="22"/>
        <v>1189056.4905594119</v>
      </c>
      <c r="C216" s="184">
        <f>-Industrial!$E$93/12</f>
        <v>6158.6573115044275</v>
      </c>
      <c r="D216" s="183">
        <f>Industrial!$E$91/12*B215</f>
        <v>3970.8144447538757</v>
      </c>
      <c r="E216" s="185">
        <f t="shared" si="23"/>
        <v>2187.8428667505518</v>
      </c>
      <c r="F216" s="72">
        <f t="shared" si="29"/>
        <v>50</v>
      </c>
      <c r="G216" s="180">
        <f t="shared" si="24"/>
        <v>1866719.8858055887</v>
      </c>
      <c r="H216" s="186">
        <f>-Industrial!$E$98/12</f>
        <v>10736.432460242781</v>
      </c>
      <c r="I216" s="149">
        <f>Industrial!$E$96/12*G215</f>
        <v>7790.275179526272</v>
      </c>
      <c r="J216" s="187">
        <f t="shared" si="25"/>
        <v>2946.1572807165085</v>
      </c>
      <c r="K216" s="72">
        <f t="shared" si="30"/>
        <v>50</v>
      </c>
      <c r="L216" s="180">
        <f t="shared" si="26"/>
        <v>3055776.3763650004</v>
      </c>
      <c r="M216" s="181">
        <f t="shared" si="26"/>
        <v>16895.089771747207</v>
      </c>
      <c r="N216" s="180">
        <f t="shared" si="26"/>
        <v>11761.089624280148</v>
      </c>
      <c r="O216" s="132">
        <f t="shared" si="26"/>
        <v>5134.0001474670607</v>
      </c>
    </row>
    <row r="217" spans="1:15" x14ac:dyDescent="0.25">
      <c r="A217" s="72">
        <f t="shared" si="28"/>
        <v>51</v>
      </c>
      <c r="B217" s="183">
        <f t="shared" si="22"/>
        <v>1186861.3548831055</v>
      </c>
      <c r="C217" s="184">
        <f>-Industrial!$E$93/12</f>
        <v>6158.6573115044275</v>
      </c>
      <c r="D217" s="183">
        <f>Industrial!$E$91/12*B216</f>
        <v>3963.5216351980403</v>
      </c>
      <c r="E217" s="185">
        <f t="shared" si="23"/>
        <v>2195.1356763063873</v>
      </c>
      <c r="F217" s="72">
        <f t="shared" si="29"/>
        <v>51</v>
      </c>
      <c r="G217" s="180">
        <f t="shared" si="24"/>
        <v>1863761.4528695359</v>
      </c>
      <c r="H217" s="186">
        <f>-Industrial!$E$98/12</f>
        <v>10736.432460242781</v>
      </c>
      <c r="I217" s="149">
        <f>Industrial!$E$96/12*G216</f>
        <v>7777.9995241899524</v>
      </c>
      <c r="J217" s="187">
        <f t="shared" si="25"/>
        <v>2958.4329360528282</v>
      </c>
      <c r="K217" s="72">
        <f t="shared" si="30"/>
        <v>51</v>
      </c>
      <c r="L217" s="180">
        <f t="shared" si="26"/>
        <v>3050622.8077526414</v>
      </c>
      <c r="M217" s="181">
        <f t="shared" si="26"/>
        <v>16895.089771747207</v>
      </c>
      <c r="N217" s="180">
        <f t="shared" si="26"/>
        <v>11741.521159387992</v>
      </c>
      <c r="O217" s="132">
        <f t="shared" si="26"/>
        <v>5153.568612359215</v>
      </c>
    </row>
    <row r="218" spans="1:15" x14ac:dyDescent="0.25">
      <c r="A218" s="72">
        <f t="shared" si="28"/>
        <v>52</v>
      </c>
      <c r="B218" s="183">
        <f t="shared" si="22"/>
        <v>1184658.902087878</v>
      </c>
      <c r="C218" s="184">
        <f>-Industrial!$E$93/12</f>
        <v>6158.6573115044275</v>
      </c>
      <c r="D218" s="183">
        <f>Industrial!$E$91/12*B217</f>
        <v>3956.2045162770187</v>
      </c>
      <c r="E218" s="185">
        <f t="shared" si="23"/>
        <v>2202.4527952274088</v>
      </c>
      <c r="F218" s="72">
        <f t="shared" si="29"/>
        <v>52</v>
      </c>
      <c r="G218" s="180">
        <f t="shared" si="24"/>
        <v>1860790.6931295828</v>
      </c>
      <c r="H218" s="186">
        <f>-Industrial!$E$98/12</f>
        <v>10736.432460242781</v>
      </c>
      <c r="I218" s="149">
        <f>Industrial!$E$96/12*G217</f>
        <v>7765.6727202897328</v>
      </c>
      <c r="J218" s="187">
        <f t="shared" si="25"/>
        <v>2970.7597399530478</v>
      </c>
      <c r="K218" s="72">
        <f t="shared" si="30"/>
        <v>52</v>
      </c>
      <c r="L218" s="180">
        <f t="shared" si="26"/>
        <v>3045449.5952174608</v>
      </c>
      <c r="M218" s="181">
        <f t="shared" si="26"/>
        <v>16895.089771747207</v>
      </c>
      <c r="N218" s="180">
        <f t="shared" si="26"/>
        <v>11721.877236566752</v>
      </c>
      <c r="O218" s="132">
        <f t="shared" si="26"/>
        <v>5173.2125351804571</v>
      </c>
    </row>
    <row r="219" spans="1:15" x14ac:dyDescent="0.25">
      <c r="A219" s="72">
        <f t="shared" si="28"/>
        <v>53</v>
      </c>
      <c r="B219" s="183">
        <f t="shared" si="22"/>
        <v>1182449.1077833332</v>
      </c>
      <c r="C219" s="184">
        <f>-Industrial!$E$93/12</f>
        <v>6158.6573115044275</v>
      </c>
      <c r="D219" s="183">
        <f>Industrial!$E$91/12*B218</f>
        <v>3948.8630069595933</v>
      </c>
      <c r="E219" s="185">
        <f t="shared" si="23"/>
        <v>2209.7943045448342</v>
      </c>
      <c r="F219" s="72">
        <f t="shared" si="29"/>
        <v>53</v>
      </c>
      <c r="G219" s="180">
        <f t="shared" si="24"/>
        <v>1857807.5552240466</v>
      </c>
      <c r="H219" s="186">
        <f>-Industrial!$E$98/12</f>
        <v>10736.432460242781</v>
      </c>
      <c r="I219" s="149">
        <f>Industrial!$E$96/12*G218</f>
        <v>7753.2945547065947</v>
      </c>
      <c r="J219" s="187">
        <f t="shared" si="25"/>
        <v>2983.1379055361858</v>
      </c>
      <c r="K219" s="72">
        <f t="shared" si="30"/>
        <v>53</v>
      </c>
      <c r="L219" s="180">
        <f t="shared" si="26"/>
        <v>3040256.6630073795</v>
      </c>
      <c r="M219" s="181">
        <f t="shared" si="26"/>
        <v>16895.089771747207</v>
      </c>
      <c r="N219" s="180">
        <f t="shared" si="26"/>
        <v>11702.157561666188</v>
      </c>
      <c r="O219" s="132">
        <f t="shared" si="26"/>
        <v>5192.9322100810205</v>
      </c>
    </row>
    <row r="220" spans="1:15" x14ac:dyDescent="0.25">
      <c r="A220" s="72">
        <f t="shared" si="28"/>
        <v>54</v>
      </c>
      <c r="B220" s="183">
        <f t="shared" si="22"/>
        <v>1180231.9474977732</v>
      </c>
      <c r="C220" s="184">
        <f>-Industrial!$E$93/12</f>
        <v>6158.6573115044275</v>
      </c>
      <c r="D220" s="183">
        <f>Industrial!$E$91/12*B219</f>
        <v>3941.497025944444</v>
      </c>
      <c r="E220" s="185">
        <f t="shared" si="23"/>
        <v>2217.1602855599835</v>
      </c>
      <c r="F220" s="72">
        <f t="shared" si="29"/>
        <v>54</v>
      </c>
      <c r="G220" s="180">
        <f t="shared" si="24"/>
        <v>1854811.9875772374</v>
      </c>
      <c r="H220" s="186">
        <f>-Industrial!$E$98/12</f>
        <v>10736.432460242781</v>
      </c>
      <c r="I220" s="149">
        <f>Industrial!$E$96/12*G219</f>
        <v>7740.8648134335272</v>
      </c>
      <c r="J220" s="187">
        <f t="shared" si="25"/>
        <v>2995.5676468092533</v>
      </c>
      <c r="K220" s="72">
        <f t="shared" si="30"/>
        <v>54</v>
      </c>
      <c r="L220" s="180">
        <f t="shared" si="26"/>
        <v>3035043.9350750106</v>
      </c>
      <c r="M220" s="181">
        <f t="shared" si="26"/>
        <v>16895.089771747207</v>
      </c>
      <c r="N220" s="180">
        <f t="shared" si="26"/>
        <v>11682.361839377971</v>
      </c>
      <c r="O220" s="132">
        <f t="shared" si="26"/>
        <v>5212.7279323692364</v>
      </c>
    </row>
    <row r="221" spans="1:15" x14ac:dyDescent="0.25">
      <c r="A221" s="72">
        <f t="shared" si="28"/>
        <v>55</v>
      </c>
      <c r="B221" s="183">
        <f t="shared" si="22"/>
        <v>1178007.396677928</v>
      </c>
      <c r="C221" s="184">
        <f>-Industrial!$E$93/12</f>
        <v>6158.6573115044275</v>
      </c>
      <c r="D221" s="183">
        <f>Industrial!$E$91/12*B220</f>
        <v>3934.1064916592445</v>
      </c>
      <c r="E221" s="185">
        <f t="shared" si="23"/>
        <v>2224.550819845183</v>
      </c>
      <c r="F221" s="72">
        <f t="shared" si="29"/>
        <v>55</v>
      </c>
      <c r="G221" s="180">
        <f t="shared" si="24"/>
        <v>1851803.9383985666</v>
      </c>
      <c r="H221" s="186">
        <f>-Industrial!$E$98/12</f>
        <v>10736.432460242781</v>
      </c>
      <c r="I221" s="149">
        <f>Industrial!$E$96/12*G220</f>
        <v>7728.3832815718224</v>
      </c>
      <c r="J221" s="187">
        <f t="shared" si="25"/>
        <v>3008.0491786709581</v>
      </c>
      <c r="K221" s="72">
        <f t="shared" si="30"/>
        <v>55</v>
      </c>
      <c r="L221" s="180">
        <f t="shared" si="26"/>
        <v>3029811.3350764946</v>
      </c>
      <c r="M221" s="181">
        <f t="shared" si="26"/>
        <v>16895.089771747207</v>
      </c>
      <c r="N221" s="180">
        <f t="shared" si="26"/>
        <v>11662.489773231067</v>
      </c>
      <c r="O221" s="132">
        <f t="shared" si="26"/>
        <v>5232.5999985161416</v>
      </c>
    </row>
    <row r="222" spans="1:15" x14ac:dyDescent="0.25">
      <c r="A222" s="72">
        <f t="shared" si="28"/>
        <v>56</v>
      </c>
      <c r="B222" s="183">
        <f t="shared" si="22"/>
        <v>1175775.4306886834</v>
      </c>
      <c r="C222" s="184">
        <f>-Industrial!$E$93/12</f>
        <v>6158.6573115044275</v>
      </c>
      <c r="D222" s="183">
        <f>Industrial!$E$91/12*B221</f>
        <v>3926.6913222597605</v>
      </c>
      <c r="E222" s="185">
        <f t="shared" si="23"/>
        <v>2231.9659892446671</v>
      </c>
      <c r="F222" s="72">
        <f t="shared" si="29"/>
        <v>56</v>
      </c>
      <c r="G222" s="180">
        <f t="shared" si="24"/>
        <v>1848783.355681651</v>
      </c>
      <c r="H222" s="186">
        <f>-Industrial!$E$98/12</f>
        <v>10736.432460242781</v>
      </c>
      <c r="I222" s="149">
        <f>Industrial!$E$96/12*G221</f>
        <v>7715.8497433273606</v>
      </c>
      <c r="J222" s="187">
        <f t="shared" si="25"/>
        <v>3020.58271691542</v>
      </c>
      <c r="K222" s="72">
        <f t="shared" si="30"/>
        <v>56</v>
      </c>
      <c r="L222" s="180">
        <f t="shared" si="26"/>
        <v>3024558.7863703342</v>
      </c>
      <c r="M222" s="181">
        <f t="shared" si="26"/>
        <v>16895.089771747207</v>
      </c>
      <c r="N222" s="180">
        <f t="shared" si="26"/>
        <v>11642.54106558712</v>
      </c>
      <c r="O222" s="132">
        <f t="shared" si="26"/>
        <v>5252.548706160087</v>
      </c>
    </row>
    <row r="223" spans="1:15" x14ac:dyDescent="0.25">
      <c r="A223" s="72">
        <f t="shared" si="28"/>
        <v>57</v>
      </c>
      <c r="B223" s="183">
        <f t="shared" si="22"/>
        <v>1173536.024812808</v>
      </c>
      <c r="C223" s="184">
        <f>-Industrial!$E$93/12</f>
        <v>6158.6573115044275</v>
      </c>
      <c r="D223" s="183">
        <f>Industrial!$E$91/12*B222</f>
        <v>3919.2514356289448</v>
      </c>
      <c r="E223" s="185">
        <f t="shared" si="23"/>
        <v>2239.4058758754827</v>
      </c>
      <c r="F223" s="72">
        <f t="shared" si="29"/>
        <v>57</v>
      </c>
      <c r="G223" s="180">
        <f t="shared" si="24"/>
        <v>1845750.1872034152</v>
      </c>
      <c r="H223" s="186">
        <f>-Industrial!$E$98/12</f>
        <v>10736.432460242781</v>
      </c>
      <c r="I223" s="149">
        <f>Industrial!$E$96/12*G222</f>
        <v>7703.2639820068789</v>
      </c>
      <c r="J223" s="187">
        <f t="shared" si="25"/>
        <v>3033.1684782359016</v>
      </c>
      <c r="K223" s="72">
        <f t="shared" si="30"/>
        <v>57</v>
      </c>
      <c r="L223" s="180">
        <f t="shared" si="26"/>
        <v>3019286.212016223</v>
      </c>
      <c r="M223" s="181">
        <f t="shared" si="26"/>
        <v>16895.089771747207</v>
      </c>
      <c r="N223" s="180">
        <f t="shared" si="26"/>
        <v>11622.515417635823</v>
      </c>
      <c r="O223" s="132">
        <f t="shared" si="26"/>
        <v>5272.5743541113843</v>
      </c>
    </row>
    <row r="224" spans="1:15" x14ac:dyDescent="0.25">
      <c r="A224" s="72">
        <f t="shared" si="28"/>
        <v>58</v>
      </c>
      <c r="B224" s="183">
        <f t="shared" si="22"/>
        <v>1171289.1542506795</v>
      </c>
      <c r="C224" s="184">
        <f>-Industrial!$E$93/12</f>
        <v>6158.6573115044275</v>
      </c>
      <c r="D224" s="183">
        <f>Industrial!$E$91/12*B223</f>
        <v>3911.7867493760268</v>
      </c>
      <c r="E224" s="185">
        <f t="shared" si="23"/>
        <v>2246.8705621284007</v>
      </c>
      <c r="F224" s="72">
        <f t="shared" si="29"/>
        <v>58</v>
      </c>
      <c r="G224" s="180">
        <f t="shared" si="24"/>
        <v>1842704.3805231866</v>
      </c>
      <c r="H224" s="186">
        <f>-Industrial!$E$98/12</f>
        <v>10736.432460242781</v>
      </c>
      <c r="I224" s="149">
        <f>Industrial!$E$96/12*G223</f>
        <v>7690.6257800142303</v>
      </c>
      <c r="J224" s="187">
        <f t="shared" si="25"/>
        <v>3045.8066802285502</v>
      </c>
      <c r="K224" s="72">
        <f t="shared" si="30"/>
        <v>58</v>
      </c>
      <c r="L224" s="180">
        <f t="shared" si="26"/>
        <v>3013993.5347738662</v>
      </c>
      <c r="M224" s="181">
        <f t="shared" si="26"/>
        <v>16895.089771747207</v>
      </c>
      <c r="N224" s="180">
        <f t="shared" si="26"/>
        <v>11602.412529390258</v>
      </c>
      <c r="O224" s="132">
        <f t="shared" si="26"/>
        <v>5292.677242356951</v>
      </c>
    </row>
    <row r="225" spans="1:15" x14ac:dyDescent="0.25">
      <c r="A225" s="72">
        <f t="shared" si="28"/>
        <v>59</v>
      </c>
      <c r="B225" s="183">
        <f t="shared" si="22"/>
        <v>1169034.7941200107</v>
      </c>
      <c r="C225" s="184">
        <f>-Industrial!$E$93/12</f>
        <v>6158.6573115044275</v>
      </c>
      <c r="D225" s="183">
        <f>Industrial!$E$91/12*B224</f>
        <v>3904.2971808355987</v>
      </c>
      <c r="E225" s="185">
        <f t="shared" si="23"/>
        <v>2254.3601306688288</v>
      </c>
      <c r="F225" s="72">
        <f t="shared" si="29"/>
        <v>59</v>
      </c>
      <c r="G225" s="180">
        <f t="shared" si="24"/>
        <v>1839645.8829817905</v>
      </c>
      <c r="H225" s="186">
        <f>-Industrial!$E$98/12</f>
        <v>10736.432460242781</v>
      </c>
      <c r="I225" s="149">
        <f>Industrial!$E$96/12*G224</f>
        <v>7677.9349188466113</v>
      </c>
      <c r="J225" s="187">
        <f t="shared" si="25"/>
        <v>3058.4975413961693</v>
      </c>
      <c r="K225" s="72">
        <f t="shared" si="30"/>
        <v>59</v>
      </c>
      <c r="L225" s="180">
        <f t="shared" si="26"/>
        <v>3008680.6771018011</v>
      </c>
      <c r="M225" s="181">
        <f t="shared" si="26"/>
        <v>16895.089771747207</v>
      </c>
      <c r="N225" s="180">
        <f t="shared" si="26"/>
        <v>11582.232099682209</v>
      </c>
      <c r="O225" s="132">
        <f t="shared" si="26"/>
        <v>5312.857672064998</v>
      </c>
    </row>
    <row r="226" spans="1:15" x14ac:dyDescent="0.25">
      <c r="A226" s="72">
        <f t="shared" si="28"/>
        <v>60</v>
      </c>
      <c r="B226" s="183">
        <f t="shared" si="22"/>
        <v>1166772.919455573</v>
      </c>
      <c r="C226" s="184">
        <f>-Industrial!$E$93/12</f>
        <v>6158.6573115044275</v>
      </c>
      <c r="D226" s="183">
        <f>Industrial!$E$91/12*B225</f>
        <v>3896.7826470667023</v>
      </c>
      <c r="E226" s="185">
        <f t="shared" si="23"/>
        <v>2261.8746644377252</v>
      </c>
      <c r="F226" s="72">
        <f t="shared" si="29"/>
        <v>60</v>
      </c>
      <c r="G226" s="180">
        <f t="shared" si="24"/>
        <v>1836574.6417006385</v>
      </c>
      <c r="H226" s="186">
        <f>-Industrial!$E$98/12</f>
        <v>10736.432460242781</v>
      </c>
      <c r="I226" s="149">
        <f>Industrial!$E$96/12*G225</f>
        <v>7665.1911790907934</v>
      </c>
      <c r="J226" s="187">
        <f t="shared" si="25"/>
        <v>3071.2412811519871</v>
      </c>
      <c r="K226" s="72">
        <f t="shared" si="30"/>
        <v>60</v>
      </c>
      <c r="L226" s="180">
        <f t="shared" si="26"/>
        <v>3003347.5611562114</v>
      </c>
      <c r="M226" s="181">
        <f t="shared" si="26"/>
        <v>16895.089771747207</v>
      </c>
      <c r="N226" s="180">
        <f t="shared" si="26"/>
        <v>11561.973826157497</v>
      </c>
      <c r="O226" s="132">
        <f t="shared" si="26"/>
        <v>5333.1159455897123</v>
      </c>
    </row>
    <row r="227" spans="1:15" x14ac:dyDescent="0.25">
      <c r="A227" s="72">
        <f t="shared" si="28"/>
        <v>61</v>
      </c>
      <c r="B227" s="183">
        <f t="shared" si="22"/>
        <v>1164503.5052089205</v>
      </c>
      <c r="C227" s="184">
        <f>-Industrial!$E$93/12</f>
        <v>6158.6573115044275</v>
      </c>
      <c r="D227" s="183">
        <f>Industrial!$E$91/12*B226</f>
        <v>3889.2430648519103</v>
      </c>
      <c r="E227" s="185">
        <f t="shared" si="23"/>
        <v>2269.4142466525172</v>
      </c>
      <c r="F227" s="72">
        <f t="shared" si="29"/>
        <v>61</v>
      </c>
      <c r="G227" s="180">
        <f t="shared" si="24"/>
        <v>1833490.603580815</v>
      </c>
      <c r="H227" s="186">
        <f>-Industrial!$E$98/12</f>
        <v>10736.432460242781</v>
      </c>
      <c r="I227" s="149">
        <f>Industrial!$E$96/12*G226</f>
        <v>7652.3943404193269</v>
      </c>
      <c r="J227" s="187">
        <f t="shared" si="25"/>
        <v>3084.0381198234536</v>
      </c>
      <c r="K227" s="72">
        <f t="shared" si="30"/>
        <v>61</v>
      </c>
      <c r="L227" s="180">
        <f t="shared" si="26"/>
        <v>2997994.1087897355</v>
      </c>
      <c r="M227" s="181">
        <f t="shared" si="26"/>
        <v>16895.089771747207</v>
      </c>
      <c r="N227" s="180">
        <f t="shared" si="26"/>
        <v>11541.637405271238</v>
      </c>
      <c r="O227" s="132">
        <f t="shared" si="26"/>
        <v>5353.4523664759708</v>
      </c>
    </row>
    <row r="228" spans="1:15" x14ac:dyDescent="0.25">
      <c r="A228" s="72">
        <f t="shared" si="28"/>
        <v>62</v>
      </c>
      <c r="B228" s="183">
        <f t="shared" si="22"/>
        <v>1162226.5262481123</v>
      </c>
      <c r="C228" s="184">
        <f>-Industrial!$E$93/12</f>
        <v>6158.6573115044275</v>
      </c>
      <c r="D228" s="183">
        <f>Industrial!$E$91/12*B227</f>
        <v>3881.6783506964016</v>
      </c>
      <c r="E228" s="185">
        <f t="shared" si="23"/>
        <v>2276.9789608080259</v>
      </c>
      <c r="F228" s="72">
        <f t="shared" si="29"/>
        <v>62</v>
      </c>
      <c r="G228" s="180">
        <f t="shared" si="24"/>
        <v>1830393.7153021591</v>
      </c>
      <c r="H228" s="186">
        <f>-Industrial!$E$98/12</f>
        <v>10736.432460242781</v>
      </c>
      <c r="I228" s="149">
        <f>Industrial!$E$96/12*G227</f>
        <v>7639.5441815867289</v>
      </c>
      <c r="J228" s="187">
        <f t="shared" si="25"/>
        <v>3096.8882786560516</v>
      </c>
      <c r="K228" s="72">
        <f t="shared" si="30"/>
        <v>62</v>
      </c>
      <c r="L228" s="180">
        <f t="shared" si="26"/>
        <v>2992620.2415502714</v>
      </c>
      <c r="M228" s="181">
        <f t="shared" si="26"/>
        <v>16895.089771747207</v>
      </c>
      <c r="N228" s="180">
        <f t="shared" si="26"/>
        <v>11521.222532283131</v>
      </c>
      <c r="O228" s="132">
        <f t="shared" si="26"/>
        <v>5373.867239464078</v>
      </c>
    </row>
    <row r="229" spans="1:15" x14ac:dyDescent="0.25">
      <c r="A229" s="72">
        <f t="shared" si="28"/>
        <v>63</v>
      </c>
      <c r="B229" s="183">
        <f t="shared" si="22"/>
        <v>1159941.957357435</v>
      </c>
      <c r="C229" s="184">
        <f>-Industrial!$E$93/12</f>
        <v>6158.6573115044275</v>
      </c>
      <c r="D229" s="183">
        <f>Industrial!$E$91/12*B228</f>
        <v>3874.0884208270413</v>
      </c>
      <c r="E229" s="185">
        <f t="shared" si="23"/>
        <v>2284.5688906773862</v>
      </c>
      <c r="F229" s="72">
        <f t="shared" si="29"/>
        <v>63</v>
      </c>
      <c r="G229" s="180">
        <f t="shared" si="24"/>
        <v>1827283.9233223419</v>
      </c>
      <c r="H229" s="186">
        <f>-Industrial!$E$98/12</f>
        <v>10736.432460242781</v>
      </c>
      <c r="I229" s="149">
        <f>Industrial!$E$96/12*G228</f>
        <v>7626.6404804256626</v>
      </c>
      <c r="J229" s="187">
        <f t="shared" si="25"/>
        <v>3109.7919798171179</v>
      </c>
      <c r="K229" s="72">
        <f t="shared" si="30"/>
        <v>63</v>
      </c>
      <c r="L229" s="180">
        <f t="shared" si="26"/>
        <v>2987225.8806797769</v>
      </c>
      <c r="M229" s="181">
        <f t="shared" si="26"/>
        <v>16895.089771747207</v>
      </c>
      <c r="N229" s="180">
        <f t="shared" si="26"/>
        <v>11500.728901252704</v>
      </c>
      <c r="O229" s="132">
        <f t="shared" si="26"/>
        <v>5394.3608704945036</v>
      </c>
    </row>
    <row r="230" spans="1:15" x14ac:dyDescent="0.25">
      <c r="A230" s="72">
        <f t="shared" si="28"/>
        <v>64</v>
      </c>
      <c r="B230" s="183">
        <f t="shared" si="22"/>
        <v>1157649.773237122</v>
      </c>
      <c r="C230" s="184">
        <f>-Industrial!$E$93/12</f>
        <v>6158.6573115044275</v>
      </c>
      <c r="D230" s="183">
        <f>Industrial!$E$91/12*B229</f>
        <v>3866.4731911914505</v>
      </c>
      <c r="E230" s="185">
        <f t="shared" si="23"/>
        <v>2292.184120312977</v>
      </c>
      <c r="F230" s="72">
        <f t="shared" si="29"/>
        <v>64</v>
      </c>
      <c r="G230" s="180">
        <f t="shared" si="24"/>
        <v>1824161.1738759421</v>
      </c>
      <c r="H230" s="186">
        <f>-Industrial!$E$98/12</f>
        <v>10736.432460242781</v>
      </c>
      <c r="I230" s="149">
        <f>Industrial!$E$96/12*G229</f>
        <v>7613.6830138430914</v>
      </c>
      <c r="J230" s="187">
        <f t="shared" si="25"/>
        <v>3122.7494463996891</v>
      </c>
      <c r="K230" s="72">
        <f t="shared" si="30"/>
        <v>64</v>
      </c>
      <c r="L230" s="180">
        <f t="shared" si="26"/>
        <v>2981810.9471130641</v>
      </c>
      <c r="M230" s="181">
        <f t="shared" si="26"/>
        <v>16895.089771747207</v>
      </c>
      <c r="N230" s="180">
        <f t="shared" si="26"/>
        <v>11480.156205034542</v>
      </c>
      <c r="O230" s="132">
        <f t="shared" ref="O230:O293" si="71">J230+E230</f>
        <v>5414.9335667126661</v>
      </c>
    </row>
    <row r="231" spans="1:15" x14ac:dyDescent="0.25">
      <c r="A231" s="72">
        <f t="shared" si="28"/>
        <v>65</v>
      </c>
      <c r="B231" s="183">
        <f t="shared" ref="B231:B294" si="72">B230-E231</f>
        <v>1155349.9485030747</v>
      </c>
      <c r="C231" s="184">
        <f>-Industrial!$E$93/12</f>
        <v>6158.6573115044275</v>
      </c>
      <c r="D231" s="183">
        <f>Industrial!$E$91/12*B230</f>
        <v>3858.8325774570735</v>
      </c>
      <c r="E231" s="185">
        <f t="shared" ref="E231:E294" si="73">C231-D231</f>
        <v>2299.824734047354</v>
      </c>
      <c r="F231" s="72">
        <f t="shared" si="29"/>
        <v>65</v>
      </c>
      <c r="G231" s="180">
        <f t="shared" ref="G231:G294" si="74">G230-J231</f>
        <v>1821025.4129735157</v>
      </c>
      <c r="H231" s="186">
        <f>-Industrial!$E$98/12</f>
        <v>10736.432460242781</v>
      </c>
      <c r="I231" s="149">
        <f>Industrial!$E$96/12*G230</f>
        <v>7600.6715578164258</v>
      </c>
      <c r="J231" s="187">
        <f t="shared" ref="J231:J294" si="75">H231-I231</f>
        <v>3135.7609024263547</v>
      </c>
      <c r="K231" s="72">
        <f t="shared" si="30"/>
        <v>65</v>
      </c>
      <c r="L231" s="180">
        <f t="shared" ref="L231:O294" si="76">G231+B231</f>
        <v>2976375.3614765904</v>
      </c>
      <c r="M231" s="181">
        <f t="shared" si="76"/>
        <v>16895.089771747207</v>
      </c>
      <c r="N231" s="180">
        <f t="shared" si="76"/>
        <v>11459.504135273499</v>
      </c>
      <c r="O231" s="132">
        <f t="shared" si="71"/>
        <v>5435.5856364737083</v>
      </c>
    </row>
    <row r="232" spans="1:15" x14ac:dyDescent="0.25">
      <c r="A232" s="72">
        <f t="shared" ref="A232:A295" si="77">A231+1</f>
        <v>66</v>
      </c>
      <c r="B232" s="183">
        <f t="shared" si="72"/>
        <v>1153042.4576865805</v>
      </c>
      <c r="C232" s="184">
        <f>-Industrial!$E$93/12</f>
        <v>6158.6573115044275</v>
      </c>
      <c r="D232" s="183">
        <f>Industrial!$E$91/12*B231</f>
        <v>3851.166495010249</v>
      </c>
      <c r="E232" s="185">
        <f t="shared" si="73"/>
        <v>2307.4908164941785</v>
      </c>
      <c r="F232" s="72">
        <f t="shared" ref="F232:F295" si="78">F231+1</f>
        <v>66</v>
      </c>
      <c r="G232" s="180">
        <f t="shared" si="74"/>
        <v>1817876.5864006625</v>
      </c>
      <c r="H232" s="186">
        <f>-Industrial!$E$98/12</f>
        <v>10736.432460242781</v>
      </c>
      <c r="I232" s="149">
        <f>Industrial!$E$96/12*G231</f>
        <v>7587.6058873896482</v>
      </c>
      <c r="J232" s="187">
        <f t="shared" si="75"/>
        <v>3148.8265728531323</v>
      </c>
      <c r="K232" s="72">
        <f t="shared" ref="K232:K295" si="79">K231+1</f>
        <v>66</v>
      </c>
      <c r="L232" s="180">
        <f t="shared" si="76"/>
        <v>2970919.0440872433</v>
      </c>
      <c r="M232" s="181">
        <f t="shared" si="76"/>
        <v>16895.089771747207</v>
      </c>
      <c r="N232" s="180">
        <f t="shared" si="76"/>
        <v>11438.772382399897</v>
      </c>
      <c r="O232" s="132">
        <f t="shared" si="71"/>
        <v>5456.3173893473104</v>
      </c>
    </row>
    <row r="233" spans="1:15" x14ac:dyDescent="0.25">
      <c r="A233" s="72">
        <f t="shared" si="77"/>
        <v>67</v>
      </c>
      <c r="B233" s="183">
        <f t="shared" si="72"/>
        <v>1150727.2752340313</v>
      </c>
      <c r="C233" s="184">
        <f>-Industrial!$E$93/12</f>
        <v>6158.6573115044275</v>
      </c>
      <c r="D233" s="183">
        <f>Industrial!$E$91/12*B232</f>
        <v>3843.4748589552687</v>
      </c>
      <c r="E233" s="185">
        <f t="shared" si="73"/>
        <v>2315.1824525491588</v>
      </c>
      <c r="F233" s="72">
        <f t="shared" si="78"/>
        <v>67</v>
      </c>
      <c r="G233" s="180">
        <f t="shared" si="74"/>
        <v>1814714.6397170892</v>
      </c>
      <c r="H233" s="186">
        <f>-Industrial!$E$98/12</f>
        <v>10736.432460242781</v>
      </c>
      <c r="I233" s="149">
        <f>Industrial!$E$96/12*G232</f>
        <v>7574.4857766694267</v>
      </c>
      <c r="J233" s="187">
        <f t="shared" si="75"/>
        <v>3161.9466835733538</v>
      </c>
      <c r="K233" s="72">
        <f t="shared" si="79"/>
        <v>67</v>
      </c>
      <c r="L233" s="180">
        <f t="shared" si="76"/>
        <v>2965441.9149511205</v>
      </c>
      <c r="M233" s="181">
        <f t="shared" si="76"/>
        <v>16895.089771747207</v>
      </c>
      <c r="N233" s="180">
        <f t="shared" si="76"/>
        <v>11417.960635624695</v>
      </c>
      <c r="O233" s="132">
        <f t="shared" si="71"/>
        <v>5477.1291361225121</v>
      </c>
    </row>
    <row r="234" spans="1:15" x14ac:dyDescent="0.25">
      <c r="A234" s="72">
        <f t="shared" si="77"/>
        <v>68</v>
      </c>
      <c r="B234" s="183">
        <f t="shared" si="72"/>
        <v>1148404.3755066402</v>
      </c>
      <c r="C234" s="184">
        <f>-Industrial!$E$93/12</f>
        <v>6158.6573115044275</v>
      </c>
      <c r="D234" s="183">
        <f>Industrial!$E$91/12*B233</f>
        <v>3835.7575841134376</v>
      </c>
      <c r="E234" s="185">
        <f t="shared" si="73"/>
        <v>2322.8997273909899</v>
      </c>
      <c r="F234" s="72">
        <f t="shared" si="78"/>
        <v>68</v>
      </c>
      <c r="G234" s="180">
        <f t="shared" si="74"/>
        <v>1811539.5182556678</v>
      </c>
      <c r="H234" s="186">
        <f>-Industrial!$E$98/12</f>
        <v>10736.432460242781</v>
      </c>
      <c r="I234" s="149">
        <f>Industrial!$E$96/12*G233</f>
        <v>7561.3109988212054</v>
      </c>
      <c r="J234" s="187">
        <f t="shared" si="75"/>
        <v>3175.1214614215751</v>
      </c>
      <c r="K234" s="72">
        <f t="shared" si="79"/>
        <v>68</v>
      </c>
      <c r="L234" s="180">
        <f t="shared" si="76"/>
        <v>2959943.8937623082</v>
      </c>
      <c r="M234" s="181">
        <f t="shared" si="76"/>
        <v>16895.089771747207</v>
      </c>
      <c r="N234" s="180">
        <f t="shared" si="76"/>
        <v>11397.068582934644</v>
      </c>
      <c r="O234" s="132">
        <f t="shared" si="71"/>
        <v>5498.021188812565</v>
      </c>
    </row>
    <row r="235" spans="1:15" x14ac:dyDescent="0.25">
      <c r="A235" s="72">
        <f t="shared" si="77"/>
        <v>69</v>
      </c>
      <c r="B235" s="183">
        <f t="shared" si="72"/>
        <v>1146073.7327801578</v>
      </c>
      <c r="C235" s="184">
        <f>-Industrial!$E$93/12</f>
        <v>6158.6573115044275</v>
      </c>
      <c r="D235" s="183">
        <f>Industrial!$E$91/12*B234</f>
        <v>3828.0145850221343</v>
      </c>
      <c r="E235" s="185">
        <f t="shared" si="73"/>
        <v>2330.6427264822933</v>
      </c>
      <c r="F235" s="72">
        <f t="shared" si="78"/>
        <v>69</v>
      </c>
      <c r="G235" s="180">
        <f t="shared" si="74"/>
        <v>1808351.1671214902</v>
      </c>
      <c r="H235" s="186">
        <f>-Industrial!$E$98/12</f>
        <v>10736.432460242781</v>
      </c>
      <c r="I235" s="149">
        <f>Industrial!$E$96/12*G234</f>
        <v>7548.0813260652822</v>
      </c>
      <c r="J235" s="187">
        <f t="shared" si="75"/>
        <v>3188.3511341774984</v>
      </c>
      <c r="K235" s="72">
        <f t="shared" si="79"/>
        <v>69</v>
      </c>
      <c r="L235" s="180">
        <f t="shared" si="76"/>
        <v>2954424.8999016481</v>
      </c>
      <c r="M235" s="181">
        <f t="shared" si="76"/>
        <v>16895.089771747207</v>
      </c>
      <c r="N235" s="180">
        <f t="shared" si="76"/>
        <v>11376.095911087417</v>
      </c>
      <c r="O235" s="132">
        <f t="shared" si="71"/>
        <v>5518.9938606597916</v>
      </c>
    </row>
    <row r="236" spans="1:15" x14ac:dyDescent="0.25">
      <c r="A236" s="72">
        <f t="shared" si="77"/>
        <v>70</v>
      </c>
      <c r="B236" s="183">
        <f t="shared" si="72"/>
        <v>1143735.3212445872</v>
      </c>
      <c r="C236" s="184">
        <f>-Industrial!$E$93/12</f>
        <v>6158.6573115044275</v>
      </c>
      <c r="D236" s="183">
        <f>Industrial!$E$91/12*B235</f>
        <v>3820.2457759338595</v>
      </c>
      <c r="E236" s="185">
        <f t="shared" si="73"/>
        <v>2338.411535570568</v>
      </c>
      <c r="F236" s="72">
        <f t="shared" si="78"/>
        <v>70</v>
      </c>
      <c r="G236" s="180">
        <f t="shared" si="74"/>
        <v>1805149.5311909204</v>
      </c>
      <c r="H236" s="186">
        <f>-Industrial!$E$98/12</f>
        <v>10736.432460242781</v>
      </c>
      <c r="I236" s="149">
        <f>Industrial!$E$96/12*G235</f>
        <v>7534.7965296728762</v>
      </c>
      <c r="J236" s="187">
        <f t="shared" si="75"/>
        <v>3201.6359305699043</v>
      </c>
      <c r="K236" s="72">
        <f t="shared" si="79"/>
        <v>70</v>
      </c>
      <c r="L236" s="180">
        <f t="shared" si="76"/>
        <v>2948884.8524355078</v>
      </c>
      <c r="M236" s="181">
        <f t="shared" si="76"/>
        <v>16895.089771747207</v>
      </c>
      <c r="N236" s="180">
        <f t="shared" si="76"/>
        <v>11355.042305606736</v>
      </c>
      <c r="O236" s="132">
        <f t="shared" si="71"/>
        <v>5540.0474661404724</v>
      </c>
    </row>
    <row r="237" spans="1:15" x14ac:dyDescent="0.25">
      <c r="A237" s="72">
        <f t="shared" si="77"/>
        <v>71</v>
      </c>
      <c r="B237" s="183">
        <f t="shared" si="72"/>
        <v>1141389.115003898</v>
      </c>
      <c r="C237" s="184">
        <f>-Industrial!$E$93/12</f>
        <v>6158.6573115044275</v>
      </c>
      <c r="D237" s="183">
        <f>Industrial!$E$91/12*B236</f>
        <v>3812.4510708152907</v>
      </c>
      <c r="E237" s="185">
        <f t="shared" si="73"/>
        <v>2346.2062406891368</v>
      </c>
      <c r="F237" s="72">
        <f t="shared" si="78"/>
        <v>71</v>
      </c>
      <c r="G237" s="180">
        <f t="shared" si="74"/>
        <v>1801934.5551106399</v>
      </c>
      <c r="H237" s="186">
        <f>-Industrial!$E$98/12</f>
        <v>10736.432460242781</v>
      </c>
      <c r="I237" s="149">
        <f>Industrial!$E$96/12*G236</f>
        <v>7521.4563799621683</v>
      </c>
      <c r="J237" s="187">
        <f t="shared" si="75"/>
        <v>3214.9760802806122</v>
      </c>
      <c r="K237" s="72">
        <f t="shared" si="79"/>
        <v>71</v>
      </c>
      <c r="L237" s="180">
        <f t="shared" si="76"/>
        <v>2943323.6701145377</v>
      </c>
      <c r="M237" s="181">
        <f t="shared" si="76"/>
        <v>16895.089771747207</v>
      </c>
      <c r="N237" s="180">
        <f t="shared" si="76"/>
        <v>11333.907450777459</v>
      </c>
      <c r="O237" s="132">
        <f t="shared" si="71"/>
        <v>5561.1823209697486</v>
      </c>
    </row>
    <row r="238" spans="1:15" x14ac:dyDescent="0.25">
      <c r="A238" s="72">
        <f t="shared" si="77"/>
        <v>72</v>
      </c>
      <c r="B238" s="183">
        <f t="shared" si="72"/>
        <v>1139035.08807574</v>
      </c>
      <c r="C238" s="184">
        <f>-Industrial!$E$93/12</f>
        <v>6158.6573115044275</v>
      </c>
      <c r="D238" s="183">
        <f>Industrial!$E$91/12*B237</f>
        <v>3804.6303833463271</v>
      </c>
      <c r="E238" s="185">
        <f t="shared" si="73"/>
        <v>2354.0269281581004</v>
      </c>
      <c r="F238" s="72">
        <f t="shared" si="78"/>
        <v>72</v>
      </c>
      <c r="G238" s="180">
        <f t="shared" si="74"/>
        <v>1798706.1832966914</v>
      </c>
      <c r="H238" s="186">
        <f>-Industrial!$E$98/12</f>
        <v>10736.432460242781</v>
      </c>
      <c r="I238" s="149">
        <f>Industrial!$E$96/12*G237</f>
        <v>7508.0606462943324</v>
      </c>
      <c r="J238" s="187">
        <f t="shared" si="75"/>
        <v>3228.3718139484481</v>
      </c>
      <c r="K238" s="72">
        <f t="shared" si="79"/>
        <v>72</v>
      </c>
      <c r="L238" s="180">
        <f t="shared" si="76"/>
        <v>2937741.2713724314</v>
      </c>
      <c r="M238" s="181">
        <f t="shared" si="76"/>
        <v>16895.089771747207</v>
      </c>
      <c r="N238" s="180">
        <f t="shared" si="76"/>
        <v>11312.69102964066</v>
      </c>
      <c r="O238" s="132">
        <f t="shared" si="71"/>
        <v>5582.3987421065485</v>
      </c>
    </row>
    <row r="239" spans="1:15" x14ac:dyDescent="0.25">
      <c r="A239" s="72">
        <f t="shared" si="77"/>
        <v>73</v>
      </c>
      <c r="B239" s="183">
        <f t="shared" si="72"/>
        <v>1136673.2143911547</v>
      </c>
      <c r="C239" s="184">
        <f>-Industrial!$E$93/12</f>
        <v>6158.6573115044275</v>
      </c>
      <c r="D239" s="183">
        <f>Industrial!$E$91/12*B238</f>
        <v>3796.7836269191339</v>
      </c>
      <c r="E239" s="185">
        <f t="shared" si="73"/>
        <v>2361.8736845852936</v>
      </c>
      <c r="F239" s="72">
        <f t="shared" si="78"/>
        <v>73</v>
      </c>
      <c r="G239" s="180">
        <f t="shared" si="74"/>
        <v>1795464.3599335181</v>
      </c>
      <c r="H239" s="186">
        <f>-Industrial!$E$98/12</f>
        <v>10736.432460242781</v>
      </c>
      <c r="I239" s="149">
        <f>Industrial!$E$96/12*G238</f>
        <v>7494.6090970695477</v>
      </c>
      <c r="J239" s="187">
        <f t="shared" si="75"/>
        <v>3241.8233631732328</v>
      </c>
      <c r="K239" s="72">
        <f t="shared" si="79"/>
        <v>73</v>
      </c>
      <c r="L239" s="180">
        <f t="shared" si="76"/>
        <v>2932137.574324673</v>
      </c>
      <c r="M239" s="181">
        <f t="shared" si="76"/>
        <v>16895.089771747207</v>
      </c>
      <c r="N239" s="180">
        <f t="shared" si="76"/>
        <v>11291.392723988682</v>
      </c>
      <c r="O239" s="132">
        <f t="shared" si="71"/>
        <v>5603.6970477585264</v>
      </c>
    </row>
    <row r="240" spans="1:15" x14ac:dyDescent="0.25">
      <c r="A240" s="72">
        <f t="shared" si="77"/>
        <v>74</v>
      </c>
      <c r="B240" s="183">
        <f t="shared" si="72"/>
        <v>1134303.4677942875</v>
      </c>
      <c r="C240" s="184">
        <f>-Industrial!$E$93/12</f>
        <v>6158.6573115044275</v>
      </c>
      <c r="D240" s="183">
        <f>Industrial!$E$91/12*B239</f>
        <v>3788.9107146371825</v>
      </c>
      <c r="E240" s="185">
        <f t="shared" si="73"/>
        <v>2369.746596867245</v>
      </c>
      <c r="F240" s="72">
        <f t="shared" si="78"/>
        <v>74</v>
      </c>
      <c r="G240" s="180">
        <f t="shared" si="74"/>
        <v>1792209.0289729983</v>
      </c>
      <c r="H240" s="186">
        <f>-Industrial!$E$98/12</f>
        <v>10736.432460242781</v>
      </c>
      <c r="I240" s="149">
        <f>Industrial!$E$96/12*G239</f>
        <v>7481.1014997229922</v>
      </c>
      <c r="J240" s="187">
        <f t="shared" si="75"/>
        <v>3255.3309605197883</v>
      </c>
      <c r="K240" s="72">
        <f t="shared" si="79"/>
        <v>74</v>
      </c>
      <c r="L240" s="180">
        <f t="shared" si="76"/>
        <v>2926512.4967672857</v>
      </c>
      <c r="M240" s="181">
        <f t="shared" si="76"/>
        <v>16895.089771747207</v>
      </c>
      <c r="N240" s="180">
        <f t="shared" si="76"/>
        <v>11270.012214360175</v>
      </c>
      <c r="O240" s="132">
        <f t="shared" si="71"/>
        <v>5625.0775573870333</v>
      </c>
    </row>
    <row r="241" spans="1:15" x14ac:dyDescent="0.25">
      <c r="A241" s="72">
        <f t="shared" si="77"/>
        <v>75</v>
      </c>
      <c r="B241" s="183">
        <f t="shared" si="72"/>
        <v>1131925.8220420973</v>
      </c>
      <c r="C241" s="184">
        <f>-Industrial!$E$93/12</f>
        <v>6158.6573115044275</v>
      </c>
      <c r="D241" s="183">
        <f>Industrial!$E$91/12*B240</f>
        <v>3781.0115593142918</v>
      </c>
      <c r="E241" s="185">
        <f t="shared" si="73"/>
        <v>2377.6457521901357</v>
      </c>
      <c r="F241" s="72">
        <f t="shared" si="78"/>
        <v>75</v>
      </c>
      <c r="G241" s="180">
        <f t="shared" si="74"/>
        <v>1788940.1341334763</v>
      </c>
      <c r="H241" s="186">
        <f>-Industrial!$E$98/12</f>
        <v>10736.432460242781</v>
      </c>
      <c r="I241" s="149">
        <f>Industrial!$E$96/12*G240</f>
        <v>7467.5376207208255</v>
      </c>
      <c r="J241" s="187">
        <f t="shared" si="75"/>
        <v>3268.894839521955</v>
      </c>
      <c r="K241" s="72">
        <f t="shared" si="79"/>
        <v>75</v>
      </c>
      <c r="L241" s="180">
        <f t="shared" si="76"/>
        <v>2920865.9561755736</v>
      </c>
      <c r="M241" s="181">
        <f t="shared" si="76"/>
        <v>16895.089771747207</v>
      </c>
      <c r="N241" s="180">
        <f t="shared" si="76"/>
        <v>11248.549180035117</v>
      </c>
      <c r="O241" s="132">
        <f t="shared" si="71"/>
        <v>5646.5405917120906</v>
      </c>
    </row>
    <row r="242" spans="1:15" x14ac:dyDescent="0.25">
      <c r="A242" s="72">
        <f t="shared" si="77"/>
        <v>76</v>
      </c>
      <c r="B242" s="183">
        <f t="shared" si="72"/>
        <v>1129540.2508040667</v>
      </c>
      <c r="C242" s="184">
        <f>-Industrial!$E$93/12</f>
        <v>6158.6573115044275</v>
      </c>
      <c r="D242" s="183">
        <f>Industrial!$E$91/12*B241</f>
        <v>3773.086073473658</v>
      </c>
      <c r="E242" s="185">
        <f t="shared" si="73"/>
        <v>2385.5712380307696</v>
      </c>
      <c r="F242" s="72">
        <f t="shared" si="78"/>
        <v>76</v>
      </c>
      <c r="G242" s="180">
        <f t="shared" si="74"/>
        <v>1785657.6188987896</v>
      </c>
      <c r="H242" s="186">
        <f>-Industrial!$E$98/12</f>
        <v>10736.432460242781</v>
      </c>
      <c r="I242" s="149">
        <f>Industrial!$E$96/12*G241</f>
        <v>7453.9172255561507</v>
      </c>
      <c r="J242" s="187">
        <f t="shared" si="75"/>
        <v>3282.5152346866298</v>
      </c>
      <c r="K242" s="72">
        <f t="shared" si="79"/>
        <v>76</v>
      </c>
      <c r="L242" s="180">
        <f t="shared" si="76"/>
        <v>2915197.8697028561</v>
      </c>
      <c r="M242" s="181">
        <f t="shared" si="76"/>
        <v>16895.089771747207</v>
      </c>
      <c r="N242" s="180">
        <f t="shared" si="76"/>
        <v>11227.00329902981</v>
      </c>
      <c r="O242" s="132">
        <f t="shared" si="71"/>
        <v>5668.0864727173994</v>
      </c>
    </row>
    <row r="243" spans="1:15" x14ac:dyDescent="0.25">
      <c r="A243" s="72">
        <f t="shared" si="77"/>
        <v>77</v>
      </c>
      <c r="B243" s="183">
        <f t="shared" si="72"/>
        <v>1127146.7276619091</v>
      </c>
      <c r="C243" s="184">
        <f>-Industrial!$E$93/12</f>
        <v>6158.6573115044275</v>
      </c>
      <c r="D243" s="183">
        <f>Industrial!$E$91/12*B242</f>
        <v>3765.1341693468889</v>
      </c>
      <c r="E243" s="185">
        <f t="shared" si="73"/>
        <v>2393.5231421575386</v>
      </c>
      <c r="F243" s="72">
        <f t="shared" si="78"/>
        <v>77</v>
      </c>
      <c r="G243" s="180">
        <f t="shared" si="74"/>
        <v>1782361.4265172917</v>
      </c>
      <c r="H243" s="186">
        <f>-Industrial!$E$98/12</f>
        <v>10736.432460242781</v>
      </c>
      <c r="I243" s="149">
        <f>Industrial!$E$96/12*G242</f>
        <v>7440.2400787449569</v>
      </c>
      <c r="J243" s="187">
        <f t="shared" si="75"/>
        <v>3296.1923814978236</v>
      </c>
      <c r="K243" s="72">
        <f t="shared" si="79"/>
        <v>77</v>
      </c>
      <c r="L243" s="180">
        <f t="shared" si="76"/>
        <v>2909508.1541792005</v>
      </c>
      <c r="M243" s="181">
        <f t="shared" si="76"/>
        <v>16895.089771747207</v>
      </c>
      <c r="N243" s="180">
        <f t="shared" si="76"/>
        <v>11205.374248091846</v>
      </c>
      <c r="O243" s="132">
        <f t="shared" si="71"/>
        <v>5689.7155236553626</v>
      </c>
    </row>
    <row r="244" spans="1:15" x14ac:dyDescent="0.25">
      <c r="A244" s="72">
        <f t="shared" si="77"/>
        <v>78</v>
      </c>
      <c r="B244" s="183">
        <f t="shared" si="72"/>
        <v>1124745.2261092777</v>
      </c>
      <c r="C244" s="184">
        <f>-Industrial!$E$93/12</f>
        <v>6158.6573115044275</v>
      </c>
      <c r="D244" s="183">
        <f>Industrial!$E$91/12*B243</f>
        <v>3757.1557588730307</v>
      </c>
      <c r="E244" s="185">
        <f t="shared" si="73"/>
        <v>2401.5015526313969</v>
      </c>
      <c r="F244" s="72">
        <f t="shared" si="78"/>
        <v>78</v>
      </c>
      <c r="G244" s="180">
        <f t="shared" si="74"/>
        <v>1779051.500000871</v>
      </c>
      <c r="H244" s="186">
        <f>-Industrial!$E$98/12</f>
        <v>10736.432460242781</v>
      </c>
      <c r="I244" s="149">
        <f>Industrial!$E$96/12*G243</f>
        <v>7426.5059438220487</v>
      </c>
      <c r="J244" s="187">
        <f t="shared" si="75"/>
        <v>3309.9265164207318</v>
      </c>
      <c r="K244" s="72">
        <f t="shared" si="79"/>
        <v>78</v>
      </c>
      <c r="L244" s="180">
        <f t="shared" si="76"/>
        <v>2903796.7261101487</v>
      </c>
      <c r="M244" s="181">
        <f t="shared" si="76"/>
        <v>16895.089771747207</v>
      </c>
      <c r="N244" s="180">
        <f t="shared" si="76"/>
        <v>11183.661702695079</v>
      </c>
      <c r="O244" s="132">
        <f t="shared" si="71"/>
        <v>5711.4280690521282</v>
      </c>
    </row>
    <row r="245" spans="1:15" x14ac:dyDescent="0.25">
      <c r="A245" s="72">
        <f t="shared" si="77"/>
        <v>79</v>
      </c>
      <c r="B245" s="183">
        <f t="shared" si="72"/>
        <v>1122335.7195514708</v>
      </c>
      <c r="C245" s="184">
        <f>-Industrial!$E$93/12</f>
        <v>6158.6573115044275</v>
      </c>
      <c r="D245" s="183">
        <f>Industrial!$E$91/12*B244</f>
        <v>3749.1507536975923</v>
      </c>
      <c r="E245" s="185">
        <f t="shared" si="73"/>
        <v>2409.5065578068352</v>
      </c>
      <c r="F245" s="72">
        <f t="shared" si="78"/>
        <v>79</v>
      </c>
      <c r="G245" s="180">
        <f t="shared" si="74"/>
        <v>1775727.7821239652</v>
      </c>
      <c r="H245" s="186">
        <f>-Industrial!$E$98/12</f>
        <v>10736.432460242781</v>
      </c>
      <c r="I245" s="149">
        <f>Industrial!$E$96/12*G244</f>
        <v>7412.7145833369623</v>
      </c>
      <c r="J245" s="187">
        <f t="shared" si="75"/>
        <v>3323.7178769058182</v>
      </c>
      <c r="K245" s="72">
        <f t="shared" si="79"/>
        <v>79</v>
      </c>
      <c r="L245" s="180">
        <f t="shared" si="76"/>
        <v>2898063.5016754363</v>
      </c>
      <c r="M245" s="181">
        <f t="shared" si="76"/>
        <v>16895.089771747207</v>
      </c>
      <c r="N245" s="180">
        <f t="shared" si="76"/>
        <v>11161.865337034555</v>
      </c>
      <c r="O245" s="132">
        <f t="shared" si="71"/>
        <v>5733.2244347126534</v>
      </c>
    </row>
    <row r="246" spans="1:15" x14ac:dyDescent="0.25">
      <c r="A246" s="72">
        <f t="shared" si="77"/>
        <v>80</v>
      </c>
      <c r="B246" s="183">
        <f t="shared" si="72"/>
        <v>1119918.1813051379</v>
      </c>
      <c r="C246" s="184">
        <f>-Industrial!$E$93/12</f>
        <v>6158.6573115044275</v>
      </c>
      <c r="D246" s="183">
        <f>Industrial!$E$91/12*B245</f>
        <v>3741.1190651715697</v>
      </c>
      <c r="E246" s="185">
        <f t="shared" si="73"/>
        <v>2417.5382463328579</v>
      </c>
      <c r="F246" s="72">
        <f t="shared" si="78"/>
        <v>80</v>
      </c>
      <c r="G246" s="180">
        <f t="shared" si="74"/>
        <v>1772390.2154225723</v>
      </c>
      <c r="H246" s="186">
        <f>-Industrial!$E$98/12</f>
        <v>10736.432460242781</v>
      </c>
      <c r="I246" s="149">
        <f>Industrial!$E$96/12*G245</f>
        <v>7398.8657588498545</v>
      </c>
      <c r="J246" s="187">
        <f t="shared" si="75"/>
        <v>3337.566701392926</v>
      </c>
      <c r="K246" s="72">
        <f t="shared" si="79"/>
        <v>80</v>
      </c>
      <c r="L246" s="180">
        <f t="shared" si="76"/>
        <v>2892308.39672771</v>
      </c>
      <c r="M246" s="181">
        <f t="shared" si="76"/>
        <v>16895.089771747207</v>
      </c>
      <c r="N246" s="180">
        <f t="shared" si="76"/>
        <v>11139.984824021423</v>
      </c>
      <c r="O246" s="132">
        <f t="shared" si="71"/>
        <v>5755.1049477257839</v>
      </c>
    </row>
    <row r="247" spans="1:15" x14ac:dyDescent="0.25">
      <c r="A247" s="72">
        <f t="shared" si="77"/>
        <v>81</v>
      </c>
      <c r="B247" s="183">
        <f t="shared" si="72"/>
        <v>1117492.5845979839</v>
      </c>
      <c r="C247" s="184">
        <f>-Industrial!$E$93/12</f>
        <v>6158.6573115044275</v>
      </c>
      <c r="D247" s="183">
        <f>Industrial!$E$91/12*B246</f>
        <v>3733.0606043504599</v>
      </c>
      <c r="E247" s="185">
        <f t="shared" si="73"/>
        <v>2425.5967071539676</v>
      </c>
      <c r="F247" s="72">
        <f t="shared" si="78"/>
        <v>81</v>
      </c>
      <c r="G247" s="180">
        <f t="shared" si="74"/>
        <v>1769038.742193257</v>
      </c>
      <c r="H247" s="186">
        <f>-Industrial!$E$98/12</f>
        <v>10736.432460242781</v>
      </c>
      <c r="I247" s="149">
        <f>Industrial!$E$96/12*G246</f>
        <v>7384.9592309273849</v>
      </c>
      <c r="J247" s="187">
        <f t="shared" si="75"/>
        <v>3351.4732293153957</v>
      </c>
      <c r="K247" s="72">
        <f t="shared" si="79"/>
        <v>81</v>
      </c>
      <c r="L247" s="180">
        <f t="shared" si="76"/>
        <v>2886531.3267912408</v>
      </c>
      <c r="M247" s="181">
        <f t="shared" si="76"/>
        <v>16895.089771747207</v>
      </c>
      <c r="N247" s="180">
        <f t="shared" si="76"/>
        <v>11118.019835277844</v>
      </c>
      <c r="O247" s="132">
        <f t="shared" si="71"/>
        <v>5777.0699364693628</v>
      </c>
    </row>
    <row r="248" spans="1:15" x14ac:dyDescent="0.25">
      <c r="A248" s="72">
        <f t="shared" si="77"/>
        <v>82</v>
      </c>
      <c r="B248" s="183">
        <f t="shared" si="72"/>
        <v>1115058.9025684728</v>
      </c>
      <c r="C248" s="184">
        <f>-Industrial!$E$93/12</f>
        <v>6158.6573115044275</v>
      </c>
      <c r="D248" s="183">
        <f>Industrial!$E$91/12*B247</f>
        <v>3724.9752819932796</v>
      </c>
      <c r="E248" s="185">
        <f t="shared" si="73"/>
        <v>2433.6820295111479</v>
      </c>
      <c r="F248" s="72">
        <f t="shared" si="78"/>
        <v>82</v>
      </c>
      <c r="G248" s="180">
        <f t="shared" si="74"/>
        <v>1765673.3044921528</v>
      </c>
      <c r="H248" s="186">
        <f>-Industrial!$E$98/12</f>
        <v>10736.432460242781</v>
      </c>
      <c r="I248" s="149">
        <f>Industrial!$E$96/12*G247</f>
        <v>7370.9947591385708</v>
      </c>
      <c r="J248" s="187">
        <f t="shared" si="75"/>
        <v>3365.4377011042097</v>
      </c>
      <c r="K248" s="72">
        <f t="shared" si="79"/>
        <v>82</v>
      </c>
      <c r="L248" s="180">
        <f t="shared" si="76"/>
        <v>2880732.2070606258</v>
      </c>
      <c r="M248" s="181">
        <f t="shared" si="76"/>
        <v>16895.089771747207</v>
      </c>
      <c r="N248" s="180">
        <f t="shared" si="76"/>
        <v>11095.97004113185</v>
      </c>
      <c r="O248" s="132">
        <f t="shared" si="71"/>
        <v>5799.1197306153572</v>
      </c>
    </row>
    <row r="249" spans="1:15" x14ac:dyDescent="0.25">
      <c r="A249" s="72">
        <f t="shared" si="77"/>
        <v>83</v>
      </c>
      <c r="B249" s="183">
        <f t="shared" si="72"/>
        <v>1112617.1082655299</v>
      </c>
      <c r="C249" s="184">
        <f>-Industrial!$E$93/12</f>
        <v>6158.6573115044275</v>
      </c>
      <c r="D249" s="183">
        <f>Industrial!$E$91/12*B248</f>
        <v>3716.863008561576</v>
      </c>
      <c r="E249" s="185">
        <f t="shared" si="73"/>
        <v>2441.7943029428516</v>
      </c>
      <c r="F249" s="72">
        <f t="shared" si="78"/>
        <v>83</v>
      </c>
      <c r="G249" s="180">
        <f t="shared" si="74"/>
        <v>1762293.8441339605</v>
      </c>
      <c r="H249" s="186">
        <f>-Industrial!$E$98/12</f>
        <v>10736.432460242781</v>
      </c>
      <c r="I249" s="149">
        <f>Industrial!$E$96/12*G248</f>
        <v>7356.9721020506367</v>
      </c>
      <c r="J249" s="187">
        <f t="shared" si="75"/>
        <v>3379.4603581921438</v>
      </c>
      <c r="K249" s="72">
        <f t="shared" si="79"/>
        <v>83</v>
      </c>
      <c r="L249" s="180">
        <f t="shared" si="76"/>
        <v>2874910.9523994904</v>
      </c>
      <c r="M249" s="181">
        <f t="shared" si="76"/>
        <v>16895.089771747207</v>
      </c>
      <c r="N249" s="180">
        <f t="shared" si="76"/>
        <v>11073.835110612214</v>
      </c>
      <c r="O249" s="132">
        <f t="shared" si="71"/>
        <v>5821.2546611349953</v>
      </c>
    </row>
    <row r="250" spans="1:15" x14ac:dyDescent="0.25">
      <c r="A250" s="72">
        <f t="shared" si="77"/>
        <v>84</v>
      </c>
      <c r="B250" s="183">
        <f t="shared" si="72"/>
        <v>1110167.1746482439</v>
      </c>
      <c r="C250" s="184">
        <f>-Industrial!$E$93/12</f>
        <v>6158.6573115044275</v>
      </c>
      <c r="D250" s="183">
        <f>Industrial!$E$91/12*B249</f>
        <v>3708.7236942184331</v>
      </c>
      <c r="E250" s="185">
        <f t="shared" si="73"/>
        <v>2449.9336172859944</v>
      </c>
      <c r="F250" s="72">
        <f t="shared" si="78"/>
        <v>84</v>
      </c>
      <c r="G250" s="180">
        <f t="shared" si="74"/>
        <v>1758900.3026909425</v>
      </c>
      <c r="H250" s="186">
        <f>-Industrial!$E$98/12</f>
        <v>10736.432460242781</v>
      </c>
      <c r="I250" s="149">
        <f>Industrial!$E$96/12*G249</f>
        <v>7342.8910172248352</v>
      </c>
      <c r="J250" s="187">
        <f t="shared" si="75"/>
        <v>3393.5414430179453</v>
      </c>
      <c r="K250" s="72">
        <f t="shared" si="79"/>
        <v>84</v>
      </c>
      <c r="L250" s="180">
        <f t="shared" si="76"/>
        <v>2869067.4773391867</v>
      </c>
      <c r="M250" s="181">
        <f t="shared" si="76"/>
        <v>16895.089771747207</v>
      </c>
      <c r="N250" s="180">
        <f t="shared" si="76"/>
        <v>11051.614711443268</v>
      </c>
      <c r="O250" s="132">
        <f t="shared" si="71"/>
        <v>5843.4750603039392</v>
      </c>
    </row>
    <row r="251" spans="1:15" x14ac:dyDescent="0.25">
      <c r="A251" s="72">
        <f t="shared" si="77"/>
        <v>85</v>
      </c>
      <c r="B251" s="183">
        <f t="shared" si="72"/>
        <v>1107709.074585567</v>
      </c>
      <c r="C251" s="184">
        <f>-Industrial!$E$93/12</f>
        <v>6158.6573115044275</v>
      </c>
      <c r="D251" s="183">
        <f>Industrial!$E$91/12*B250</f>
        <v>3700.5572488274802</v>
      </c>
      <c r="E251" s="185">
        <f t="shared" si="73"/>
        <v>2458.1000626769473</v>
      </c>
      <c r="F251" s="72">
        <f t="shared" si="78"/>
        <v>85</v>
      </c>
      <c r="G251" s="180">
        <f t="shared" si="74"/>
        <v>1755492.6214919121</v>
      </c>
      <c r="H251" s="186">
        <f>-Industrial!$E$98/12</f>
        <v>10736.432460242781</v>
      </c>
      <c r="I251" s="149">
        <f>Industrial!$E$96/12*G250</f>
        <v>7328.75126121226</v>
      </c>
      <c r="J251" s="187">
        <f t="shared" si="75"/>
        <v>3407.6811990305205</v>
      </c>
      <c r="K251" s="72">
        <f t="shared" si="79"/>
        <v>85</v>
      </c>
      <c r="L251" s="180">
        <f t="shared" si="76"/>
        <v>2863201.696077479</v>
      </c>
      <c r="M251" s="181">
        <f t="shared" si="76"/>
        <v>16895.089771747207</v>
      </c>
      <c r="N251" s="180">
        <f t="shared" si="76"/>
        <v>11029.30851003974</v>
      </c>
      <c r="O251" s="132">
        <f t="shared" si="71"/>
        <v>5865.7812617074678</v>
      </c>
    </row>
    <row r="252" spans="1:15" x14ac:dyDescent="0.25">
      <c r="A252" s="72">
        <f t="shared" si="77"/>
        <v>86</v>
      </c>
      <c r="B252" s="183">
        <f t="shared" si="72"/>
        <v>1105242.7808560145</v>
      </c>
      <c r="C252" s="184">
        <f>-Industrial!$E$93/12</f>
        <v>6158.6573115044275</v>
      </c>
      <c r="D252" s="183">
        <f>Industrial!$E$91/12*B251</f>
        <v>3692.3635819518904</v>
      </c>
      <c r="E252" s="185">
        <f t="shared" si="73"/>
        <v>2466.2937295525371</v>
      </c>
      <c r="F252" s="72">
        <f t="shared" si="78"/>
        <v>86</v>
      </c>
      <c r="G252" s="180">
        <f t="shared" si="74"/>
        <v>1752070.7416212189</v>
      </c>
      <c r="H252" s="186">
        <f>-Industrial!$E$98/12</f>
        <v>10736.432460242781</v>
      </c>
      <c r="I252" s="149">
        <f>Industrial!$E$96/12*G251</f>
        <v>7314.552589549633</v>
      </c>
      <c r="J252" s="187">
        <f t="shared" si="75"/>
        <v>3421.8798706931475</v>
      </c>
      <c r="K252" s="72">
        <f t="shared" si="79"/>
        <v>86</v>
      </c>
      <c r="L252" s="180">
        <f t="shared" si="76"/>
        <v>2857313.5224772333</v>
      </c>
      <c r="M252" s="181">
        <f t="shared" si="76"/>
        <v>16895.089771747207</v>
      </c>
      <c r="N252" s="180">
        <f t="shared" si="76"/>
        <v>11006.916171501523</v>
      </c>
      <c r="O252" s="132">
        <f t="shared" si="71"/>
        <v>5888.1736002456846</v>
      </c>
    </row>
    <row r="253" spans="1:15" x14ac:dyDescent="0.25">
      <c r="A253" s="72">
        <f t="shared" si="77"/>
        <v>87</v>
      </c>
      <c r="B253" s="183">
        <f t="shared" si="72"/>
        <v>1102768.2661473635</v>
      </c>
      <c r="C253" s="184">
        <f>-Industrial!$E$93/12</f>
        <v>6158.6573115044275</v>
      </c>
      <c r="D253" s="183">
        <f>Industrial!$E$91/12*B252</f>
        <v>3684.142602853382</v>
      </c>
      <c r="E253" s="185">
        <f t="shared" si="73"/>
        <v>2474.5147086510456</v>
      </c>
      <c r="F253" s="72">
        <f t="shared" si="78"/>
        <v>87</v>
      </c>
      <c r="G253" s="180">
        <f t="shared" si="74"/>
        <v>1748634.6039177312</v>
      </c>
      <c r="H253" s="186">
        <f>-Industrial!$E$98/12</f>
        <v>10736.432460242781</v>
      </c>
      <c r="I253" s="149">
        <f>Industrial!$E$96/12*G252</f>
        <v>7300.2947567550782</v>
      </c>
      <c r="J253" s="187">
        <f t="shared" si="75"/>
        <v>3436.1377034877023</v>
      </c>
      <c r="K253" s="72">
        <f t="shared" si="79"/>
        <v>87</v>
      </c>
      <c r="L253" s="180">
        <f t="shared" si="76"/>
        <v>2851402.8700650949</v>
      </c>
      <c r="M253" s="181">
        <f t="shared" si="76"/>
        <v>16895.089771747207</v>
      </c>
      <c r="N253" s="180">
        <f t="shared" si="76"/>
        <v>10984.437359608461</v>
      </c>
      <c r="O253" s="132">
        <f t="shared" si="71"/>
        <v>5910.6524121387483</v>
      </c>
    </row>
    <row r="254" spans="1:15" x14ac:dyDescent="0.25">
      <c r="A254" s="72">
        <f t="shared" si="77"/>
        <v>88</v>
      </c>
      <c r="B254" s="183">
        <f t="shared" si="72"/>
        <v>1100285.5030563502</v>
      </c>
      <c r="C254" s="184">
        <f>-Industrial!$E$93/12</f>
        <v>6158.6573115044275</v>
      </c>
      <c r="D254" s="183">
        <f>Industrial!$E$91/12*B253</f>
        <v>3675.8942204912119</v>
      </c>
      <c r="E254" s="185">
        <f t="shared" si="73"/>
        <v>2482.7630910132157</v>
      </c>
      <c r="F254" s="72">
        <f t="shared" si="78"/>
        <v>88</v>
      </c>
      <c r="G254" s="180">
        <f t="shared" si="74"/>
        <v>1745184.1489738123</v>
      </c>
      <c r="H254" s="186">
        <f>-Industrial!$E$98/12</f>
        <v>10736.432460242781</v>
      </c>
      <c r="I254" s="149">
        <f>Industrial!$E$96/12*G253</f>
        <v>7285.9775163238801</v>
      </c>
      <c r="J254" s="187">
        <f t="shared" si="75"/>
        <v>3450.4549439189004</v>
      </c>
      <c r="K254" s="72">
        <f t="shared" si="79"/>
        <v>88</v>
      </c>
      <c r="L254" s="180">
        <f t="shared" si="76"/>
        <v>2845469.6520301625</v>
      </c>
      <c r="M254" s="181">
        <f t="shared" si="76"/>
        <v>16895.089771747207</v>
      </c>
      <c r="N254" s="180">
        <f t="shared" si="76"/>
        <v>10961.871736815092</v>
      </c>
      <c r="O254" s="132">
        <f t="shared" si="71"/>
        <v>5933.2180349321161</v>
      </c>
    </row>
    <row r="255" spans="1:15" x14ac:dyDescent="0.25">
      <c r="A255" s="72">
        <f t="shared" si="77"/>
        <v>89</v>
      </c>
      <c r="B255" s="183">
        <f t="shared" si="72"/>
        <v>1097794.4640883668</v>
      </c>
      <c r="C255" s="184">
        <f>-Industrial!$E$93/12</f>
        <v>6158.6573115044275</v>
      </c>
      <c r="D255" s="183">
        <f>Industrial!$E$91/12*B254</f>
        <v>3667.6183435211674</v>
      </c>
      <c r="E255" s="185">
        <f t="shared" si="73"/>
        <v>2491.0389679832601</v>
      </c>
      <c r="F255" s="72">
        <f t="shared" si="78"/>
        <v>89</v>
      </c>
      <c r="G255" s="180">
        <f t="shared" si="74"/>
        <v>1741719.3171342937</v>
      </c>
      <c r="H255" s="186">
        <f>-Industrial!$E$98/12</f>
        <v>10736.432460242781</v>
      </c>
      <c r="I255" s="149">
        <f>Industrial!$E$96/12*G254</f>
        <v>7271.6006207242181</v>
      </c>
      <c r="J255" s="187">
        <f t="shared" si="75"/>
        <v>3464.8318395185624</v>
      </c>
      <c r="K255" s="72">
        <f t="shared" si="79"/>
        <v>89</v>
      </c>
      <c r="L255" s="180">
        <f t="shared" si="76"/>
        <v>2839513.7812226606</v>
      </c>
      <c r="M255" s="181">
        <f t="shared" si="76"/>
        <v>16895.089771747207</v>
      </c>
      <c r="N255" s="180">
        <f t="shared" si="76"/>
        <v>10939.218964245385</v>
      </c>
      <c r="O255" s="132">
        <f t="shared" si="71"/>
        <v>5955.8708075018221</v>
      </c>
    </row>
    <row r="256" spans="1:15" x14ac:dyDescent="0.25">
      <c r="A256" s="72">
        <f t="shared" si="77"/>
        <v>90</v>
      </c>
      <c r="B256" s="183">
        <f t="shared" si="72"/>
        <v>1095295.1216571569</v>
      </c>
      <c r="C256" s="184">
        <f>-Industrial!$E$93/12</f>
        <v>6158.6573115044275</v>
      </c>
      <c r="D256" s="183">
        <f>Industrial!$E$91/12*B255</f>
        <v>3659.3148802945561</v>
      </c>
      <c r="E256" s="185">
        <f t="shared" si="73"/>
        <v>2499.3424312098714</v>
      </c>
      <c r="F256" s="72">
        <f t="shared" si="78"/>
        <v>90</v>
      </c>
      <c r="G256" s="180">
        <f t="shared" si="74"/>
        <v>1738240.0484954438</v>
      </c>
      <c r="H256" s="186">
        <f>-Industrial!$E$98/12</f>
        <v>10736.432460242781</v>
      </c>
      <c r="I256" s="149">
        <f>Industrial!$E$96/12*G255</f>
        <v>7257.16382139289</v>
      </c>
      <c r="J256" s="187">
        <f t="shared" si="75"/>
        <v>3479.2686388498905</v>
      </c>
      <c r="K256" s="72">
        <f t="shared" si="79"/>
        <v>90</v>
      </c>
      <c r="L256" s="180">
        <f t="shared" si="76"/>
        <v>2833535.1701526009</v>
      </c>
      <c r="M256" s="181">
        <f t="shared" si="76"/>
        <v>16895.089771747207</v>
      </c>
      <c r="N256" s="180">
        <f t="shared" si="76"/>
        <v>10916.478701687447</v>
      </c>
      <c r="O256" s="132">
        <f t="shared" si="71"/>
        <v>5978.6110700597619</v>
      </c>
    </row>
    <row r="257" spans="1:15" x14ac:dyDescent="0.25">
      <c r="A257" s="72">
        <f t="shared" si="77"/>
        <v>91</v>
      </c>
      <c r="B257" s="183">
        <f t="shared" si="72"/>
        <v>1092787.4480845097</v>
      </c>
      <c r="C257" s="184">
        <f>-Industrial!$E$93/12</f>
        <v>6158.6573115044275</v>
      </c>
      <c r="D257" s="183">
        <f>Industrial!$E$91/12*B256</f>
        <v>3650.9837388571896</v>
      </c>
      <c r="E257" s="185">
        <f t="shared" si="73"/>
        <v>2507.673572647238</v>
      </c>
      <c r="F257" s="72">
        <f t="shared" si="78"/>
        <v>91</v>
      </c>
      <c r="G257" s="180">
        <f t="shared" si="74"/>
        <v>1734746.282903932</v>
      </c>
      <c r="H257" s="186">
        <f>-Industrial!$E$98/12</f>
        <v>10736.432460242781</v>
      </c>
      <c r="I257" s="149">
        <f>Industrial!$E$96/12*G256</f>
        <v>7242.6668687310157</v>
      </c>
      <c r="J257" s="187">
        <f t="shared" si="75"/>
        <v>3493.7655915117648</v>
      </c>
      <c r="K257" s="72">
        <f t="shared" si="79"/>
        <v>91</v>
      </c>
      <c r="L257" s="180">
        <f t="shared" si="76"/>
        <v>2827533.730988442</v>
      </c>
      <c r="M257" s="181">
        <f t="shared" si="76"/>
        <v>16895.089771747207</v>
      </c>
      <c r="N257" s="180">
        <f t="shared" si="76"/>
        <v>10893.650607588206</v>
      </c>
      <c r="O257" s="132">
        <f t="shared" si="71"/>
        <v>6001.4391641590028</v>
      </c>
    </row>
    <row r="258" spans="1:15" x14ac:dyDescent="0.25">
      <c r="A258" s="72">
        <f t="shared" si="77"/>
        <v>92</v>
      </c>
      <c r="B258" s="183">
        <f t="shared" si="72"/>
        <v>1090271.4155999536</v>
      </c>
      <c r="C258" s="184">
        <f>-Industrial!$E$93/12</f>
        <v>6158.6573115044275</v>
      </c>
      <c r="D258" s="183">
        <f>Industrial!$E$91/12*B257</f>
        <v>3642.6248269483658</v>
      </c>
      <c r="E258" s="185">
        <f t="shared" si="73"/>
        <v>2516.0324845560617</v>
      </c>
      <c r="F258" s="72">
        <f t="shared" si="78"/>
        <v>92</v>
      </c>
      <c r="G258" s="180">
        <f t="shared" si="74"/>
        <v>1731237.9599557889</v>
      </c>
      <c r="H258" s="186">
        <f>-Industrial!$E$98/12</f>
        <v>10736.432460242781</v>
      </c>
      <c r="I258" s="149">
        <f>Industrial!$E$96/12*G257</f>
        <v>7228.109512099717</v>
      </c>
      <c r="J258" s="187">
        <f t="shared" si="75"/>
        <v>3508.3229481430635</v>
      </c>
      <c r="K258" s="72">
        <f t="shared" si="79"/>
        <v>92</v>
      </c>
      <c r="L258" s="180">
        <f t="shared" si="76"/>
        <v>2821509.3755557425</v>
      </c>
      <c r="M258" s="181">
        <f t="shared" si="76"/>
        <v>16895.089771747207</v>
      </c>
      <c r="N258" s="180">
        <f t="shared" si="76"/>
        <v>10870.734339048082</v>
      </c>
      <c r="O258" s="132">
        <f t="shared" si="71"/>
        <v>6024.3554326991252</v>
      </c>
    </row>
    <row r="259" spans="1:15" x14ac:dyDescent="0.25">
      <c r="A259" s="72">
        <f t="shared" si="77"/>
        <v>93</v>
      </c>
      <c r="B259" s="183">
        <f t="shared" si="72"/>
        <v>1087746.996340449</v>
      </c>
      <c r="C259" s="184">
        <f>-Industrial!$E$93/12</f>
        <v>6158.6573115044275</v>
      </c>
      <c r="D259" s="183">
        <f>Industrial!$E$91/12*B258</f>
        <v>3634.2380519998455</v>
      </c>
      <c r="E259" s="185">
        <f t="shared" si="73"/>
        <v>2524.419259504582</v>
      </c>
      <c r="F259" s="72">
        <f t="shared" si="78"/>
        <v>93</v>
      </c>
      <c r="G259" s="180">
        <f t="shared" si="74"/>
        <v>1727715.0189953619</v>
      </c>
      <c r="H259" s="186">
        <f>-Industrial!$E$98/12</f>
        <v>10736.432460242781</v>
      </c>
      <c r="I259" s="149">
        <f>Industrial!$E$96/12*G258</f>
        <v>7213.4914998157874</v>
      </c>
      <c r="J259" s="187">
        <f t="shared" si="75"/>
        <v>3522.9409604269931</v>
      </c>
      <c r="K259" s="72">
        <f t="shared" si="79"/>
        <v>93</v>
      </c>
      <c r="L259" s="180">
        <f t="shared" si="76"/>
        <v>2815462.0153358108</v>
      </c>
      <c r="M259" s="181">
        <f t="shared" si="76"/>
        <v>16895.089771747207</v>
      </c>
      <c r="N259" s="180">
        <f t="shared" si="76"/>
        <v>10847.729551815633</v>
      </c>
      <c r="O259" s="132">
        <f t="shared" si="71"/>
        <v>6047.3602199315756</v>
      </c>
    </row>
    <row r="260" spans="1:15" x14ac:dyDescent="0.25">
      <c r="A260" s="72">
        <f t="shared" si="77"/>
        <v>94</v>
      </c>
      <c r="B260" s="183">
        <f t="shared" si="72"/>
        <v>1085214.1623500793</v>
      </c>
      <c r="C260" s="184">
        <f>-Industrial!$E$93/12</f>
        <v>6158.6573115044275</v>
      </c>
      <c r="D260" s="183">
        <f>Industrial!$E$91/12*B259</f>
        <v>3625.8233211348302</v>
      </c>
      <c r="E260" s="185">
        <f t="shared" si="73"/>
        <v>2532.8339903695974</v>
      </c>
      <c r="F260" s="72">
        <f t="shared" si="78"/>
        <v>94</v>
      </c>
      <c r="G260" s="180">
        <f t="shared" si="74"/>
        <v>1724177.3991142665</v>
      </c>
      <c r="H260" s="186">
        <f>-Industrial!$E$98/12</f>
        <v>10736.432460242781</v>
      </c>
      <c r="I260" s="149">
        <f>Industrial!$E$96/12*G259</f>
        <v>7198.8125791473412</v>
      </c>
      <c r="J260" s="187">
        <f t="shared" si="75"/>
        <v>3537.6198810954393</v>
      </c>
      <c r="K260" s="72">
        <f t="shared" si="79"/>
        <v>94</v>
      </c>
      <c r="L260" s="180">
        <f t="shared" si="76"/>
        <v>2809391.561464346</v>
      </c>
      <c r="M260" s="181">
        <f t="shared" si="76"/>
        <v>16895.089771747207</v>
      </c>
      <c r="N260" s="180">
        <f t="shared" si="76"/>
        <v>10824.635900282172</v>
      </c>
      <c r="O260" s="132">
        <f t="shared" si="71"/>
        <v>6070.4538714650371</v>
      </c>
    </row>
    <row r="261" spans="1:15" x14ac:dyDescent="0.25">
      <c r="A261" s="72">
        <f t="shared" si="77"/>
        <v>95</v>
      </c>
      <c r="B261" s="183">
        <f t="shared" si="72"/>
        <v>1082672.8855797418</v>
      </c>
      <c r="C261" s="184">
        <f>-Industrial!$E$93/12</f>
        <v>6158.6573115044275</v>
      </c>
      <c r="D261" s="183">
        <f>Industrial!$E$91/12*B260</f>
        <v>3617.3805411669314</v>
      </c>
      <c r="E261" s="185">
        <f t="shared" si="73"/>
        <v>2541.2767703374961</v>
      </c>
      <c r="F261" s="72">
        <f t="shared" si="78"/>
        <v>95</v>
      </c>
      <c r="G261" s="180">
        <f t="shared" si="74"/>
        <v>1720625.0391503333</v>
      </c>
      <c r="H261" s="186">
        <f>-Industrial!$E$98/12</f>
        <v>10736.432460242781</v>
      </c>
      <c r="I261" s="149">
        <f>Industrial!$E$96/12*G260</f>
        <v>7184.0724963094435</v>
      </c>
      <c r="J261" s="187">
        <f t="shared" si="75"/>
        <v>3552.359963933337</v>
      </c>
      <c r="K261" s="72">
        <f t="shared" si="79"/>
        <v>95</v>
      </c>
      <c r="L261" s="180">
        <f t="shared" si="76"/>
        <v>2803297.9247300751</v>
      </c>
      <c r="M261" s="181">
        <f t="shared" si="76"/>
        <v>16895.089771747207</v>
      </c>
      <c r="N261" s="180">
        <f t="shared" si="76"/>
        <v>10801.453037476374</v>
      </c>
      <c r="O261" s="132">
        <f t="shared" si="71"/>
        <v>6093.6367342708327</v>
      </c>
    </row>
    <row r="262" spans="1:15" x14ac:dyDescent="0.25">
      <c r="A262" s="72">
        <f t="shared" si="77"/>
        <v>96</v>
      </c>
      <c r="B262" s="183">
        <f t="shared" si="72"/>
        <v>1080123.1378868364</v>
      </c>
      <c r="C262" s="184">
        <f>-Industrial!$E$93/12</f>
        <v>6158.6573115044275</v>
      </c>
      <c r="D262" s="183">
        <f>Industrial!$E$91/12*B261</f>
        <v>3608.9096185991393</v>
      </c>
      <c r="E262" s="185">
        <f t="shared" si="73"/>
        <v>2549.7476929052882</v>
      </c>
      <c r="F262" s="72">
        <f t="shared" si="78"/>
        <v>96</v>
      </c>
      <c r="G262" s="180">
        <f t="shared" si="74"/>
        <v>1717057.8776865501</v>
      </c>
      <c r="H262" s="186">
        <f>-Industrial!$E$98/12</f>
        <v>10736.432460242781</v>
      </c>
      <c r="I262" s="149">
        <f>Industrial!$E$96/12*G261</f>
        <v>7169.2709964597216</v>
      </c>
      <c r="J262" s="187">
        <f t="shared" si="75"/>
        <v>3567.1614637830589</v>
      </c>
      <c r="K262" s="72">
        <f t="shared" si="79"/>
        <v>96</v>
      </c>
      <c r="L262" s="180">
        <f t="shared" si="76"/>
        <v>2797181.0155733866</v>
      </c>
      <c r="M262" s="181">
        <f t="shared" si="76"/>
        <v>16895.089771747207</v>
      </c>
      <c r="N262" s="180">
        <f t="shared" si="76"/>
        <v>10778.18061505886</v>
      </c>
      <c r="O262" s="132">
        <f t="shared" si="71"/>
        <v>6116.9091566883471</v>
      </c>
    </row>
    <row r="263" spans="1:15" x14ac:dyDescent="0.25">
      <c r="A263" s="72">
        <f t="shared" si="77"/>
        <v>97</v>
      </c>
      <c r="B263" s="183">
        <f t="shared" si="72"/>
        <v>1077564.8910349547</v>
      </c>
      <c r="C263" s="184">
        <f>-Industrial!$E$93/12</f>
        <v>6158.6573115044275</v>
      </c>
      <c r="D263" s="183">
        <f>Industrial!$E$91/12*B262</f>
        <v>3600.4104596227885</v>
      </c>
      <c r="E263" s="185">
        <f t="shared" si="73"/>
        <v>2558.246851881639</v>
      </c>
      <c r="F263" s="72">
        <f t="shared" si="78"/>
        <v>97</v>
      </c>
      <c r="G263" s="180">
        <f t="shared" si="74"/>
        <v>1713475.8530500014</v>
      </c>
      <c r="H263" s="186">
        <f>-Industrial!$E$98/12</f>
        <v>10736.432460242781</v>
      </c>
      <c r="I263" s="149">
        <f>Industrial!$E$96/12*G262</f>
        <v>7154.4078236939586</v>
      </c>
      <c r="J263" s="187">
        <f t="shared" si="75"/>
        <v>3582.0246365488219</v>
      </c>
      <c r="K263" s="72">
        <f t="shared" si="79"/>
        <v>97</v>
      </c>
      <c r="L263" s="180">
        <f t="shared" si="76"/>
        <v>2791040.7440849561</v>
      </c>
      <c r="M263" s="181">
        <f t="shared" si="76"/>
        <v>16895.089771747207</v>
      </c>
      <c r="N263" s="180">
        <f t="shared" si="76"/>
        <v>10754.818283316747</v>
      </c>
      <c r="O263" s="132">
        <f t="shared" si="71"/>
        <v>6140.2714884304605</v>
      </c>
    </row>
    <row r="264" spans="1:15" x14ac:dyDescent="0.25">
      <c r="A264" s="72">
        <f t="shared" si="77"/>
        <v>98</v>
      </c>
      <c r="B264" s="183">
        <f t="shared" si="72"/>
        <v>1074998.1166935668</v>
      </c>
      <c r="C264" s="184">
        <f>-Industrial!$E$93/12</f>
        <v>6158.6573115044275</v>
      </c>
      <c r="D264" s="183">
        <f>Industrial!$E$91/12*B263</f>
        <v>3591.8829701165159</v>
      </c>
      <c r="E264" s="185">
        <f t="shared" si="73"/>
        <v>2566.7743413879116</v>
      </c>
      <c r="F264" s="72">
        <f t="shared" si="78"/>
        <v>98</v>
      </c>
      <c r="G264" s="180">
        <f t="shared" si="74"/>
        <v>1709878.9033108004</v>
      </c>
      <c r="H264" s="186">
        <f>-Industrial!$E$98/12</f>
        <v>10736.432460242781</v>
      </c>
      <c r="I264" s="149">
        <f>Industrial!$E$96/12*G263</f>
        <v>7139.4827210416724</v>
      </c>
      <c r="J264" s="187">
        <f t="shared" si="75"/>
        <v>3596.9497392011081</v>
      </c>
      <c r="K264" s="72">
        <f t="shared" si="79"/>
        <v>98</v>
      </c>
      <c r="L264" s="180">
        <f t="shared" si="76"/>
        <v>2784877.0200043675</v>
      </c>
      <c r="M264" s="181">
        <f t="shared" si="76"/>
        <v>16895.089771747207</v>
      </c>
      <c r="N264" s="180">
        <f t="shared" si="76"/>
        <v>10731.365691158189</v>
      </c>
      <c r="O264" s="132">
        <f t="shared" si="71"/>
        <v>6163.7240805890196</v>
      </c>
    </row>
    <row r="265" spans="1:15" x14ac:dyDescent="0.25">
      <c r="A265" s="72">
        <f t="shared" si="77"/>
        <v>99</v>
      </c>
      <c r="B265" s="183">
        <f t="shared" si="72"/>
        <v>1072422.7864377075</v>
      </c>
      <c r="C265" s="184">
        <f>-Industrial!$E$93/12</f>
        <v>6158.6573115044275</v>
      </c>
      <c r="D265" s="183">
        <f>Industrial!$E$91/12*B264</f>
        <v>3583.327055645223</v>
      </c>
      <c r="E265" s="185">
        <f t="shared" si="73"/>
        <v>2575.3302558592045</v>
      </c>
      <c r="F265" s="72">
        <f t="shared" si="78"/>
        <v>99</v>
      </c>
      <c r="G265" s="180">
        <f t="shared" si="74"/>
        <v>1706266.9662810194</v>
      </c>
      <c r="H265" s="186">
        <f>-Industrial!$E$98/12</f>
        <v>10736.432460242781</v>
      </c>
      <c r="I265" s="149">
        <f>Industrial!$E$96/12*G264</f>
        <v>7124.4954304616685</v>
      </c>
      <c r="J265" s="187">
        <f t="shared" si="75"/>
        <v>3611.937029781112</v>
      </c>
      <c r="K265" s="72">
        <f t="shared" si="79"/>
        <v>99</v>
      </c>
      <c r="L265" s="180">
        <f t="shared" si="76"/>
        <v>2778689.7527187271</v>
      </c>
      <c r="M265" s="181">
        <f t="shared" si="76"/>
        <v>16895.089771747207</v>
      </c>
      <c r="N265" s="180">
        <f t="shared" si="76"/>
        <v>10707.822486106892</v>
      </c>
      <c r="O265" s="132">
        <f t="shared" si="71"/>
        <v>6187.2672856403169</v>
      </c>
    </row>
    <row r="266" spans="1:15" x14ac:dyDescent="0.25">
      <c r="A266" s="72">
        <f t="shared" si="77"/>
        <v>100</v>
      </c>
      <c r="B266" s="183">
        <f t="shared" si="72"/>
        <v>1069838.8717476621</v>
      </c>
      <c r="C266" s="184">
        <f>-Industrial!$E$93/12</f>
        <v>6158.6573115044275</v>
      </c>
      <c r="D266" s="183">
        <f>Industrial!$E$91/12*B265</f>
        <v>3574.742621459025</v>
      </c>
      <c r="E266" s="185">
        <f t="shared" si="73"/>
        <v>2583.9146900454025</v>
      </c>
      <c r="F266" s="72">
        <f t="shared" si="78"/>
        <v>100</v>
      </c>
      <c r="G266" s="180">
        <f t="shared" si="74"/>
        <v>1702639.9795136142</v>
      </c>
      <c r="H266" s="186">
        <f>-Industrial!$E$98/12</f>
        <v>10736.432460242781</v>
      </c>
      <c r="I266" s="149">
        <f>Industrial!$E$96/12*G265</f>
        <v>7109.4456928375803</v>
      </c>
      <c r="J266" s="187">
        <f t="shared" si="75"/>
        <v>3626.9867674052002</v>
      </c>
      <c r="K266" s="72">
        <f t="shared" si="79"/>
        <v>100</v>
      </c>
      <c r="L266" s="180">
        <f t="shared" si="76"/>
        <v>2772478.8512612763</v>
      </c>
      <c r="M266" s="181">
        <f t="shared" si="76"/>
        <v>16895.089771747207</v>
      </c>
      <c r="N266" s="180">
        <f t="shared" si="76"/>
        <v>10684.188314296605</v>
      </c>
      <c r="O266" s="132">
        <f t="shared" si="71"/>
        <v>6210.9014574506027</v>
      </c>
    </row>
    <row r="267" spans="1:15" x14ac:dyDescent="0.25">
      <c r="A267" s="72">
        <f t="shared" si="77"/>
        <v>101</v>
      </c>
      <c r="B267" s="183">
        <f t="shared" si="72"/>
        <v>1067246.3440086499</v>
      </c>
      <c r="C267" s="184">
        <f>-Industrial!$E$93/12</f>
        <v>6158.6573115044275</v>
      </c>
      <c r="D267" s="183">
        <f>Industrial!$E$91/12*B266</f>
        <v>3566.129572492207</v>
      </c>
      <c r="E267" s="185">
        <f t="shared" si="73"/>
        <v>2592.5277390122205</v>
      </c>
      <c r="F267" s="72">
        <f t="shared" si="78"/>
        <v>101</v>
      </c>
      <c r="G267" s="180">
        <f t="shared" si="74"/>
        <v>1698997.8803013449</v>
      </c>
      <c r="H267" s="186">
        <f>-Industrial!$E$98/12</f>
        <v>10736.432460242781</v>
      </c>
      <c r="I267" s="149">
        <f>Industrial!$E$96/12*G266</f>
        <v>7094.3332479733926</v>
      </c>
      <c r="J267" s="187">
        <f t="shared" si="75"/>
        <v>3642.0992122693879</v>
      </c>
      <c r="K267" s="72">
        <f t="shared" si="79"/>
        <v>101</v>
      </c>
      <c r="L267" s="180">
        <f t="shared" si="76"/>
        <v>2766244.2243099948</v>
      </c>
      <c r="M267" s="181">
        <f t="shared" si="76"/>
        <v>16895.089771747207</v>
      </c>
      <c r="N267" s="180">
        <f t="shared" si="76"/>
        <v>10660.4628204656</v>
      </c>
      <c r="O267" s="132">
        <f t="shared" si="71"/>
        <v>6234.6269512816089</v>
      </c>
    </row>
    <row r="268" spans="1:15" x14ac:dyDescent="0.25">
      <c r="A268" s="72">
        <f t="shared" si="77"/>
        <v>102</v>
      </c>
      <c r="B268" s="183">
        <f t="shared" si="72"/>
        <v>1064645.1745105076</v>
      </c>
      <c r="C268" s="184">
        <f>-Industrial!$E$93/12</f>
        <v>6158.6573115044275</v>
      </c>
      <c r="D268" s="183">
        <f>Industrial!$E$91/12*B267</f>
        <v>3557.4878133621669</v>
      </c>
      <c r="E268" s="185">
        <f t="shared" si="73"/>
        <v>2601.1694981422606</v>
      </c>
      <c r="F268" s="72">
        <f t="shared" si="78"/>
        <v>102</v>
      </c>
      <c r="G268" s="180">
        <f t="shared" si="74"/>
        <v>1695340.605675691</v>
      </c>
      <c r="H268" s="186">
        <f>-Industrial!$E$98/12</f>
        <v>10736.432460242781</v>
      </c>
      <c r="I268" s="149">
        <f>Industrial!$E$96/12*G267</f>
        <v>7079.1578345889366</v>
      </c>
      <c r="J268" s="187">
        <f t="shared" si="75"/>
        <v>3657.2746256538439</v>
      </c>
      <c r="K268" s="72">
        <f t="shared" si="79"/>
        <v>102</v>
      </c>
      <c r="L268" s="180">
        <f t="shared" si="76"/>
        <v>2759985.7801861987</v>
      </c>
      <c r="M268" s="181">
        <f t="shared" si="76"/>
        <v>16895.089771747207</v>
      </c>
      <c r="N268" s="180">
        <f t="shared" si="76"/>
        <v>10636.645647951103</v>
      </c>
      <c r="O268" s="132">
        <f t="shared" si="71"/>
        <v>6258.4441237961046</v>
      </c>
    </row>
    <row r="269" spans="1:15" x14ac:dyDescent="0.25">
      <c r="A269" s="72">
        <f t="shared" si="77"/>
        <v>103</v>
      </c>
      <c r="B269" s="183">
        <f t="shared" si="72"/>
        <v>1062035.3344473715</v>
      </c>
      <c r="C269" s="184">
        <f>-Industrial!$E$93/12</f>
        <v>6158.6573115044275</v>
      </c>
      <c r="D269" s="183">
        <f>Industrial!$E$91/12*B268</f>
        <v>3548.8172483683588</v>
      </c>
      <c r="E269" s="185">
        <f t="shared" si="73"/>
        <v>2609.8400631360687</v>
      </c>
      <c r="F269" s="72">
        <f t="shared" si="78"/>
        <v>103</v>
      </c>
      <c r="G269" s="180">
        <f t="shared" si="74"/>
        <v>1691668.0924057637</v>
      </c>
      <c r="H269" s="186">
        <f>-Industrial!$E$98/12</f>
        <v>10736.432460242781</v>
      </c>
      <c r="I269" s="149">
        <f>Industrial!$E$96/12*G268</f>
        <v>7063.9191903153796</v>
      </c>
      <c r="J269" s="187">
        <f t="shared" si="75"/>
        <v>3672.5132699274009</v>
      </c>
      <c r="K269" s="72">
        <f t="shared" si="79"/>
        <v>103</v>
      </c>
      <c r="L269" s="180">
        <f t="shared" si="76"/>
        <v>2753703.4268531352</v>
      </c>
      <c r="M269" s="181">
        <f t="shared" si="76"/>
        <v>16895.089771747207</v>
      </c>
      <c r="N269" s="180">
        <f t="shared" si="76"/>
        <v>10612.736438683738</v>
      </c>
      <c r="O269" s="132">
        <f t="shared" si="71"/>
        <v>6282.3533330634691</v>
      </c>
    </row>
    <row r="270" spans="1:15" x14ac:dyDescent="0.25">
      <c r="A270" s="72">
        <f t="shared" si="77"/>
        <v>104</v>
      </c>
      <c r="B270" s="183">
        <f t="shared" si="72"/>
        <v>1059416.7949173583</v>
      </c>
      <c r="C270" s="184">
        <f>-Industrial!$E$93/12</f>
        <v>6158.6573115044275</v>
      </c>
      <c r="D270" s="183">
        <f>Industrial!$E$91/12*B269</f>
        <v>3540.1177814912385</v>
      </c>
      <c r="E270" s="185">
        <f t="shared" si="73"/>
        <v>2618.5395300131891</v>
      </c>
      <c r="F270" s="72">
        <f t="shared" si="78"/>
        <v>104</v>
      </c>
      <c r="G270" s="180">
        <f t="shared" si="74"/>
        <v>1687980.2769972116</v>
      </c>
      <c r="H270" s="186">
        <f>-Industrial!$E$98/12</f>
        <v>10736.432460242781</v>
      </c>
      <c r="I270" s="149">
        <f>Industrial!$E$96/12*G269</f>
        <v>7048.6170516906823</v>
      </c>
      <c r="J270" s="187">
        <f t="shared" si="75"/>
        <v>3687.8154085520982</v>
      </c>
      <c r="K270" s="72">
        <f t="shared" si="79"/>
        <v>104</v>
      </c>
      <c r="L270" s="180">
        <f t="shared" si="76"/>
        <v>2747397.0719145699</v>
      </c>
      <c r="M270" s="181">
        <f t="shared" si="76"/>
        <v>16895.089771747207</v>
      </c>
      <c r="N270" s="180">
        <f t="shared" si="76"/>
        <v>10588.734833181921</v>
      </c>
      <c r="O270" s="132">
        <f t="shared" si="71"/>
        <v>6306.3549385652877</v>
      </c>
    </row>
    <row r="271" spans="1:15" x14ac:dyDescent="0.25">
      <c r="A271" s="72">
        <f t="shared" si="77"/>
        <v>105</v>
      </c>
      <c r="B271" s="183">
        <f t="shared" si="72"/>
        <v>1056789.526922245</v>
      </c>
      <c r="C271" s="184">
        <f>-Industrial!$E$93/12</f>
        <v>6158.6573115044275</v>
      </c>
      <c r="D271" s="183">
        <f>Industrial!$E$91/12*B270</f>
        <v>3531.3893163911948</v>
      </c>
      <c r="E271" s="185">
        <f t="shared" si="73"/>
        <v>2627.2679951132327</v>
      </c>
      <c r="F271" s="72">
        <f t="shared" si="78"/>
        <v>105</v>
      </c>
      <c r="G271" s="180">
        <f t="shared" si="74"/>
        <v>1684277.095691124</v>
      </c>
      <c r="H271" s="186">
        <f>-Industrial!$E$98/12</f>
        <v>10736.432460242781</v>
      </c>
      <c r="I271" s="149">
        <f>Industrial!$E$96/12*G270</f>
        <v>7033.2511541550484</v>
      </c>
      <c r="J271" s="187">
        <f t="shared" si="75"/>
        <v>3703.1813060877321</v>
      </c>
      <c r="K271" s="72">
        <f t="shared" si="79"/>
        <v>105</v>
      </c>
      <c r="L271" s="180">
        <f t="shared" si="76"/>
        <v>2741066.622613369</v>
      </c>
      <c r="M271" s="181">
        <f t="shared" si="76"/>
        <v>16895.089771747207</v>
      </c>
      <c r="N271" s="180">
        <f t="shared" si="76"/>
        <v>10564.640470546243</v>
      </c>
      <c r="O271" s="132">
        <f t="shared" si="71"/>
        <v>6330.4493012009643</v>
      </c>
    </row>
    <row r="272" spans="1:15" x14ac:dyDescent="0.25">
      <c r="A272" s="72">
        <f t="shared" si="77"/>
        <v>106</v>
      </c>
      <c r="B272" s="183">
        <f t="shared" si="72"/>
        <v>1054153.501367148</v>
      </c>
      <c r="C272" s="184">
        <f>-Industrial!$E$93/12</f>
        <v>6158.6573115044275</v>
      </c>
      <c r="D272" s="183">
        <f>Industrial!$E$91/12*B271</f>
        <v>3522.6317564074839</v>
      </c>
      <c r="E272" s="185">
        <f t="shared" si="73"/>
        <v>2636.0255550969437</v>
      </c>
      <c r="F272" s="72">
        <f t="shared" si="78"/>
        <v>106</v>
      </c>
      <c r="G272" s="180">
        <f t="shared" si="74"/>
        <v>1680558.4844629276</v>
      </c>
      <c r="H272" s="186">
        <f>-Industrial!$E$98/12</f>
        <v>10736.432460242781</v>
      </c>
      <c r="I272" s="149">
        <f>Industrial!$E$96/12*G271</f>
        <v>7017.8212320463499</v>
      </c>
      <c r="J272" s="187">
        <f t="shared" si="75"/>
        <v>3718.6112281964306</v>
      </c>
      <c r="K272" s="72">
        <f t="shared" si="79"/>
        <v>106</v>
      </c>
      <c r="L272" s="180">
        <f t="shared" si="76"/>
        <v>2734711.9858300756</v>
      </c>
      <c r="M272" s="181">
        <f t="shared" si="76"/>
        <v>16895.089771747207</v>
      </c>
      <c r="N272" s="180">
        <f t="shared" si="76"/>
        <v>10540.452988453833</v>
      </c>
      <c r="O272" s="132">
        <f t="shared" si="71"/>
        <v>6354.6367832933738</v>
      </c>
    </row>
    <row r="273" spans="1:15" x14ac:dyDescent="0.25">
      <c r="A273" s="72">
        <f t="shared" si="77"/>
        <v>107</v>
      </c>
      <c r="B273" s="183">
        <f t="shared" si="72"/>
        <v>1051508.6890602007</v>
      </c>
      <c r="C273" s="184">
        <f>-Industrial!$E$93/12</f>
        <v>6158.6573115044275</v>
      </c>
      <c r="D273" s="183">
        <f>Industrial!$E$91/12*B272</f>
        <v>3513.8450045571603</v>
      </c>
      <c r="E273" s="185">
        <f t="shared" si="73"/>
        <v>2644.8123069472672</v>
      </c>
      <c r="F273" s="72">
        <f t="shared" si="78"/>
        <v>107</v>
      </c>
      <c r="G273" s="180">
        <f t="shared" si="74"/>
        <v>1676824.3790212802</v>
      </c>
      <c r="H273" s="186">
        <f>-Industrial!$E$98/12</f>
        <v>10736.432460242781</v>
      </c>
      <c r="I273" s="149">
        <f>Industrial!$E$96/12*G272</f>
        <v>7002.3270185955316</v>
      </c>
      <c r="J273" s="187">
        <f t="shared" si="75"/>
        <v>3734.1054416472489</v>
      </c>
      <c r="K273" s="72">
        <f t="shared" si="79"/>
        <v>107</v>
      </c>
      <c r="L273" s="180">
        <f t="shared" si="76"/>
        <v>2728333.0680814809</v>
      </c>
      <c r="M273" s="181">
        <f t="shared" si="76"/>
        <v>16895.089771747207</v>
      </c>
      <c r="N273" s="180">
        <f t="shared" si="76"/>
        <v>10516.172023152692</v>
      </c>
      <c r="O273" s="132">
        <f t="shared" si="71"/>
        <v>6378.9177485945165</v>
      </c>
    </row>
    <row r="274" spans="1:15" x14ac:dyDescent="0.25">
      <c r="A274" s="72">
        <f t="shared" si="77"/>
        <v>108</v>
      </c>
      <c r="B274" s="183">
        <f t="shared" si="72"/>
        <v>1048855.0607122304</v>
      </c>
      <c r="C274" s="184">
        <f>-Industrial!$E$93/12</f>
        <v>6158.6573115044275</v>
      </c>
      <c r="D274" s="183">
        <f>Industrial!$E$91/12*B273</f>
        <v>3505.0289635340027</v>
      </c>
      <c r="E274" s="185">
        <f t="shared" si="73"/>
        <v>2653.6283479704248</v>
      </c>
      <c r="F274" s="72">
        <f t="shared" si="78"/>
        <v>108</v>
      </c>
      <c r="G274" s="180">
        <f t="shared" si="74"/>
        <v>1673074.7148069595</v>
      </c>
      <c r="H274" s="186">
        <f>-Industrial!$E$98/12</f>
        <v>10736.432460242781</v>
      </c>
      <c r="I274" s="149">
        <f>Industrial!$E$96/12*G273</f>
        <v>6986.7682459220005</v>
      </c>
      <c r="J274" s="187">
        <f t="shared" si="75"/>
        <v>3749.66421432078</v>
      </c>
      <c r="K274" s="72">
        <f t="shared" si="79"/>
        <v>108</v>
      </c>
      <c r="L274" s="180">
        <f t="shared" si="76"/>
        <v>2721929.7755191899</v>
      </c>
      <c r="M274" s="181">
        <f t="shared" si="76"/>
        <v>16895.089771747207</v>
      </c>
      <c r="N274" s="180">
        <f t="shared" si="76"/>
        <v>10491.797209456003</v>
      </c>
      <c r="O274" s="132">
        <f t="shared" si="71"/>
        <v>6403.2925622912044</v>
      </c>
    </row>
    <row r="275" spans="1:15" x14ac:dyDescent="0.25">
      <c r="A275" s="72">
        <f t="shared" si="77"/>
        <v>109</v>
      </c>
      <c r="B275" s="183">
        <f t="shared" si="72"/>
        <v>1046192.5869364335</v>
      </c>
      <c r="C275" s="184">
        <f>-Industrial!$E$93/12</f>
        <v>6158.6573115044275</v>
      </c>
      <c r="D275" s="183">
        <f>Industrial!$E$91/12*B274</f>
        <v>3496.1835357074347</v>
      </c>
      <c r="E275" s="185">
        <f t="shared" si="73"/>
        <v>2662.4737757969929</v>
      </c>
      <c r="F275" s="72">
        <f t="shared" si="78"/>
        <v>109</v>
      </c>
      <c r="G275" s="180">
        <f t="shared" si="74"/>
        <v>1669309.4269917458</v>
      </c>
      <c r="H275" s="186">
        <f>-Industrial!$E$98/12</f>
        <v>10736.432460242781</v>
      </c>
      <c r="I275" s="149">
        <f>Industrial!$E$96/12*G274</f>
        <v>6971.1446450289977</v>
      </c>
      <c r="J275" s="187">
        <f t="shared" si="75"/>
        <v>3765.2878152137828</v>
      </c>
      <c r="K275" s="72">
        <f t="shared" si="79"/>
        <v>109</v>
      </c>
      <c r="L275" s="180">
        <f t="shared" si="76"/>
        <v>2715502.0139281792</v>
      </c>
      <c r="M275" s="181">
        <f t="shared" si="76"/>
        <v>16895.089771747207</v>
      </c>
      <c r="N275" s="180">
        <f t="shared" si="76"/>
        <v>10467.328180736433</v>
      </c>
      <c r="O275" s="132">
        <f t="shared" si="71"/>
        <v>6427.7615910107761</v>
      </c>
    </row>
    <row r="276" spans="1:15" x14ac:dyDescent="0.25">
      <c r="A276" s="72">
        <f t="shared" si="77"/>
        <v>110</v>
      </c>
      <c r="B276" s="183">
        <f t="shared" si="72"/>
        <v>1043521.2382480504</v>
      </c>
      <c r="C276" s="184">
        <f>-Industrial!$E$93/12</f>
        <v>6158.6573115044275</v>
      </c>
      <c r="D276" s="183">
        <f>Industrial!$E$91/12*B275</f>
        <v>3487.3086231214452</v>
      </c>
      <c r="E276" s="185">
        <f t="shared" si="73"/>
        <v>2671.3486883829823</v>
      </c>
      <c r="F276" s="72">
        <f t="shared" si="78"/>
        <v>110</v>
      </c>
      <c r="G276" s="180">
        <f t="shared" si="74"/>
        <v>1665528.4504773021</v>
      </c>
      <c r="H276" s="186">
        <f>-Industrial!$E$98/12</f>
        <v>10736.432460242781</v>
      </c>
      <c r="I276" s="149">
        <f>Industrial!$E$96/12*G275</f>
        <v>6955.4559457989408</v>
      </c>
      <c r="J276" s="187">
        <f t="shared" si="75"/>
        <v>3780.9765144438397</v>
      </c>
      <c r="K276" s="72">
        <f t="shared" si="79"/>
        <v>110</v>
      </c>
      <c r="L276" s="180">
        <f t="shared" si="76"/>
        <v>2709049.6887253523</v>
      </c>
      <c r="M276" s="181">
        <f t="shared" si="76"/>
        <v>16895.089771747207</v>
      </c>
      <c r="N276" s="180">
        <f t="shared" si="76"/>
        <v>10442.764568920385</v>
      </c>
      <c r="O276" s="132">
        <f t="shared" si="71"/>
        <v>6452.3252028268216</v>
      </c>
    </row>
    <row r="277" spans="1:15" x14ac:dyDescent="0.25">
      <c r="A277" s="72">
        <f t="shared" si="77"/>
        <v>111</v>
      </c>
      <c r="B277" s="183">
        <f t="shared" si="72"/>
        <v>1040840.9850640395</v>
      </c>
      <c r="C277" s="184">
        <f>-Industrial!$E$93/12</f>
        <v>6158.6573115044275</v>
      </c>
      <c r="D277" s="183">
        <f>Industrial!$E$91/12*B276</f>
        <v>3478.4041274935016</v>
      </c>
      <c r="E277" s="185">
        <f t="shared" si="73"/>
        <v>2680.2531840109259</v>
      </c>
      <c r="F277" s="72">
        <f t="shared" si="78"/>
        <v>111</v>
      </c>
      <c r="G277" s="180">
        <f t="shared" si="74"/>
        <v>1661731.7198940481</v>
      </c>
      <c r="H277" s="186">
        <f>-Industrial!$E$98/12</f>
        <v>10736.432460242781</v>
      </c>
      <c r="I277" s="149">
        <f>Industrial!$E$96/12*G276</f>
        <v>6939.7018769887582</v>
      </c>
      <c r="J277" s="187">
        <f t="shared" si="75"/>
        <v>3796.7305832540223</v>
      </c>
      <c r="K277" s="72">
        <f t="shared" si="79"/>
        <v>111</v>
      </c>
      <c r="L277" s="180">
        <f t="shared" si="76"/>
        <v>2702572.7049580878</v>
      </c>
      <c r="M277" s="181">
        <f t="shared" si="76"/>
        <v>16895.089771747207</v>
      </c>
      <c r="N277" s="180">
        <f t="shared" si="76"/>
        <v>10418.106004482259</v>
      </c>
      <c r="O277" s="132">
        <f t="shared" si="71"/>
        <v>6476.9837672649483</v>
      </c>
    </row>
    <row r="278" spans="1:15" x14ac:dyDescent="0.25">
      <c r="A278" s="72">
        <f t="shared" si="77"/>
        <v>112</v>
      </c>
      <c r="B278" s="183">
        <f t="shared" si="72"/>
        <v>1038151.7977027486</v>
      </c>
      <c r="C278" s="184">
        <f>-Industrial!$E$93/12</f>
        <v>6158.6573115044275</v>
      </c>
      <c r="D278" s="183">
        <f>Industrial!$E$91/12*B277</f>
        <v>3469.4699502134649</v>
      </c>
      <c r="E278" s="185">
        <f t="shared" si="73"/>
        <v>2689.1873612909626</v>
      </c>
      <c r="F278" s="72">
        <f t="shared" si="78"/>
        <v>112</v>
      </c>
      <c r="G278" s="180">
        <f t="shared" si="74"/>
        <v>1657919.1696000304</v>
      </c>
      <c r="H278" s="186">
        <f>-Industrial!$E$98/12</f>
        <v>10736.432460242781</v>
      </c>
      <c r="I278" s="149">
        <f>Industrial!$E$96/12*G277</f>
        <v>6923.8821662252003</v>
      </c>
      <c r="J278" s="187">
        <f t="shared" si="75"/>
        <v>3812.5502940175802</v>
      </c>
      <c r="K278" s="72">
        <f t="shared" si="79"/>
        <v>112</v>
      </c>
      <c r="L278" s="180">
        <f t="shared" si="76"/>
        <v>2696070.9673027787</v>
      </c>
      <c r="M278" s="181">
        <f t="shared" si="76"/>
        <v>16895.089771747207</v>
      </c>
      <c r="N278" s="180">
        <f t="shared" si="76"/>
        <v>10393.352116438666</v>
      </c>
      <c r="O278" s="132">
        <f t="shared" si="71"/>
        <v>6501.7376553085433</v>
      </c>
    </row>
    <row r="279" spans="1:15" x14ac:dyDescent="0.25">
      <c r="A279" s="72">
        <f t="shared" si="77"/>
        <v>113</v>
      </c>
      <c r="B279" s="183">
        <f t="shared" si="72"/>
        <v>1035453.6463835866</v>
      </c>
      <c r="C279" s="184">
        <f>-Industrial!$E$93/12</f>
        <v>6158.6573115044275</v>
      </c>
      <c r="D279" s="183">
        <f>Industrial!$E$91/12*B278</f>
        <v>3460.5059923424956</v>
      </c>
      <c r="E279" s="185">
        <f t="shared" si="73"/>
        <v>2698.151319161932</v>
      </c>
      <c r="F279" s="72">
        <f t="shared" si="78"/>
        <v>113</v>
      </c>
      <c r="G279" s="180">
        <f t="shared" si="74"/>
        <v>1654090.7336797877</v>
      </c>
      <c r="H279" s="186">
        <f>-Industrial!$E$98/12</f>
        <v>10736.432460242781</v>
      </c>
      <c r="I279" s="149">
        <f>Industrial!$E$96/12*G278</f>
        <v>6907.9965400001265</v>
      </c>
      <c r="J279" s="187">
        <f t="shared" si="75"/>
        <v>3828.435920242654</v>
      </c>
      <c r="K279" s="72">
        <f t="shared" si="79"/>
        <v>113</v>
      </c>
      <c r="L279" s="180">
        <f t="shared" si="76"/>
        <v>2689544.3800633745</v>
      </c>
      <c r="M279" s="181">
        <f t="shared" si="76"/>
        <v>16895.089771747207</v>
      </c>
      <c r="N279" s="180">
        <f t="shared" si="76"/>
        <v>10368.502532342622</v>
      </c>
      <c r="O279" s="132">
        <f t="shared" si="71"/>
        <v>6526.5872394045855</v>
      </c>
    </row>
    <row r="280" spans="1:15" x14ac:dyDescent="0.25">
      <c r="A280" s="72">
        <f t="shared" si="77"/>
        <v>114</v>
      </c>
      <c r="B280" s="183">
        <f t="shared" si="72"/>
        <v>1032746.5012266941</v>
      </c>
      <c r="C280" s="184">
        <f>-Industrial!$E$93/12</f>
        <v>6158.6573115044275</v>
      </c>
      <c r="D280" s="183">
        <f>Industrial!$E$91/12*B279</f>
        <v>3451.5121546119553</v>
      </c>
      <c r="E280" s="185">
        <f t="shared" si="73"/>
        <v>2707.1451568924722</v>
      </c>
      <c r="F280" s="72">
        <f t="shared" si="78"/>
        <v>114</v>
      </c>
      <c r="G280" s="180">
        <f t="shared" si="74"/>
        <v>1650246.3459432106</v>
      </c>
      <c r="H280" s="186">
        <f>-Industrial!$E$98/12</f>
        <v>10736.432460242781</v>
      </c>
      <c r="I280" s="149">
        <f>Industrial!$E$96/12*G279</f>
        <v>6892.0447236657819</v>
      </c>
      <c r="J280" s="187">
        <f t="shared" si="75"/>
        <v>3844.3877365769986</v>
      </c>
      <c r="K280" s="72">
        <f t="shared" si="79"/>
        <v>114</v>
      </c>
      <c r="L280" s="180">
        <f t="shared" si="76"/>
        <v>2682992.847169905</v>
      </c>
      <c r="M280" s="181">
        <f t="shared" si="76"/>
        <v>16895.089771747207</v>
      </c>
      <c r="N280" s="180">
        <f t="shared" si="76"/>
        <v>10343.556878277737</v>
      </c>
      <c r="O280" s="132">
        <f t="shared" si="71"/>
        <v>6551.5328934694708</v>
      </c>
    </row>
    <row r="281" spans="1:15" x14ac:dyDescent="0.25">
      <c r="A281" s="72">
        <f t="shared" si="77"/>
        <v>115</v>
      </c>
      <c r="B281" s="183">
        <f t="shared" si="72"/>
        <v>1030030.332252612</v>
      </c>
      <c r="C281" s="184">
        <f>-Industrial!$E$93/12</f>
        <v>6158.6573115044275</v>
      </c>
      <c r="D281" s="183">
        <f>Industrial!$E$91/12*B280</f>
        <v>3442.4883374223136</v>
      </c>
      <c r="E281" s="185">
        <f t="shared" si="73"/>
        <v>2716.1689740821139</v>
      </c>
      <c r="F281" s="72">
        <f t="shared" si="78"/>
        <v>115</v>
      </c>
      <c r="G281" s="180">
        <f t="shared" si="74"/>
        <v>1646385.939924398</v>
      </c>
      <c r="H281" s="186">
        <f>-Industrial!$E$98/12</f>
        <v>10736.432460242781</v>
      </c>
      <c r="I281" s="149">
        <f>Industrial!$E$96/12*G280</f>
        <v>6876.0264414300445</v>
      </c>
      <c r="J281" s="187">
        <f t="shared" si="75"/>
        <v>3860.406018812736</v>
      </c>
      <c r="K281" s="72">
        <f t="shared" si="79"/>
        <v>115</v>
      </c>
      <c r="L281" s="180">
        <f t="shared" si="76"/>
        <v>2676416.2721770098</v>
      </c>
      <c r="M281" s="181">
        <f t="shared" si="76"/>
        <v>16895.089771747207</v>
      </c>
      <c r="N281" s="180">
        <f t="shared" si="76"/>
        <v>10318.514778852357</v>
      </c>
      <c r="O281" s="132">
        <f t="shared" si="71"/>
        <v>6576.5749928948499</v>
      </c>
    </row>
    <row r="282" spans="1:15" x14ac:dyDescent="0.25">
      <c r="A282" s="72">
        <f t="shared" si="77"/>
        <v>116</v>
      </c>
      <c r="B282" s="183">
        <f t="shared" si="72"/>
        <v>1027305.1093819496</v>
      </c>
      <c r="C282" s="184">
        <f>-Industrial!$E$93/12</f>
        <v>6158.6573115044275</v>
      </c>
      <c r="D282" s="183">
        <f>Industrial!$E$91/12*B281</f>
        <v>3433.4344408420402</v>
      </c>
      <c r="E282" s="185">
        <f t="shared" si="73"/>
        <v>2725.2228706623873</v>
      </c>
      <c r="F282" s="72">
        <f t="shared" si="78"/>
        <v>116</v>
      </c>
      <c r="G282" s="180">
        <f t="shared" si="74"/>
        <v>1642509.4488805069</v>
      </c>
      <c r="H282" s="186">
        <f>-Industrial!$E$98/12</f>
        <v>10736.432460242781</v>
      </c>
      <c r="I282" s="149">
        <f>Industrial!$E$96/12*G281</f>
        <v>6859.9414163516585</v>
      </c>
      <c r="J282" s="187">
        <f t="shared" si="75"/>
        <v>3876.491043891122</v>
      </c>
      <c r="K282" s="72">
        <f t="shared" si="79"/>
        <v>116</v>
      </c>
      <c r="L282" s="180">
        <f t="shared" si="76"/>
        <v>2669814.5582624567</v>
      </c>
      <c r="M282" s="181">
        <f t="shared" si="76"/>
        <v>16895.089771747207</v>
      </c>
      <c r="N282" s="180">
        <f t="shared" si="76"/>
        <v>10293.3758571937</v>
      </c>
      <c r="O282" s="132">
        <f t="shared" si="71"/>
        <v>6601.7139145535093</v>
      </c>
    </row>
    <row r="283" spans="1:15" x14ac:dyDescent="0.25">
      <c r="A283" s="72">
        <f t="shared" si="77"/>
        <v>117</v>
      </c>
      <c r="B283" s="183">
        <f t="shared" si="72"/>
        <v>1024570.8024350518</v>
      </c>
      <c r="C283" s="184">
        <f>-Industrial!$E$93/12</f>
        <v>6158.6573115044275</v>
      </c>
      <c r="D283" s="183">
        <f>Industrial!$E$91/12*B282</f>
        <v>3424.3503646064992</v>
      </c>
      <c r="E283" s="185">
        <f t="shared" si="73"/>
        <v>2734.3069468979284</v>
      </c>
      <c r="F283" s="72">
        <f t="shared" si="78"/>
        <v>117</v>
      </c>
      <c r="G283" s="180">
        <f t="shared" si="74"/>
        <v>1638616.8057905997</v>
      </c>
      <c r="H283" s="186">
        <f>-Industrial!$E$98/12</f>
        <v>10736.432460242781</v>
      </c>
      <c r="I283" s="149">
        <f>Industrial!$E$96/12*G282</f>
        <v>6843.7893703354457</v>
      </c>
      <c r="J283" s="187">
        <f t="shared" si="75"/>
        <v>3892.6430899073348</v>
      </c>
      <c r="K283" s="72">
        <f t="shared" si="79"/>
        <v>117</v>
      </c>
      <c r="L283" s="180">
        <f t="shared" si="76"/>
        <v>2663187.6082256516</v>
      </c>
      <c r="M283" s="181">
        <f t="shared" si="76"/>
        <v>16895.089771747207</v>
      </c>
      <c r="N283" s="180">
        <f t="shared" si="76"/>
        <v>10268.139734941946</v>
      </c>
      <c r="O283" s="132">
        <f t="shared" si="71"/>
        <v>6626.9500368052632</v>
      </c>
    </row>
    <row r="284" spans="1:15" x14ac:dyDescent="0.25">
      <c r="A284" s="72">
        <f t="shared" si="77"/>
        <v>118</v>
      </c>
      <c r="B284" s="183">
        <f t="shared" si="72"/>
        <v>1021827.3811316642</v>
      </c>
      <c r="C284" s="184">
        <f>-Industrial!$E$93/12</f>
        <v>6158.6573115044275</v>
      </c>
      <c r="D284" s="183">
        <f>Industrial!$E$91/12*B283</f>
        <v>3415.2360081168395</v>
      </c>
      <c r="E284" s="185">
        <f t="shared" si="73"/>
        <v>2743.4213033875881</v>
      </c>
      <c r="F284" s="72">
        <f t="shared" si="78"/>
        <v>118</v>
      </c>
      <c r="G284" s="180">
        <f t="shared" si="74"/>
        <v>1634707.9433544844</v>
      </c>
      <c r="H284" s="186">
        <f>-Industrial!$E$98/12</f>
        <v>10736.432460242781</v>
      </c>
      <c r="I284" s="149">
        <f>Industrial!$E$96/12*G283</f>
        <v>6827.5700241274981</v>
      </c>
      <c r="J284" s="187">
        <f t="shared" si="75"/>
        <v>3908.8624361152824</v>
      </c>
      <c r="K284" s="72">
        <f t="shared" si="79"/>
        <v>118</v>
      </c>
      <c r="L284" s="180">
        <f t="shared" si="76"/>
        <v>2656535.3244861485</v>
      </c>
      <c r="M284" s="181">
        <f t="shared" si="76"/>
        <v>16895.089771747207</v>
      </c>
      <c r="N284" s="180">
        <f t="shared" si="76"/>
        <v>10242.806032244338</v>
      </c>
      <c r="O284" s="132">
        <f t="shared" si="71"/>
        <v>6652.283739502871</v>
      </c>
    </row>
    <row r="285" spans="1:15" x14ac:dyDescent="0.25">
      <c r="A285" s="72">
        <f t="shared" si="77"/>
        <v>119</v>
      </c>
      <c r="B285" s="183">
        <f t="shared" si="72"/>
        <v>1019074.8150905987</v>
      </c>
      <c r="C285" s="184">
        <f>-Industrial!$E$93/12</f>
        <v>6158.6573115044275</v>
      </c>
      <c r="D285" s="183">
        <f>Industrial!$E$91/12*B284</f>
        <v>3406.0912704388807</v>
      </c>
      <c r="E285" s="185">
        <f t="shared" si="73"/>
        <v>2752.5660410655469</v>
      </c>
      <c r="F285" s="72">
        <f t="shared" si="78"/>
        <v>119</v>
      </c>
      <c r="G285" s="180">
        <f t="shared" si="74"/>
        <v>1630782.793991552</v>
      </c>
      <c r="H285" s="186">
        <f>-Industrial!$E$98/12</f>
        <v>10736.432460242781</v>
      </c>
      <c r="I285" s="149">
        <f>Industrial!$E$96/12*G284</f>
        <v>6811.2830973103519</v>
      </c>
      <c r="J285" s="187">
        <f t="shared" si="75"/>
        <v>3925.1493629324286</v>
      </c>
      <c r="K285" s="72">
        <f t="shared" si="79"/>
        <v>119</v>
      </c>
      <c r="L285" s="180">
        <f t="shared" si="76"/>
        <v>2649857.6090821507</v>
      </c>
      <c r="M285" s="181">
        <f t="shared" si="76"/>
        <v>16895.089771747207</v>
      </c>
      <c r="N285" s="180">
        <f t="shared" si="76"/>
        <v>10217.374367749233</v>
      </c>
      <c r="O285" s="132">
        <f t="shared" si="71"/>
        <v>6677.715403997976</v>
      </c>
    </row>
    <row r="286" spans="1:15" x14ac:dyDescent="0.25">
      <c r="A286" s="72">
        <f t="shared" si="77"/>
        <v>120</v>
      </c>
      <c r="B286" s="183">
        <f t="shared" si="72"/>
        <v>1016313.0738293963</v>
      </c>
      <c r="C286" s="184">
        <f>-Industrial!$E$93/12</f>
        <v>6158.6573115044275</v>
      </c>
      <c r="D286" s="183">
        <f>Industrial!$E$91/12*B285</f>
        <v>3396.9160503019957</v>
      </c>
      <c r="E286" s="185">
        <f t="shared" si="73"/>
        <v>2761.7412612024318</v>
      </c>
      <c r="F286" s="72">
        <f t="shared" si="78"/>
        <v>120</v>
      </c>
      <c r="G286" s="180">
        <f t="shared" si="74"/>
        <v>1626841.2898396074</v>
      </c>
      <c r="H286" s="186">
        <f>-Industrial!$E$98/12</f>
        <v>10736.432460242781</v>
      </c>
      <c r="I286" s="149">
        <f>Industrial!$E$96/12*G285</f>
        <v>6794.9283082981328</v>
      </c>
      <c r="J286" s="187">
        <f t="shared" si="75"/>
        <v>3941.5041519446477</v>
      </c>
      <c r="K286" s="72">
        <f t="shared" si="79"/>
        <v>120</v>
      </c>
      <c r="L286" s="180">
        <f t="shared" si="76"/>
        <v>2643154.3636690038</v>
      </c>
      <c r="M286" s="181">
        <f t="shared" si="76"/>
        <v>16895.089771747207</v>
      </c>
      <c r="N286" s="180">
        <f t="shared" si="76"/>
        <v>10191.844358600129</v>
      </c>
      <c r="O286" s="132">
        <f t="shared" si="71"/>
        <v>6703.2454131470795</v>
      </c>
    </row>
    <row r="287" spans="1:15" x14ac:dyDescent="0.25">
      <c r="A287" s="72">
        <f t="shared" si="77"/>
        <v>121</v>
      </c>
      <c r="B287" s="183">
        <f t="shared" si="72"/>
        <v>1013542.1267639898</v>
      </c>
      <c r="C287" s="184">
        <f>-Industrial!$E$93/12</f>
        <v>6158.6573115044275</v>
      </c>
      <c r="D287" s="183">
        <f>Industrial!$E$91/12*B286</f>
        <v>3387.7102460979877</v>
      </c>
      <c r="E287" s="185">
        <f t="shared" si="73"/>
        <v>2770.9470654064398</v>
      </c>
      <c r="F287" s="72">
        <f t="shared" si="78"/>
        <v>121</v>
      </c>
      <c r="G287" s="180">
        <f t="shared" si="74"/>
        <v>1622883.3627536963</v>
      </c>
      <c r="H287" s="186">
        <f>-Industrial!$E$98/12</f>
        <v>10736.432460242781</v>
      </c>
      <c r="I287" s="149">
        <f>Industrial!$E$96/12*G286</f>
        <v>6778.5053743316976</v>
      </c>
      <c r="J287" s="187">
        <f t="shared" si="75"/>
        <v>3957.9270859110829</v>
      </c>
      <c r="K287" s="72">
        <f t="shared" si="79"/>
        <v>121</v>
      </c>
      <c r="L287" s="180">
        <f t="shared" si="76"/>
        <v>2636425.489517686</v>
      </c>
      <c r="M287" s="181">
        <f t="shared" si="76"/>
        <v>16895.089771747207</v>
      </c>
      <c r="N287" s="180">
        <f t="shared" si="76"/>
        <v>10166.215620429684</v>
      </c>
      <c r="O287" s="132">
        <f t="shared" si="71"/>
        <v>6728.8741513175228</v>
      </c>
    </row>
    <row r="288" spans="1:15" x14ac:dyDescent="0.25">
      <c r="A288" s="72">
        <f t="shared" si="77"/>
        <v>122</v>
      </c>
      <c r="B288" s="183">
        <f t="shared" si="72"/>
        <v>1010761.9432083654</v>
      </c>
      <c r="C288" s="184">
        <f>-Industrial!$E$93/12</f>
        <v>6158.6573115044275</v>
      </c>
      <c r="D288" s="183">
        <f>Industrial!$E$91/12*B287</f>
        <v>3378.4737558799661</v>
      </c>
      <c r="E288" s="185">
        <f t="shared" si="73"/>
        <v>2780.1835556244614</v>
      </c>
      <c r="F288" s="72">
        <f t="shared" si="78"/>
        <v>122</v>
      </c>
      <c r="G288" s="180">
        <f t="shared" si="74"/>
        <v>1618908.9443049273</v>
      </c>
      <c r="H288" s="186">
        <f>-Industrial!$E$98/12</f>
        <v>10736.432460242781</v>
      </c>
      <c r="I288" s="149">
        <f>Industrial!$E$96/12*G287</f>
        <v>6762.0140114737342</v>
      </c>
      <c r="J288" s="187">
        <f t="shared" si="75"/>
        <v>3974.4184487690463</v>
      </c>
      <c r="K288" s="72">
        <f t="shared" si="79"/>
        <v>122</v>
      </c>
      <c r="L288" s="180">
        <f t="shared" si="76"/>
        <v>2629670.8875132925</v>
      </c>
      <c r="M288" s="181">
        <f t="shared" si="76"/>
        <v>16895.089771747207</v>
      </c>
      <c r="N288" s="180">
        <f t="shared" si="76"/>
        <v>10140.487767353701</v>
      </c>
      <c r="O288" s="132">
        <f t="shared" si="71"/>
        <v>6754.6020043935077</v>
      </c>
    </row>
    <row r="289" spans="1:15" x14ac:dyDescent="0.25">
      <c r="A289" s="72">
        <f t="shared" si="77"/>
        <v>123</v>
      </c>
      <c r="B289" s="183">
        <f t="shared" si="72"/>
        <v>1007972.4923742221</v>
      </c>
      <c r="C289" s="184">
        <f>-Industrial!$E$93/12</f>
        <v>6158.6573115044275</v>
      </c>
      <c r="D289" s="183">
        <f>Industrial!$E$91/12*B288</f>
        <v>3369.2064773612183</v>
      </c>
      <c r="E289" s="185">
        <f t="shared" si="73"/>
        <v>2789.4508341432092</v>
      </c>
      <c r="F289" s="72">
        <f t="shared" si="78"/>
        <v>123</v>
      </c>
      <c r="G289" s="180">
        <f t="shared" si="74"/>
        <v>1614917.9657792884</v>
      </c>
      <c r="H289" s="186">
        <f>-Industrial!$E$98/12</f>
        <v>10736.432460242781</v>
      </c>
      <c r="I289" s="149">
        <f>Industrial!$E$96/12*G288</f>
        <v>6745.4539346038637</v>
      </c>
      <c r="J289" s="187">
        <f t="shared" si="75"/>
        <v>3990.9785256389168</v>
      </c>
      <c r="K289" s="72">
        <f t="shared" si="79"/>
        <v>123</v>
      </c>
      <c r="L289" s="180">
        <f t="shared" si="76"/>
        <v>2622890.4581535105</v>
      </c>
      <c r="M289" s="181">
        <f t="shared" si="76"/>
        <v>16895.089771747207</v>
      </c>
      <c r="N289" s="180">
        <f t="shared" si="76"/>
        <v>10114.660411965082</v>
      </c>
      <c r="O289" s="132">
        <f t="shared" si="71"/>
        <v>6780.4293597821261</v>
      </c>
    </row>
    <row r="290" spans="1:15" x14ac:dyDescent="0.25">
      <c r="A290" s="72">
        <f t="shared" si="77"/>
        <v>124</v>
      </c>
      <c r="B290" s="183">
        <f t="shared" si="72"/>
        <v>1005173.7433706318</v>
      </c>
      <c r="C290" s="184">
        <f>-Industrial!$E$93/12</f>
        <v>6158.6573115044275</v>
      </c>
      <c r="D290" s="183">
        <f>Industrial!$E$91/12*B289</f>
        <v>3359.9083079140742</v>
      </c>
      <c r="E290" s="185">
        <f t="shared" si="73"/>
        <v>2798.7490035903534</v>
      </c>
      <c r="F290" s="72">
        <f t="shared" si="78"/>
        <v>124</v>
      </c>
      <c r="G290" s="180">
        <f t="shared" si="74"/>
        <v>1610910.3581764593</v>
      </c>
      <c r="H290" s="186">
        <f>-Industrial!$E$98/12</f>
        <v>10736.432460242781</v>
      </c>
      <c r="I290" s="149">
        <f>Industrial!$E$96/12*G289</f>
        <v>6728.8248574137015</v>
      </c>
      <c r="J290" s="187">
        <f t="shared" si="75"/>
        <v>4007.607602829079</v>
      </c>
      <c r="K290" s="72">
        <f t="shared" si="79"/>
        <v>124</v>
      </c>
      <c r="L290" s="180">
        <f t="shared" si="76"/>
        <v>2616084.1015470913</v>
      </c>
      <c r="M290" s="181">
        <f t="shared" si="76"/>
        <v>16895.089771747207</v>
      </c>
      <c r="N290" s="180">
        <f t="shared" si="76"/>
        <v>10088.733165327776</v>
      </c>
      <c r="O290" s="132">
        <f t="shared" si="71"/>
        <v>6806.3566064194329</v>
      </c>
    </row>
    <row r="291" spans="1:15" x14ac:dyDescent="0.25">
      <c r="A291" s="72">
        <f t="shared" si="77"/>
        <v>125</v>
      </c>
      <c r="B291" s="183">
        <f t="shared" si="72"/>
        <v>1002365.6652036961</v>
      </c>
      <c r="C291" s="184">
        <f>-Industrial!$E$93/12</f>
        <v>6158.6573115044275</v>
      </c>
      <c r="D291" s="183">
        <f>Industrial!$E$91/12*B290</f>
        <v>3350.5791445687728</v>
      </c>
      <c r="E291" s="185">
        <f t="shared" si="73"/>
        <v>2808.0781669356547</v>
      </c>
      <c r="F291" s="72">
        <f t="shared" si="78"/>
        <v>125</v>
      </c>
      <c r="G291" s="180">
        <f t="shared" si="74"/>
        <v>1606886.0522086185</v>
      </c>
      <c r="H291" s="186">
        <f>-Industrial!$E$98/12</f>
        <v>10736.432460242781</v>
      </c>
      <c r="I291" s="149">
        <f>Industrial!$E$96/12*G290</f>
        <v>6712.1264924019133</v>
      </c>
      <c r="J291" s="187">
        <f t="shared" si="75"/>
        <v>4024.3059678408672</v>
      </c>
      <c r="K291" s="72">
        <f t="shared" si="79"/>
        <v>125</v>
      </c>
      <c r="L291" s="180">
        <f t="shared" si="76"/>
        <v>2609251.7174123144</v>
      </c>
      <c r="M291" s="181">
        <f t="shared" si="76"/>
        <v>16895.089771747207</v>
      </c>
      <c r="N291" s="180">
        <f t="shared" si="76"/>
        <v>10062.705636970686</v>
      </c>
      <c r="O291" s="132">
        <f t="shared" si="71"/>
        <v>6832.3841347765219</v>
      </c>
    </row>
    <row r="292" spans="1:15" x14ac:dyDescent="0.25">
      <c r="A292" s="72">
        <f t="shared" si="77"/>
        <v>126</v>
      </c>
      <c r="B292" s="183">
        <f t="shared" si="72"/>
        <v>999548.22677620396</v>
      </c>
      <c r="C292" s="184">
        <f>-Industrial!$E$93/12</f>
        <v>6158.6573115044275</v>
      </c>
      <c r="D292" s="183">
        <f>Industrial!$E$91/12*B291</f>
        <v>3341.2188840123208</v>
      </c>
      <c r="E292" s="185">
        <f t="shared" si="73"/>
        <v>2817.4384274921067</v>
      </c>
      <c r="F292" s="72">
        <f t="shared" si="78"/>
        <v>126</v>
      </c>
      <c r="G292" s="180">
        <f t="shared" si="74"/>
        <v>1602844.978299245</v>
      </c>
      <c r="H292" s="186">
        <f>-Industrial!$E$98/12</f>
        <v>10736.432460242781</v>
      </c>
      <c r="I292" s="149">
        <f>Industrial!$E$96/12*G291</f>
        <v>6695.358550869244</v>
      </c>
      <c r="J292" s="187">
        <f t="shared" si="75"/>
        <v>4041.0739093735365</v>
      </c>
      <c r="K292" s="72">
        <f t="shared" si="79"/>
        <v>126</v>
      </c>
      <c r="L292" s="180">
        <f t="shared" si="76"/>
        <v>2602393.2050754488</v>
      </c>
      <c r="M292" s="181">
        <f t="shared" si="76"/>
        <v>16895.089771747207</v>
      </c>
      <c r="N292" s="180">
        <f t="shared" si="76"/>
        <v>10036.577434881565</v>
      </c>
      <c r="O292" s="132">
        <f t="shared" si="71"/>
        <v>6858.5123368656432</v>
      </c>
    </row>
    <row r="293" spans="1:15" x14ac:dyDescent="0.25">
      <c r="A293" s="72">
        <f t="shared" si="77"/>
        <v>127</v>
      </c>
      <c r="B293" s="183">
        <f t="shared" si="72"/>
        <v>996721.39688728692</v>
      </c>
      <c r="C293" s="184">
        <f>-Industrial!$E$93/12</f>
        <v>6158.6573115044275</v>
      </c>
      <c r="D293" s="183">
        <f>Industrial!$E$91/12*B292</f>
        <v>3331.8274225873465</v>
      </c>
      <c r="E293" s="185">
        <f t="shared" si="73"/>
        <v>2826.829888917081</v>
      </c>
      <c r="F293" s="72">
        <f t="shared" si="78"/>
        <v>127</v>
      </c>
      <c r="G293" s="180">
        <f t="shared" si="74"/>
        <v>1598787.0665819158</v>
      </c>
      <c r="H293" s="186">
        <f>-Industrial!$E$98/12</f>
        <v>10736.432460242781</v>
      </c>
      <c r="I293" s="149">
        <f>Industrial!$E$96/12*G292</f>
        <v>6678.5207429135207</v>
      </c>
      <c r="J293" s="187">
        <f t="shared" si="75"/>
        <v>4057.9117173292598</v>
      </c>
      <c r="K293" s="72">
        <f t="shared" si="79"/>
        <v>127</v>
      </c>
      <c r="L293" s="180">
        <f t="shared" si="76"/>
        <v>2595508.4634692026</v>
      </c>
      <c r="M293" s="181">
        <f t="shared" si="76"/>
        <v>16895.089771747207</v>
      </c>
      <c r="N293" s="180">
        <f t="shared" si="76"/>
        <v>10010.348165500867</v>
      </c>
      <c r="O293" s="132">
        <f t="shared" si="71"/>
        <v>6884.7416062463408</v>
      </c>
    </row>
    <row r="294" spans="1:15" x14ac:dyDescent="0.25">
      <c r="A294" s="72">
        <f t="shared" si="77"/>
        <v>128</v>
      </c>
      <c r="B294" s="183">
        <f t="shared" si="72"/>
        <v>993885.14423207345</v>
      </c>
      <c r="C294" s="184">
        <f>-Industrial!$E$93/12</f>
        <v>6158.6573115044275</v>
      </c>
      <c r="D294" s="183">
        <f>Industrial!$E$91/12*B293</f>
        <v>3322.4046562909566</v>
      </c>
      <c r="E294" s="185">
        <f t="shared" si="73"/>
        <v>2836.2526552134709</v>
      </c>
      <c r="F294" s="72">
        <f t="shared" si="78"/>
        <v>128</v>
      </c>
      <c r="G294" s="180">
        <f t="shared" si="74"/>
        <v>1594712.2468990977</v>
      </c>
      <c r="H294" s="186">
        <f>-Industrial!$E$98/12</f>
        <v>10736.432460242781</v>
      </c>
      <c r="I294" s="149">
        <f>Industrial!$E$96/12*G293</f>
        <v>6661.6127774246488</v>
      </c>
      <c r="J294" s="187">
        <f t="shared" si="75"/>
        <v>4074.8196828181317</v>
      </c>
      <c r="K294" s="72">
        <f t="shared" si="79"/>
        <v>128</v>
      </c>
      <c r="L294" s="180">
        <f t="shared" si="76"/>
        <v>2588597.391131171</v>
      </c>
      <c r="M294" s="181">
        <f t="shared" si="76"/>
        <v>16895.089771747207</v>
      </c>
      <c r="N294" s="180">
        <f t="shared" si="76"/>
        <v>9984.0174337156059</v>
      </c>
      <c r="O294" s="132">
        <f t="shared" si="76"/>
        <v>6911.0723380316031</v>
      </c>
    </row>
    <row r="295" spans="1:15" x14ac:dyDescent="0.25">
      <c r="A295" s="72">
        <f t="shared" si="77"/>
        <v>129</v>
      </c>
      <c r="B295" s="183">
        <f t="shared" ref="B295:B358" si="80">B294-E295</f>
        <v>991039.43740134255</v>
      </c>
      <c r="C295" s="184">
        <f>-Industrial!$E$93/12</f>
        <v>6158.6573115044275</v>
      </c>
      <c r="D295" s="183">
        <f>Industrial!$E$91/12*B294</f>
        <v>3312.9504807735784</v>
      </c>
      <c r="E295" s="185">
        <f t="shared" ref="E295:E358" si="81">C295-D295</f>
        <v>2845.7068307308491</v>
      </c>
      <c r="F295" s="72">
        <f t="shared" si="78"/>
        <v>129</v>
      </c>
      <c r="G295" s="180">
        <f t="shared" ref="G295:G358" si="82">G294-J295</f>
        <v>1590620.4488009345</v>
      </c>
      <c r="H295" s="186">
        <f>-Industrial!$E$98/12</f>
        <v>10736.432460242781</v>
      </c>
      <c r="I295" s="149">
        <f>Industrial!$E$96/12*G294</f>
        <v>6644.6343620795733</v>
      </c>
      <c r="J295" s="187">
        <f t="shared" ref="J295:J358" si="83">H295-I295</f>
        <v>4091.7980981632072</v>
      </c>
      <c r="K295" s="72">
        <f t="shared" si="79"/>
        <v>129</v>
      </c>
      <c r="L295" s="180">
        <f t="shared" ref="L295:O358" si="84">G295+B295</f>
        <v>2581659.8862022772</v>
      </c>
      <c r="M295" s="181">
        <f t="shared" si="84"/>
        <v>16895.089771747207</v>
      </c>
      <c r="N295" s="180">
        <f t="shared" si="84"/>
        <v>9957.5848428531517</v>
      </c>
      <c r="O295" s="132">
        <f t="shared" si="84"/>
        <v>6937.5049288940563</v>
      </c>
    </row>
    <row r="296" spans="1:15" x14ac:dyDescent="0.25">
      <c r="A296" s="72">
        <f t="shared" ref="A296:A359" si="85">A295+1</f>
        <v>130</v>
      </c>
      <c r="B296" s="183">
        <f t="shared" si="80"/>
        <v>988184.24488117592</v>
      </c>
      <c r="C296" s="184">
        <f>-Industrial!$E$93/12</f>
        <v>6158.6573115044275</v>
      </c>
      <c r="D296" s="183">
        <f>Industrial!$E$91/12*B295</f>
        <v>3303.4647913378089</v>
      </c>
      <c r="E296" s="185">
        <f t="shared" si="81"/>
        <v>2855.1925201666186</v>
      </c>
      <c r="F296" s="72">
        <f t="shared" ref="F296:F359" si="86">F295+1</f>
        <v>130</v>
      </c>
      <c r="G296" s="180">
        <f t="shared" si="82"/>
        <v>1586511.6015440288</v>
      </c>
      <c r="H296" s="186">
        <f>-Industrial!$E$98/12</f>
        <v>10736.432460242781</v>
      </c>
      <c r="I296" s="149">
        <f>Industrial!$E$96/12*G295</f>
        <v>6627.5852033372266</v>
      </c>
      <c r="J296" s="187">
        <f t="shared" si="83"/>
        <v>4108.8472569055539</v>
      </c>
      <c r="K296" s="72">
        <f t="shared" ref="K296:K359" si="87">K295+1</f>
        <v>130</v>
      </c>
      <c r="L296" s="180">
        <f t="shared" si="84"/>
        <v>2574695.8464252045</v>
      </c>
      <c r="M296" s="181">
        <f t="shared" si="84"/>
        <v>16895.089771747207</v>
      </c>
      <c r="N296" s="180">
        <f t="shared" si="84"/>
        <v>9931.0499946750351</v>
      </c>
      <c r="O296" s="132">
        <f t="shared" si="84"/>
        <v>6964.039777072172</v>
      </c>
    </row>
    <row r="297" spans="1:15" x14ac:dyDescent="0.25">
      <c r="A297" s="72">
        <f t="shared" si="85"/>
        <v>131</v>
      </c>
      <c r="B297" s="183">
        <f t="shared" si="80"/>
        <v>985319.5350526087</v>
      </c>
      <c r="C297" s="184">
        <f>-Industrial!$E$93/12</f>
        <v>6158.6573115044275</v>
      </c>
      <c r="D297" s="183">
        <f>Industrial!$E$91/12*B296</f>
        <v>3293.9474829372534</v>
      </c>
      <c r="E297" s="185">
        <f t="shared" si="81"/>
        <v>2864.7098285671741</v>
      </c>
      <c r="F297" s="72">
        <f t="shared" si="86"/>
        <v>131</v>
      </c>
      <c r="G297" s="180">
        <f t="shared" si="82"/>
        <v>1582385.6340902196</v>
      </c>
      <c r="H297" s="186">
        <f>-Industrial!$E$98/12</f>
        <v>10736.432460242781</v>
      </c>
      <c r="I297" s="149">
        <f>Industrial!$E$96/12*G296</f>
        <v>6610.4650064334537</v>
      </c>
      <c r="J297" s="187">
        <f t="shared" si="83"/>
        <v>4125.9674538093268</v>
      </c>
      <c r="K297" s="72">
        <f t="shared" si="87"/>
        <v>131</v>
      </c>
      <c r="L297" s="180">
        <f t="shared" si="84"/>
        <v>2567705.1691428283</v>
      </c>
      <c r="M297" s="181">
        <f t="shared" si="84"/>
        <v>16895.089771747207</v>
      </c>
      <c r="N297" s="180">
        <f t="shared" si="84"/>
        <v>9904.4124893707067</v>
      </c>
      <c r="O297" s="132">
        <f t="shared" si="84"/>
        <v>6990.6772823765004</v>
      </c>
    </row>
    <row r="298" spans="1:15" x14ac:dyDescent="0.25">
      <c r="A298" s="72">
        <f t="shared" si="85"/>
        <v>132</v>
      </c>
      <c r="B298" s="183">
        <f t="shared" si="80"/>
        <v>982445.27619127964</v>
      </c>
      <c r="C298" s="184">
        <f>-Industrial!$E$93/12</f>
        <v>6158.6573115044275</v>
      </c>
      <c r="D298" s="183">
        <f>Industrial!$E$91/12*B297</f>
        <v>3284.3984501753625</v>
      </c>
      <c r="E298" s="185">
        <f t="shared" si="81"/>
        <v>2874.258861329065</v>
      </c>
      <c r="F298" s="72">
        <f t="shared" si="86"/>
        <v>132</v>
      </c>
      <c r="G298" s="180">
        <f t="shared" si="82"/>
        <v>1578242.4751053527</v>
      </c>
      <c r="H298" s="186">
        <f>-Industrial!$E$98/12</f>
        <v>10736.432460242781</v>
      </c>
      <c r="I298" s="149">
        <f>Industrial!$E$96/12*G297</f>
        <v>6593.273475375915</v>
      </c>
      <c r="J298" s="187">
        <f t="shared" si="83"/>
        <v>4143.1589848668655</v>
      </c>
      <c r="K298" s="72">
        <f t="shared" si="87"/>
        <v>132</v>
      </c>
      <c r="L298" s="180">
        <f t="shared" si="84"/>
        <v>2560687.7512966325</v>
      </c>
      <c r="M298" s="181">
        <f t="shared" si="84"/>
        <v>16895.089771747207</v>
      </c>
      <c r="N298" s="180">
        <f t="shared" si="84"/>
        <v>9877.671925551278</v>
      </c>
      <c r="O298" s="132">
        <f t="shared" si="84"/>
        <v>7017.4178461959309</v>
      </c>
    </row>
    <row r="299" spans="1:15" x14ac:dyDescent="0.25">
      <c r="A299" s="72">
        <f t="shared" si="85"/>
        <v>133</v>
      </c>
      <c r="B299" s="183">
        <f t="shared" si="80"/>
        <v>979561.43646707945</v>
      </c>
      <c r="C299" s="184">
        <f>-Industrial!$E$93/12</f>
        <v>6158.6573115044275</v>
      </c>
      <c r="D299" s="183">
        <f>Industrial!$E$91/12*B298</f>
        <v>3274.8175873042655</v>
      </c>
      <c r="E299" s="185">
        <f t="shared" si="81"/>
        <v>2883.839724200162</v>
      </c>
      <c r="F299" s="72">
        <f t="shared" si="86"/>
        <v>133</v>
      </c>
      <c r="G299" s="180">
        <f t="shared" si="82"/>
        <v>1574082.0529580489</v>
      </c>
      <c r="H299" s="186">
        <f>-Industrial!$E$98/12</f>
        <v>10736.432460242781</v>
      </c>
      <c r="I299" s="149">
        <f>Industrial!$E$96/12*G298</f>
        <v>6576.010312938969</v>
      </c>
      <c r="J299" s="187">
        <f t="shared" si="83"/>
        <v>4160.4221473038115</v>
      </c>
      <c r="K299" s="72">
        <f t="shared" si="87"/>
        <v>133</v>
      </c>
      <c r="L299" s="180">
        <f t="shared" si="84"/>
        <v>2553643.4894251283</v>
      </c>
      <c r="M299" s="181">
        <f t="shared" si="84"/>
        <v>16895.089771747207</v>
      </c>
      <c r="N299" s="180">
        <f t="shared" si="84"/>
        <v>9850.8279002432355</v>
      </c>
      <c r="O299" s="132">
        <f t="shared" si="84"/>
        <v>7044.2618715039735</v>
      </c>
    </row>
    <row r="300" spans="1:15" x14ac:dyDescent="0.25">
      <c r="A300" s="72">
        <f t="shared" si="85"/>
        <v>134</v>
      </c>
      <c r="B300" s="183">
        <f t="shared" si="80"/>
        <v>976667.98394379858</v>
      </c>
      <c r="C300" s="184">
        <f>-Industrial!$E$93/12</f>
        <v>6158.6573115044275</v>
      </c>
      <c r="D300" s="183">
        <f>Industrial!$E$91/12*B299</f>
        <v>3265.2047882235984</v>
      </c>
      <c r="E300" s="185">
        <f t="shared" si="81"/>
        <v>2893.4525232808292</v>
      </c>
      <c r="F300" s="72">
        <f t="shared" si="86"/>
        <v>134</v>
      </c>
      <c r="G300" s="180">
        <f t="shared" si="82"/>
        <v>1569904.2957184645</v>
      </c>
      <c r="H300" s="186">
        <f>-Industrial!$E$98/12</f>
        <v>10736.432460242781</v>
      </c>
      <c r="I300" s="149">
        <f>Industrial!$E$96/12*G299</f>
        <v>6558.675220658537</v>
      </c>
      <c r="J300" s="187">
        <f t="shared" si="83"/>
        <v>4177.7572395842435</v>
      </c>
      <c r="K300" s="72">
        <f t="shared" si="87"/>
        <v>134</v>
      </c>
      <c r="L300" s="180">
        <f t="shared" si="84"/>
        <v>2546572.2796622631</v>
      </c>
      <c r="M300" s="181">
        <f t="shared" si="84"/>
        <v>16895.089771747207</v>
      </c>
      <c r="N300" s="180">
        <f t="shared" si="84"/>
        <v>9823.8800088821354</v>
      </c>
      <c r="O300" s="132">
        <f t="shared" si="84"/>
        <v>7071.2097628650727</v>
      </c>
    </row>
    <row r="301" spans="1:15" x14ac:dyDescent="0.25">
      <c r="A301" s="72">
        <f t="shared" si="85"/>
        <v>135</v>
      </c>
      <c r="B301" s="183">
        <f t="shared" si="80"/>
        <v>973764.8865787735</v>
      </c>
      <c r="C301" s="184">
        <f>-Industrial!$E$93/12</f>
        <v>6158.6573115044275</v>
      </c>
      <c r="D301" s="183">
        <f>Industrial!$E$91/12*B300</f>
        <v>3255.559946479329</v>
      </c>
      <c r="E301" s="185">
        <f t="shared" si="81"/>
        <v>2903.0973650250985</v>
      </c>
      <c r="F301" s="72">
        <f t="shared" si="86"/>
        <v>135</v>
      </c>
      <c r="G301" s="180">
        <f t="shared" si="82"/>
        <v>1565709.1311570487</v>
      </c>
      <c r="H301" s="186">
        <f>-Industrial!$E$98/12</f>
        <v>10736.432460242781</v>
      </c>
      <c r="I301" s="149">
        <f>Industrial!$E$96/12*G300</f>
        <v>6541.2678988269354</v>
      </c>
      <c r="J301" s="187">
        <f t="shared" si="83"/>
        <v>4195.1645614158451</v>
      </c>
      <c r="K301" s="72">
        <f t="shared" si="87"/>
        <v>135</v>
      </c>
      <c r="L301" s="180">
        <f t="shared" si="84"/>
        <v>2539474.0177358221</v>
      </c>
      <c r="M301" s="181">
        <f t="shared" si="84"/>
        <v>16895.089771747207</v>
      </c>
      <c r="N301" s="180">
        <f t="shared" si="84"/>
        <v>9796.8278453062649</v>
      </c>
      <c r="O301" s="132">
        <f t="shared" si="84"/>
        <v>7098.2619264409441</v>
      </c>
    </row>
    <row r="302" spans="1:15" x14ac:dyDescent="0.25">
      <c r="A302" s="72">
        <f t="shared" si="85"/>
        <v>136</v>
      </c>
      <c r="B302" s="183">
        <f t="shared" si="80"/>
        <v>970852.11222253169</v>
      </c>
      <c r="C302" s="184">
        <f>-Industrial!$E$93/12</f>
        <v>6158.6573115044275</v>
      </c>
      <c r="D302" s="183">
        <f>Industrial!$E$91/12*B301</f>
        <v>3245.8829552625784</v>
      </c>
      <c r="E302" s="185">
        <f t="shared" si="81"/>
        <v>2912.7743562418491</v>
      </c>
      <c r="F302" s="72">
        <f t="shared" si="86"/>
        <v>136</v>
      </c>
      <c r="G302" s="180">
        <f t="shared" si="82"/>
        <v>1561496.4867432937</v>
      </c>
      <c r="H302" s="186">
        <f>-Industrial!$E$98/12</f>
        <v>10736.432460242781</v>
      </c>
      <c r="I302" s="149">
        <f>Industrial!$E$96/12*G301</f>
        <v>6523.7880464877035</v>
      </c>
      <c r="J302" s="187">
        <f t="shared" si="83"/>
        <v>4212.644413755077</v>
      </c>
      <c r="K302" s="72">
        <f t="shared" si="87"/>
        <v>136</v>
      </c>
      <c r="L302" s="180">
        <f t="shared" si="84"/>
        <v>2532348.5989658255</v>
      </c>
      <c r="M302" s="181">
        <f t="shared" si="84"/>
        <v>16895.089771747207</v>
      </c>
      <c r="N302" s="180">
        <f t="shared" si="84"/>
        <v>9769.671001750281</v>
      </c>
      <c r="O302" s="132">
        <f t="shared" si="84"/>
        <v>7125.4187699969261</v>
      </c>
    </row>
    <row r="303" spans="1:15" x14ac:dyDescent="0.25">
      <c r="A303" s="72">
        <f t="shared" si="85"/>
        <v>137</v>
      </c>
      <c r="B303" s="183">
        <f t="shared" si="80"/>
        <v>967929.6286184357</v>
      </c>
      <c r="C303" s="184">
        <f>-Industrial!$E$93/12</f>
        <v>6158.6573115044275</v>
      </c>
      <c r="D303" s="183">
        <f>Industrial!$E$91/12*B302</f>
        <v>3236.173707408439</v>
      </c>
      <c r="E303" s="185">
        <f t="shared" si="81"/>
        <v>2922.4836040959885</v>
      </c>
      <c r="F303" s="72">
        <f t="shared" si="86"/>
        <v>137</v>
      </c>
      <c r="G303" s="180">
        <f t="shared" si="82"/>
        <v>1557266.2896444814</v>
      </c>
      <c r="H303" s="186">
        <f>-Industrial!$E$98/12</f>
        <v>10736.432460242781</v>
      </c>
      <c r="I303" s="149">
        <f>Industrial!$E$96/12*G302</f>
        <v>6506.2353614303902</v>
      </c>
      <c r="J303" s="187">
        <f t="shared" si="83"/>
        <v>4230.1970988123903</v>
      </c>
      <c r="K303" s="72">
        <f t="shared" si="87"/>
        <v>137</v>
      </c>
      <c r="L303" s="180">
        <f t="shared" si="84"/>
        <v>2525195.9182629171</v>
      </c>
      <c r="M303" s="181">
        <f t="shared" si="84"/>
        <v>16895.089771747207</v>
      </c>
      <c r="N303" s="180">
        <f t="shared" si="84"/>
        <v>9742.4090688388296</v>
      </c>
      <c r="O303" s="132">
        <f t="shared" si="84"/>
        <v>7152.6807029083793</v>
      </c>
    </row>
    <row r="304" spans="1:15" x14ac:dyDescent="0.25">
      <c r="A304" s="72">
        <f t="shared" si="85"/>
        <v>138</v>
      </c>
      <c r="B304" s="183">
        <f t="shared" si="80"/>
        <v>964997.40340232605</v>
      </c>
      <c r="C304" s="184">
        <f>-Industrial!$E$93/12</f>
        <v>6158.6573115044275</v>
      </c>
      <c r="D304" s="183">
        <f>Industrial!$E$91/12*B303</f>
        <v>3226.4320953947858</v>
      </c>
      <c r="E304" s="185">
        <f t="shared" si="81"/>
        <v>2932.2252161096417</v>
      </c>
      <c r="F304" s="72">
        <f t="shared" si="86"/>
        <v>138</v>
      </c>
      <c r="G304" s="180">
        <f t="shared" si="82"/>
        <v>1553018.4667244239</v>
      </c>
      <c r="H304" s="186">
        <f>-Industrial!$E$98/12</f>
        <v>10736.432460242781</v>
      </c>
      <c r="I304" s="149">
        <f>Industrial!$E$96/12*G303</f>
        <v>6488.609540185339</v>
      </c>
      <c r="J304" s="187">
        <f t="shared" si="83"/>
        <v>4247.8229200574415</v>
      </c>
      <c r="K304" s="72">
        <f t="shared" si="87"/>
        <v>138</v>
      </c>
      <c r="L304" s="180">
        <f t="shared" si="84"/>
        <v>2518015.8701267499</v>
      </c>
      <c r="M304" s="181">
        <f t="shared" si="84"/>
        <v>16895.089771747207</v>
      </c>
      <c r="N304" s="180">
        <f t="shared" si="84"/>
        <v>9715.0416355801244</v>
      </c>
      <c r="O304" s="132">
        <f t="shared" si="84"/>
        <v>7180.0481361670827</v>
      </c>
    </row>
    <row r="305" spans="1:15" x14ac:dyDescent="0.25">
      <c r="A305" s="72">
        <f t="shared" si="85"/>
        <v>139</v>
      </c>
      <c r="B305" s="183">
        <f t="shared" si="80"/>
        <v>962055.40410216269</v>
      </c>
      <c r="C305" s="184">
        <f>-Industrial!$E$93/12</f>
        <v>6158.6573115044275</v>
      </c>
      <c r="D305" s="183">
        <f>Industrial!$E$91/12*B304</f>
        <v>3216.6580113410869</v>
      </c>
      <c r="E305" s="185">
        <f t="shared" si="81"/>
        <v>2941.9993001633406</v>
      </c>
      <c r="F305" s="72">
        <f t="shared" si="86"/>
        <v>139</v>
      </c>
      <c r="G305" s="180">
        <f t="shared" si="82"/>
        <v>1548752.9445421996</v>
      </c>
      <c r="H305" s="186">
        <f>-Industrial!$E$98/12</f>
        <v>10736.432460242781</v>
      </c>
      <c r="I305" s="149">
        <f>Industrial!$E$96/12*G304</f>
        <v>6470.910278018433</v>
      </c>
      <c r="J305" s="187">
        <f t="shared" si="83"/>
        <v>4265.5221822243475</v>
      </c>
      <c r="K305" s="72">
        <f t="shared" si="87"/>
        <v>139</v>
      </c>
      <c r="L305" s="180">
        <f t="shared" si="84"/>
        <v>2510808.3486443623</v>
      </c>
      <c r="M305" s="181">
        <f t="shared" si="84"/>
        <v>16895.089771747207</v>
      </c>
      <c r="N305" s="180">
        <f t="shared" si="84"/>
        <v>9687.5682893595203</v>
      </c>
      <c r="O305" s="132">
        <f t="shared" si="84"/>
        <v>7207.5214823876886</v>
      </c>
    </row>
    <row r="306" spans="1:15" x14ac:dyDescent="0.25">
      <c r="A306" s="72">
        <f t="shared" si="85"/>
        <v>140</v>
      </c>
      <c r="B306" s="183">
        <f t="shared" si="80"/>
        <v>959103.59813766542</v>
      </c>
      <c r="C306" s="184">
        <f>-Industrial!$E$93/12</f>
        <v>6158.6573115044275</v>
      </c>
      <c r="D306" s="183">
        <f>Industrial!$E$91/12*B305</f>
        <v>3206.8513470072094</v>
      </c>
      <c r="E306" s="185">
        <f t="shared" si="81"/>
        <v>2951.8059644972182</v>
      </c>
      <c r="F306" s="72">
        <f t="shared" si="86"/>
        <v>140</v>
      </c>
      <c r="G306" s="180">
        <f t="shared" si="82"/>
        <v>1544469.6493508827</v>
      </c>
      <c r="H306" s="186">
        <f>-Industrial!$E$98/12</f>
        <v>10736.432460242781</v>
      </c>
      <c r="I306" s="149">
        <f>Industrial!$E$96/12*G305</f>
        <v>6453.1372689258314</v>
      </c>
      <c r="J306" s="187">
        <f t="shared" si="83"/>
        <v>4283.2951913169491</v>
      </c>
      <c r="K306" s="72">
        <f t="shared" si="87"/>
        <v>140</v>
      </c>
      <c r="L306" s="180">
        <f t="shared" si="84"/>
        <v>2503573.247488548</v>
      </c>
      <c r="M306" s="181">
        <f t="shared" si="84"/>
        <v>16895.089771747207</v>
      </c>
      <c r="N306" s="180">
        <f t="shared" si="84"/>
        <v>9659.9886159330417</v>
      </c>
      <c r="O306" s="132">
        <f t="shared" si="84"/>
        <v>7235.1011558141672</v>
      </c>
    </row>
    <row r="307" spans="1:15" x14ac:dyDescent="0.25">
      <c r="A307" s="72">
        <f t="shared" si="85"/>
        <v>141</v>
      </c>
      <c r="B307" s="183">
        <f t="shared" si="80"/>
        <v>956141.95281995321</v>
      </c>
      <c r="C307" s="184">
        <f>-Industrial!$E$93/12</f>
        <v>6158.6573115044275</v>
      </c>
      <c r="D307" s="183">
        <f>Industrial!$E$91/12*B306</f>
        <v>3197.0119937922182</v>
      </c>
      <c r="E307" s="185">
        <f t="shared" si="81"/>
        <v>2961.6453177122094</v>
      </c>
      <c r="F307" s="72">
        <f t="shared" si="86"/>
        <v>141</v>
      </c>
      <c r="G307" s="180">
        <f t="shared" si="82"/>
        <v>1540168.5070962687</v>
      </c>
      <c r="H307" s="186">
        <f>-Industrial!$E$98/12</f>
        <v>10736.432460242781</v>
      </c>
      <c r="I307" s="149">
        <f>Industrial!$E$96/12*G306</f>
        <v>6435.2902056286785</v>
      </c>
      <c r="J307" s="187">
        <f t="shared" si="83"/>
        <v>4301.1422546141021</v>
      </c>
      <c r="K307" s="72">
        <f t="shared" si="87"/>
        <v>141</v>
      </c>
      <c r="L307" s="180">
        <f t="shared" si="84"/>
        <v>2496310.4599162219</v>
      </c>
      <c r="M307" s="181">
        <f t="shared" si="84"/>
        <v>16895.089771747207</v>
      </c>
      <c r="N307" s="180">
        <f t="shared" si="84"/>
        <v>9632.3021994208975</v>
      </c>
      <c r="O307" s="132">
        <f t="shared" si="84"/>
        <v>7262.7875723263114</v>
      </c>
    </row>
    <row r="308" spans="1:15" x14ac:dyDescent="0.25">
      <c r="A308" s="72">
        <f t="shared" si="85"/>
        <v>142</v>
      </c>
      <c r="B308" s="183">
        <f t="shared" si="80"/>
        <v>953170.43535118201</v>
      </c>
      <c r="C308" s="184">
        <f>-Industrial!$E$93/12</f>
        <v>6158.6573115044275</v>
      </c>
      <c r="D308" s="183">
        <f>Industrial!$E$91/12*B307</f>
        <v>3187.1398427331774</v>
      </c>
      <c r="E308" s="185">
        <f t="shared" si="81"/>
        <v>2971.5174687712502</v>
      </c>
      <c r="F308" s="72">
        <f t="shared" si="86"/>
        <v>142</v>
      </c>
      <c r="G308" s="180">
        <f t="shared" si="82"/>
        <v>1535849.4434155938</v>
      </c>
      <c r="H308" s="186">
        <f>-Industrial!$E$98/12</f>
        <v>10736.432460242781</v>
      </c>
      <c r="I308" s="149">
        <f>Industrial!$E$96/12*G307</f>
        <v>6417.3687795677861</v>
      </c>
      <c r="J308" s="187">
        <f t="shared" si="83"/>
        <v>4319.0636806749944</v>
      </c>
      <c r="K308" s="72">
        <f t="shared" si="87"/>
        <v>142</v>
      </c>
      <c r="L308" s="180">
        <f t="shared" si="84"/>
        <v>2489019.8787667761</v>
      </c>
      <c r="M308" s="181">
        <f t="shared" si="84"/>
        <v>16895.089771747207</v>
      </c>
      <c r="N308" s="180">
        <f t="shared" si="84"/>
        <v>9604.5086223009639</v>
      </c>
      <c r="O308" s="132">
        <f t="shared" si="84"/>
        <v>7290.581149446245</v>
      </c>
    </row>
    <row r="309" spans="1:15" x14ac:dyDescent="0.25">
      <c r="A309" s="72">
        <f t="shared" si="85"/>
        <v>143</v>
      </c>
      <c r="B309" s="183">
        <f t="shared" si="80"/>
        <v>950189.01282418147</v>
      </c>
      <c r="C309" s="184">
        <f>-Industrial!$E$93/12</f>
        <v>6158.6573115044275</v>
      </c>
      <c r="D309" s="183">
        <f>Industrial!$E$91/12*B308</f>
        <v>3177.2347845039403</v>
      </c>
      <c r="E309" s="185">
        <f t="shared" si="81"/>
        <v>2981.4225270004872</v>
      </c>
      <c r="F309" s="72">
        <f t="shared" si="86"/>
        <v>143</v>
      </c>
      <c r="G309" s="180">
        <f t="shared" si="82"/>
        <v>1531512.3836362495</v>
      </c>
      <c r="H309" s="186">
        <f>-Industrial!$E$98/12</f>
        <v>10736.432460242781</v>
      </c>
      <c r="I309" s="149">
        <f>Industrial!$E$96/12*G308</f>
        <v>6399.3726808983074</v>
      </c>
      <c r="J309" s="187">
        <f t="shared" si="83"/>
        <v>4337.0597793444731</v>
      </c>
      <c r="K309" s="72">
        <f t="shared" si="87"/>
        <v>143</v>
      </c>
      <c r="L309" s="180">
        <f t="shared" si="84"/>
        <v>2481701.3964604307</v>
      </c>
      <c r="M309" s="181">
        <f t="shared" si="84"/>
        <v>16895.089771747207</v>
      </c>
      <c r="N309" s="180">
        <f t="shared" si="84"/>
        <v>9576.6074654022486</v>
      </c>
      <c r="O309" s="132">
        <f t="shared" si="84"/>
        <v>7318.4823063449603</v>
      </c>
    </row>
    <row r="310" spans="1:15" x14ac:dyDescent="0.25">
      <c r="A310" s="72">
        <f t="shared" si="85"/>
        <v>144</v>
      </c>
      <c r="B310" s="183">
        <f t="shared" si="80"/>
        <v>947197.65222209098</v>
      </c>
      <c r="C310" s="184">
        <f>-Industrial!$E$93/12</f>
        <v>6158.6573115044275</v>
      </c>
      <c r="D310" s="183">
        <f>Industrial!$E$91/12*B309</f>
        <v>3167.2967094139385</v>
      </c>
      <c r="E310" s="185">
        <f t="shared" si="81"/>
        <v>2991.360602090489</v>
      </c>
      <c r="F310" s="72">
        <f t="shared" si="86"/>
        <v>144</v>
      </c>
      <c r="G310" s="180">
        <f t="shared" si="82"/>
        <v>1527157.252774491</v>
      </c>
      <c r="H310" s="186">
        <f>-Industrial!$E$98/12</f>
        <v>10736.432460242781</v>
      </c>
      <c r="I310" s="149">
        <f>Industrial!$E$96/12*G309</f>
        <v>6381.3015984843723</v>
      </c>
      <c r="J310" s="187">
        <f t="shared" si="83"/>
        <v>4355.1308617584082</v>
      </c>
      <c r="K310" s="72">
        <f t="shared" si="87"/>
        <v>144</v>
      </c>
      <c r="L310" s="180">
        <f t="shared" si="84"/>
        <v>2474354.9049965818</v>
      </c>
      <c r="M310" s="181">
        <f t="shared" si="84"/>
        <v>16895.089771747207</v>
      </c>
      <c r="N310" s="180">
        <f t="shared" si="84"/>
        <v>9548.5983078983118</v>
      </c>
      <c r="O310" s="132">
        <f t="shared" si="84"/>
        <v>7346.4914638488972</v>
      </c>
    </row>
    <row r="311" spans="1:15" x14ac:dyDescent="0.25">
      <c r="A311" s="72">
        <f t="shared" si="85"/>
        <v>145</v>
      </c>
      <c r="B311" s="183">
        <f t="shared" si="80"/>
        <v>944196.32041799347</v>
      </c>
      <c r="C311" s="184">
        <f>-Industrial!$E$93/12</f>
        <v>6158.6573115044275</v>
      </c>
      <c r="D311" s="183">
        <f>Industrial!$E$91/12*B310</f>
        <v>3157.3255074069702</v>
      </c>
      <c r="E311" s="185">
        <f t="shared" si="81"/>
        <v>3001.3318040974573</v>
      </c>
      <c r="F311" s="72">
        <f t="shared" si="86"/>
        <v>145</v>
      </c>
      <c r="G311" s="180">
        <f t="shared" si="82"/>
        <v>1522783.975534142</v>
      </c>
      <c r="H311" s="186">
        <f>-Industrial!$E$98/12</f>
        <v>10736.432460242781</v>
      </c>
      <c r="I311" s="149">
        <f>Industrial!$E$96/12*G310</f>
        <v>6363.1552198937125</v>
      </c>
      <c r="J311" s="187">
        <f t="shared" si="83"/>
        <v>4373.2772403490681</v>
      </c>
      <c r="K311" s="72">
        <f t="shared" si="87"/>
        <v>145</v>
      </c>
      <c r="L311" s="180">
        <f t="shared" si="84"/>
        <v>2466980.2959521357</v>
      </c>
      <c r="M311" s="181">
        <f t="shared" si="84"/>
        <v>16895.089771747207</v>
      </c>
      <c r="N311" s="180">
        <f t="shared" si="84"/>
        <v>9520.4807273006827</v>
      </c>
      <c r="O311" s="132">
        <f t="shared" si="84"/>
        <v>7374.6090444465253</v>
      </c>
    </row>
    <row r="312" spans="1:15" x14ac:dyDescent="0.25">
      <c r="A312" s="72">
        <f t="shared" si="85"/>
        <v>146</v>
      </c>
      <c r="B312" s="183">
        <f t="shared" si="80"/>
        <v>941184.984174549</v>
      </c>
      <c r="C312" s="184">
        <f>-Industrial!$E$93/12</f>
        <v>6158.6573115044275</v>
      </c>
      <c r="D312" s="183">
        <f>Industrial!$E$91/12*B311</f>
        <v>3147.3210680599786</v>
      </c>
      <c r="E312" s="185">
        <f t="shared" si="81"/>
        <v>3011.3362434444489</v>
      </c>
      <c r="F312" s="72">
        <f t="shared" si="86"/>
        <v>146</v>
      </c>
      <c r="G312" s="180">
        <f t="shared" si="82"/>
        <v>1518392.4763052915</v>
      </c>
      <c r="H312" s="186">
        <f>-Industrial!$E$98/12</f>
        <v>10736.432460242781</v>
      </c>
      <c r="I312" s="149">
        <f>Industrial!$E$96/12*G311</f>
        <v>6344.9332313922587</v>
      </c>
      <c r="J312" s="187">
        <f t="shared" si="83"/>
        <v>4391.4992288505218</v>
      </c>
      <c r="K312" s="72">
        <f t="shared" si="87"/>
        <v>146</v>
      </c>
      <c r="L312" s="180">
        <f t="shared" si="84"/>
        <v>2459577.4604798406</v>
      </c>
      <c r="M312" s="181">
        <f t="shared" si="84"/>
        <v>16895.089771747207</v>
      </c>
      <c r="N312" s="180">
        <f t="shared" si="84"/>
        <v>9492.2542994522373</v>
      </c>
      <c r="O312" s="132">
        <f t="shared" si="84"/>
        <v>7402.8354722949707</v>
      </c>
    </row>
    <row r="313" spans="1:15" x14ac:dyDescent="0.25">
      <c r="A313" s="72">
        <f t="shared" si="85"/>
        <v>147</v>
      </c>
      <c r="B313" s="183">
        <f t="shared" si="80"/>
        <v>938163.61014362646</v>
      </c>
      <c r="C313" s="184">
        <f>-Industrial!$E$93/12</f>
        <v>6158.6573115044275</v>
      </c>
      <c r="D313" s="183">
        <f>Industrial!$E$91/12*B312</f>
        <v>3137.2832805818302</v>
      </c>
      <c r="E313" s="185">
        <f t="shared" si="81"/>
        <v>3021.3740309225973</v>
      </c>
      <c r="F313" s="72">
        <f t="shared" si="86"/>
        <v>147</v>
      </c>
      <c r="G313" s="180">
        <f t="shared" si="82"/>
        <v>1513982.6791629875</v>
      </c>
      <c r="H313" s="186">
        <f>-Industrial!$E$98/12</f>
        <v>10736.432460242781</v>
      </c>
      <c r="I313" s="149">
        <f>Industrial!$E$96/12*G312</f>
        <v>6326.6353179387143</v>
      </c>
      <c r="J313" s="187">
        <f t="shared" si="83"/>
        <v>4409.7971423040663</v>
      </c>
      <c r="K313" s="72">
        <f t="shared" si="87"/>
        <v>147</v>
      </c>
      <c r="L313" s="180">
        <f t="shared" si="84"/>
        <v>2452146.2893066141</v>
      </c>
      <c r="M313" s="181">
        <f t="shared" si="84"/>
        <v>16895.089771747207</v>
      </c>
      <c r="N313" s="180">
        <f t="shared" si="84"/>
        <v>9463.918598520544</v>
      </c>
      <c r="O313" s="132">
        <f t="shared" si="84"/>
        <v>7431.1711732266631</v>
      </c>
    </row>
    <row r="314" spans="1:15" x14ac:dyDescent="0.25">
      <c r="A314" s="72">
        <f t="shared" si="85"/>
        <v>148</v>
      </c>
      <c r="B314" s="183">
        <f t="shared" si="80"/>
        <v>935132.16486593417</v>
      </c>
      <c r="C314" s="184">
        <f>-Industrial!$E$93/12</f>
        <v>6158.6573115044275</v>
      </c>
      <c r="D314" s="183">
        <f>Industrial!$E$91/12*B313</f>
        <v>3127.2120338120885</v>
      </c>
      <c r="E314" s="185">
        <f t="shared" si="81"/>
        <v>3031.445277692339</v>
      </c>
      <c r="F314" s="72">
        <f t="shared" si="86"/>
        <v>148</v>
      </c>
      <c r="G314" s="180">
        <f t="shared" si="82"/>
        <v>1509554.5078659239</v>
      </c>
      <c r="H314" s="186">
        <f>-Industrial!$E$98/12</f>
        <v>10736.432460242781</v>
      </c>
      <c r="I314" s="149">
        <f>Industrial!$E$96/12*G313</f>
        <v>6308.2611631791142</v>
      </c>
      <c r="J314" s="187">
        <f t="shared" si="83"/>
        <v>4428.1712970636663</v>
      </c>
      <c r="K314" s="72">
        <f t="shared" si="87"/>
        <v>148</v>
      </c>
      <c r="L314" s="180">
        <f t="shared" si="84"/>
        <v>2444686.6727318582</v>
      </c>
      <c r="M314" s="181">
        <f t="shared" si="84"/>
        <v>16895.089771747207</v>
      </c>
      <c r="N314" s="180">
        <f t="shared" si="84"/>
        <v>9435.4731969912027</v>
      </c>
      <c r="O314" s="132">
        <f t="shared" si="84"/>
        <v>7459.6165747560053</v>
      </c>
    </row>
    <row r="315" spans="1:15" x14ac:dyDescent="0.25">
      <c r="A315" s="72">
        <f t="shared" si="85"/>
        <v>149</v>
      </c>
      <c r="B315" s="183">
        <f t="shared" si="80"/>
        <v>932090.61477064958</v>
      </c>
      <c r="C315" s="184">
        <f>-Industrial!$E$93/12</f>
        <v>6158.6573115044275</v>
      </c>
      <c r="D315" s="183">
        <f>Industrial!$E$91/12*B314</f>
        <v>3117.1072162197806</v>
      </c>
      <c r="E315" s="185">
        <f t="shared" si="81"/>
        <v>3041.5500952846469</v>
      </c>
      <c r="F315" s="72">
        <f t="shared" si="86"/>
        <v>149</v>
      </c>
      <c r="G315" s="180">
        <f t="shared" si="82"/>
        <v>1505107.8858551225</v>
      </c>
      <c r="H315" s="186">
        <f>-Industrial!$E$98/12</f>
        <v>10736.432460242781</v>
      </c>
      <c r="I315" s="149">
        <f>Industrial!$E$96/12*G314</f>
        <v>6289.8104494413492</v>
      </c>
      <c r="J315" s="187">
        <f t="shared" si="83"/>
        <v>4446.6220108014313</v>
      </c>
      <c r="K315" s="72">
        <f t="shared" si="87"/>
        <v>149</v>
      </c>
      <c r="L315" s="180">
        <f t="shared" si="84"/>
        <v>2437198.5006257719</v>
      </c>
      <c r="M315" s="181">
        <f t="shared" si="84"/>
        <v>16895.089771747207</v>
      </c>
      <c r="N315" s="180">
        <f t="shared" si="84"/>
        <v>9406.9176656611307</v>
      </c>
      <c r="O315" s="132">
        <f t="shared" si="84"/>
        <v>7488.1721060860782</v>
      </c>
    </row>
    <row r="316" spans="1:15" x14ac:dyDescent="0.25">
      <c r="A316" s="72">
        <f t="shared" si="85"/>
        <v>150</v>
      </c>
      <c r="B316" s="183">
        <f t="shared" si="80"/>
        <v>929038.92617504729</v>
      </c>
      <c r="C316" s="184">
        <f>-Industrial!$E$93/12</f>
        <v>6158.6573115044275</v>
      </c>
      <c r="D316" s="183">
        <f>Industrial!$E$91/12*B315</f>
        <v>3106.9687159021655</v>
      </c>
      <c r="E316" s="185">
        <f t="shared" si="81"/>
        <v>3051.688595602262</v>
      </c>
      <c r="F316" s="72">
        <f t="shared" si="86"/>
        <v>150</v>
      </c>
      <c r="G316" s="180">
        <f t="shared" si="82"/>
        <v>1500642.7362526094</v>
      </c>
      <c r="H316" s="186">
        <f>-Industrial!$E$98/12</f>
        <v>10736.432460242781</v>
      </c>
      <c r="I316" s="149">
        <f>Industrial!$E$96/12*G315</f>
        <v>6271.2828577296768</v>
      </c>
      <c r="J316" s="187">
        <f t="shared" si="83"/>
        <v>4465.1496025131037</v>
      </c>
      <c r="K316" s="72">
        <f t="shared" si="87"/>
        <v>150</v>
      </c>
      <c r="L316" s="180">
        <f t="shared" si="84"/>
        <v>2429681.6624276568</v>
      </c>
      <c r="M316" s="181">
        <f t="shared" si="84"/>
        <v>16895.089771747207</v>
      </c>
      <c r="N316" s="180">
        <f t="shared" si="84"/>
        <v>9378.2515736318419</v>
      </c>
      <c r="O316" s="132">
        <f t="shared" si="84"/>
        <v>7516.8381981153652</v>
      </c>
    </row>
    <row r="317" spans="1:15" x14ac:dyDescent="0.25">
      <c r="A317" s="72">
        <f t="shared" si="85"/>
        <v>151</v>
      </c>
      <c r="B317" s="183">
        <f t="shared" si="80"/>
        <v>925977.06528412632</v>
      </c>
      <c r="C317" s="184">
        <f>-Industrial!$E$93/12</f>
        <v>6158.6573115044275</v>
      </c>
      <c r="D317" s="183">
        <f>Industrial!$E$91/12*B316</f>
        <v>3096.796420583491</v>
      </c>
      <c r="E317" s="185">
        <f t="shared" si="81"/>
        <v>3061.8608909209365</v>
      </c>
      <c r="F317" s="72">
        <f t="shared" si="86"/>
        <v>151</v>
      </c>
      <c r="G317" s="180">
        <f t="shared" si="82"/>
        <v>1496158.9818600859</v>
      </c>
      <c r="H317" s="186">
        <f>-Industrial!$E$98/12</f>
        <v>10736.432460242781</v>
      </c>
      <c r="I317" s="149">
        <f>Industrial!$E$96/12*G316</f>
        <v>6252.6780677192055</v>
      </c>
      <c r="J317" s="187">
        <f t="shared" si="83"/>
        <v>4483.754392523575</v>
      </c>
      <c r="K317" s="72">
        <f t="shared" si="87"/>
        <v>151</v>
      </c>
      <c r="L317" s="180">
        <f t="shared" si="84"/>
        <v>2422136.0471442123</v>
      </c>
      <c r="M317" s="181">
        <f t="shared" si="84"/>
        <v>16895.089771747207</v>
      </c>
      <c r="N317" s="180">
        <f t="shared" si="84"/>
        <v>9349.474488302696</v>
      </c>
      <c r="O317" s="132">
        <f t="shared" si="84"/>
        <v>7545.6152834445111</v>
      </c>
    </row>
    <row r="318" spans="1:15" x14ac:dyDescent="0.25">
      <c r="A318" s="72">
        <f t="shared" si="85"/>
        <v>152</v>
      </c>
      <c r="B318" s="183">
        <f t="shared" si="80"/>
        <v>922904.9981902357</v>
      </c>
      <c r="C318" s="184">
        <f>-Industrial!$E$93/12</f>
        <v>6158.6573115044275</v>
      </c>
      <c r="D318" s="183">
        <f>Industrial!$E$91/12*B317</f>
        <v>3086.5902176137547</v>
      </c>
      <c r="E318" s="185">
        <f t="shared" si="81"/>
        <v>3072.0670938906728</v>
      </c>
      <c r="F318" s="72">
        <f t="shared" si="86"/>
        <v>152</v>
      </c>
      <c r="G318" s="180">
        <f t="shared" si="82"/>
        <v>1491656.5451575934</v>
      </c>
      <c r="H318" s="186">
        <f>-Industrial!$E$98/12</f>
        <v>10736.432460242781</v>
      </c>
      <c r="I318" s="149">
        <f>Industrial!$E$96/12*G317</f>
        <v>6233.9957577503574</v>
      </c>
      <c r="J318" s="187">
        <f t="shared" si="83"/>
        <v>4502.4367024924231</v>
      </c>
      <c r="K318" s="72">
        <f t="shared" si="87"/>
        <v>152</v>
      </c>
      <c r="L318" s="180">
        <f t="shared" si="84"/>
        <v>2414561.543347829</v>
      </c>
      <c r="M318" s="181">
        <f t="shared" si="84"/>
        <v>16895.089771747207</v>
      </c>
      <c r="N318" s="180">
        <f t="shared" si="84"/>
        <v>9320.5859753641125</v>
      </c>
      <c r="O318" s="132">
        <f t="shared" si="84"/>
        <v>7574.5037963830964</v>
      </c>
    </row>
    <row r="319" spans="1:15" x14ac:dyDescent="0.25">
      <c r="A319" s="72">
        <f t="shared" si="85"/>
        <v>153</v>
      </c>
      <c r="B319" s="183">
        <f t="shared" si="80"/>
        <v>919822.69087269867</v>
      </c>
      <c r="C319" s="184">
        <f>-Industrial!$E$93/12</f>
        <v>6158.6573115044275</v>
      </c>
      <c r="D319" s="183">
        <f>Industrial!$E$91/12*B318</f>
        <v>3076.3499939674525</v>
      </c>
      <c r="E319" s="185">
        <f t="shared" si="81"/>
        <v>3082.307317536975</v>
      </c>
      <c r="F319" s="72">
        <f t="shared" si="86"/>
        <v>153</v>
      </c>
      <c r="G319" s="180">
        <f t="shared" si="82"/>
        <v>1487135.3483021739</v>
      </c>
      <c r="H319" s="186">
        <f>-Industrial!$E$98/12</f>
        <v>10736.432460242781</v>
      </c>
      <c r="I319" s="149">
        <f>Industrial!$E$96/12*G318</f>
        <v>6215.2356048233059</v>
      </c>
      <c r="J319" s="187">
        <f t="shared" si="83"/>
        <v>4521.1968554194746</v>
      </c>
      <c r="K319" s="72">
        <f t="shared" si="87"/>
        <v>153</v>
      </c>
      <c r="L319" s="180">
        <f t="shared" si="84"/>
        <v>2406958.0391748725</v>
      </c>
      <c r="M319" s="181">
        <f t="shared" si="84"/>
        <v>16895.089771747207</v>
      </c>
      <c r="N319" s="180">
        <f t="shared" si="84"/>
        <v>9291.585598790758</v>
      </c>
      <c r="O319" s="132">
        <f t="shared" si="84"/>
        <v>7603.5041729564491</v>
      </c>
    </row>
    <row r="320" spans="1:15" x14ac:dyDescent="0.25">
      <c r="A320" s="72">
        <f t="shared" si="85"/>
        <v>154</v>
      </c>
      <c r="B320" s="183">
        <f t="shared" si="80"/>
        <v>916730.1091974366</v>
      </c>
      <c r="C320" s="184">
        <f>-Industrial!$E$93/12</f>
        <v>6158.6573115044275</v>
      </c>
      <c r="D320" s="183">
        <f>Industrial!$E$91/12*B319</f>
        <v>3066.075636242329</v>
      </c>
      <c r="E320" s="185">
        <f t="shared" si="81"/>
        <v>3092.5816752620985</v>
      </c>
      <c r="F320" s="72">
        <f t="shared" si="86"/>
        <v>154</v>
      </c>
      <c r="G320" s="180">
        <f t="shared" si="82"/>
        <v>1482595.3131265235</v>
      </c>
      <c r="H320" s="186">
        <f>-Industrial!$E$98/12</f>
        <v>10736.432460242781</v>
      </c>
      <c r="I320" s="149">
        <f>Industrial!$E$96/12*G319</f>
        <v>6196.3972845923909</v>
      </c>
      <c r="J320" s="187">
        <f t="shared" si="83"/>
        <v>4540.0351756503896</v>
      </c>
      <c r="K320" s="72">
        <f t="shared" si="87"/>
        <v>154</v>
      </c>
      <c r="L320" s="180">
        <f t="shared" si="84"/>
        <v>2399325.4223239599</v>
      </c>
      <c r="M320" s="181">
        <f t="shared" si="84"/>
        <v>16895.089771747207</v>
      </c>
      <c r="N320" s="180">
        <f t="shared" si="84"/>
        <v>9262.4729208347198</v>
      </c>
      <c r="O320" s="132">
        <f t="shared" si="84"/>
        <v>7632.6168509124882</v>
      </c>
    </row>
    <row r="321" spans="1:15" x14ac:dyDescent="0.25">
      <c r="A321" s="72">
        <f t="shared" si="85"/>
        <v>155</v>
      </c>
      <c r="B321" s="183">
        <f t="shared" si="80"/>
        <v>913627.21891659033</v>
      </c>
      <c r="C321" s="184">
        <f>-Industrial!$E$93/12</f>
        <v>6158.6573115044275</v>
      </c>
      <c r="D321" s="183">
        <f>Industrial!$E$91/12*B320</f>
        <v>3055.7670306581222</v>
      </c>
      <c r="E321" s="185">
        <f t="shared" si="81"/>
        <v>3102.8902808463054</v>
      </c>
      <c r="F321" s="72">
        <f t="shared" si="86"/>
        <v>155</v>
      </c>
      <c r="G321" s="180">
        <f t="shared" si="82"/>
        <v>1478036.3611376414</v>
      </c>
      <c r="H321" s="186">
        <f>-Industrial!$E$98/12</f>
        <v>10736.432460242781</v>
      </c>
      <c r="I321" s="149">
        <f>Industrial!$E$96/12*G320</f>
        <v>6177.4804713605145</v>
      </c>
      <c r="J321" s="187">
        <f t="shared" si="83"/>
        <v>4558.9519888822661</v>
      </c>
      <c r="K321" s="72">
        <f t="shared" si="87"/>
        <v>155</v>
      </c>
      <c r="L321" s="180">
        <f t="shared" si="84"/>
        <v>2391663.5800542319</v>
      </c>
      <c r="M321" s="181">
        <f t="shared" si="84"/>
        <v>16895.089771747207</v>
      </c>
      <c r="N321" s="180">
        <f t="shared" si="84"/>
        <v>9233.2475020186357</v>
      </c>
      <c r="O321" s="132">
        <f t="shared" si="84"/>
        <v>7661.8422697285714</v>
      </c>
    </row>
    <row r="322" spans="1:15" x14ac:dyDescent="0.25">
      <c r="A322" s="72">
        <f t="shared" si="85"/>
        <v>156</v>
      </c>
      <c r="B322" s="183">
        <f t="shared" si="80"/>
        <v>910513.98566814116</v>
      </c>
      <c r="C322" s="184">
        <f>-Industrial!$E$93/12</f>
        <v>6158.6573115044275</v>
      </c>
      <c r="D322" s="183">
        <f>Industrial!$E$91/12*B321</f>
        <v>3045.4240630553013</v>
      </c>
      <c r="E322" s="185">
        <f t="shared" si="81"/>
        <v>3113.2332484491262</v>
      </c>
      <c r="F322" s="72">
        <f t="shared" si="86"/>
        <v>156</v>
      </c>
      <c r="G322" s="180">
        <f t="shared" si="82"/>
        <v>1473458.4135154721</v>
      </c>
      <c r="H322" s="186">
        <f>-Industrial!$E$98/12</f>
        <v>10736.432460242781</v>
      </c>
      <c r="I322" s="149">
        <f>Industrial!$E$96/12*G321</f>
        <v>6158.4848380735057</v>
      </c>
      <c r="J322" s="187">
        <f t="shared" si="83"/>
        <v>4577.9476221692748</v>
      </c>
      <c r="K322" s="72">
        <f t="shared" si="87"/>
        <v>156</v>
      </c>
      <c r="L322" s="180">
        <f t="shared" si="84"/>
        <v>2383972.3991836132</v>
      </c>
      <c r="M322" s="181">
        <f t="shared" si="84"/>
        <v>16895.089771747207</v>
      </c>
      <c r="N322" s="180">
        <f t="shared" si="84"/>
        <v>9203.908901128807</v>
      </c>
      <c r="O322" s="132">
        <f t="shared" si="84"/>
        <v>7691.1808706184011</v>
      </c>
    </row>
    <row r="323" spans="1:15" x14ac:dyDescent="0.25">
      <c r="A323" s="72">
        <f t="shared" si="85"/>
        <v>157</v>
      </c>
      <c r="B323" s="183">
        <f t="shared" si="80"/>
        <v>907390.37497553055</v>
      </c>
      <c r="C323" s="184">
        <f>-Industrial!$E$93/12</f>
        <v>6158.6573115044275</v>
      </c>
      <c r="D323" s="183">
        <f>Industrial!$E$91/12*B322</f>
        <v>3035.046618893804</v>
      </c>
      <c r="E323" s="185">
        <f t="shared" si="81"/>
        <v>3123.6106926106236</v>
      </c>
      <c r="F323" s="72">
        <f t="shared" si="86"/>
        <v>157</v>
      </c>
      <c r="G323" s="180">
        <f t="shared" si="82"/>
        <v>1468861.3911115439</v>
      </c>
      <c r="H323" s="186">
        <f>-Industrial!$E$98/12</f>
        <v>10736.432460242781</v>
      </c>
      <c r="I323" s="149">
        <f>Industrial!$E$96/12*G322</f>
        <v>6139.4100563144666</v>
      </c>
      <c r="J323" s="187">
        <f t="shared" si="83"/>
        <v>4597.0224039283139</v>
      </c>
      <c r="K323" s="72">
        <f t="shared" si="87"/>
        <v>157</v>
      </c>
      <c r="L323" s="180">
        <f t="shared" si="84"/>
        <v>2376251.7660870743</v>
      </c>
      <c r="M323" s="181">
        <f t="shared" si="84"/>
        <v>16895.089771747207</v>
      </c>
      <c r="N323" s="180">
        <f t="shared" si="84"/>
        <v>9174.4566752082701</v>
      </c>
      <c r="O323" s="132">
        <f t="shared" si="84"/>
        <v>7720.633096538937</v>
      </c>
    </row>
    <row r="324" spans="1:15" x14ac:dyDescent="0.25">
      <c r="A324" s="72">
        <f t="shared" si="85"/>
        <v>158</v>
      </c>
      <c r="B324" s="183">
        <f t="shared" si="80"/>
        <v>904256.35224727786</v>
      </c>
      <c r="C324" s="184">
        <f>-Industrial!$E$93/12</f>
        <v>6158.6573115044275</v>
      </c>
      <c r="D324" s="183">
        <f>Industrial!$E$91/12*B323</f>
        <v>3024.6345832517686</v>
      </c>
      <c r="E324" s="185">
        <f t="shared" si="81"/>
        <v>3134.0227282526589</v>
      </c>
      <c r="F324" s="72">
        <f t="shared" si="86"/>
        <v>158</v>
      </c>
      <c r="G324" s="180">
        <f t="shared" si="82"/>
        <v>1464245.2144475991</v>
      </c>
      <c r="H324" s="186">
        <f>-Industrial!$E$98/12</f>
        <v>10736.432460242781</v>
      </c>
      <c r="I324" s="149">
        <f>Industrial!$E$96/12*G323</f>
        <v>6120.2557962980991</v>
      </c>
      <c r="J324" s="187">
        <f t="shared" si="83"/>
        <v>4616.1766639446814</v>
      </c>
      <c r="K324" s="72">
        <f t="shared" si="87"/>
        <v>158</v>
      </c>
      <c r="L324" s="180">
        <f t="shared" si="84"/>
        <v>2368501.5666948771</v>
      </c>
      <c r="M324" s="181">
        <f t="shared" si="84"/>
        <v>16895.089771747207</v>
      </c>
      <c r="N324" s="180">
        <f t="shared" si="84"/>
        <v>9144.8903795498682</v>
      </c>
      <c r="O324" s="132">
        <f t="shared" si="84"/>
        <v>7750.1993921973408</v>
      </c>
    </row>
    <row r="325" spans="1:15" x14ac:dyDescent="0.25">
      <c r="A325" s="72">
        <f t="shared" si="85"/>
        <v>159</v>
      </c>
      <c r="B325" s="183">
        <f t="shared" si="80"/>
        <v>901111.88277659763</v>
      </c>
      <c r="C325" s="184">
        <f>-Industrial!$E$93/12</f>
        <v>6158.6573115044275</v>
      </c>
      <c r="D325" s="183">
        <f>Industrial!$E$91/12*B324</f>
        <v>3014.1878408242596</v>
      </c>
      <c r="E325" s="185">
        <f t="shared" si="81"/>
        <v>3144.4694706801679</v>
      </c>
      <c r="F325" s="72">
        <f t="shared" si="86"/>
        <v>159</v>
      </c>
      <c r="G325" s="180">
        <f t="shared" si="82"/>
        <v>1459609.8037142213</v>
      </c>
      <c r="H325" s="186">
        <f>-Industrial!$E$98/12</f>
        <v>10736.432460242781</v>
      </c>
      <c r="I325" s="149">
        <f>Industrial!$E$96/12*G324</f>
        <v>6101.0217268649967</v>
      </c>
      <c r="J325" s="187">
        <f t="shared" si="83"/>
        <v>4635.4107333777838</v>
      </c>
      <c r="K325" s="72">
        <f t="shared" si="87"/>
        <v>159</v>
      </c>
      <c r="L325" s="180">
        <f t="shared" si="84"/>
        <v>2360721.6864908189</v>
      </c>
      <c r="M325" s="181">
        <f t="shared" si="84"/>
        <v>16895.089771747207</v>
      </c>
      <c r="N325" s="180">
        <f t="shared" si="84"/>
        <v>9115.2095676892568</v>
      </c>
      <c r="O325" s="132">
        <f t="shared" si="84"/>
        <v>7779.8802040579521</v>
      </c>
    </row>
    <row r="326" spans="1:15" x14ac:dyDescent="0.25">
      <c r="A326" s="72">
        <f t="shared" si="85"/>
        <v>160</v>
      </c>
      <c r="B326" s="183">
        <f t="shared" si="80"/>
        <v>897956.93174101517</v>
      </c>
      <c r="C326" s="184">
        <f>-Industrial!$E$93/12</f>
        <v>6158.6573115044275</v>
      </c>
      <c r="D326" s="183">
        <f>Industrial!$E$91/12*B325</f>
        <v>3003.7062759219921</v>
      </c>
      <c r="E326" s="185">
        <f t="shared" si="81"/>
        <v>3154.9510355824355</v>
      </c>
      <c r="F326" s="72">
        <f t="shared" si="86"/>
        <v>160</v>
      </c>
      <c r="G326" s="180">
        <f t="shared" si="82"/>
        <v>1454955.0787694545</v>
      </c>
      <c r="H326" s="186">
        <f>-Industrial!$E$98/12</f>
        <v>10736.432460242781</v>
      </c>
      <c r="I326" s="149">
        <f>Industrial!$E$96/12*G325</f>
        <v>6081.7075154759223</v>
      </c>
      <c r="J326" s="187">
        <f t="shared" si="83"/>
        <v>4654.7249447668582</v>
      </c>
      <c r="K326" s="72">
        <f t="shared" si="87"/>
        <v>160</v>
      </c>
      <c r="L326" s="180">
        <f t="shared" si="84"/>
        <v>2352912.0105104698</v>
      </c>
      <c r="M326" s="181">
        <f t="shared" si="84"/>
        <v>16895.089771747207</v>
      </c>
      <c r="N326" s="180">
        <f t="shared" si="84"/>
        <v>9085.4137913979139</v>
      </c>
      <c r="O326" s="132">
        <f t="shared" si="84"/>
        <v>7809.6759803492932</v>
      </c>
    </row>
    <row r="327" spans="1:15" x14ac:dyDescent="0.25">
      <c r="A327" s="72">
        <f t="shared" si="85"/>
        <v>161</v>
      </c>
      <c r="B327" s="183">
        <f t="shared" si="80"/>
        <v>894791.46420198074</v>
      </c>
      <c r="C327" s="184">
        <f>-Industrial!$E$93/12</f>
        <v>6158.6573115044275</v>
      </c>
      <c r="D327" s="183">
        <f>Industrial!$E$91/12*B326</f>
        <v>2993.1897724700507</v>
      </c>
      <c r="E327" s="185">
        <f t="shared" si="81"/>
        <v>3165.4675390343768</v>
      </c>
      <c r="F327" s="72">
        <f t="shared" si="86"/>
        <v>161</v>
      </c>
      <c r="G327" s="180">
        <f t="shared" si="82"/>
        <v>1450280.9591374178</v>
      </c>
      <c r="H327" s="186">
        <f>-Industrial!$E$98/12</f>
        <v>10736.432460242781</v>
      </c>
      <c r="I327" s="149">
        <f>Industrial!$E$96/12*G326</f>
        <v>6062.3128282060607</v>
      </c>
      <c r="J327" s="187">
        <f t="shared" si="83"/>
        <v>4674.1196320367198</v>
      </c>
      <c r="K327" s="72">
        <f t="shared" si="87"/>
        <v>161</v>
      </c>
      <c r="L327" s="180">
        <f t="shared" si="84"/>
        <v>2345072.4233393986</v>
      </c>
      <c r="M327" s="181">
        <f t="shared" si="84"/>
        <v>16895.089771747207</v>
      </c>
      <c r="N327" s="180">
        <f t="shared" si="84"/>
        <v>9055.5026006761109</v>
      </c>
      <c r="O327" s="132">
        <f t="shared" si="84"/>
        <v>7839.5871710710962</v>
      </c>
    </row>
    <row r="328" spans="1:15" x14ac:dyDescent="0.25">
      <c r="A328" s="72">
        <f t="shared" si="85"/>
        <v>162</v>
      </c>
      <c r="B328" s="183">
        <f t="shared" si="80"/>
        <v>891615.44510448293</v>
      </c>
      <c r="C328" s="184">
        <f>-Industrial!$E$93/12</f>
        <v>6158.6573115044275</v>
      </c>
      <c r="D328" s="183">
        <f>Industrial!$E$91/12*B327</f>
        <v>2982.6382140066025</v>
      </c>
      <c r="E328" s="185">
        <f t="shared" si="81"/>
        <v>3176.019097497825</v>
      </c>
      <c r="F328" s="72">
        <f t="shared" si="86"/>
        <v>162</v>
      </c>
      <c r="G328" s="180">
        <f t="shared" si="82"/>
        <v>1445587.3640069142</v>
      </c>
      <c r="H328" s="186">
        <f>-Industrial!$E$98/12</f>
        <v>10736.432460242781</v>
      </c>
      <c r="I328" s="149">
        <f>Industrial!$E$96/12*G327</f>
        <v>6042.8373297392409</v>
      </c>
      <c r="J328" s="187">
        <f t="shared" si="83"/>
        <v>4693.5951305035396</v>
      </c>
      <c r="K328" s="72">
        <f t="shared" si="87"/>
        <v>162</v>
      </c>
      <c r="L328" s="180">
        <f t="shared" si="84"/>
        <v>2337202.8091113972</v>
      </c>
      <c r="M328" s="181">
        <f t="shared" si="84"/>
        <v>16895.089771747207</v>
      </c>
      <c r="N328" s="180">
        <f t="shared" si="84"/>
        <v>9025.4755437458443</v>
      </c>
      <c r="O328" s="132">
        <f t="shared" si="84"/>
        <v>7869.6142280013646</v>
      </c>
    </row>
    <row r="329" spans="1:15" x14ac:dyDescent="0.25">
      <c r="A329" s="72">
        <f t="shared" si="85"/>
        <v>163</v>
      </c>
      <c r="B329" s="183">
        <f t="shared" si="80"/>
        <v>888428.83927666012</v>
      </c>
      <c r="C329" s="184">
        <f>-Industrial!$E$93/12</f>
        <v>6158.6573115044275</v>
      </c>
      <c r="D329" s="183">
        <f>Industrial!$E$91/12*B328</f>
        <v>2972.0514836816101</v>
      </c>
      <c r="E329" s="185">
        <f t="shared" si="81"/>
        <v>3186.6058278228174</v>
      </c>
      <c r="F329" s="72">
        <f t="shared" si="86"/>
        <v>163</v>
      </c>
      <c r="G329" s="180">
        <f t="shared" si="82"/>
        <v>1440874.2122300335</v>
      </c>
      <c r="H329" s="186">
        <f>-Industrial!$E$98/12</f>
        <v>10736.432460242781</v>
      </c>
      <c r="I329" s="149">
        <f>Industrial!$E$96/12*G328</f>
        <v>6023.2806833621426</v>
      </c>
      <c r="J329" s="187">
        <f t="shared" si="83"/>
        <v>4713.151776880638</v>
      </c>
      <c r="K329" s="72">
        <f t="shared" si="87"/>
        <v>163</v>
      </c>
      <c r="L329" s="180">
        <f t="shared" si="84"/>
        <v>2329303.0515066935</v>
      </c>
      <c r="M329" s="181">
        <f t="shared" si="84"/>
        <v>16895.089771747207</v>
      </c>
      <c r="N329" s="180">
        <f t="shared" si="84"/>
        <v>8995.3321670437526</v>
      </c>
      <c r="O329" s="132">
        <f t="shared" si="84"/>
        <v>7899.7576047034554</v>
      </c>
    </row>
    <row r="330" spans="1:15" x14ac:dyDescent="0.25">
      <c r="A330" s="72">
        <f t="shared" si="85"/>
        <v>164</v>
      </c>
      <c r="B330" s="183">
        <f t="shared" si="80"/>
        <v>885231.61142941122</v>
      </c>
      <c r="C330" s="184">
        <f>-Industrial!$E$93/12</f>
        <v>6158.6573115044275</v>
      </c>
      <c r="D330" s="183">
        <f>Industrial!$E$91/12*B329</f>
        <v>2961.4294642555337</v>
      </c>
      <c r="E330" s="185">
        <f t="shared" si="81"/>
        <v>3197.2278472488938</v>
      </c>
      <c r="F330" s="72">
        <f t="shared" si="86"/>
        <v>164</v>
      </c>
      <c r="G330" s="180">
        <f t="shared" si="82"/>
        <v>1436141.4223207491</v>
      </c>
      <c r="H330" s="186">
        <f>-Industrial!$E$98/12</f>
        <v>10736.432460242781</v>
      </c>
      <c r="I330" s="149">
        <f>Industrial!$E$96/12*G329</f>
        <v>6003.6425509584724</v>
      </c>
      <c r="J330" s="187">
        <f t="shared" si="83"/>
        <v>4732.7899092843081</v>
      </c>
      <c r="K330" s="72">
        <f t="shared" si="87"/>
        <v>164</v>
      </c>
      <c r="L330" s="180">
        <f t="shared" si="84"/>
        <v>2321373.0337501606</v>
      </c>
      <c r="M330" s="181">
        <f t="shared" si="84"/>
        <v>16895.089771747207</v>
      </c>
      <c r="N330" s="180">
        <f t="shared" si="84"/>
        <v>8965.0720152140057</v>
      </c>
      <c r="O330" s="132">
        <f t="shared" si="84"/>
        <v>7930.0177565332015</v>
      </c>
    </row>
    <row r="331" spans="1:15" x14ac:dyDescent="0.25">
      <c r="A331" s="72">
        <f t="shared" si="85"/>
        <v>165</v>
      </c>
      <c r="B331" s="183">
        <f t="shared" si="80"/>
        <v>882023.72615600482</v>
      </c>
      <c r="C331" s="184">
        <f>-Industrial!$E$93/12</f>
        <v>6158.6573115044275</v>
      </c>
      <c r="D331" s="183">
        <f>Industrial!$E$91/12*B330</f>
        <v>2950.7720380980377</v>
      </c>
      <c r="E331" s="185">
        <f t="shared" si="81"/>
        <v>3207.8852734063898</v>
      </c>
      <c r="F331" s="72">
        <f t="shared" si="86"/>
        <v>165</v>
      </c>
      <c r="G331" s="180">
        <f t="shared" si="82"/>
        <v>1431388.9124535094</v>
      </c>
      <c r="H331" s="186">
        <f>-Industrial!$E$98/12</f>
        <v>10736.432460242781</v>
      </c>
      <c r="I331" s="149">
        <f>Industrial!$E$96/12*G330</f>
        <v>5983.9225930031216</v>
      </c>
      <c r="J331" s="187">
        <f t="shared" si="83"/>
        <v>4752.5098672396589</v>
      </c>
      <c r="K331" s="72">
        <f t="shared" si="87"/>
        <v>165</v>
      </c>
      <c r="L331" s="180">
        <f t="shared" si="84"/>
        <v>2313412.6386095141</v>
      </c>
      <c r="M331" s="181">
        <f t="shared" si="84"/>
        <v>16895.089771747207</v>
      </c>
      <c r="N331" s="180">
        <f t="shared" si="84"/>
        <v>8934.6946311011598</v>
      </c>
      <c r="O331" s="132">
        <f t="shared" si="84"/>
        <v>7960.3951406460492</v>
      </c>
    </row>
    <row r="332" spans="1:15" x14ac:dyDescent="0.25">
      <c r="A332" s="72">
        <f t="shared" si="85"/>
        <v>166</v>
      </c>
      <c r="B332" s="183">
        <f t="shared" si="80"/>
        <v>878805.14793168707</v>
      </c>
      <c r="C332" s="184">
        <f>-Industrial!$E$93/12</f>
        <v>6158.6573115044275</v>
      </c>
      <c r="D332" s="183">
        <f>Industrial!$E$91/12*B331</f>
        <v>2940.079087186683</v>
      </c>
      <c r="E332" s="185">
        <f t="shared" si="81"/>
        <v>3218.5782243177446</v>
      </c>
      <c r="F332" s="72">
        <f t="shared" si="86"/>
        <v>166</v>
      </c>
      <c r="G332" s="180">
        <f t="shared" si="82"/>
        <v>1426616.6004618229</v>
      </c>
      <c r="H332" s="186">
        <f>-Industrial!$E$98/12</f>
        <v>10736.432460242781</v>
      </c>
      <c r="I332" s="149">
        <f>Industrial!$E$96/12*G331</f>
        <v>5964.1204685562889</v>
      </c>
      <c r="J332" s="187">
        <f t="shared" si="83"/>
        <v>4772.3119916864916</v>
      </c>
      <c r="K332" s="72">
        <f t="shared" si="87"/>
        <v>166</v>
      </c>
      <c r="L332" s="180">
        <f t="shared" si="84"/>
        <v>2305421.74839351</v>
      </c>
      <c r="M332" s="181">
        <f t="shared" si="84"/>
        <v>16895.089771747207</v>
      </c>
      <c r="N332" s="180">
        <f t="shared" si="84"/>
        <v>8904.1995557429727</v>
      </c>
      <c r="O332" s="132">
        <f t="shared" si="84"/>
        <v>7990.8902160042362</v>
      </c>
    </row>
    <row r="333" spans="1:15" x14ac:dyDescent="0.25">
      <c r="A333" s="72">
        <f t="shared" si="85"/>
        <v>167</v>
      </c>
      <c r="B333" s="183">
        <f t="shared" si="80"/>
        <v>875575.8411132883</v>
      </c>
      <c r="C333" s="184">
        <f>-Industrial!$E$93/12</f>
        <v>6158.6573115044275</v>
      </c>
      <c r="D333" s="183">
        <f>Industrial!$E$91/12*B332</f>
        <v>2929.3504931056236</v>
      </c>
      <c r="E333" s="185">
        <f t="shared" si="81"/>
        <v>3229.3068183988039</v>
      </c>
      <c r="F333" s="72">
        <f t="shared" si="86"/>
        <v>167</v>
      </c>
      <c r="G333" s="180">
        <f t="shared" si="82"/>
        <v>1421824.4038368377</v>
      </c>
      <c r="H333" s="186">
        <f>-Industrial!$E$98/12</f>
        <v>10736.432460242781</v>
      </c>
      <c r="I333" s="149">
        <f>Industrial!$E$96/12*G332</f>
        <v>5944.2358352575957</v>
      </c>
      <c r="J333" s="187">
        <f t="shared" si="83"/>
        <v>4792.1966249851848</v>
      </c>
      <c r="K333" s="72">
        <f t="shared" si="87"/>
        <v>167</v>
      </c>
      <c r="L333" s="180">
        <f t="shared" si="84"/>
        <v>2297400.2449501259</v>
      </c>
      <c r="M333" s="181">
        <f t="shared" si="84"/>
        <v>16895.089771747207</v>
      </c>
      <c r="N333" s="180">
        <f t="shared" si="84"/>
        <v>8873.5863283632189</v>
      </c>
      <c r="O333" s="132">
        <f t="shared" si="84"/>
        <v>8021.5034433839883</v>
      </c>
    </row>
    <row r="334" spans="1:15" x14ac:dyDescent="0.25">
      <c r="A334" s="72">
        <f t="shared" si="85"/>
        <v>168</v>
      </c>
      <c r="B334" s="183">
        <f t="shared" si="80"/>
        <v>872335.76993882819</v>
      </c>
      <c r="C334" s="184">
        <f>-Industrial!$E$93/12</f>
        <v>6158.6573115044275</v>
      </c>
      <c r="D334" s="183">
        <f>Industrial!$E$91/12*B333</f>
        <v>2918.5861370442944</v>
      </c>
      <c r="E334" s="185">
        <f t="shared" si="81"/>
        <v>3240.0711744601331</v>
      </c>
      <c r="F334" s="72">
        <f t="shared" si="86"/>
        <v>168</v>
      </c>
      <c r="G334" s="180">
        <f t="shared" si="82"/>
        <v>1417012.239725915</v>
      </c>
      <c r="H334" s="186">
        <f>-Industrial!$E$98/12</f>
        <v>10736.432460242781</v>
      </c>
      <c r="I334" s="149">
        <f>Industrial!$E$96/12*G333</f>
        <v>5924.2683493201575</v>
      </c>
      <c r="J334" s="187">
        <f t="shared" si="83"/>
        <v>4812.164110922623</v>
      </c>
      <c r="K334" s="72">
        <f t="shared" si="87"/>
        <v>168</v>
      </c>
      <c r="L334" s="180">
        <f t="shared" si="84"/>
        <v>2289348.0096647432</v>
      </c>
      <c r="M334" s="181">
        <f t="shared" si="84"/>
        <v>16895.089771747207</v>
      </c>
      <c r="N334" s="180">
        <f t="shared" si="84"/>
        <v>8842.8544863644529</v>
      </c>
      <c r="O334" s="132">
        <f t="shared" si="84"/>
        <v>8052.235285382756</v>
      </c>
    </row>
    <row r="335" spans="1:15" x14ac:dyDescent="0.25">
      <c r="A335" s="72">
        <f t="shared" si="85"/>
        <v>169</v>
      </c>
      <c r="B335" s="183">
        <f t="shared" si="80"/>
        <v>869084.89852711989</v>
      </c>
      <c r="C335" s="184">
        <f>-Industrial!$E$93/12</f>
        <v>6158.6573115044275</v>
      </c>
      <c r="D335" s="183">
        <f>Industrial!$E$91/12*B334</f>
        <v>2907.7858997960943</v>
      </c>
      <c r="E335" s="185">
        <f t="shared" si="81"/>
        <v>3250.8714117083332</v>
      </c>
      <c r="F335" s="72">
        <f t="shared" si="86"/>
        <v>169</v>
      </c>
      <c r="G335" s="180">
        <f t="shared" si="82"/>
        <v>1412180.0249311968</v>
      </c>
      <c r="H335" s="186">
        <f>-Industrial!$E$98/12</f>
        <v>10736.432460242781</v>
      </c>
      <c r="I335" s="149">
        <f>Industrial!$E$96/12*G334</f>
        <v>5904.2176655246458</v>
      </c>
      <c r="J335" s="187">
        <f t="shared" si="83"/>
        <v>4832.2147947181347</v>
      </c>
      <c r="K335" s="72">
        <f t="shared" si="87"/>
        <v>169</v>
      </c>
      <c r="L335" s="180">
        <f t="shared" si="84"/>
        <v>2281264.9234583168</v>
      </c>
      <c r="M335" s="181">
        <f t="shared" si="84"/>
        <v>16895.089771747207</v>
      </c>
      <c r="N335" s="180">
        <f t="shared" si="84"/>
        <v>8812.0035653207397</v>
      </c>
      <c r="O335" s="132">
        <f t="shared" si="84"/>
        <v>8083.0862064264675</v>
      </c>
    </row>
    <row r="336" spans="1:15" x14ac:dyDescent="0.25">
      <c r="A336" s="72">
        <f t="shared" si="85"/>
        <v>170</v>
      </c>
      <c r="B336" s="183">
        <f t="shared" si="80"/>
        <v>865823.19087737252</v>
      </c>
      <c r="C336" s="184">
        <f>-Industrial!$E$93/12</f>
        <v>6158.6573115044275</v>
      </c>
      <c r="D336" s="183">
        <f>Industrial!$E$91/12*B335</f>
        <v>2896.9496617570667</v>
      </c>
      <c r="E336" s="185">
        <f t="shared" si="81"/>
        <v>3261.7076497473608</v>
      </c>
      <c r="F336" s="72">
        <f t="shared" si="86"/>
        <v>170</v>
      </c>
      <c r="G336" s="180">
        <f t="shared" si="82"/>
        <v>1407327.6759081674</v>
      </c>
      <c r="H336" s="186">
        <f>-Industrial!$E$98/12</f>
        <v>10736.432460242781</v>
      </c>
      <c r="I336" s="149">
        <f>Industrial!$E$96/12*G335</f>
        <v>5884.0834372133204</v>
      </c>
      <c r="J336" s="187">
        <f t="shared" si="83"/>
        <v>4852.3490230294601</v>
      </c>
      <c r="K336" s="72">
        <f t="shared" si="87"/>
        <v>170</v>
      </c>
      <c r="L336" s="180">
        <f t="shared" si="84"/>
        <v>2273150.8667855398</v>
      </c>
      <c r="M336" s="181">
        <f t="shared" si="84"/>
        <v>16895.089771747207</v>
      </c>
      <c r="N336" s="180">
        <f t="shared" si="84"/>
        <v>8781.0330989703871</v>
      </c>
      <c r="O336" s="132">
        <f t="shared" si="84"/>
        <v>8114.056672776821</v>
      </c>
    </row>
    <row r="337" spans="1:15" x14ac:dyDescent="0.25">
      <c r="A337" s="72">
        <f t="shared" si="85"/>
        <v>171</v>
      </c>
      <c r="B337" s="183">
        <f t="shared" si="80"/>
        <v>862550.61086879263</v>
      </c>
      <c r="C337" s="184">
        <f>-Industrial!$E$93/12</f>
        <v>6158.6573115044275</v>
      </c>
      <c r="D337" s="183">
        <f>Industrial!$E$91/12*B336</f>
        <v>2886.0773029245752</v>
      </c>
      <c r="E337" s="185">
        <f t="shared" si="81"/>
        <v>3272.5800085798523</v>
      </c>
      <c r="F337" s="72">
        <f t="shared" si="86"/>
        <v>171</v>
      </c>
      <c r="G337" s="180">
        <f t="shared" si="82"/>
        <v>1402455.1087642086</v>
      </c>
      <c r="H337" s="186">
        <f>-Industrial!$E$98/12</f>
        <v>10736.432460242781</v>
      </c>
      <c r="I337" s="149">
        <f>Industrial!$E$96/12*G336</f>
        <v>5863.865316284031</v>
      </c>
      <c r="J337" s="187">
        <f t="shared" si="83"/>
        <v>4872.5671439587495</v>
      </c>
      <c r="K337" s="72">
        <f t="shared" si="87"/>
        <v>171</v>
      </c>
      <c r="L337" s="180">
        <f t="shared" si="84"/>
        <v>2265005.7196330014</v>
      </c>
      <c r="M337" s="181">
        <f t="shared" si="84"/>
        <v>16895.089771747207</v>
      </c>
      <c r="N337" s="180">
        <f t="shared" si="84"/>
        <v>8749.9426192086066</v>
      </c>
      <c r="O337" s="132">
        <f t="shared" si="84"/>
        <v>8145.1471525386023</v>
      </c>
    </row>
    <row r="338" spans="1:15" x14ac:dyDescent="0.25">
      <c r="A338" s="72">
        <f t="shared" si="85"/>
        <v>172</v>
      </c>
      <c r="B338" s="183">
        <f t="shared" si="80"/>
        <v>859267.12226018414</v>
      </c>
      <c r="C338" s="184">
        <f>-Industrial!$E$93/12</f>
        <v>6158.6573115044275</v>
      </c>
      <c r="D338" s="183">
        <f>Industrial!$E$91/12*B337</f>
        <v>2875.1687028959755</v>
      </c>
      <c r="E338" s="185">
        <f t="shared" si="81"/>
        <v>3283.4886086084521</v>
      </c>
      <c r="F338" s="72">
        <f t="shared" si="86"/>
        <v>172</v>
      </c>
      <c r="G338" s="180">
        <f t="shared" si="82"/>
        <v>1397562.2392571501</v>
      </c>
      <c r="H338" s="186">
        <f>-Industrial!$E$98/12</f>
        <v>10736.432460242781</v>
      </c>
      <c r="I338" s="149">
        <f>Industrial!$E$96/12*G337</f>
        <v>5843.5629531842023</v>
      </c>
      <c r="J338" s="187">
        <f t="shared" si="83"/>
        <v>4892.8695070585782</v>
      </c>
      <c r="K338" s="72">
        <f t="shared" si="87"/>
        <v>172</v>
      </c>
      <c r="L338" s="180">
        <f t="shared" si="84"/>
        <v>2256829.3615173344</v>
      </c>
      <c r="M338" s="181">
        <f t="shared" si="84"/>
        <v>16895.089771747207</v>
      </c>
      <c r="N338" s="180">
        <f t="shared" si="84"/>
        <v>8718.7316560801773</v>
      </c>
      <c r="O338" s="132">
        <f t="shared" si="84"/>
        <v>8176.3581156670298</v>
      </c>
    </row>
    <row r="339" spans="1:15" x14ac:dyDescent="0.25">
      <c r="A339" s="72">
        <f t="shared" si="85"/>
        <v>173</v>
      </c>
      <c r="B339" s="183">
        <f t="shared" si="80"/>
        <v>855972.68868954701</v>
      </c>
      <c r="C339" s="184">
        <f>-Industrial!$E$93/12</f>
        <v>6158.6573115044275</v>
      </c>
      <c r="D339" s="183">
        <f>Industrial!$E$91/12*B338</f>
        <v>2864.2237408672809</v>
      </c>
      <c r="E339" s="185">
        <f t="shared" si="81"/>
        <v>3294.4335706371467</v>
      </c>
      <c r="F339" s="72">
        <f t="shared" si="86"/>
        <v>173</v>
      </c>
      <c r="G339" s="180">
        <f t="shared" si="82"/>
        <v>1392648.9827938122</v>
      </c>
      <c r="H339" s="186">
        <f>-Industrial!$E$98/12</f>
        <v>10736.432460242781</v>
      </c>
      <c r="I339" s="149">
        <f>Industrial!$E$96/12*G338</f>
        <v>5823.1759969047916</v>
      </c>
      <c r="J339" s="187">
        <f t="shared" si="83"/>
        <v>4913.2564633379889</v>
      </c>
      <c r="K339" s="72">
        <f t="shared" si="87"/>
        <v>173</v>
      </c>
      <c r="L339" s="180">
        <f t="shared" si="84"/>
        <v>2248621.6714833593</v>
      </c>
      <c r="M339" s="181">
        <f t="shared" si="84"/>
        <v>16895.089771747207</v>
      </c>
      <c r="N339" s="180">
        <f t="shared" si="84"/>
        <v>8687.3997377720734</v>
      </c>
      <c r="O339" s="132">
        <f t="shared" si="84"/>
        <v>8207.6900339751355</v>
      </c>
    </row>
    <row r="340" spans="1:15" x14ac:dyDescent="0.25">
      <c r="A340" s="72">
        <f t="shared" si="85"/>
        <v>174</v>
      </c>
      <c r="B340" s="183">
        <f t="shared" si="80"/>
        <v>852667.27367367444</v>
      </c>
      <c r="C340" s="184">
        <f>-Industrial!$E$93/12</f>
        <v>6158.6573115044275</v>
      </c>
      <c r="D340" s="183">
        <f>Industrial!$E$91/12*B339</f>
        <v>2853.2422956318237</v>
      </c>
      <c r="E340" s="185">
        <f t="shared" si="81"/>
        <v>3305.4150158726038</v>
      </c>
      <c r="F340" s="72">
        <f t="shared" si="86"/>
        <v>174</v>
      </c>
      <c r="G340" s="180">
        <f t="shared" si="82"/>
        <v>1387715.2544285436</v>
      </c>
      <c r="H340" s="186">
        <f>-Industrial!$E$98/12</f>
        <v>10736.432460242781</v>
      </c>
      <c r="I340" s="149">
        <f>Industrial!$E$96/12*G339</f>
        <v>5802.7040949742177</v>
      </c>
      <c r="J340" s="187">
        <f t="shared" si="83"/>
        <v>4933.7283652685628</v>
      </c>
      <c r="K340" s="72">
        <f t="shared" si="87"/>
        <v>174</v>
      </c>
      <c r="L340" s="180">
        <f t="shared" si="84"/>
        <v>2240382.5281022182</v>
      </c>
      <c r="M340" s="181">
        <f t="shared" si="84"/>
        <v>16895.089771747207</v>
      </c>
      <c r="N340" s="180">
        <f t="shared" si="84"/>
        <v>8655.9463906060409</v>
      </c>
      <c r="O340" s="132">
        <f t="shared" si="84"/>
        <v>8239.1433811411662</v>
      </c>
    </row>
    <row r="341" spans="1:15" x14ac:dyDescent="0.25">
      <c r="A341" s="72">
        <f t="shared" si="85"/>
        <v>175</v>
      </c>
      <c r="B341" s="183">
        <f t="shared" si="80"/>
        <v>849350.84060774895</v>
      </c>
      <c r="C341" s="184">
        <f>-Industrial!$E$93/12</f>
        <v>6158.6573115044275</v>
      </c>
      <c r="D341" s="183">
        <f>Industrial!$E$91/12*B340</f>
        <v>2842.2242455789151</v>
      </c>
      <c r="E341" s="185">
        <f t="shared" si="81"/>
        <v>3316.4330659255124</v>
      </c>
      <c r="F341" s="72">
        <f t="shared" si="86"/>
        <v>175</v>
      </c>
      <c r="G341" s="180">
        <f t="shared" si="82"/>
        <v>1382760.9688617531</v>
      </c>
      <c r="H341" s="186">
        <f>-Industrial!$E$98/12</f>
        <v>10736.432460242781</v>
      </c>
      <c r="I341" s="149">
        <f>Industrial!$E$96/12*G340</f>
        <v>5782.1468934522654</v>
      </c>
      <c r="J341" s="187">
        <f t="shared" si="83"/>
        <v>4954.2855667905151</v>
      </c>
      <c r="K341" s="72">
        <f t="shared" si="87"/>
        <v>175</v>
      </c>
      <c r="L341" s="180">
        <f t="shared" si="84"/>
        <v>2232111.809469502</v>
      </c>
      <c r="M341" s="181">
        <f t="shared" si="84"/>
        <v>16895.089771747207</v>
      </c>
      <c r="N341" s="180">
        <f t="shared" si="84"/>
        <v>8624.3711390311801</v>
      </c>
      <c r="O341" s="132">
        <f t="shared" si="84"/>
        <v>8270.7186327160271</v>
      </c>
    </row>
    <row r="342" spans="1:15" x14ac:dyDescent="0.25">
      <c r="A342" s="72">
        <f t="shared" si="85"/>
        <v>176</v>
      </c>
      <c r="B342" s="183">
        <f t="shared" si="80"/>
        <v>846023.35276493698</v>
      </c>
      <c r="C342" s="184">
        <f>-Industrial!$E$93/12</f>
        <v>6158.6573115044275</v>
      </c>
      <c r="D342" s="183">
        <f>Industrial!$E$91/12*B341</f>
        <v>2831.1694686924966</v>
      </c>
      <c r="E342" s="185">
        <f t="shared" si="81"/>
        <v>3327.4878428119309</v>
      </c>
      <c r="F342" s="72">
        <f t="shared" si="86"/>
        <v>176</v>
      </c>
      <c r="G342" s="180">
        <f t="shared" si="82"/>
        <v>1377786.0404384343</v>
      </c>
      <c r="H342" s="186">
        <f>-Industrial!$E$98/12</f>
        <v>10736.432460242781</v>
      </c>
      <c r="I342" s="149">
        <f>Industrial!$E$96/12*G341</f>
        <v>5761.5040369239714</v>
      </c>
      <c r="J342" s="187">
        <f t="shared" si="83"/>
        <v>4974.9284233188091</v>
      </c>
      <c r="K342" s="72">
        <f t="shared" si="87"/>
        <v>176</v>
      </c>
      <c r="L342" s="180">
        <f t="shared" si="84"/>
        <v>2223809.3932033712</v>
      </c>
      <c r="M342" s="181">
        <f t="shared" si="84"/>
        <v>16895.089771747207</v>
      </c>
      <c r="N342" s="180">
        <f t="shared" si="84"/>
        <v>8592.6735056164689</v>
      </c>
      <c r="O342" s="132">
        <f t="shared" si="84"/>
        <v>8302.41626613074</v>
      </c>
    </row>
    <row r="343" spans="1:15" x14ac:dyDescent="0.25">
      <c r="A343" s="72">
        <f t="shared" si="85"/>
        <v>177</v>
      </c>
      <c r="B343" s="183">
        <f t="shared" si="80"/>
        <v>842684.77329598239</v>
      </c>
      <c r="C343" s="184">
        <f>-Industrial!$E$93/12</f>
        <v>6158.6573115044275</v>
      </c>
      <c r="D343" s="183">
        <f>Industrial!$E$91/12*B342</f>
        <v>2820.0778425497901</v>
      </c>
      <c r="E343" s="185">
        <f t="shared" si="81"/>
        <v>3338.5794689546374</v>
      </c>
      <c r="F343" s="72">
        <f t="shared" si="86"/>
        <v>177</v>
      </c>
      <c r="G343" s="180">
        <f t="shared" si="82"/>
        <v>1372790.3831466851</v>
      </c>
      <c r="H343" s="186">
        <f>-Industrial!$E$98/12</f>
        <v>10736.432460242781</v>
      </c>
      <c r="I343" s="149">
        <f>Industrial!$E$96/12*G342</f>
        <v>5740.7751684934765</v>
      </c>
      <c r="J343" s="187">
        <f t="shared" si="83"/>
        <v>4995.657291749304</v>
      </c>
      <c r="K343" s="72">
        <f t="shared" si="87"/>
        <v>177</v>
      </c>
      <c r="L343" s="180">
        <f t="shared" si="84"/>
        <v>2215475.1564426674</v>
      </c>
      <c r="M343" s="181">
        <f t="shared" si="84"/>
        <v>16895.089771747207</v>
      </c>
      <c r="N343" s="180">
        <f t="shared" si="84"/>
        <v>8560.8530110432657</v>
      </c>
      <c r="O343" s="132">
        <f t="shared" si="84"/>
        <v>8334.2367607039414</v>
      </c>
    </row>
    <row r="344" spans="1:15" x14ac:dyDescent="0.25">
      <c r="A344" s="72">
        <f t="shared" si="85"/>
        <v>178</v>
      </c>
      <c r="B344" s="183">
        <f t="shared" si="80"/>
        <v>839335.06522879796</v>
      </c>
      <c r="C344" s="184">
        <f>-Industrial!$E$93/12</f>
        <v>6158.6573115044275</v>
      </c>
      <c r="D344" s="183">
        <f>Industrial!$E$91/12*B343</f>
        <v>2808.9492443199415</v>
      </c>
      <c r="E344" s="185">
        <f t="shared" si="81"/>
        <v>3349.708067184486</v>
      </c>
      <c r="F344" s="72">
        <f t="shared" si="86"/>
        <v>178</v>
      </c>
      <c r="G344" s="180">
        <f t="shared" si="82"/>
        <v>1367773.9106162202</v>
      </c>
      <c r="H344" s="186">
        <f>-Industrial!$E$98/12</f>
        <v>10736.432460242781</v>
      </c>
      <c r="I344" s="149">
        <f>Industrial!$E$96/12*G343</f>
        <v>5719.9599297778541</v>
      </c>
      <c r="J344" s="187">
        <f t="shared" si="83"/>
        <v>5016.4725304649264</v>
      </c>
      <c r="K344" s="72">
        <f t="shared" si="87"/>
        <v>178</v>
      </c>
      <c r="L344" s="180">
        <f t="shared" si="84"/>
        <v>2207108.9758450184</v>
      </c>
      <c r="M344" s="181">
        <f t="shared" si="84"/>
        <v>16895.089771747207</v>
      </c>
      <c r="N344" s="180">
        <f t="shared" si="84"/>
        <v>8528.9091740977965</v>
      </c>
      <c r="O344" s="132">
        <f t="shared" si="84"/>
        <v>8366.1805976494124</v>
      </c>
    </row>
    <row r="345" spans="1:15" x14ac:dyDescent="0.25">
      <c r="A345" s="72">
        <f t="shared" si="85"/>
        <v>179</v>
      </c>
      <c r="B345" s="183">
        <f t="shared" si="80"/>
        <v>835974.19146805617</v>
      </c>
      <c r="C345" s="184">
        <f>-Industrial!$E$93/12</f>
        <v>6158.6573115044275</v>
      </c>
      <c r="D345" s="183">
        <f>Industrial!$E$91/12*B344</f>
        <v>2797.7835507626601</v>
      </c>
      <c r="E345" s="185">
        <f t="shared" si="81"/>
        <v>3360.8737607417675</v>
      </c>
      <c r="F345" s="72">
        <f t="shared" si="86"/>
        <v>179</v>
      </c>
      <c r="G345" s="180">
        <f t="shared" si="82"/>
        <v>1362736.5361168783</v>
      </c>
      <c r="H345" s="186">
        <f>-Industrial!$E$98/12</f>
        <v>10736.432460242781</v>
      </c>
      <c r="I345" s="149">
        <f>Industrial!$E$96/12*G344</f>
        <v>5699.0579609009174</v>
      </c>
      <c r="J345" s="187">
        <f t="shared" si="83"/>
        <v>5037.3744993418632</v>
      </c>
      <c r="K345" s="72">
        <f t="shared" si="87"/>
        <v>179</v>
      </c>
      <c r="L345" s="180">
        <f t="shared" si="84"/>
        <v>2198710.7275849343</v>
      </c>
      <c r="M345" s="181">
        <f t="shared" si="84"/>
        <v>16895.089771747207</v>
      </c>
      <c r="N345" s="180">
        <f t="shared" si="84"/>
        <v>8496.841511663577</v>
      </c>
      <c r="O345" s="132">
        <f t="shared" si="84"/>
        <v>8398.2482600836302</v>
      </c>
    </row>
    <row r="346" spans="1:15" x14ac:dyDescent="0.25">
      <c r="A346" s="72">
        <f t="shared" si="85"/>
        <v>180</v>
      </c>
      <c r="B346" s="183">
        <f t="shared" si="80"/>
        <v>832602.11479477864</v>
      </c>
      <c r="C346" s="184">
        <f>-Industrial!$E$93/12</f>
        <v>6158.6573115044275</v>
      </c>
      <c r="D346" s="183">
        <f>Industrial!$E$91/12*B345</f>
        <v>2786.5806382268543</v>
      </c>
      <c r="E346" s="185">
        <f t="shared" si="81"/>
        <v>3372.0766732775733</v>
      </c>
      <c r="F346" s="72">
        <f t="shared" si="86"/>
        <v>180</v>
      </c>
      <c r="G346" s="180">
        <f t="shared" si="82"/>
        <v>1357678.1725571225</v>
      </c>
      <c r="H346" s="186">
        <f>-Industrial!$E$98/12</f>
        <v>10736.432460242781</v>
      </c>
      <c r="I346" s="149">
        <f>Industrial!$E$96/12*G345</f>
        <v>5678.0689004869928</v>
      </c>
      <c r="J346" s="187">
        <f t="shared" si="83"/>
        <v>5058.3635597557877</v>
      </c>
      <c r="K346" s="72">
        <f t="shared" si="87"/>
        <v>180</v>
      </c>
      <c r="L346" s="180">
        <f t="shared" si="84"/>
        <v>2190280.2873519012</v>
      </c>
      <c r="M346" s="181">
        <f t="shared" si="84"/>
        <v>16895.089771747207</v>
      </c>
      <c r="N346" s="180">
        <f t="shared" si="84"/>
        <v>8464.6495387138475</v>
      </c>
      <c r="O346" s="132">
        <f t="shared" si="84"/>
        <v>8430.4402330333614</v>
      </c>
    </row>
    <row r="347" spans="1:15" x14ac:dyDescent="0.25">
      <c r="A347" s="72">
        <f t="shared" si="85"/>
        <v>181</v>
      </c>
      <c r="B347" s="183">
        <f t="shared" si="80"/>
        <v>829218.79786592349</v>
      </c>
      <c r="C347" s="184">
        <f>-Industrial!$E$93/12</f>
        <v>6158.6573115044275</v>
      </c>
      <c r="D347" s="183">
        <f>Industrial!$E$91/12*B346</f>
        <v>2775.3403826492622</v>
      </c>
      <c r="E347" s="185">
        <f t="shared" si="81"/>
        <v>3383.3169288551653</v>
      </c>
      <c r="F347" s="72">
        <f t="shared" si="86"/>
        <v>181</v>
      </c>
      <c r="G347" s="180">
        <f t="shared" si="82"/>
        <v>1352598.7324825344</v>
      </c>
      <c r="H347" s="186">
        <f>-Industrial!$E$98/12</f>
        <v>10736.432460242781</v>
      </c>
      <c r="I347" s="149">
        <f>Industrial!$E$96/12*G346</f>
        <v>5656.9923856546775</v>
      </c>
      <c r="J347" s="187">
        <f t="shared" si="83"/>
        <v>5079.440074588103</v>
      </c>
      <c r="K347" s="72">
        <f t="shared" si="87"/>
        <v>181</v>
      </c>
      <c r="L347" s="180">
        <f t="shared" si="84"/>
        <v>2181817.5303484579</v>
      </c>
      <c r="M347" s="181">
        <f t="shared" si="84"/>
        <v>16895.089771747207</v>
      </c>
      <c r="N347" s="180">
        <f t="shared" si="84"/>
        <v>8432.3327683039388</v>
      </c>
      <c r="O347" s="132">
        <f t="shared" si="84"/>
        <v>8462.7570034432683</v>
      </c>
    </row>
    <row r="348" spans="1:15" x14ac:dyDescent="0.25">
      <c r="A348" s="72">
        <f t="shared" si="85"/>
        <v>182</v>
      </c>
      <c r="B348" s="183">
        <f t="shared" si="80"/>
        <v>825824.20321397216</v>
      </c>
      <c r="C348" s="184">
        <f>-Industrial!$E$93/12</f>
        <v>6158.6573115044275</v>
      </c>
      <c r="D348" s="183">
        <f>Industrial!$E$91/12*B347</f>
        <v>2764.0626595530784</v>
      </c>
      <c r="E348" s="185">
        <f t="shared" si="81"/>
        <v>3394.5946519513491</v>
      </c>
      <c r="F348" s="72">
        <f t="shared" si="86"/>
        <v>182</v>
      </c>
      <c r="G348" s="180">
        <f t="shared" si="82"/>
        <v>1347498.1280743021</v>
      </c>
      <c r="H348" s="186">
        <f>-Industrial!$E$98/12</f>
        <v>10736.432460242781</v>
      </c>
      <c r="I348" s="149">
        <f>Industrial!$E$96/12*G347</f>
        <v>5635.82805201056</v>
      </c>
      <c r="J348" s="187">
        <f t="shared" si="83"/>
        <v>5100.6044082322205</v>
      </c>
      <c r="K348" s="72">
        <f t="shared" si="87"/>
        <v>182</v>
      </c>
      <c r="L348" s="180">
        <f t="shared" si="84"/>
        <v>2173322.3312882744</v>
      </c>
      <c r="M348" s="181">
        <f t="shared" si="84"/>
        <v>16895.089771747207</v>
      </c>
      <c r="N348" s="180">
        <f t="shared" si="84"/>
        <v>8399.8907115636393</v>
      </c>
      <c r="O348" s="132">
        <f t="shared" si="84"/>
        <v>8495.1990601835696</v>
      </c>
    </row>
    <row r="349" spans="1:15" x14ac:dyDescent="0.25">
      <c r="A349" s="72">
        <f t="shared" si="85"/>
        <v>183</v>
      </c>
      <c r="B349" s="183">
        <f t="shared" si="80"/>
        <v>822418.29324651428</v>
      </c>
      <c r="C349" s="184">
        <f>-Industrial!$E$93/12</f>
        <v>6158.6573115044275</v>
      </c>
      <c r="D349" s="183">
        <f>Industrial!$E$91/12*B348</f>
        <v>2752.7473440465742</v>
      </c>
      <c r="E349" s="185">
        <f t="shared" si="81"/>
        <v>3405.9099674578533</v>
      </c>
      <c r="F349" s="72">
        <f t="shared" si="86"/>
        <v>183</v>
      </c>
      <c r="G349" s="180">
        <f t="shared" si="82"/>
        <v>1342376.2711477024</v>
      </c>
      <c r="H349" s="186">
        <f>-Industrial!$E$98/12</f>
        <v>10736.432460242781</v>
      </c>
      <c r="I349" s="149">
        <f>Industrial!$E$96/12*G348</f>
        <v>5614.5755336429256</v>
      </c>
      <c r="J349" s="187">
        <f t="shared" si="83"/>
        <v>5121.8569265998549</v>
      </c>
      <c r="K349" s="72">
        <f t="shared" si="87"/>
        <v>183</v>
      </c>
      <c r="L349" s="180">
        <f t="shared" si="84"/>
        <v>2164794.5643942165</v>
      </c>
      <c r="M349" s="181">
        <f t="shared" si="84"/>
        <v>16895.089771747207</v>
      </c>
      <c r="N349" s="180">
        <f t="shared" si="84"/>
        <v>8367.3228776894994</v>
      </c>
      <c r="O349" s="132">
        <f t="shared" si="84"/>
        <v>8527.7668940577078</v>
      </c>
    </row>
    <row r="350" spans="1:15" x14ac:dyDescent="0.25">
      <c r="A350" s="72">
        <f t="shared" si="85"/>
        <v>184</v>
      </c>
      <c r="B350" s="183">
        <f t="shared" si="80"/>
        <v>819001.03024583159</v>
      </c>
      <c r="C350" s="184">
        <f>-Industrial!$E$93/12</f>
        <v>6158.6573115044275</v>
      </c>
      <c r="D350" s="183">
        <f>Industrial!$E$91/12*B349</f>
        <v>2741.3943108217145</v>
      </c>
      <c r="E350" s="185">
        <f t="shared" si="81"/>
        <v>3417.263000682713</v>
      </c>
      <c r="F350" s="72">
        <f t="shared" si="86"/>
        <v>184</v>
      </c>
      <c r="G350" s="180">
        <f t="shared" si="82"/>
        <v>1337233.0731505749</v>
      </c>
      <c r="H350" s="186">
        <f>-Industrial!$E$98/12</f>
        <v>10736.432460242781</v>
      </c>
      <c r="I350" s="149">
        <f>Industrial!$E$96/12*G349</f>
        <v>5593.2344631154265</v>
      </c>
      <c r="J350" s="187">
        <f t="shared" si="83"/>
        <v>5143.197997127354</v>
      </c>
      <c r="K350" s="72">
        <f t="shared" si="87"/>
        <v>184</v>
      </c>
      <c r="L350" s="180">
        <f t="shared" si="84"/>
        <v>2156234.1033964064</v>
      </c>
      <c r="M350" s="181">
        <f t="shared" si="84"/>
        <v>16895.089771747207</v>
      </c>
      <c r="N350" s="180">
        <f t="shared" si="84"/>
        <v>8334.6287739371401</v>
      </c>
      <c r="O350" s="132">
        <f t="shared" si="84"/>
        <v>8560.4609978100671</v>
      </c>
    </row>
    <row r="351" spans="1:15" x14ac:dyDescent="0.25">
      <c r="A351" s="72">
        <f t="shared" si="85"/>
        <v>185</v>
      </c>
      <c r="B351" s="183">
        <f t="shared" si="80"/>
        <v>815572.37636847992</v>
      </c>
      <c r="C351" s="184">
        <f>-Industrial!$E$93/12</f>
        <v>6158.6573115044275</v>
      </c>
      <c r="D351" s="183">
        <f>Industrial!$E$91/12*B350</f>
        <v>2730.0034341527721</v>
      </c>
      <c r="E351" s="185">
        <f t="shared" si="81"/>
        <v>3428.6538773516554</v>
      </c>
      <c r="F351" s="72">
        <f t="shared" si="86"/>
        <v>185</v>
      </c>
      <c r="G351" s="180">
        <f t="shared" si="82"/>
        <v>1332068.4451617929</v>
      </c>
      <c r="H351" s="186">
        <f>-Industrial!$E$98/12</f>
        <v>10736.432460242781</v>
      </c>
      <c r="I351" s="149">
        <f>Industrial!$E$96/12*G350</f>
        <v>5571.8044714607286</v>
      </c>
      <c r="J351" s="187">
        <f t="shared" si="83"/>
        <v>5164.6279887820519</v>
      </c>
      <c r="K351" s="72">
        <f t="shared" si="87"/>
        <v>185</v>
      </c>
      <c r="L351" s="180">
        <f t="shared" si="84"/>
        <v>2147640.8215302727</v>
      </c>
      <c r="M351" s="181">
        <f t="shared" si="84"/>
        <v>16895.089771747207</v>
      </c>
      <c r="N351" s="180">
        <f t="shared" si="84"/>
        <v>8301.8079056135011</v>
      </c>
      <c r="O351" s="132">
        <f t="shared" si="84"/>
        <v>8593.2818661337078</v>
      </c>
    </row>
    <row r="352" spans="1:15" x14ac:dyDescent="0.25">
      <c r="A352" s="72">
        <f t="shared" si="85"/>
        <v>186</v>
      </c>
      <c r="B352" s="183">
        <f t="shared" si="80"/>
        <v>812132.2936448704</v>
      </c>
      <c r="C352" s="184">
        <f>-Industrial!$E$93/12</f>
        <v>6158.6573115044275</v>
      </c>
      <c r="D352" s="183">
        <f>Industrial!$E$91/12*B351</f>
        <v>2718.5745878949333</v>
      </c>
      <c r="E352" s="185">
        <f t="shared" si="81"/>
        <v>3440.0827236094942</v>
      </c>
      <c r="F352" s="72">
        <f t="shared" si="86"/>
        <v>186</v>
      </c>
      <c r="G352" s="180">
        <f t="shared" si="82"/>
        <v>1326882.2978897244</v>
      </c>
      <c r="H352" s="186">
        <f>-Industrial!$E$98/12</f>
        <v>10736.432460242781</v>
      </c>
      <c r="I352" s="149">
        <f>Industrial!$E$96/12*G351</f>
        <v>5550.2851881741371</v>
      </c>
      <c r="J352" s="187">
        <f t="shared" si="83"/>
        <v>5186.1472720686434</v>
      </c>
      <c r="K352" s="72">
        <f t="shared" si="87"/>
        <v>186</v>
      </c>
      <c r="L352" s="180">
        <f t="shared" si="84"/>
        <v>2139014.591534595</v>
      </c>
      <c r="M352" s="181">
        <f t="shared" si="84"/>
        <v>16895.089771747207</v>
      </c>
      <c r="N352" s="180">
        <f t="shared" si="84"/>
        <v>8268.85977606907</v>
      </c>
      <c r="O352" s="132">
        <f t="shared" si="84"/>
        <v>8626.2299956781371</v>
      </c>
    </row>
    <row r="353" spans="1:15" x14ac:dyDescent="0.25">
      <c r="A353" s="72">
        <f t="shared" si="85"/>
        <v>187</v>
      </c>
      <c r="B353" s="183">
        <f t="shared" si="80"/>
        <v>808680.74397884891</v>
      </c>
      <c r="C353" s="184">
        <f>-Industrial!$E$93/12</f>
        <v>6158.6573115044275</v>
      </c>
      <c r="D353" s="183">
        <f>Industrial!$E$91/12*B352</f>
        <v>2707.1076454829017</v>
      </c>
      <c r="E353" s="185">
        <f t="shared" si="81"/>
        <v>3451.5496660215258</v>
      </c>
      <c r="F353" s="72">
        <f t="shared" si="86"/>
        <v>187</v>
      </c>
      <c r="G353" s="180">
        <f t="shared" si="82"/>
        <v>1321674.5416706889</v>
      </c>
      <c r="H353" s="186">
        <f>-Industrial!$E$98/12</f>
        <v>10736.432460242781</v>
      </c>
      <c r="I353" s="149">
        <f>Industrial!$E$96/12*G352</f>
        <v>5528.6762412071848</v>
      </c>
      <c r="J353" s="187">
        <f t="shared" si="83"/>
        <v>5207.7562190355957</v>
      </c>
      <c r="K353" s="72">
        <f t="shared" si="87"/>
        <v>187</v>
      </c>
      <c r="L353" s="180">
        <f t="shared" si="84"/>
        <v>2130355.285649538</v>
      </c>
      <c r="M353" s="181">
        <f t="shared" si="84"/>
        <v>16895.089771747207</v>
      </c>
      <c r="N353" s="180">
        <f t="shared" si="84"/>
        <v>8235.7838866900856</v>
      </c>
      <c r="O353" s="132">
        <f t="shared" si="84"/>
        <v>8659.3058850571215</v>
      </c>
    </row>
    <row r="354" spans="1:15" x14ac:dyDescent="0.25">
      <c r="A354" s="72">
        <f t="shared" si="85"/>
        <v>188</v>
      </c>
      <c r="B354" s="183">
        <f t="shared" si="80"/>
        <v>805217.68914727401</v>
      </c>
      <c r="C354" s="184">
        <f>-Industrial!$E$93/12</f>
        <v>6158.6573115044275</v>
      </c>
      <c r="D354" s="183">
        <f>Industrial!$E$91/12*B353</f>
        <v>2695.6024799294964</v>
      </c>
      <c r="E354" s="185">
        <f t="shared" si="81"/>
        <v>3463.0548315749311</v>
      </c>
      <c r="F354" s="72">
        <f t="shared" si="86"/>
        <v>188</v>
      </c>
      <c r="G354" s="180">
        <f t="shared" si="82"/>
        <v>1316445.0864674074</v>
      </c>
      <c r="H354" s="186">
        <f>-Industrial!$E$98/12</f>
        <v>10736.432460242781</v>
      </c>
      <c r="I354" s="149">
        <f>Industrial!$E$96/12*G353</f>
        <v>5506.9772569612032</v>
      </c>
      <c r="J354" s="187">
        <f t="shared" si="83"/>
        <v>5229.4552032815773</v>
      </c>
      <c r="K354" s="72">
        <f t="shared" si="87"/>
        <v>188</v>
      </c>
      <c r="L354" s="180">
        <f t="shared" si="84"/>
        <v>2121662.7756146817</v>
      </c>
      <c r="M354" s="181">
        <f t="shared" si="84"/>
        <v>16895.089771747207</v>
      </c>
      <c r="N354" s="180">
        <f t="shared" si="84"/>
        <v>8202.5797368907006</v>
      </c>
      <c r="O354" s="132">
        <f t="shared" si="84"/>
        <v>8692.5100348565084</v>
      </c>
    </row>
    <row r="355" spans="1:15" x14ac:dyDescent="0.25">
      <c r="A355" s="72">
        <f t="shared" si="85"/>
        <v>189</v>
      </c>
      <c r="B355" s="183">
        <f t="shared" si="80"/>
        <v>801743.09079959383</v>
      </c>
      <c r="C355" s="184">
        <f>-Industrial!$E$93/12</f>
        <v>6158.6573115044275</v>
      </c>
      <c r="D355" s="183">
        <f>Industrial!$E$91/12*B354</f>
        <v>2684.0589638242468</v>
      </c>
      <c r="E355" s="185">
        <f t="shared" si="81"/>
        <v>3474.5983476801807</v>
      </c>
      <c r="F355" s="72">
        <f t="shared" si="86"/>
        <v>189</v>
      </c>
      <c r="G355" s="180">
        <f t="shared" si="82"/>
        <v>1311193.8418674455</v>
      </c>
      <c r="H355" s="186">
        <f>-Industrial!$E$98/12</f>
        <v>10736.432460242781</v>
      </c>
      <c r="I355" s="149">
        <f>Industrial!$E$96/12*G354</f>
        <v>5485.1878602808638</v>
      </c>
      <c r="J355" s="187">
        <f t="shared" si="83"/>
        <v>5251.2445999619167</v>
      </c>
      <c r="K355" s="72">
        <f t="shared" si="87"/>
        <v>189</v>
      </c>
      <c r="L355" s="180">
        <f t="shared" si="84"/>
        <v>2112936.9326670393</v>
      </c>
      <c r="M355" s="181">
        <f t="shared" si="84"/>
        <v>16895.089771747207</v>
      </c>
      <c r="N355" s="180">
        <f t="shared" si="84"/>
        <v>8169.2468241051101</v>
      </c>
      <c r="O355" s="132">
        <f t="shared" si="84"/>
        <v>8725.842947642097</v>
      </c>
    </row>
    <row r="356" spans="1:15" x14ac:dyDescent="0.25">
      <c r="A356" s="72">
        <f t="shared" si="85"/>
        <v>190</v>
      </c>
      <c r="B356" s="183">
        <f t="shared" si="80"/>
        <v>798256.91045742133</v>
      </c>
      <c r="C356" s="184">
        <f>-Industrial!$E$93/12</f>
        <v>6158.6573115044275</v>
      </c>
      <c r="D356" s="183">
        <f>Industrial!$E$91/12*B355</f>
        <v>2672.4769693319795</v>
      </c>
      <c r="E356" s="185">
        <f t="shared" si="81"/>
        <v>3486.180342172448</v>
      </c>
      <c r="F356" s="72">
        <f t="shared" si="86"/>
        <v>190</v>
      </c>
      <c r="G356" s="180">
        <f t="shared" si="82"/>
        <v>1305920.7170816504</v>
      </c>
      <c r="H356" s="186">
        <f>-Industrial!$E$98/12</f>
        <v>10736.432460242781</v>
      </c>
      <c r="I356" s="149">
        <f>Industrial!$E$96/12*G355</f>
        <v>5463.3076744476894</v>
      </c>
      <c r="J356" s="187">
        <f t="shared" si="83"/>
        <v>5273.1247857950912</v>
      </c>
      <c r="K356" s="72">
        <f t="shared" si="87"/>
        <v>190</v>
      </c>
      <c r="L356" s="180">
        <f t="shared" si="84"/>
        <v>2104177.6275390717</v>
      </c>
      <c r="M356" s="181">
        <f t="shared" si="84"/>
        <v>16895.089771747207</v>
      </c>
      <c r="N356" s="180">
        <f t="shared" si="84"/>
        <v>8135.7846437796688</v>
      </c>
      <c r="O356" s="132">
        <f t="shared" si="84"/>
        <v>8759.3051279675383</v>
      </c>
    </row>
    <row r="357" spans="1:15" x14ac:dyDescent="0.25">
      <c r="A357" s="72">
        <f t="shared" si="85"/>
        <v>191</v>
      </c>
      <c r="B357" s="183">
        <f t="shared" si="80"/>
        <v>794759.10951410828</v>
      </c>
      <c r="C357" s="184">
        <f>-Industrial!$E$93/12</f>
        <v>6158.6573115044275</v>
      </c>
      <c r="D357" s="183">
        <f>Industrial!$E$91/12*B356</f>
        <v>2660.8563681914047</v>
      </c>
      <c r="E357" s="185">
        <f t="shared" si="81"/>
        <v>3497.8009433130228</v>
      </c>
      <c r="F357" s="72">
        <f t="shared" si="86"/>
        <v>191</v>
      </c>
      <c r="G357" s="180">
        <f t="shared" si="82"/>
        <v>1300625.6209425812</v>
      </c>
      <c r="H357" s="186">
        <f>-Industrial!$E$98/12</f>
        <v>10736.432460242781</v>
      </c>
      <c r="I357" s="149">
        <f>Industrial!$E$96/12*G356</f>
        <v>5441.3363211735432</v>
      </c>
      <c r="J357" s="187">
        <f t="shared" si="83"/>
        <v>5295.0961390692373</v>
      </c>
      <c r="K357" s="72">
        <f t="shared" si="87"/>
        <v>191</v>
      </c>
      <c r="L357" s="180">
        <f t="shared" si="84"/>
        <v>2095384.7304566894</v>
      </c>
      <c r="M357" s="181">
        <f t="shared" si="84"/>
        <v>16895.089771747207</v>
      </c>
      <c r="N357" s="180">
        <f t="shared" si="84"/>
        <v>8102.1926893649479</v>
      </c>
      <c r="O357" s="132">
        <f t="shared" si="84"/>
        <v>8792.8970823822601</v>
      </c>
    </row>
    <row r="358" spans="1:15" x14ac:dyDescent="0.25">
      <c r="A358" s="72">
        <f t="shared" si="85"/>
        <v>192</v>
      </c>
      <c r="B358" s="183">
        <f t="shared" si="80"/>
        <v>791249.64923431759</v>
      </c>
      <c r="C358" s="184">
        <f>-Industrial!$E$93/12</f>
        <v>6158.6573115044275</v>
      </c>
      <c r="D358" s="183">
        <f>Industrial!$E$91/12*B357</f>
        <v>2649.1970317136943</v>
      </c>
      <c r="E358" s="185">
        <f t="shared" si="81"/>
        <v>3509.4602797907332</v>
      </c>
      <c r="F358" s="72">
        <f t="shared" si="86"/>
        <v>192</v>
      </c>
      <c r="G358" s="180">
        <f t="shared" si="82"/>
        <v>1295308.4619029325</v>
      </c>
      <c r="H358" s="186">
        <f>-Industrial!$E$98/12</f>
        <v>10736.432460242781</v>
      </c>
      <c r="I358" s="149">
        <f>Industrial!$E$96/12*G357</f>
        <v>5419.2734205940887</v>
      </c>
      <c r="J358" s="187">
        <f t="shared" si="83"/>
        <v>5317.1590396486918</v>
      </c>
      <c r="K358" s="72">
        <f t="shared" si="87"/>
        <v>192</v>
      </c>
      <c r="L358" s="180">
        <f t="shared" si="84"/>
        <v>2086558.11113725</v>
      </c>
      <c r="M358" s="181">
        <f t="shared" si="84"/>
        <v>16895.089771747207</v>
      </c>
      <c r="N358" s="180">
        <f t="shared" si="84"/>
        <v>8068.4704523077835</v>
      </c>
      <c r="O358" s="132">
        <f t="shared" ref="O358:O421" si="88">J358+E358</f>
        <v>8826.6193194394255</v>
      </c>
    </row>
    <row r="359" spans="1:15" x14ac:dyDescent="0.25">
      <c r="A359" s="72">
        <f t="shared" si="85"/>
        <v>193</v>
      </c>
      <c r="B359" s="183">
        <f t="shared" ref="B359:B422" si="89">B358-E359</f>
        <v>787728.4907535942</v>
      </c>
      <c r="C359" s="184">
        <f>-Industrial!$E$93/12</f>
        <v>6158.6573115044275</v>
      </c>
      <c r="D359" s="183">
        <f>Industrial!$E$91/12*B358</f>
        <v>2637.4988307810586</v>
      </c>
      <c r="E359" s="185">
        <f t="shared" ref="E359:E422" si="90">C359-D359</f>
        <v>3521.1584807233689</v>
      </c>
      <c r="F359" s="72">
        <f t="shared" si="86"/>
        <v>193</v>
      </c>
      <c r="G359" s="180">
        <f t="shared" ref="G359:G422" si="91">G358-J359</f>
        <v>1289969.1480339519</v>
      </c>
      <c r="H359" s="186">
        <f>-Industrial!$E$98/12</f>
        <v>10736.432460242781</v>
      </c>
      <c r="I359" s="149">
        <f>Industrial!$E$96/12*G358</f>
        <v>5397.1185912622186</v>
      </c>
      <c r="J359" s="187">
        <f t="shared" ref="J359:J422" si="92">H359-I359</f>
        <v>5339.3138689805619</v>
      </c>
      <c r="K359" s="72">
        <f t="shared" si="87"/>
        <v>193</v>
      </c>
      <c r="L359" s="180">
        <f t="shared" ref="L359:O422" si="93">G359+B359</f>
        <v>2077697.6387875462</v>
      </c>
      <c r="M359" s="181">
        <f t="shared" si="93"/>
        <v>16895.089771747207</v>
      </c>
      <c r="N359" s="180">
        <f t="shared" si="93"/>
        <v>8034.6174220432767</v>
      </c>
      <c r="O359" s="132">
        <f t="shared" si="88"/>
        <v>8860.4723497039304</v>
      </c>
    </row>
    <row r="360" spans="1:15" x14ac:dyDescent="0.25">
      <c r="A360" s="72">
        <f t="shared" ref="A360:A423" si="94">A359+1</f>
        <v>194</v>
      </c>
      <c r="B360" s="183">
        <f t="shared" si="89"/>
        <v>784195.59507793514</v>
      </c>
      <c r="C360" s="184">
        <f>-Industrial!$E$93/12</f>
        <v>6158.6573115044275</v>
      </c>
      <c r="D360" s="183">
        <f>Industrial!$E$91/12*B359</f>
        <v>2625.7616358453142</v>
      </c>
      <c r="E360" s="185">
        <f t="shared" si="90"/>
        <v>3532.8956756591133</v>
      </c>
      <c r="F360" s="72">
        <f t="shared" ref="F360:F423" si="95">F359+1</f>
        <v>194</v>
      </c>
      <c r="G360" s="180">
        <f t="shared" si="91"/>
        <v>1284607.5870238505</v>
      </c>
      <c r="H360" s="186">
        <f>-Industrial!$E$98/12</f>
        <v>10736.432460242781</v>
      </c>
      <c r="I360" s="149">
        <f>Industrial!$E$96/12*G359</f>
        <v>5374.8714501414661</v>
      </c>
      <c r="J360" s="187">
        <f t="shared" si="92"/>
        <v>5361.5610101013144</v>
      </c>
      <c r="K360" s="72">
        <f t="shared" ref="K360:K423" si="96">K359+1</f>
        <v>194</v>
      </c>
      <c r="L360" s="180">
        <f t="shared" si="93"/>
        <v>2068803.1821017857</v>
      </c>
      <c r="M360" s="181">
        <f t="shared" si="93"/>
        <v>16895.089771747207</v>
      </c>
      <c r="N360" s="180">
        <f t="shared" si="93"/>
        <v>8000.6330859867803</v>
      </c>
      <c r="O360" s="132">
        <f t="shared" si="88"/>
        <v>8894.4566857604277</v>
      </c>
    </row>
    <row r="361" spans="1:15" x14ac:dyDescent="0.25">
      <c r="A361" s="72">
        <f t="shared" si="94"/>
        <v>195</v>
      </c>
      <c r="B361" s="183">
        <f t="shared" si="89"/>
        <v>780650.92308335716</v>
      </c>
      <c r="C361" s="184">
        <f>-Industrial!$E$93/12</f>
        <v>6158.6573115044275</v>
      </c>
      <c r="D361" s="183">
        <f>Industrial!$E$91/12*B360</f>
        <v>2613.9853169264507</v>
      </c>
      <c r="E361" s="185">
        <f t="shared" si="90"/>
        <v>3544.6719945779769</v>
      </c>
      <c r="F361" s="72">
        <f t="shared" si="95"/>
        <v>195</v>
      </c>
      <c r="G361" s="180">
        <f t="shared" si="91"/>
        <v>1279223.6861762071</v>
      </c>
      <c r="H361" s="186">
        <f>-Industrial!$E$98/12</f>
        <v>10736.432460242781</v>
      </c>
      <c r="I361" s="149">
        <f>Industrial!$E$96/12*G360</f>
        <v>5352.5316125993768</v>
      </c>
      <c r="J361" s="187">
        <f t="shared" si="92"/>
        <v>5383.9008476434037</v>
      </c>
      <c r="K361" s="72">
        <f t="shared" si="96"/>
        <v>195</v>
      </c>
      <c r="L361" s="180">
        <f t="shared" si="93"/>
        <v>2059874.6092595644</v>
      </c>
      <c r="M361" s="181">
        <f t="shared" si="93"/>
        <v>16895.089771747207</v>
      </c>
      <c r="N361" s="180">
        <f t="shared" si="93"/>
        <v>7966.5169295258274</v>
      </c>
      <c r="O361" s="132">
        <f t="shared" si="88"/>
        <v>8928.5728422213797</v>
      </c>
    </row>
    <row r="362" spans="1:15" x14ac:dyDescent="0.25">
      <c r="A362" s="72">
        <f t="shared" si="94"/>
        <v>196</v>
      </c>
      <c r="B362" s="183">
        <f t="shared" si="89"/>
        <v>777094.43551546393</v>
      </c>
      <c r="C362" s="184">
        <f>-Industrial!$E$93/12</f>
        <v>6158.6573115044275</v>
      </c>
      <c r="D362" s="183">
        <f>Industrial!$E$91/12*B361</f>
        <v>2602.1697436111908</v>
      </c>
      <c r="E362" s="185">
        <f t="shared" si="90"/>
        <v>3556.4875678932367</v>
      </c>
      <c r="F362" s="72">
        <f t="shared" si="95"/>
        <v>196</v>
      </c>
      <c r="G362" s="180">
        <f t="shared" si="91"/>
        <v>1273817.3524083653</v>
      </c>
      <c r="H362" s="186">
        <f>-Industrial!$E$98/12</f>
        <v>10736.432460242781</v>
      </c>
      <c r="I362" s="149">
        <f>Industrial!$E$96/12*G361</f>
        <v>5330.098692400863</v>
      </c>
      <c r="J362" s="187">
        <f t="shared" si="92"/>
        <v>5406.3337678419175</v>
      </c>
      <c r="K362" s="72">
        <f t="shared" si="96"/>
        <v>196</v>
      </c>
      <c r="L362" s="180">
        <f t="shared" si="93"/>
        <v>2050911.7879238292</v>
      </c>
      <c r="M362" s="181">
        <f t="shared" si="93"/>
        <v>16895.089771747207</v>
      </c>
      <c r="N362" s="180">
        <f t="shared" si="93"/>
        <v>7932.2684360120538</v>
      </c>
      <c r="O362" s="132">
        <f t="shared" si="88"/>
        <v>8962.8213357351542</v>
      </c>
    </row>
    <row r="363" spans="1:15" x14ac:dyDescent="0.25">
      <c r="A363" s="72">
        <f t="shared" si="94"/>
        <v>197</v>
      </c>
      <c r="B363" s="183">
        <f t="shared" si="89"/>
        <v>773526.09298901109</v>
      </c>
      <c r="C363" s="184">
        <f>-Industrial!$E$93/12</f>
        <v>6158.6573115044275</v>
      </c>
      <c r="D363" s="183">
        <f>Industrial!$E$91/12*B362</f>
        <v>2590.3147850515466</v>
      </c>
      <c r="E363" s="185">
        <f t="shared" si="90"/>
        <v>3568.342526452881</v>
      </c>
      <c r="F363" s="72">
        <f t="shared" si="95"/>
        <v>197</v>
      </c>
      <c r="G363" s="180">
        <f t="shared" si="91"/>
        <v>1268388.4922498241</v>
      </c>
      <c r="H363" s="186">
        <f>-Industrial!$E$98/12</f>
        <v>10736.432460242781</v>
      </c>
      <c r="I363" s="149">
        <f>Industrial!$E$96/12*G362</f>
        <v>5307.5723017015225</v>
      </c>
      <c r="J363" s="187">
        <f t="shared" si="92"/>
        <v>5428.860158541258</v>
      </c>
      <c r="K363" s="72">
        <f t="shared" si="96"/>
        <v>197</v>
      </c>
      <c r="L363" s="180">
        <f t="shared" si="93"/>
        <v>2041914.5852388353</v>
      </c>
      <c r="M363" s="181">
        <f t="shared" si="93"/>
        <v>16895.089771747207</v>
      </c>
      <c r="N363" s="180">
        <f t="shared" si="93"/>
        <v>7897.8870867530695</v>
      </c>
      <c r="O363" s="132">
        <f t="shared" si="88"/>
        <v>8997.2026849941394</v>
      </c>
    </row>
    <row r="364" spans="1:15" x14ac:dyDescent="0.25">
      <c r="A364" s="72">
        <f t="shared" si="94"/>
        <v>198</v>
      </c>
      <c r="B364" s="183">
        <f t="shared" si="89"/>
        <v>769945.85598747001</v>
      </c>
      <c r="C364" s="184">
        <f>-Industrial!$E$93/12</f>
        <v>6158.6573115044275</v>
      </c>
      <c r="D364" s="183">
        <f>Industrial!$E$91/12*B363</f>
        <v>2578.4203099633705</v>
      </c>
      <c r="E364" s="185">
        <f t="shared" si="90"/>
        <v>3580.237001541057</v>
      </c>
      <c r="F364" s="72">
        <f t="shared" si="95"/>
        <v>198</v>
      </c>
      <c r="G364" s="180">
        <f t="shared" si="91"/>
        <v>1262937.0118406222</v>
      </c>
      <c r="H364" s="186">
        <f>-Industrial!$E$98/12</f>
        <v>10736.432460242781</v>
      </c>
      <c r="I364" s="149">
        <f>Industrial!$E$96/12*G363</f>
        <v>5284.9520510409338</v>
      </c>
      <c r="J364" s="187">
        <f t="shared" si="92"/>
        <v>5451.4804092018467</v>
      </c>
      <c r="K364" s="72">
        <f t="shared" si="96"/>
        <v>198</v>
      </c>
      <c r="L364" s="180">
        <f t="shared" si="93"/>
        <v>2032882.8678280921</v>
      </c>
      <c r="M364" s="181">
        <f t="shared" si="93"/>
        <v>16895.089771747207</v>
      </c>
      <c r="N364" s="180">
        <f t="shared" si="93"/>
        <v>7863.3723610043044</v>
      </c>
      <c r="O364" s="132">
        <f t="shared" si="88"/>
        <v>9031.7174107429037</v>
      </c>
    </row>
    <row r="365" spans="1:15" x14ac:dyDescent="0.25">
      <c r="A365" s="72">
        <f t="shared" si="94"/>
        <v>199</v>
      </c>
      <c r="B365" s="183">
        <f t="shared" si="89"/>
        <v>766353.68486259051</v>
      </c>
      <c r="C365" s="184">
        <f>-Industrial!$E$93/12</f>
        <v>6158.6573115044275</v>
      </c>
      <c r="D365" s="183">
        <f>Industrial!$E$91/12*B364</f>
        <v>2566.4861866249003</v>
      </c>
      <c r="E365" s="185">
        <f t="shared" si="90"/>
        <v>3592.1711248795273</v>
      </c>
      <c r="F365" s="72">
        <f t="shared" si="95"/>
        <v>199</v>
      </c>
      <c r="G365" s="180">
        <f t="shared" si="91"/>
        <v>1257462.8169297152</v>
      </c>
      <c r="H365" s="186">
        <f>-Industrial!$E$98/12</f>
        <v>10736.432460242781</v>
      </c>
      <c r="I365" s="149">
        <f>Industrial!$E$96/12*G364</f>
        <v>5262.2375493359259</v>
      </c>
      <c r="J365" s="187">
        <f t="shared" si="92"/>
        <v>5474.1949109068546</v>
      </c>
      <c r="K365" s="72">
        <f t="shared" si="96"/>
        <v>199</v>
      </c>
      <c r="L365" s="180">
        <f t="shared" si="93"/>
        <v>2023816.5017923056</v>
      </c>
      <c r="M365" s="181">
        <f t="shared" si="93"/>
        <v>16895.089771747207</v>
      </c>
      <c r="N365" s="180">
        <f t="shared" si="93"/>
        <v>7828.7237359608262</v>
      </c>
      <c r="O365" s="132">
        <f t="shared" si="88"/>
        <v>9066.366035786381</v>
      </c>
    </row>
    <row r="366" spans="1:15" x14ac:dyDescent="0.25">
      <c r="A366" s="72">
        <f t="shared" si="94"/>
        <v>200</v>
      </c>
      <c r="B366" s="183">
        <f t="shared" si="89"/>
        <v>762749.5398339614</v>
      </c>
      <c r="C366" s="184">
        <f>-Industrial!$E$93/12</f>
        <v>6158.6573115044275</v>
      </c>
      <c r="D366" s="183">
        <f>Industrial!$E$91/12*B365</f>
        <v>2554.5122828753019</v>
      </c>
      <c r="E366" s="185">
        <f t="shared" si="90"/>
        <v>3604.1450286291256</v>
      </c>
      <c r="F366" s="72">
        <f t="shared" si="95"/>
        <v>200</v>
      </c>
      <c r="G366" s="180">
        <f t="shared" si="91"/>
        <v>1251965.8128733463</v>
      </c>
      <c r="H366" s="186">
        <f>-Industrial!$E$98/12</f>
        <v>10736.432460242781</v>
      </c>
      <c r="I366" s="149">
        <f>Industrial!$E$96/12*G365</f>
        <v>5239.4284038738133</v>
      </c>
      <c r="J366" s="187">
        <f t="shared" si="92"/>
        <v>5497.0040563689672</v>
      </c>
      <c r="K366" s="72">
        <f t="shared" si="96"/>
        <v>200</v>
      </c>
      <c r="L366" s="180">
        <f t="shared" si="93"/>
        <v>2014715.3527073078</v>
      </c>
      <c r="M366" s="181">
        <f t="shared" si="93"/>
        <v>16895.089771747207</v>
      </c>
      <c r="N366" s="180">
        <f t="shared" si="93"/>
        <v>7793.9406867491152</v>
      </c>
      <c r="O366" s="132">
        <f t="shared" si="88"/>
        <v>9101.1490849980928</v>
      </c>
    </row>
    <row r="367" spans="1:15" x14ac:dyDescent="0.25">
      <c r="A367" s="72">
        <f t="shared" si="94"/>
        <v>201</v>
      </c>
      <c r="B367" s="183">
        <f t="shared" si="89"/>
        <v>759133.38098857016</v>
      </c>
      <c r="C367" s="184">
        <f>-Industrial!$E$93/12</f>
        <v>6158.6573115044275</v>
      </c>
      <c r="D367" s="183">
        <f>Industrial!$E$91/12*B366</f>
        <v>2542.4984661132048</v>
      </c>
      <c r="E367" s="185">
        <f t="shared" si="90"/>
        <v>3616.1588453912227</v>
      </c>
      <c r="F367" s="72">
        <f t="shared" si="95"/>
        <v>201</v>
      </c>
      <c r="G367" s="180">
        <f t="shared" si="91"/>
        <v>1246445.9046334091</v>
      </c>
      <c r="H367" s="186">
        <f>-Industrial!$E$98/12</f>
        <v>10736.432460242781</v>
      </c>
      <c r="I367" s="149">
        <f>Industrial!$E$96/12*G366</f>
        <v>5216.5242203056096</v>
      </c>
      <c r="J367" s="187">
        <f t="shared" si="92"/>
        <v>5519.9082399371709</v>
      </c>
      <c r="K367" s="72">
        <f t="shared" si="96"/>
        <v>201</v>
      </c>
      <c r="L367" s="180">
        <f t="shared" si="93"/>
        <v>2005579.2856219793</v>
      </c>
      <c r="M367" s="181">
        <f t="shared" si="93"/>
        <v>16895.089771747207</v>
      </c>
      <c r="N367" s="180">
        <f t="shared" si="93"/>
        <v>7759.0226864188144</v>
      </c>
      <c r="O367" s="132">
        <f t="shared" si="88"/>
        <v>9136.0670853283937</v>
      </c>
    </row>
    <row r="368" spans="1:15" x14ac:dyDescent="0.25">
      <c r="A368" s="72">
        <f t="shared" si="94"/>
        <v>202</v>
      </c>
      <c r="B368" s="183">
        <f t="shared" si="89"/>
        <v>755505.16828036099</v>
      </c>
      <c r="C368" s="184">
        <f>-Industrial!$E$93/12</f>
        <v>6158.6573115044275</v>
      </c>
      <c r="D368" s="183">
        <f>Industrial!$E$91/12*B367</f>
        <v>2530.4446032952342</v>
      </c>
      <c r="E368" s="185">
        <f t="shared" si="90"/>
        <v>3628.2127082091934</v>
      </c>
      <c r="F368" s="72">
        <f t="shared" si="95"/>
        <v>202</v>
      </c>
      <c r="G368" s="180">
        <f t="shared" si="91"/>
        <v>1240902.9967758055</v>
      </c>
      <c r="H368" s="186">
        <f>-Industrial!$E$98/12</f>
        <v>10736.432460242781</v>
      </c>
      <c r="I368" s="149">
        <f>Industrial!$E$96/12*G367</f>
        <v>5193.5246026392042</v>
      </c>
      <c r="J368" s="187">
        <f t="shared" si="92"/>
        <v>5542.9078576035763</v>
      </c>
      <c r="K368" s="72">
        <f t="shared" si="96"/>
        <v>202</v>
      </c>
      <c r="L368" s="180">
        <f t="shared" si="93"/>
        <v>1996408.1650561665</v>
      </c>
      <c r="M368" s="181">
        <f t="shared" si="93"/>
        <v>16895.089771747207</v>
      </c>
      <c r="N368" s="180">
        <f t="shared" si="93"/>
        <v>7723.9692059344379</v>
      </c>
      <c r="O368" s="132">
        <f t="shared" si="88"/>
        <v>9171.1205658127692</v>
      </c>
    </row>
    <row r="369" spans="1:15" x14ac:dyDescent="0.25">
      <c r="A369" s="72">
        <f t="shared" si="94"/>
        <v>203</v>
      </c>
      <c r="B369" s="183">
        <f t="shared" si="89"/>
        <v>751864.86152979115</v>
      </c>
      <c r="C369" s="184">
        <f>-Industrial!$E$93/12</f>
        <v>6158.6573115044275</v>
      </c>
      <c r="D369" s="183">
        <f>Industrial!$E$91/12*B368</f>
        <v>2518.3505609345366</v>
      </c>
      <c r="E369" s="185">
        <f t="shared" si="90"/>
        <v>3640.3067505698909</v>
      </c>
      <c r="F369" s="72">
        <f t="shared" si="95"/>
        <v>203</v>
      </c>
      <c r="G369" s="180">
        <f t="shared" si="91"/>
        <v>1235336.9934687952</v>
      </c>
      <c r="H369" s="186">
        <f>-Industrial!$E$98/12</f>
        <v>10736.432460242781</v>
      </c>
      <c r="I369" s="149">
        <f>Industrial!$E$96/12*G368</f>
        <v>5170.4291532325224</v>
      </c>
      <c r="J369" s="187">
        <f t="shared" si="92"/>
        <v>5566.0033070102581</v>
      </c>
      <c r="K369" s="72">
        <f t="shared" si="96"/>
        <v>203</v>
      </c>
      <c r="L369" s="180">
        <f t="shared" si="93"/>
        <v>1987201.8549985862</v>
      </c>
      <c r="M369" s="181">
        <f t="shared" si="93"/>
        <v>16895.089771747207</v>
      </c>
      <c r="N369" s="180">
        <f t="shared" si="93"/>
        <v>7688.779714167059</v>
      </c>
      <c r="O369" s="132">
        <f t="shared" si="88"/>
        <v>9206.3100575801491</v>
      </c>
    </row>
    <row r="370" spans="1:15" x14ac:dyDescent="0.25">
      <c r="A370" s="72">
        <f t="shared" si="94"/>
        <v>204</v>
      </c>
      <c r="B370" s="183">
        <f t="shared" si="89"/>
        <v>748212.42042338604</v>
      </c>
      <c r="C370" s="184">
        <f>-Industrial!$E$93/12</f>
        <v>6158.6573115044275</v>
      </c>
      <c r="D370" s="183">
        <f>Industrial!$E$91/12*B369</f>
        <v>2506.2162050993038</v>
      </c>
      <c r="E370" s="185">
        <f t="shared" si="90"/>
        <v>3652.4411064051237</v>
      </c>
      <c r="F370" s="72">
        <f t="shared" si="95"/>
        <v>204</v>
      </c>
      <c r="G370" s="180">
        <f t="shared" si="91"/>
        <v>1229747.7984813391</v>
      </c>
      <c r="H370" s="186">
        <f>-Industrial!$E$98/12</f>
        <v>10736.432460242781</v>
      </c>
      <c r="I370" s="149">
        <f>Industrial!$E$96/12*G369</f>
        <v>5147.2374727866463</v>
      </c>
      <c r="J370" s="187">
        <f t="shared" si="92"/>
        <v>5589.1949874561342</v>
      </c>
      <c r="K370" s="72">
        <f t="shared" si="96"/>
        <v>204</v>
      </c>
      <c r="L370" s="180">
        <f t="shared" si="93"/>
        <v>1977960.2189047253</v>
      </c>
      <c r="M370" s="181">
        <f t="shared" si="93"/>
        <v>16895.089771747207</v>
      </c>
      <c r="N370" s="180">
        <f t="shared" si="93"/>
        <v>7653.4536778859501</v>
      </c>
      <c r="O370" s="132">
        <f t="shared" si="88"/>
        <v>9241.6360938612579</v>
      </c>
    </row>
    <row r="371" spans="1:15" x14ac:dyDescent="0.25">
      <c r="A371" s="72">
        <f t="shared" si="94"/>
        <v>205</v>
      </c>
      <c r="B371" s="183">
        <f t="shared" si="89"/>
        <v>744547.80451329285</v>
      </c>
      <c r="C371" s="184">
        <f>-Industrial!$E$93/12</f>
        <v>6158.6573115044275</v>
      </c>
      <c r="D371" s="183">
        <f>Industrial!$E$91/12*B370</f>
        <v>2494.0414014112871</v>
      </c>
      <c r="E371" s="185">
        <f t="shared" si="90"/>
        <v>3664.6159100931404</v>
      </c>
      <c r="F371" s="72">
        <f t="shared" si="95"/>
        <v>205</v>
      </c>
      <c r="G371" s="180">
        <f t="shared" si="91"/>
        <v>1224135.3151814353</v>
      </c>
      <c r="H371" s="186">
        <f>-Industrial!$E$98/12</f>
        <v>10736.432460242781</v>
      </c>
      <c r="I371" s="149">
        <f>Industrial!$E$96/12*G370</f>
        <v>5123.9491603389133</v>
      </c>
      <c r="J371" s="187">
        <f t="shared" si="92"/>
        <v>5612.4832999038672</v>
      </c>
      <c r="K371" s="72">
        <f t="shared" si="96"/>
        <v>205</v>
      </c>
      <c r="L371" s="180">
        <f t="shared" si="93"/>
        <v>1968683.1196947282</v>
      </c>
      <c r="M371" s="181">
        <f t="shared" si="93"/>
        <v>16895.089771747207</v>
      </c>
      <c r="N371" s="180">
        <f t="shared" si="93"/>
        <v>7617.9905617502009</v>
      </c>
      <c r="O371" s="132">
        <f t="shared" si="88"/>
        <v>9277.0992099970081</v>
      </c>
    </row>
    <row r="372" spans="1:15" x14ac:dyDescent="0.25">
      <c r="A372" s="72">
        <f t="shared" si="94"/>
        <v>206</v>
      </c>
      <c r="B372" s="183">
        <f t="shared" si="89"/>
        <v>740870.97321683273</v>
      </c>
      <c r="C372" s="184">
        <f>-Industrial!$E$93/12</f>
        <v>6158.6573115044275</v>
      </c>
      <c r="D372" s="183">
        <f>Industrial!$E$91/12*B371</f>
        <v>2481.8260150443098</v>
      </c>
      <c r="E372" s="185">
        <f t="shared" si="90"/>
        <v>3676.8312964601178</v>
      </c>
      <c r="F372" s="72">
        <f t="shared" si="95"/>
        <v>206</v>
      </c>
      <c r="G372" s="180">
        <f t="shared" si="91"/>
        <v>1218499.4465344485</v>
      </c>
      <c r="H372" s="186">
        <f>-Industrial!$E$98/12</f>
        <v>10736.432460242781</v>
      </c>
      <c r="I372" s="149">
        <f>Industrial!$E$96/12*G371</f>
        <v>5100.5638132559807</v>
      </c>
      <c r="J372" s="187">
        <f t="shared" si="92"/>
        <v>5635.8686469867998</v>
      </c>
      <c r="K372" s="72">
        <f t="shared" si="96"/>
        <v>206</v>
      </c>
      <c r="L372" s="180">
        <f t="shared" si="93"/>
        <v>1959370.4197512814</v>
      </c>
      <c r="M372" s="181">
        <f t="shared" si="93"/>
        <v>16895.089771747207</v>
      </c>
      <c r="N372" s="180">
        <f t="shared" si="93"/>
        <v>7582.3898283002909</v>
      </c>
      <c r="O372" s="132">
        <f t="shared" si="88"/>
        <v>9312.699943446918</v>
      </c>
    </row>
    <row r="373" spans="1:15" x14ac:dyDescent="0.25">
      <c r="A373" s="72">
        <f t="shared" si="94"/>
        <v>207</v>
      </c>
      <c r="B373" s="183">
        <f t="shared" si="89"/>
        <v>737181.88581605104</v>
      </c>
      <c r="C373" s="184">
        <f>-Industrial!$E$93/12</f>
        <v>6158.6573115044275</v>
      </c>
      <c r="D373" s="183">
        <f>Industrial!$E$91/12*B372</f>
        <v>2469.5699107227761</v>
      </c>
      <c r="E373" s="185">
        <f t="shared" si="90"/>
        <v>3689.0874007816515</v>
      </c>
      <c r="F373" s="72">
        <f t="shared" si="95"/>
        <v>207</v>
      </c>
      <c r="G373" s="180">
        <f t="shared" si="91"/>
        <v>1212840.0951014326</v>
      </c>
      <c r="H373" s="186">
        <f>-Industrial!$E$98/12</f>
        <v>10736.432460242781</v>
      </c>
      <c r="I373" s="149">
        <f>Industrial!$E$96/12*G372</f>
        <v>5077.0810272268691</v>
      </c>
      <c r="J373" s="187">
        <f t="shared" si="92"/>
        <v>5659.3514330159114</v>
      </c>
      <c r="K373" s="72">
        <f t="shared" si="96"/>
        <v>207</v>
      </c>
      <c r="L373" s="180">
        <f t="shared" si="93"/>
        <v>1950021.9809174836</v>
      </c>
      <c r="M373" s="181">
        <f t="shared" si="93"/>
        <v>16895.089771747207</v>
      </c>
      <c r="N373" s="180">
        <f t="shared" si="93"/>
        <v>7546.6509379496456</v>
      </c>
      <c r="O373" s="132">
        <f t="shared" si="88"/>
        <v>9348.4388337975633</v>
      </c>
    </row>
    <row r="374" spans="1:15" x14ac:dyDescent="0.25">
      <c r="A374" s="72">
        <f t="shared" si="94"/>
        <v>208</v>
      </c>
      <c r="B374" s="183">
        <f t="shared" si="89"/>
        <v>733480.50145726674</v>
      </c>
      <c r="C374" s="184">
        <f>-Industrial!$E$93/12</f>
        <v>6158.6573115044275</v>
      </c>
      <c r="D374" s="183">
        <f>Industrial!$E$91/12*B373</f>
        <v>2457.2729527201705</v>
      </c>
      <c r="E374" s="185">
        <f t="shared" si="90"/>
        <v>3701.3843587842571</v>
      </c>
      <c r="F374" s="72">
        <f t="shared" si="95"/>
        <v>208</v>
      </c>
      <c r="G374" s="180">
        <f t="shared" si="91"/>
        <v>1207157.1630374459</v>
      </c>
      <c r="H374" s="186">
        <f>-Industrial!$E$98/12</f>
        <v>10736.432460242781</v>
      </c>
      <c r="I374" s="149">
        <f>Industrial!$E$96/12*G373</f>
        <v>5053.5003962559695</v>
      </c>
      <c r="J374" s="187">
        <f t="shared" si="92"/>
        <v>5682.932063986811</v>
      </c>
      <c r="K374" s="72">
        <f t="shared" si="96"/>
        <v>208</v>
      </c>
      <c r="L374" s="180">
        <f t="shared" si="93"/>
        <v>1940637.6644947126</v>
      </c>
      <c r="M374" s="181">
        <f t="shared" si="93"/>
        <v>16895.089771747207</v>
      </c>
      <c r="N374" s="180">
        <f t="shared" si="93"/>
        <v>7510.7733489761395</v>
      </c>
      <c r="O374" s="132">
        <f t="shared" si="88"/>
        <v>9384.3164227710677</v>
      </c>
    </row>
    <row r="375" spans="1:15" x14ac:dyDescent="0.25">
      <c r="A375" s="72">
        <f t="shared" si="94"/>
        <v>209</v>
      </c>
      <c r="B375" s="183">
        <f t="shared" si="89"/>
        <v>729766.77915061987</v>
      </c>
      <c r="C375" s="184">
        <f>-Industrial!$E$93/12</f>
        <v>6158.6573115044275</v>
      </c>
      <c r="D375" s="183">
        <f>Industrial!$E$91/12*B374</f>
        <v>2444.9350048575561</v>
      </c>
      <c r="E375" s="185">
        <f t="shared" si="90"/>
        <v>3713.7223066468714</v>
      </c>
      <c r="F375" s="72">
        <f t="shared" si="95"/>
        <v>209</v>
      </c>
      <c r="G375" s="180">
        <f t="shared" si="91"/>
        <v>1201450.552089859</v>
      </c>
      <c r="H375" s="186">
        <f>-Industrial!$E$98/12</f>
        <v>10736.432460242781</v>
      </c>
      <c r="I375" s="149">
        <f>Industrial!$E$96/12*G374</f>
        <v>5029.8215126560244</v>
      </c>
      <c r="J375" s="187">
        <f t="shared" si="92"/>
        <v>5706.6109475867561</v>
      </c>
      <c r="K375" s="72">
        <f t="shared" si="96"/>
        <v>209</v>
      </c>
      <c r="L375" s="180">
        <f t="shared" si="93"/>
        <v>1931217.3312404789</v>
      </c>
      <c r="M375" s="181">
        <f t="shared" si="93"/>
        <v>16895.089771747207</v>
      </c>
      <c r="N375" s="180">
        <f t="shared" si="93"/>
        <v>7474.7565175135805</v>
      </c>
      <c r="O375" s="132">
        <f t="shared" si="88"/>
        <v>9420.3332542336284</v>
      </c>
    </row>
    <row r="376" spans="1:15" x14ac:dyDescent="0.25">
      <c r="A376" s="72">
        <f t="shared" si="94"/>
        <v>210</v>
      </c>
      <c r="B376" s="183">
        <f t="shared" si="89"/>
        <v>726040.67776961753</v>
      </c>
      <c r="C376" s="184">
        <f>-Industrial!$E$93/12</f>
        <v>6158.6573115044275</v>
      </c>
      <c r="D376" s="183">
        <f>Industrial!$E$91/12*B375</f>
        <v>2432.5559305020665</v>
      </c>
      <c r="E376" s="185">
        <f t="shared" si="90"/>
        <v>3726.101381002361</v>
      </c>
      <c r="F376" s="72">
        <f t="shared" si="95"/>
        <v>210</v>
      </c>
      <c r="G376" s="180">
        <f t="shared" si="91"/>
        <v>1195720.1635966573</v>
      </c>
      <c r="H376" s="186">
        <f>-Industrial!$E$98/12</f>
        <v>10736.432460242781</v>
      </c>
      <c r="I376" s="149">
        <f>Industrial!$E$96/12*G375</f>
        <v>5006.0439670410797</v>
      </c>
      <c r="J376" s="187">
        <f t="shared" si="92"/>
        <v>5730.3884932017008</v>
      </c>
      <c r="K376" s="72">
        <f t="shared" si="96"/>
        <v>210</v>
      </c>
      <c r="L376" s="180">
        <f t="shared" si="93"/>
        <v>1921760.8413662747</v>
      </c>
      <c r="M376" s="181">
        <f t="shared" si="93"/>
        <v>16895.089771747207</v>
      </c>
      <c r="N376" s="180">
        <f t="shared" si="93"/>
        <v>7438.5998975431467</v>
      </c>
      <c r="O376" s="132">
        <f t="shared" si="88"/>
        <v>9456.4898742040623</v>
      </c>
    </row>
    <row r="377" spans="1:15" x14ac:dyDescent="0.25">
      <c r="A377" s="72">
        <f t="shared" si="94"/>
        <v>211</v>
      </c>
      <c r="B377" s="183">
        <f t="shared" si="89"/>
        <v>722302.15605067846</v>
      </c>
      <c r="C377" s="184">
        <f>-Industrial!$E$93/12</f>
        <v>6158.6573115044275</v>
      </c>
      <c r="D377" s="183">
        <f>Industrial!$E$91/12*B376</f>
        <v>2420.135592565392</v>
      </c>
      <c r="E377" s="185">
        <f t="shared" si="90"/>
        <v>3738.5217189390355</v>
      </c>
      <c r="F377" s="72">
        <f t="shared" si="95"/>
        <v>211</v>
      </c>
      <c r="G377" s="180">
        <f t="shared" si="91"/>
        <v>1189965.8984847339</v>
      </c>
      <c r="H377" s="186">
        <f>-Industrial!$E$98/12</f>
        <v>10736.432460242781</v>
      </c>
      <c r="I377" s="149">
        <f>Industrial!$E$96/12*G376</f>
        <v>4982.1673483194054</v>
      </c>
      <c r="J377" s="187">
        <f t="shared" si="92"/>
        <v>5754.2651119233751</v>
      </c>
      <c r="K377" s="72">
        <f t="shared" si="96"/>
        <v>211</v>
      </c>
      <c r="L377" s="180">
        <f t="shared" si="93"/>
        <v>1912268.0545354122</v>
      </c>
      <c r="M377" s="181">
        <f t="shared" si="93"/>
        <v>16895.089771747207</v>
      </c>
      <c r="N377" s="180">
        <f t="shared" si="93"/>
        <v>7402.3029408847979</v>
      </c>
      <c r="O377" s="132">
        <f t="shared" si="88"/>
        <v>9492.7868308624111</v>
      </c>
    </row>
    <row r="378" spans="1:15" x14ac:dyDescent="0.25">
      <c r="A378" s="72">
        <f t="shared" si="94"/>
        <v>212</v>
      </c>
      <c r="B378" s="183">
        <f t="shared" si="89"/>
        <v>718551.17259267624</v>
      </c>
      <c r="C378" s="184">
        <f>-Industrial!$E$93/12</f>
        <v>6158.6573115044275</v>
      </c>
      <c r="D378" s="183">
        <f>Industrial!$E$91/12*B377</f>
        <v>2407.6738535022619</v>
      </c>
      <c r="E378" s="185">
        <f t="shared" si="90"/>
        <v>3750.9834580021657</v>
      </c>
      <c r="F378" s="72">
        <f t="shared" si="95"/>
        <v>212</v>
      </c>
      <c r="G378" s="180">
        <f t="shared" si="91"/>
        <v>1184187.6572681775</v>
      </c>
      <c r="H378" s="186">
        <f>-Industrial!$E$98/12</f>
        <v>10736.432460242781</v>
      </c>
      <c r="I378" s="149">
        <f>Industrial!$E$96/12*G377</f>
        <v>4958.1912436863913</v>
      </c>
      <c r="J378" s="187">
        <f t="shared" si="92"/>
        <v>5778.2412165563892</v>
      </c>
      <c r="K378" s="72">
        <f t="shared" si="96"/>
        <v>212</v>
      </c>
      <c r="L378" s="180">
        <f t="shared" si="93"/>
        <v>1902738.8298608537</v>
      </c>
      <c r="M378" s="181">
        <f t="shared" si="93"/>
        <v>16895.089771747207</v>
      </c>
      <c r="N378" s="180">
        <f t="shared" si="93"/>
        <v>7365.8650971886527</v>
      </c>
      <c r="O378" s="132">
        <f t="shared" si="88"/>
        <v>9529.2246745585544</v>
      </c>
    </row>
    <row r="379" spans="1:15" x14ac:dyDescent="0.25">
      <c r="A379" s="72">
        <f t="shared" si="94"/>
        <v>213</v>
      </c>
      <c r="B379" s="183">
        <f t="shared" si="89"/>
        <v>714787.68585648073</v>
      </c>
      <c r="C379" s="184">
        <f>-Industrial!$E$93/12</f>
        <v>6158.6573115044275</v>
      </c>
      <c r="D379" s="183">
        <f>Industrial!$E$91/12*B378</f>
        <v>2395.1705753089209</v>
      </c>
      <c r="E379" s="185">
        <f t="shared" si="90"/>
        <v>3763.4867361955066</v>
      </c>
      <c r="F379" s="72">
        <f t="shared" si="95"/>
        <v>213</v>
      </c>
      <c r="G379" s="180">
        <f t="shared" si="91"/>
        <v>1178385.340046552</v>
      </c>
      <c r="H379" s="186">
        <f>-Industrial!$E$98/12</f>
        <v>10736.432460242781</v>
      </c>
      <c r="I379" s="149">
        <f>Industrial!$E$96/12*G378</f>
        <v>4934.1152386174062</v>
      </c>
      <c r="J379" s="187">
        <f t="shared" si="92"/>
        <v>5802.3172216253743</v>
      </c>
      <c r="K379" s="72">
        <f t="shared" si="96"/>
        <v>213</v>
      </c>
      <c r="L379" s="180">
        <f t="shared" si="93"/>
        <v>1893173.0259030326</v>
      </c>
      <c r="M379" s="181">
        <f t="shared" si="93"/>
        <v>16895.089771747207</v>
      </c>
      <c r="N379" s="180">
        <f t="shared" si="93"/>
        <v>7329.2858139263271</v>
      </c>
      <c r="O379" s="132">
        <f t="shared" si="88"/>
        <v>9565.8039578208809</v>
      </c>
    </row>
    <row r="380" spans="1:15" x14ac:dyDescent="0.25">
      <c r="A380" s="72">
        <f t="shared" si="94"/>
        <v>214</v>
      </c>
      <c r="B380" s="183">
        <f t="shared" si="89"/>
        <v>711011.65416449786</v>
      </c>
      <c r="C380" s="184">
        <f>-Industrial!$E$93/12</f>
        <v>6158.6573115044275</v>
      </c>
      <c r="D380" s="183">
        <f>Industrial!$E$91/12*B379</f>
        <v>2382.6256195216024</v>
      </c>
      <c r="E380" s="185">
        <f t="shared" si="90"/>
        <v>3776.0316919828251</v>
      </c>
      <c r="F380" s="72">
        <f t="shared" si="95"/>
        <v>214</v>
      </c>
      <c r="G380" s="180">
        <f t="shared" si="91"/>
        <v>1172558.84650317</v>
      </c>
      <c r="H380" s="186">
        <f>-Industrial!$E$98/12</f>
        <v>10736.432460242781</v>
      </c>
      <c r="I380" s="149">
        <f>Industrial!$E$96/12*G379</f>
        <v>4909.9389168606331</v>
      </c>
      <c r="J380" s="187">
        <f t="shared" si="92"/>
        <v>5826.4935433821474</v>
      </c>
      <c r="K380" s="72">
        <f t="shared" si="96"/>
        <v>214</v>
      </c>
      <c r="L380" s="180">
        <f t="shared" si="93"/>
        <v>1883570.5006676679</v>
      </c>
      <c r="M380" s="181">
        <f t="shared" si="93"/>
        <v>16895.089771747207</v>
      </c>
      <c r="N380" s="180">
        <f t="shared" si="93"/>
        <v>7292.564536382235</v>
      </c>
      <c r="O380" s="132">
        <f t="shared" si="88"/>
        <v>9602.5252353649721</v>
      </c>
    </row>
    <row r="381" spans="1:15" x14ac:dyDescent="0.25">
      <c r="A381" s="72">
        <f t="shared" si="94"/>
        <v>215</v>
      </c>
      <c r="B381" s="183">
        <f t="shared" si="89"/>
        <v>707223.03570020839</v>
      </c>
      <c r="C381" s="184">
        <f>-Industrial!$E$93/12</f>
        <v>6158.6573115044275</v>
      </c>
      <c r="D381" s="183">
        <f>Industrial!$E$91/12*B380</f>
        <v>2370.038847214993</v>
      </c>
      <c r="E381" s="185">
        <f t="shared" si="90"/>
        <v>3788.6184642894345</v>
      </c>
      <c r="F381" s="72">
        <f t="shared" si="95"/>
        <v>215</v>
      </c>
      <c r="G381" s="180">
        <f t="shared" si="91"/>
        <v>1166708.075903357</v>
      </c>
      <c r="H381" s="186">
        <f>-Industrial!$E$98/12</f>
        <v>10736.432460242781</v>
      </c>
      <c r="I381" s="149">
        <f>Industrial!$E$96/12*G380</f>
        <v>4885.6618604298747</v>
      </c>
      <c r="J381" s="187">
        <f t="shared" si="92"/>
        <v>5850.7705998129059</v>
      </c>
      <c r="K381" s="72">
        <f t="shared" si="96"/>
        <v>215</v>
      </c>
      <c r="L381" s="180">
        <f t="shared" si="93"/>
        <v>1873931.1116035655</v>
      </c>
      <c r="M381" s="181">
        <f t="shared" si="93"/>
        <v>16895.089771747207</v>
      </c>
      <c r="N381" s="180">
        <f t="shared" si="93"/>
        <v>7255.7007076448681</v>
      </c>
      <c r="O381" s="132">
        <f t="shared" si="88"/>
        <v>9639.3890641023409</v>
      </c>
    </row>
    <row r="382" spans="1:15" x14ac:dyDescent="0.25">
      <c r="A382" s="72">
        <f t="shared" si="94"/>
        <v>216</v>
      </c>
      <c r="B382" s="183">
        <f t="shared" si="89"/>
        <v>703421.78850770462</v>
      </c>
      <c r="C382" s="184">
        <f>-Industrial!$E$93/12</f>
        <v>6158.6573115044275</v>
      </c>
      <c r="D382" s="183">
        <f>Industrial!$E$91/12*B381</f>
        <v>2357.410119000695</v>
      </c>
      <c r="E382" s="185">
        <f t="shared" si="90"/>
        <v>3801.2471925037325</v>
      </c>
      <c r="F382" s="72">
        <f t="shared" si="95"/>
        <v>216</v>
      </c>
      <c r="G382" s="180">
        <f t="shared" si="91"/>
        <v>1160832.9270927114</v>
      </c>
      <c r="H382" s="186">
        <f>-Industrial!$E$98/12</f>
        <v>10736.432460242781</v>
      </c>
      <c r="I382" s="149">
        <f>Industrial!$E$96/12*G381</f>
        <v>4861.2836495973206</v>
      </c>
      <c r="J382" s="187">
        <f t="shared" si="92"/>
        <v>5875.1488106454599</v>
      </c>
      <c r="K382" s="72">
        <f t="shared" si="96"/>
        <v>216</v>
      </c>
      <c r="L382" s="180">
        <f t="shared" si="93"/>
        <v>1864254.7156004161</v>
      </c>
      <c r="M382" s="181">
        <f t="shared" si="93"/>
        <v>16895.089771747207</v>
      </c>
      <c r="N382" s="180">
        <f t="shared" si="93"/>
        <v>7218.6937685980156</v>
      </c>
      <c r="O382" s="132">
        <f t="shared" si="88"/>
        <v>9676.3960031491915</v>
      </c>
    </row>
    <row r="383" spans="1:15" x14ac:dyDescent="0.25">
      <c r="A383" s="72">
        <f t="shared" si="94"/>
        <v>217</v>
      </c>
      <c r="B383" s="183">
        <f t="shared" si="89"/>
        <v>699607.87049122585</v>
      </c>
      <c r="C383" s="184">
        <f>-Industrial!$E$93/12</f>
        <v>6158.6573115044275</v>
      </c>
      <c r="D383" s="183">
        <f>Industrial!$E$91/12*B382</f>
        <v>2344.7392950256822</v>
      </c>
      <c r="E383" s="185">
        <f t="shared" si="90"/>
        <v>3813.9180164787454</v>
      </c>
      <c r="F383" s="72">
        <f t="shared" si="95"/>
        <v>217</v>
      </c>
      <c r="G383" s="180">
        <f t="shared" si="91"/>
        <v>1154933.2984953551</v>
      </c>
      <c r="H383" s="186">
        <f>-Industrial!$E$98/12</f>
        <v>10736.432460242781</v>
      </c>
      <c r="I383" s="149">
        <f>Industrial!$E$96/12*G382</f>
        <v>4836.8038628862978</v>
      </c>
      <c r="J383" s="187">
        <f t="shared" si="92"/>
        <v>5899.6285973564827</v>
      </c>
      <c r="K383" s="72">
        <f t="shared" si="96"/>
        <v>217</v>
      </c>
      <c r="L383" s="180">
        <f t="shared" si="93"/>
        <v>1854541.1689865808</v>
      </c>
      <c r="M383" s="181">
        <f t="shared" si="93"/>
        <v>16895.089771747207</v>
      </c>
      <c r="N383" s="180">
        <f t="shared" si="93"/>
        <v>7181.5431579119795</v>
      </c>
      <c r="O383" s="132">
        <f t="shared" si="88"/>
        <v>9713.5466138352276</v>
      </c>
    </row>
    <row r="384" spans="1:15" x14ac:dyDescent="0.25">
      <c r="A384" s="72">
        <f t="shared" si="94"/>
        <v>218</v>
      </c>
      <c r="B384" s="183">
        <f t="shared" si="89"/>
        <v>695781.23941469216</v>
      </c>
      <c r="C384" s="184">
        <f>-Industrial!$E$93/12</f>
        <v>6158.6573115044275</v>
      </c>
      <c r="D384" s="183">
        <f>Industrial!$E$91/12*B383</f>
        <v>2332.0262349707532</v>
      </c>
      <c r="E384" s="185">
        <f t="shared" si="90"/>
        <v>3826.6310765336743</v>
      </c>
      <c r="F384" s="72">
        <f t="shared" si="95"/>
        <v>218</v>
      </c>
      <c r="G384" s="180">
        <f t="shared" si="91"/>
        <v>1149009.0881121762</v>
      </c>
      <c r="H384" s="186">
        <f>-Industrial!$E$98/12</f>
        <v>10736.432460242781</v>
      </c>
      <c r="I384" s="149">
        <f>Industrial!$E$96/12*G383</f>
        <v>4812.2220770639797</v>
      </c>
      <c r="J384" s="187">
        <f t="shared" si="92"/>
        <v>5924.2103831788008</v>
      </c>
      <c r="K384" s="72">
        <f t="shared" si="96"/>
        <v>218</v>
      </c>
      <c r="L384" s="180">
        <f t="shared" si="93"/>
        <v>1844790.3275268683</v>
      </c>
      <c r="M384" s="181">
        <f t="shared" si="93"/>
        <v>16895.089771747207</v>
      </c>
      <c r="N384" s="180">
        <f t="shared" si="93"/>
        <v>7144.2483120347333</v>
      </c>
      <c r="O384" s="132">
        <f t="shared" si="88"/>
        <v>9750.8414597124756</v>
      </c>
    </row>
    <row r="385" spans="1:15" x14ac:dyDescent="0.25">
      <c r="A385" s="72">
        <f t="shared" si="94"/>
        <v>219</v>
      </c>
      <c r="B385" s="183">
        <f t="shared" si="89"/>
        <v>691941.85290123674</v>
      </c>
      <c r="C385" s="184">
        <f>-Industrial!$E$93/12</f>
        <v>6158.6573115044275</v>
      </c>
      <c r="D385" s="183">
        <f>Industrial!$E$91/12*B384</f>
        <v>2319.270798048974</v>
      </c>
      <c r="E385" s="185">
        <f t="shared" si="90"/>
        <v>3839.3865134554535</v>
      </c>
      <c r="F385" s="72">
        <f t="shared" si="95"/>
        <v>219</v>
      </c>
      <c r="G385" s="180">
        <f t="shared" si="91"/>
        <v>1143060.1935190675</v>
      </c>
      <c r="H385" s="186">
        <f>-Industrial!$E$98/12</f>
        <v>10736.432460242781</v>
      </c>
      <c r="I385" s="149">
        <f>Industrial!$E$96/12*G384</f>
        <v>4787.5378671340677</v>
      </c>
      <c r="J385" s="187">
        <f t="shared" si="92"/>
        <v>5948.8945931087128</v>
      </c>
      <c r="K385" s="72">
        <f t="shared" si="96"/>
        <v>219</v>
      </c>
      <c r="L385" s="180">
        <f t="shared" si="93"/>
        <v>1835002.0464203041</v>
      </c>
      <c r="M385" s="181">
        <f t="shared" si="93"/>
        <v>16895.089771747207</v>
      </c>
      <c r="N385" s="180">
        <f t="shared" si="93"/>
        <v>7106.8086651830417</v>
      </c>
      <c r="O385" s="132">
        <f t="shared" si="88"/>
        <v>9788.2811065641654</v>
      </c>
    </row>
    <row r="386" spans="1:15" x14ac:dyDescent="0.25">
      <c r="A386" s="72">
        <f t="shared" si="94"/>
        <v>220</v>
      </c>
      <c r="B386" s="183">
        <f t="shared" si="89"/>
        <v>688089.66843273642</v>
      </c>
      <c r="C386" s="184">
        <f>-Industrial!$E$93/12</f>
        <v>6158.6573115044275</v>
      </c>
      <c r="D386" s="183">
        <f>Industrial!$E$91/12*B385</f>
        <v>2306.4728430041228</v>
      </c>
      <c r="E386" s="185">
        <f t="shared" si="90"/>
        <v>3852.1844685003048</v>
      </c>
      <c r="F386" s="72">
        <f t="shared" si="95"/>
        <v>220</v>
      </c>
      <c r="G386" s="180">
        <f t="shared" si="91"/>
        <v>1137086.5118651541</v>
      </c>
      <c r="H386" s="186">
        <f>-Industrial!$E$98/12</f>
        <v>10736.432460242781</v>
      </c>
      <c r="I386" s="149">
        <f>Industrial!$E$96/12*G385</f>
        <v>4762.7508063294481</v>
      </c>
      <c r="J386" s="187">
        <f t="shared" si="92"/>
        <v>5973.6816539133324</v>
      </c>
      <c r="K386" s="72">
        <f t="shared" si="96"/>
        <v>220</v>
      </c>
      <c r="L386" s="180">
        <f t="shared" si="93"/>
        <v>1825176.1802978907</v>
      </c>
      <c r="M386" s="181">
        <f t="shared" si="93"/>
        <v>16895.089771747207</v>
      </c>
      <c r="N386" s="180">
        <f t="shared" si="93"/>
        <v>7069.2236493335713</v>
      </c>
      <c r="O386" s="132">
        <f t="shared" si="88"/>
        <v>9825.8661224136376</v>
      </c>
    </row>
    <row r="387" spans="1:15" x14ac:dyDescent="0.25">
      <c r="A387" s="72">
        <f t="shared" si="94"/>
        <v>221</v>
      </c>
      <c r="B387" s="183">
        <f t="shared" si="89"/>
        <v>684224.64334934112</v>
      </c>
      <c r="C387" s="184">
        <f>-Industrial!$E$93/12</f>
        <v>6158.6573115044275</v>
      </c>
      <c r="D387" s="183">
        <f>Industrial!$E$91/12*B386</f>
        <v>2293.6322281091216</v>
      </c>
      <c r="E387" s="185">
        <f t="shared" si="90"/>
        <v>3865.025083395306</v>
      </c>
      <c r="F387" s="72">
        <f t="shared" si="95"/>
        <v>221</v>
      </c>
      <c r="G387" s="180">
        <f t="shared" si="91"/>
        <v>1131087.9398710162</v>
      </c>
      <c r="H387" s="186">
        <f>-Industrial!$E$98/12</f>
        <v>10736.432460242781</v>
      </c>
      <c r="I387" s="149">
        <f>Industrial!$E$96/12*G386</f>
        <v>4737.8604661048084</v>
      </c>
      <c r="J387" s="187">
        <f t="shared" si="92"/>
        <v>5998.5719941379721</v>
      </c>
      <c r="K387" s="72">
        <f t="shared" si="96"/>
        <v>221</v>
      </c>
      <c r="L387" s="180">
        <f t="shared" si="93"/>
        <v>1815312.5832203573</v>
      </c>
      <c r="M387" s="181">
        <f t="shared" si="93"/>
        <v>16895.089771747207</v>
      </c>
      <c r="N387" s="180">
        <f t="shared" si="93"/>
        <v>7031.49269421393</v>
      </c>
      <c r="O387" s="132">
        <f t="shared" si="88"/>
        <v>9863.5970775332789</v>
      </c>
    </row>
    <row r="388" spans="1:15" x14ac:dyDescent="0.25">
      <c r="A388" s="72">
        <f t="shared" si="94"/>
        <v>222</v>
      </c>
      <c r="B388" s="183">
        <f t="shared" si="89"/>
        <v>680346.73484900116</v>
      </c>
      <c r="C388" s="184">
        <f>-Industrial!$E$93/12</f>
        <v>6158.6573115044275</v>
      </c>
      <c r="D388" s="183">
        <f>Industrial!$E$91/12*B387</f>
        <v>2280.7488111644707</v>
      </c>
      <c r="E388" s="185">
        <f t="shared" si="90"/>
        <v>3877.9085003399568</v>
      </c>
      <c r="F388" s="72">
        <f t="shared" si="95"/>
        <v>222</v>
      </c>
      <c r="G388" s="180">
        <f t="shared" si="91"/>
        <v>1125064.3738269026</v>
      </c>
      <c r="H388" s="186">
        <f>-Industrial!$E$98/12</f>
        <v>10736.432460242781</v>
      </c>
      <c r="I388" s="149">
        <f>Industrial!$E$96/12*G387</f>
        <v>4712.8664161292345</v>
      </c>
      <c r="J388" s="187">
        <f t="shared" si="92"/>
        <v>6023.566044113546</v>
      </c>
      <c r="K388" s="72">
        <f t="shared" si="96"/>
        <v>222</v>
      </c>
      <c r="L388" s="180">
        <f t="shared" si="93"/>
        <v>1805411.1086759036</v>
      </c>
      <c r="M388" s="181">
        <f t="shared" si="93"/>
        <v>16895.089771747207</v>
      </c>
      <c r="N388" s="180">
        <f t="shared" si="93"/>
        <v>6993.6152272937052</v>
      </c>
      <c r="O388" s="132">
        <f t="shared" si="88"/>
        <v>9901.4745444535038</v>
      </c>
    </row>
    <row r="389" spans="1:15" x14ac:dyDescent="0.25">
      <c r="A389" s="72">
        <f t="shared" si="94"/>
        <v>223</v>
      </c>
      <c r="B389" s="183">
        <f t="shared" si="89"/>
        <v>676455.89998699341</v>
      </c>
      <c r="C389" s="184">
        <f>-Industrial!$E$93/12</f>
        <v>6158.6573115044275</v>
      </c>
      <c r="D389" s="183">
        <f>Industrial!$E$91/12*B388</f>
        <v>2267.8224494966707</v>
      </c>
      <c r="E389" s="185">
        <f t="shared" si="90"/>
        <v>3890.8348620077568</v>
      </c>
      <c r="F389" s="72">
        <f t="shared" si="95"/>
        <v>223</v>
      </c>
      <c r="G389" s="180">
        <f t="shared" si="91"/>
        <v>1119015.7095909386</v>
      </c>
      <c r="H389" s="186">
        <f>-Industrial!$E$98/12</f>
        <v>10736.432460242781</v>
      </c>
      <c r="I389" s="149">
        <f>Industrial!$E$96/12*G388</f>
        <v>4687.7682242787605</v>
      </c>
      <c r="J389" s="187">
        <f t="shared" si="92"/>
        <v>6048.66423596402</v>
      </c>
      <c r="K389" s="72">
        <f t="shared" si="96"/>
        <v>223</v>
      </c>
      <c r="L389" s="180">
        <f t="shared" si="93"/>
        <v>1795471.6095779319</v>
      </c>
      <c r="M389" s="181">
        <f t="shared" si="93"/>
        <v>16895.089771747207</v>
      </c>
      <c r="N389" s="180">
        <f t="shared" si="93"/>
        <v>6955.5906737754312</v>
      </c>
      <c r="O389" s="132">
        <f t="shared" si="88"/>
        <v>9939.4990979717768</v>
      </c>
    </row>
    <row r="390" spans="1:15" x14ac:dyDescent="0.25">
      <c r="A390" s="72">
        <f t="shared" si="94"/>
        <v>224</v>
      </c>
      <c r="B390" s="183">
        <f t="shared" si="89"/>
        <v>672552.09567544563</v>
      </c>
      <c r="C390" s="184">
        <f>-Industrial!$E$93/12</f>
        <v>6158.6573115044275</v>
      </c>
      <c r="D390" s="183">
        <f>Industrial!$E$91/12*B389</f>
        <v>2254.8529999566449</v>
      </c>
      <c r="E390" s="185">
        <f t="shared" si="90"/>
        <v>3903.8043115477826</v>
      </c>
      <c r="F390" s="72">
        <f t="shared" si="95"/>
        <v>224</v>
      </c>
      <c r="G390" s="180">
        <f t="shared" si="91"/>
        <v>1112941.8425873248</v>
      </c>
      <c r="H390" s="186">
        <f>-Industrial!$E$98/12</f>
        <v>10736.432460242781</v>
      </c>
      <c r="I390" s="149">
        <f>Industrial!$E$96/12*G389</f>
        <v>4662.5654566289113</v>
      </c>
      <c r="J390" s="187">
        <f t="shared" si="92"/>
        <v>6073.8670036138692</v>
      </c>
      <c r="K390" s="72">
        <f t="shared" si="96"/>
        <v>224</v>
      </c>
      <c r="L390" s="180">
        <f t="shared" si="93"/>
        <v>1785493.9382627704</v>
      </c>
      <c r="M390" s="181">
        <f t="shared" si="93"/>
        <v>16895.089771747207</v>
      </c>
      <c r="N390" s="180">
        <f t="shared" si="93"/>
        <v>6917.4184565855558</v>
      </c>
      <c r="O390" s="132">
        <f t="shared" si="88"/>
        <v>9977.6713151616514</v>
      </c>
    </row>
    <row r="391" spans="1:15" x14ac:dyDescent="0.25">
      <c r="A391" s="72">
        <f t="shared" si="94"/>
        <v>225</v>
      </c>
      <c r="B391" s="183">
        <f t="shared" si="89"/>
        <v>668635.27868285938</v>
      </c>
      <c r="C391" s="184">
        <f>-Industrial!$E$93/12</f>
        <v>6158.6573115044275</v>
      </c>
      <c r="D391" s="183">
        <f>Industrial!$E$91/12*B390</f>
        <v>2241.8403189181522</v>
      </c>
      <c r="E391" s="185">
        <f t="shared" si="90"/>
        <v>3916.8169925862753</v>
      </c>
      <c r="F391" s="72">
        <f t="shared" si="95"/>
        <v>225</v>
      </c>
      <c r="G391" s="180">
        <f t="shared" si="91"/>
        <v>1106842.6678045292</v>
      </c>
      <c r="H391" s="186">
        <f>-Industrial!$E$98/12</f>
        <v>10736.432460242781</v>
      </c>
      <c r="I391" s="149">
        <f>Industrial!$E$96/12*G390</f>
        <v>4637.2576774471863</v>
      </c>
      <c r="J391" s="187">
        <f t="shared" si="92"/>
        <v>6099.1747827955942</v>
      </c>
      <c r="K391" s="72">
        <f t="shared" si="96"/>
        <v>225</v>
      </c>
      <c r="L391" s="180">
        <f t="shared" si="93"/>
        <v>1775477.9464873886</v>
      </c>
      <c r="M391" s="181">
        <f t="shared" si="93"/>
        <v>16895.089771747207</v>
      </c>
      <c r="N391" s="180">
        <f t="shared" si="93"/>
        <v>6879.097996365339</v>
      </c>
      <c r="O391" s="132">
        <f t="shared" si="88"/>
        <v>10015.99177538187</v>
      </c>
    </row>
    <row r="392" spans="1:15" x14ac:dyDescent="0.25">
      <c r="A392" s="72">
        <f t="shared" si="94"/>
        <v>226</v>
      </c>
      <c r="B392" s="183">
        <f t="shared" si="89"/>
        <v>664705.40563363116</v>
      </c>
      <c r="C392" s="184">
        <f>-Industrial!$E$93/12</f>
        <v>6158.6573115044275</v>
      </c>
      <c r="D392" s="183">
        <f>Industrial!$E$91/12*B391</f>
        <v>2228.7842622761982</v>
      </c>
      <c r="E392" s="185">
        <f t="shared" si="90"/>
        <v>3929.8730492282293</v>
      </c>
      <c r="F392" s="72">
        <f t="shared" si="95"/>
        <v>226</v>
      </c>
      <c r="G392" s="180">
        <f t="shared" si="91"/>
        <v>1100718.0797934718</v>
      </c>
      <c r="H392" s="186">
        <f>-Industrial!$E$98/12</f>
        <v>10736.432460242781</v>
      </c>
      <c r="I392" s="149">
        <f>Industrial!$E$96/12*G391</f>
        <v>4611.844449185538</v>
      </c>
      <c r="J392" s="187">
        <f t="shared" si="92"/>
        <v>6124.5880110572425</v>
      </c>
      <c r="K392" s="72">
        <f t="shared" si="96"/>
        <v>226</v>
      </c>
      <c r="L392" s="180">
        <f t="shared" si="93"/>
        <v>1765423.485427103</v>
      </c>
      <c r="M392" s="181">
        <f t="shared" si="93"/>
        <v>16895.089771747207</v>
      </c>
      <c r="N392" s="180">
        <f t="shared" si="93"/>
        <v>6840.6287114617362</v>
      </c>
      <c r="O392" s="132">
        <f t="shared" si="88"/>
        <v>10054.461060285472</v>
      </c>
    </row>
    <row r="393" spans="1:15" x14ac:dyDescent="0.25">
      <c r="A393" s="72">
        <f t="shared" si="94"/>
        <v>227</v>
      </c>
      <c r="B393" s="183">
        <f t="shared" si="89"/>
        <v>660762.4330075722</v>
      </c>
      <c r="C393" s="184">
        <f>-Industrial!$E$93/12</f>
        <v>6158.6573115044275</v>
      </c>
      <c r="D393" s="183">
        <f>Industrial!$E$91/12*B392</f>
        <v>2215.6846854454375</v>
      </c>
      <c r="E393" s="185">
        <f t="shared" si="90"/>
        <v>3942.97262605899</v>
      </c>
      <c r="F393" s="72">
        <f t="shared" si="95"/>
        <v>227</v>
      </c>
      <c r="G393" s="180">
        <f t="shared" si="91"/>
        <v>1094567.9726657018</v>
      </c>
      <c r="H393" s="186">
        <f>-Industrial!$E$98/12</f>
        <v>10736.432460242781</v>
      </c>
      <c r="I393" s="149">
        <f>Industrial!$E$96/12*G392</f>
        <v>4586.3253324727993</v>
      </c>
      <c r="J393" s="187">
        <f t="shared" si="92"/>
        <v>6150.1071277699812</v>
      </c>
      <c r="K393" s="72">
        <f t="shared" si="96"/>
        <v>227</v>
      </c>
      <c r="L393" s="180">
        <f t="shared" si="93"/>
        <v>1755330.4056732738</v>
      </c>
      <c r="M393" s="181">
        <f t="shared" si="93"/>
        <v>16895.089771747207</v>
      </c>
      <c r="N393" s="180">
        <f t="shared" si="93"/>
        <v>6802.0100179182373</v>
      </c>
      <c r="O393" s="132">
        <f t="shared" si="88"/>
        <v>10093.079753828972</v>
      </c>
    </row>
    <row r="394" spans="1:15" x14ac:dyDescent="0.25">
      <c r="A394" s="72">
        <f t="shared" si="94"/>
        <v>228</v>
      </c>
      <c r="B394" s="183">
        <f t="shared" si="89"/>
        <v>656806.31713942636</v>
      </c>
      <c r="C394" s="184">
        <f>-Industrial!$E$93/12</f>
        <v>6158.6573115044275</v>
      </c>
      <c r="D394" s="183">
        <f>Industrial!$E$91/12*B393</f>
        <v>2202.5414433585743</v>
      </c>
      <c r="E394" s="185">
        <f t="shared" si="90"/>
        <v>3956.1158681458533</v>
      </c>
      <c r="F394" s="72">
        <f t="shared" si="95"/>
        <v>228</v>
      </c>
      <c r="G394" s="180">
        <f t="shared" si="91"/>
        <v>1088392.240091566</v>
      </c>
      <c r="H394" s="186">
        <f>-Industrial!$E$98/12</f>
        <v>10736.432460242781</v>
      </c>
      <c r="I394" s="149">
        <f>Industrial!$E$96/12*G393</f>
        <v>4560.6998861070906</v>
      </c>
      <c r="J394" s="187">
        <f t="shared" si="92"/>
        <v>6175.7325741356899</v>
      </c>
      <c r="K394" s="72">
        <f t="shared" si="96"/>
        <v>228</v>
      </c>
      <c r="L394" s="180">
        <f t="shared" si="93"/>
        <v>1745198.5572309922</v>
      </c>
      <c r="M394" s="181">
        <f t="shared" si="93"/>
        <v>16895.089771747207</v>
      </c>
      <c r="N394" s="180">
        <f t="shared" si="93"/>
        <v>6763.2413294656653</v>
      </c>
      <c r="O394" s="132">
        <f t="shared" si="88"/>
        <v>10131.848442281544</v>
      </c>
    </row>
    <row r="395" spans="1:15" x14ac:dyDescent="0.25">
      <c r="A395" s="72">
        <f t="shared" si="94"/>
        <v>229</v>
      </c>
      <c r="B395" s="183">
        <f t="shared" si="89"/>
        <v>652837.01421838673</v>
      </c>
      <c r="C395" s="184">
        <f>-Industrial!$E$93/12</f>
        <v>6158.6573115044275</v>
      </c>
      <c r="D395" s="183">
        <f>Industrial!$E$91/12*B394</f>
        <v>2189.3543904647545</v>
      </c>
      <c r="E395" s="185">
        <f t="shared" si="90"/>
        <v>3969.302921039673</v>
      </c>
      <c r="F395" s="72">
        <f t="shared" si="95"/>
        <v>229</v>
      </c>
      <c r="G395" s="180">
        <f t="shared" si="91"/>
        <v>1082190.7752983714</v>
      </c>
      <c r="H395" s="186">
        <f>-Industrial!$E$98/12</f>
        <v>10736.432460242781</v>
      </c>
      <c r="I395" s="149">
        <f>Industrial!$E$96/12*G394</f>
        <v>4534.9676670481913</v>
      </c>
      <c r="J395" s="187">
        <f t="shared" si="92"/>
        <v>6201.4647931945892</v>
      </c>
      <c r="K395" s="72">
        <f t="shared" si="96"/>
        <v>229</v>
      </c>
      <c r="L395" s="180">
        <f t="shared" si="93"/>
        <v>1735027.7895167582</v>
      </c>
      <c r="M395" s="181">
        <f t="shared" si="93"/>
        <v>16895.089771747207</v>
      </c>
      <c r="N395" s="180">
        <f t="shared" si="93"/>
        <v>6724.3220575129453</v>
      </c>
      <c r="O395" s="132">
        <f t="shared" si="88"/>
        <v>10170.767714234262</v>
      </c>
    </row>
    <row r="396" spans="1:15" x14ac:dyDescent="0.25">
      <c r="A396" s="72">
        <f t="shared" si="94"/>
        <v>230</v>
      </c>
      <c r="B396" s="183">
        <f t="shared" si="89"/>
        <v>648854.4802876102</v>
      </c>
      <c r="C396" s="184">
        <f>-Industrial!$E$93/12</f>
        <v>6158.6573115044275</v>
      </c>
      <c r="D396" s="183">
        <f>Industrial!$E$91/12*B395</f>
        <v>2176.1233807279559</v>
      </c>
      <c r="E396" s="185">
        <f t="shared" si="90"/>
        <v>3982.5339307764716</v>
      </c>
      <c r="F396" s="72">
        <f t="shared" si="95"/>
        <v>230</v>
      </c>
      <c r="G396" s="180">
        <f t="shared" si="91"/>
        <v>1075963.4710685385</v>
      </c>
      <c r="H396" s="186">
        <f>-Industrial!$E$98/12</f>
        <v>10736.432460242781</v>
      </c>
      <c r="I396" s="149">
        <f>Industrial!$E$96/12*G395</f>
        <v>4509.1282304098813</v>
      </c>
      <c r="J396" s="187">
        <f t="shared" si="92"/>
        <v>6227.3042298328992</v>
      </c>
      <c r="K396" s="72">
        <f t="shared" si="96"/>
        <v>230</v>
      </c>
      <c r="L396" s="180">
        <f t="shared" si="93"/>
        <v>1724817.9513561488</v>
      </c>
      <c r="M396" s="181">
        <f t="shared" si="93"/>
        <v>16895.089771747207</v>
      </c>
      <c r="N396" s="180">
        <f t="shared" si="93"/>
        <v>6685.2516111378372</v>
      </c>
      <c r="O396" s="132">
        <f t="shared" si="88"/>
        <v>10209.838160609372</v>
      </c>
    </row>
    <row r="397" spans="1:15" x14ac:dyDescent="0.25">
      <c r="A397" s="72">
        <f t="shared" si="94"/>
        <v>231</v>
      </c>
      <c r="B397" s="183">
        <f t="shared" si="89"/>
        <v>644858.67124373117</v>
      </c>
      <c r="C397" s="184">
        <f>-Industrial!$E$93/12</f>
        <v>6158.6573115044275</v>
      </c>
      <c r="D397" s="183">
        <f>Industrial!$E$91/12*B396</f>
        <v>2162.8482676253675</v>
      </c>
      <c r="E397" s="185">
        <f t="shared" si="90"/>
        <v>3995.80904387906</v>
      </c>
      <c r="F397" s="72">
        <f t="shared" si="95"/>
        <v>231</v>
      </c>
      <c r="G397" s="180">
        <f t="shared" si="91"/>
        <v>1069710.2197377479</v>
      </c>
      <c r="H397" s="186">
        <f>-Industrial!$E$98/12</f>
        <v>10736.432460242781</v>
      </c>
      <c r="I397" s="149">
        <f>Industrial!$E$96/12*G396</f>
        <v>4483.181129452244</v>
      </c>
      <c r="J397" s="187">
        <f t="shared" si="92"/>
        <v>6253.2513307905365</v>
      </c>
      <c r="K397" s="72">
        <f t="shared" si="96"/>
        <v>231</v>
      </c>
      <c r="L397" s="180">
        <f t="shared" si="93"/>
        <v>1714568.8909814791</v>
      </c>
      <c r="M397" s="181">
        <f t="shared" si="93"/>
        <v>16895.089771747207</v>
      </c>
      <c r="N397" s="180">
        <f t="shared" si="93"/>
        <v>6646.0293970776111</v>
      </c>
      <c r="O397" s="132">
        <f t="shared" si="88"/>
        <v>10249.060374669596</v>
      </c>
    </row>
    <row r="398" spans="1:15" x14ac:dyDescent="0.25">
      <c r="A398" s="72">
        <f t="shared" si="94"/>
        <v>232</v>
      </c>
      <c r="B398" s="183">
        <f t="shared" si="89"/>
        <v>640849.54283637251</v>
      </c>
      <c r="C398" s="184">
        <f>-Industrial!$E$93/12</f>
        <v>6158.6573115044275</v>
      </c>
      <c r="D398" s="183">
        <f>Industrial!$E$91/12*B397</f>
        <v>2149.5289041457709</v>
      </c>
      <c r="E398" s="185">
        <f t="shared" si="90"/>
        <v>4009.1284073586567</v>
      </c>
      <c r="F398" s="72">
        <f t="shared" si="95"/>
        <v>232</v>
      </c>
      <c r="G398" s="180">
        <f t="shared" si="91"/>
        <v>1063430.9131930792</v>
      </c>
      <c r="H398" s="186">
        <f>-Industrial!$E$98/12</f>
        <v>10736.432460242781</v>
      </c>
      <c r="I398" s="149">
        <f>Industrial!$E$96/12*G397</f>
        <v>4457.1259155739499</v>
      </c>
      <c r="J398" s="187">
        <f t="shared" si="92"/>
        <v>6279.3065446688306</v>
      </c>
      <c r="K398" s="72">
        <f t="shared" si="96"/>
        <v>232</v>
      </c>
      <c r="L398" s="180">
        <f t="shared" si="93"/>
        <v>1704280.4560294517</v>
      </c>
      <c r="M398" s="181">
        <f t="shared" si="93"/>
        <v>16895.089771747207</v>
      </c>
      <c r="N398" s="180">
        <f t="shared" si="93"/>
        <v>6606.6548197197208</v>
      </c>
      <c r="O398" s="132">
        <f t="shared" si="88"/>
        <v>10288.434952027488</v>
      </c>
    </row>
    <row r="399" spans="1:15" x14ac:dyDescent="0.25">
      <c r="A399" s="72">
        <f t="shared" si="94"/>
        <v>233</v>
      </c>
      <c r="B399" s="183">
        <f t="shared" si="89"/>
        <v>636827.050667656</v>
      </c>
      <c r="C399" s="184">
        <f>-Industrial!$E$93/12</f>
        <v>6158.6573115044275</v>
      </c>
      <c r="D399" s="183">
        <f>Industrial!$E$91/12*B398</f>
        <v>2136.1651427879083</v>
      </c>
      <c r="E399" s="185">
        <f t="shared" si="90"/>
        <v>4022.4921687165192</v>
      </c>
      <c r="F399" s="72">
        <f t="shared" si="95"/>
        <v>233</v>
      </c>
      <c r="G399" s="180">
        <f t="shared" si="91"/>
        <v>1057125.4428711408</v>
      </c>
      <c r="H399" s="186">
        <f>-Industrial!$E$98/12</f>
        <v>10736.432460242781</v>
      </c>
      <c r="I399" s="149">
        <f>Industrial!$E$96/12*G398</f>
        <v>4430.9621383044969</v>
      </c>
      <c r="J399" s="187">
        <f t="shared" si="92"/>
        <v>6305.4703219382836</v>
      </c>
      <c r="K399" s="72">
        <f t="shared" si="96"/>
        <v>233</v>
      </c>
      <c r="L399" s="180">
        <f t="shared" si="93"/>
        <v>1693952.4935387969</v>
      </c>
      <c r="M399" s="181">
        <f t="shared" si="93"/>
        <v>16895.089771747207</v>
      </c>
      <c r="N399" s="180">
        <f t="shared" si="93"/>
        <v>6567.1272810924056</v>
      </c>
      <c r="O399" s="132">
        <f t="shared" si="88"/>
        <v>10327.962490654803</v>
      </c>
    </row>
    <row r="400" spans="1:15" x14ac:dyDescent="0.25">
      <c r="A400" s="72">
        <f t="shared" si="94"/>
        <v>234</v>
      </c>
      <c r="B400" s="183">
        <f t="shared" si="89"/>
        <v>632791.15019171045</v>
      </c>
      <c r="C400" s="184">
        <f>-Industrial!$E$93/12</f>
        <v>6158.6573115044275</v>
      </c>
      <c r="D400" s="183">
        <f>Industrial!$E$91/12*B399</f>
        <v>2122.7568355588533</v>
      </c>
      <c r="E400" s="185">
        <f t="shared" si="90"/>
        <v>4035.9004759455743</v>
      </c>
      <c r="F400" s="72">
        <f t="shared" si="95"/>
        <v>234</v>
      </c>
      <c r="G400" s="180">
        <f t="shared" si="91"/>
        <v>1050793.6997561944</v>
      </c>
      <c r="H400" s="186">
        <f>-Industrial!$E$98/12</f>
        <v>10736.432460242781</v>
      </c>
      <c r="I400" s="149">
        <f>Industrial!$E$96/12*G399</f>
        <v>4404.6893452964196</v>
      </c>
      <c r="J400" s="187">
        <f t="shared" si="92"/>
        <v>6331.7431149463609</v>
      </c>
      <c r="K400" s="72">
        <f t="shared" si="96"/>
        <v>234</v>
      </c>
      <c r="L400" s="180">
        <f t="shared" si="93"/>
        <v>1683584.8499479047</v>
      </c>
      <c r="M400" s="181">
        <f t="shared" si="93"/>
        <v>16895.089771747207</v>
      </c>
      <c r="N400" s="180">
        <f t="shared" si="93"/>
        <v>6527.4461808552733</v>
      </c>
      <c r="O400" s="132">
        <f t="shared" si="88"/>
        <v>10367.643590891936</v>
      </c>
    </row>
    <row r="401" spans="1:15" x14ac:dyDescent="0.25">
      <c r="A401" s="72">
        <f t="shared" si="94"/>
        <v>235</v>
      </c>
      <c r="B401" s="183">
        <f t="shared" si="89"/>
        <v>628741.7967141784</v>
      </c>
      <c r="C401" s="184">
        <f>-Industrial!$E$93/12</f>
        <v>6158.6573115044275</v>
      </c>
      <c r="D401" s="183">
        <f>Industrial!$E$91/12*B400</f>
        <v>2109.3038339723685</v>
      </c>
      <c r="E401" s="185">
        <f t="shared" si="90"/>
        <v>4049.3534775320591</v>
      </c>
      <c r="F401" s="72">
        <f t="shared" si="95"/>
        <v>235</v>
      </c>
      <c r="G401" s="180">
        <f t="shared" si="91"/>
        <v>1044435.574378269</v>
      </c>
      <c r="H401" s="186">
        <f>-Industrial!$E$98/12</f>
        <v>10736.432460242781</v>
      </c>
      <c r="I401" s="149">
        <f>Industrial!$E$96/12*G400</f>
        <v>4378.3070823174767</v>
      </c>
      <c r="J401" s="187">
        <f t="shared" si="92"/>
        <v>6358.1253779253038</v>
      </c>
      <c r="K401" s="72">
        <f t="shared" si="96"/>
        <v>235</v>
      </c>
      <c r="L401" s="180">
        <f t="shared" si="93"/>
        <v>1673177.3710924475</v>
      </c>
      <c r="M401" s="181">
        <f t="shared" si="93"/>
        <v>16895.089771747207</v>
      </c>
      <c r="N401" s="180">
        <f t="shared" si="93"/>
        <v>6487.6109162898447</v>
      </c>
      <c r="O401" s="132">
        <f t="shared" si="88"/>
        <v>10407.478855457362</v>
      </c>
    </row>
    <row r="402" spans="1:15" x14ac:dyDescent="0.25">
      <c r="A402" s="72">
        <f t="shared" si="94"/>
        <v>236</v>
      </c>
      <c r="B402" s="183">
        <f t="shared" si="89"/>
        <v>624678.94539172121</v>
      </c>
      <c r="C402" s="184">
        <f>-Industrial!$E$93/12</f>
        <v>6158.6573115044275</v>
      </c>
      <c r="D402" s="183">
        <f>Industrial!$E$91/12*B401</f>
        <v>2095.8059890472614</v>
      </c>
      <c r="E402" s="185">
        <f t="shared" si="90"/>
        <v>4062.8513224571661</v>
      </c>
      <c r="F402" s="72">
        <f t="shared" si="95"/>
        <v>236</v>
      </c>
      <c r="G402" s="180">
        <f t="shared" si="91"/>
        <v>1038050.956811269</v>
      </c>
      <c r="H402" s="186">
        <f>-Industrial!$E$98/12</f>
        <v>10736.432460242781</v>
      </c>
      <c r="I402" s="149">
        <f>Industrial!$E$96/12*G401</f>
        <v>4351.8148932427875</v>
      </c>
      <c r="J402" s="187">
        <f t="shared" si="92"/>
        <v>6384.617566999993</v>
      </c>
      <c r="K402" s="72">
        <f t="shared" si="96"/>
        <v>236</v>
      </c>
      <c r="L402" s="180">
        <f t="shared" si="93"/>
        <v>1662729.9022029904</v>
      </c>
      <c r="M402" s="181">
        <f t="shared" si="93"/>
        <v>16895.089771747207</v>
      </c>
      <c r="N402" s="180">
        <f t="shared" si="93"/>
        <v>6447.6208822900489</v>
      </c>
      <c r="O402" s="132">
        <f t="shared" si="88"/>
        <v>10447.468889457159</v>
      </c>
    </row>
    <row r="403" spans="1:15" x14ac:dyDescent="0.25">
      <c r="A403" s="72">
        <f t="shared" si="94"/>
        <v>237</v>
      </c>
      <c r="B403" s="183">
        <f t="shared" si="89"/>
        <v>620602.55123152246</v>
      </c>
      <c r="C403" s="184">
        <f>-Industrial!$E$93/12</f>
        <v>6158.6573115044275</v>
      </c>
      <c r="D403" s="183">
        <f>Industrial!$E$91/12*B402</f>
        <v>2082.2631513057377</v>
      </c>
      <c r="E403" s="185">
        <f t="shared" si="90"/>
        <v>4076.3941601986899</v>
      </c>
      <c r="F403" s="72">
        <f t="shared" si="95"/>
        <v>237</v>
      </c>
      <c r="G403" s="180">
        <f t="shared" si="91"/>
        <v>1031639.7366710732</v>
      </c>
      <c r="H403" s="186">
        <f>-Industrial!$E$98/12</f>
        <v>10736.432460242781</v>
      </c>
      <c r="I403" s="149">
        <f>Industrial!$E$96/12*G402</f>
        <v>4325.2123200469541</v>
      </c>
      <c r="J403" s="187">
        <f t="shared" si="92"/>
        <v>6411.2201401958264</v>
      </c>
      <c r="K403" s="72">
        <f t="shared" si="96"/>
        <v>237</v>
      </c>
      <c r="L403" s="180">
        <f t="shared" si="93"/>
        <v>1652242.2879025957</v>
      </c>
      <c r="M403" s="181">
        <f t="shared" si="93"/>
        <v>16895.089771747207</v>
      </c>
      <c r="N403" s="180">
        <f t="shared" si="93"/>
        <v>6407.4754713526918</v>
      </c>
      <c r="O403" s="132">
        <f t="shared" si="88"/>
        <v>10487.614300394516</v>
      </c>
    </row>
    <row r="404" spans="1:15" x14ac:dyDescent="0.25">
      <c r="A404" s="72">
        <f t="shared" si="94"/>
        <v>238</v>
      </c>
      <c r="B404" s="183">
        <f t="shared" si="89"/>
        <v>616512.56909078977</v>
      </c>
      <c r="C404" s="184">
        <f>-Industrial!$E$93/12</f>
        <v>6158.6573115044275</v>
      </c>
      <c r="D404" s="183">
        <f>Industrial!$E$91/12*B403</f>
        <v>2068.6751707717417</v>
      </c>
      <c r="E404" s="185">
        <f t="shared" si="90"/>
        <v>4089.9821407326858</v>
      </c>
      <c r="F404" s="72">
        <f t="shared" si="95"/>
        <v>238</v>
      </c>
      <c r="G404" s="180">
        <f t="shared" si="91"/>
        <v>1025201.8031136265</v>
      </c>
      <c r="H404" s="186">
        <f>-Industrial!$E$98/12</f>
        <v>10736.432460242781</v>
      </c>
      <c r="I404" s="149">
        <f>Industrial!$E$96/12*G403</f>
        <v>4298.4989027961383</v>
      </c>
      <c r="J404" s="187">
        <f t="shared" si="92"/>
        <v>6437.9335574466422</v>
      </c>
      <c r="K404" s="72">
        <f t="shared" si="96"/>
        <v>238</v>
      </c>
      <c r="L404" s="180">
        <f t="shared" si="93"/>
        <v>1641714.3722044164</v>
      </c>
      <c r="M404" s="181">
        <f t="shared" si="93"/>
        <v>16895.089771747207</v>
      </c>
      <c r="N404" s="180">
        <f t="shared" si="93"/>
        <v>6367.1740735678795</v>
      </c>
      <c r="O404" s="132">
        <f t="shared" si="88"/>
        <v>10527.915698179328</v>
      </c>
    </row>
    <row r="405" spans="1:15" x14ac:dyDescent="0.25">
      <c r="A405" s="72">
        <f t="shared" si="94"/>
        <v>239</v>
      </c>
      <c r="B405" s="183">
        <f t="shared" si="89"/>
        <v>612408.9536762546</v>
      </c>
      <c r="C405" s="184">
        <f>-Industrial!$E$93/12</f>
        <v>6158.6573115044275</v>
      </c>
      <c r="D405" s="183">
        <f>Industrial!$E$91/12*B404</f>
        <v>2055.0418969692992</v>
      </c>
      <c r="E405" s="185">
        <f t="shared" si="90"/>
        <v>4103.6154145351284</v>
      </c>
      <c r="F405" s="72">
        <f t="shared" si="95"/>
        <v>239</v>
      </c>
      <c r="G405" s="180">
        <f t="shared" si="91"/>
        <v>1018737.0448330239</v>
      </c>
      <c r="H405" s="186">
        <f>-Industrial!$E$98/12</f>
        <v>10736.432460242781</v>
      </c>
      <c r="I405" s="149">
        <f>Industrial!$E$96/12*G404</f>
        <v>4271.6741796401102</v>
      </c>
      <c r="J405" s="187">
        <f t="shared" si="92"/>
        <v>6464.7582806026703</v>
      </c>
      <c r="K405" s="72">
        <f t="shared" si="96"/>
        <v>239</v>
      </c>
      <c r="L405" s="180">
        <f t="shared" si="93"/>
        <v>1631145.9985092785</v>
      </c>
      <c r="M405" s="181">
        <f t="shared" si="93"/>
        <v>16895.089771747207</v>
      </c>
      <c r="N405" s="180">
        <f t="shared" si="93"/>
        <v>6326.7160766094094</v>
      </c>
      <c r="O405" s="132">
        <f t="shared" si="88"/>
        <v>10568.373695137798</v>
      </c>
    </row>
    <row r="406" spans="1:15" x14ac:dyDescent="0.25">
      <c r="A406" s="72">
        <f t="shared" si="94"/>
        <v>240</v>
      </c>
      <c r="B406" s="183">
        <f t="shared" si="89"/>
        <v>608291.65954367106</v>
      </c>
      <c r="C406" s="184">
        <f>-Industrial!$E$93/12</f>
        <v>6158.6573115044275</v>
      </c>
      <c r="D406" s="183">
        <f>Industrial!$E$91/12*B405</f>
        <v>2041.3631789208489</v>
      </c>
      <c r="E406" s="185">
        <f t="shared" si="90"/>
        <v>4117.2941325835782</v>
      </c>
      <c r="F406" s="72">
        <f t="shared" si="95"/>
        <v>240</v>
      </c>
      <c r="G406" s="180">
        <f t="shared" si="91"/>
        <v>1012245.3500595854</v>
      </c>
      <c r="H406" s="186">
        <f>-Industrial!$E$98/12</f>
        <v>10736.432460242781</v>
      </c>
      <c r="I406" s="149">
        <f>Industrial!$E$96/12*G405</f>
        <v>4244.7376868042666</v>
      </c>
      <c r="J406" s="187">
        <f t="shared" si="92"/>
        <v>6491.6947734385139</v>
      </c>
      <c r="K406" s="72">
        <f t="shared" si="96"/>
        <v>240</v>
      </c>
      <c r="L406" s="180">
        <f t="shared" si="93"/>
        <v>1620537.0096032564</v>
      </c>
      <c r="M406" s="181">
        <f t="shared" si="93"/>
        <v>16895.089771747207</v>
      </c>
      <c r="N406" s="180">
        <f t="shared" si="93"/>
        <v>6286.100865725115</v>
      </c>
      <c r="O406" s="132">
        <f t="shared" si="88"/>
        <v>10608.988906022092</v>
      </c>
    </row>
    <row r="407" spans="1:15" x14ac:dyDescent="0.25">
      <c r="A407" s="72">
        <f t="shared" si="94"/>
        <v>241</v>
      </c>
      <c r="B407" s="183">
        <f t="shared" si="89"/>
        <v>604160.64109731221</v>
      </c>
      <c r="C407" s="184">
        <f>-Industrial!$E$93/12</f>
        <v>6158.6573115044275</v>
      </c>
      <c r="D407" s="183">
        <f>Industrial!$E$91/12*B406</f>
        <v>2027.6388651455704</v>
      </c>
      <c r="E407" s="185">
        <f t="shared" si="90"/>
        <v>4131.0184463588575</v>
      </c>
      <c r="F407" s="72">
        <f t="shared" si="95"/>
        <v>241</v>
      </c>
      <c r="G407" s="180">
        <f t="shared" si="91"/>
        <v>1005726.6065579242</v>
      </c>
      <c r="H407" s="186">
        <f>-Industrial!$E$98/12</f>
        <v>10736.432460242781</v>
      </c>
      <c r="I407" s="149">
        <f>Industrial!$E$96/12*G406</f>
        <v>4217.6889585816061</v>
      </c>
      <c r="J407" s="187">
        <f t="shared" si="92"/>
        <v>6518.7435016611744</v>
      </c>
      <c r="K407" s="72">
        <f t="shared" si="96"/>
        <v>241</v>
      </c>
      <c r="L407" s="180">
        <f t="shared" si="93"/>
        <v>1609887.2476552364</v>
      </c>
      <c r="M407" s="181">
        <f t="shared" si="93"/>
        <v>16895.089771747207</v>
      </c>
      <c r="N407" s="180">
        <f t="shared" si="93"/>
        <v>6245.327823727177</v>
      </c>
      <c r="O407" s="132">
        <f t="shared" si="88"/>
        <v>10649.761948020032</v>
      </c>
    </row>
    <row r="408" spans="1:15" x14ac:dyDescent="0.25">
      <c r="A408" s="72">
        <f t="shared" si="94"/>
        <v>242</v>
      </c>
      <c r="B408" s="183">
        <f t="shared" si="89"/>
        <v>600015.85258946544</v>
      </c>
      <c r="C408" s="184">
        <f>-Industrial!$E$93/12</f>
        <v>6158.6573115044275</v>
      </c>
      <c r="D408" s="183">
        <f>Industrial!$E$91/12*B407</f>
        <v>2013.8688036577075</v>
      </c>
      <c r="E408" s="185">
        <f t="shared" si="90"/>
        <v>4144.7885078467198</v>
      </c>
      <c r="F408" s="72">
        <f t="shared" si="95"/>
        <v>242</v>
      </c>
      <c r="G408" s="180">
        <f t="shared" si="91"/>
        <v>999180.70162500604</v>
      </c>
      <c r="H408" s="186">
        <f>-Industrial!$E$98/12</f>
        <v>10736.432460242781</v>
      </c>
      <c r="I408" s="149">
        <f>Industrial!$E$96/12*G407</f>
        <v>4190.5275273246843</v>
      </c>
      <c r="J408" s="187">
        <f t="shared" si="92"/>
        <v>6545.9049329180962</v>
      </c>
      <c r="K408" s="72">
        <f t="shared" si="96"/>
        <v>242</v>
      </c>
      <c r="L408" s="180">
        <f t="shared" si="93"/>
        <v>1599196.5542144715</v>
      </c>
      <c r="M408" s="181">
        <f t="shared" si="93"/>
        <v>16895.089771747207</v>
      </c>
      <c r="N408" s="180">
        <f t="shared" si="93"/>
        <v>6204.3963309823921</v>
      </c>
      <c r="O408" s="132">
        <f t="shared" si="88"/>
        <v>10690.693440764815</v>
      </c>
    </row>
    <row r="409" spans="1:15" x14ac:dyDescent="0.25">
      <c r="A409" s="72">
        <f t="shared" si="94"/>
        <v>243</v>
      </c>
      <c r="B409" s="183">
        <f t="shared" si="89"/>
        <v>595857.24811992585</v>
      </c>
      <c r="C409" s="184">
        <f>-Industrial!$E$93/12</f>
        <v>6158.6573115044275</v>
      </c>
      <c r="D409" s="183">
        <f>Industrial!$E$91/12*B408</f>
        <v>2000.0528419648849</v>
      </c>
      <c r="E409" s="185">
        <f t="shared" si="90"/>
        <v>4158.6044695395431</v>
      </c>
      <c r="F409" s="72">
        <f t="shared" si="95"/>
        <v>243</v>
      </c>
      <c r="G409" s="180">
        <f t="shared" si="91"/>
        <v>992607.52208820079</v>
      </c>
      <c r="H409" s="186">
        <f>-Industrial!$E$98/12</f>
        <v>10736.432460242781</v>
      </c>
      <c r="I409" s="149">
        <f>Industrial!$E$96/12*G408</f>
        <v>4163.2529234375252</v>
      </c>
      <c r="J409" s="187">
        <f t="shared" si="92"/>
        <v>6573.1795368052553</v>
      </c>
      <c r="K409" s="72">
        <f t="shared" si="96"/>
        <v>243</v>
      </c>
      <c r="L409" s="180">
        <f t="shared" si="93"/>
        <v>1588464.7702081266</v>
      </c>
      <c r="M409" s="181">
        <f t="shared" si="93"/>
        <v>16895.089771747207</v>
      </c>
      <c r="N409" s="180">
        <f t="shared" si="93"/>
        <v>6163.3057654024105</v>
      </c>
      <c r="O409" s="132">
        <f t="shared" si="88"/>
        <v>10731.784006344798</v>
      </c>
    </row>
    <row r="410" spans="1:15" x14ac:dyDescent="0.25">
      <c r="A410" s="72">
        <f t="shared" si="94"/>
        <v>244</v>
      </c>
      <c r="B410" s="183">
        <f t="shared" si="89"/>
        <v>591684.7816354878</v>
      </c>
      <c r="C410" s="184">
        <f>-Industrial!$E$93/12</f>
        <v>6158.6573115044275</v>
      </c>
      <c r="D410" s="183">
        <f>Industrial!$E$91/12*B409</f>
        <v>1986.1908270664196</v>
      </c>
      <c r="E410" s="185">
        <f t="shared" si="90"/>
        <v>4172.4664844380077</v>
      </c>
      <c r="F410" s="72">
        <f t="shared" si="95"/>
        <v>244</v>
      </c>
      <c r="G410" s="180">
        <f t="shared" si="91"/>
        <v>986006.9543033255</v>
      </c>
      <c r="H410" s="186">
        <f>-Industrial!$E$98/12</f>
        <v>10736.432460242781</v>
      </c>
      <c r="I410" s="149">
        <f>Industrial!$E$96/12*G409</f>
        <v>4135.864675367503</v>
      </c>
      <c r="J410" s="187">
        <f t="shared" si="92"/>
        <v>6600.5677848752775</v>
      </c>
      <c r="K410" s="72">
        <f t="shared" si="96"/>
        <v>244</v>
      </c>
      <c r="L410" s="180">
        <f t="shared" si="93"/>
        <v>1577691.7359388133</v>
      </c>
      <c r="M410" s="181">
        <f t="shared" si="93"/>
        <v>16895.089771747207</v>
      </c>
      <c r="N410" s="180">
        <f t="shared" si="93"/>
        <v>6122.0555024339228</v>
      </c>
      <c r="O410" s="132">
        <f t="shared" si="88"/>
        <v>10773.034269313284</v>
      </c>
    </row>
    <row r="411" spans="1:15" x14ac:dyDescent="0.25">
      <c r="A411" s="72">
        <f t="shared" si="94"/>
        <v>245</v>
      </c>
      <c r="B411" s="183">
        <f t="shared" si="89"/>
        <v>587498.40692943498</v>
      </c>
      <c r="C411" s="184">
        <f>-Industrial!$E$93/12</f>
        <v>6158.6573115044275</v>
      </c>
      <c r="D411" s="183">
        <f>Industrial!$E$91/12*B410</f>
        <v>1972.2826054516261</v>
      </c>
      <c r="E411" s="185">
        <f t="shared" si="90"/>
        <v>4186.3747060528012</v>
      </c>
      <c r="F411" s="72">
        <f t="shared" si="95"/>
        <v>245</v>
      </c>
      <c r="G411" s="180">
        <f t="shared" si="91"/>
        <v>979378.88415267994</v>
      </c>
      <c r="H411" s="186">
        <f>-Industrial!$E$98/12</f>
        <v>10736.432460242781</v>
      </c>
      <c r="I411" s="149">
        <f>Industrial!$E$96/12*G410</f>
        <v>4108.3623095971898</v>
      </c>
      <c r="J411" s="187">
        <f t="shared" si="92"/>
        <v>6628.0701506455907</v>
      </c>
      <c r="K411" s="72">
        <f t="shared" si="96"/>
        <v>245</v>
      </c>
      <c r="L411" s="180">
        <f t="shared" si="93"/>
        <v>1566877.2910821149</v>
      </c>
      <c r="M411" s="181">
        <f t="shared" si="93"/>
        <v>16895.089771747207</v>
      </c>
      <c r="N411" s="180">
        <f t="shared" si="93"/>
        <v>6080.6449150488161</v>
      </c>
      <c r="O411" s="132">
        <f t="shared" si="88"/>
        <v>10814.444856698392</v>
      </c>
    </row>
    <row r="412" spans="1:15" x14ac:dyDescent="0.25">
      <c r="A412" s="72">
        <f t="shared" si="94"/>
        <v>246</v>
      </c>
      <c r="B412" s="183">
        <f t="shared" si="89"/>
        <v>583298.07764102868</v>
      </c>
      <c r="C412" s="184">
        <f>-Industrial!$E$93/12</f>
        <v>6158.6573115044275</v>
      </c>
      <c r="D412" s="183">
        <f>Industrial!$E$91/12*B411</f>
        <v>1958.3280230981168</v>
      </c>
      <c r="E412" s="185">
        <f t="shared" si="90"/>
        <v>4200.3292884063103</v>
      </c>
      <c r="F412" s="72">
        <f t="shared" si="95"/>
        <v>246</v>
      </c>
      <c r="G412" s="180">
        <f t="shared" si="91"/>
        <v>972723.19704307336</v>
      </c>
      <c r="H412" s="186">
        <f>-Industrial!$E$98/12</f>
        <v>10736.432460242781</v>
      </c>
      <c r="I412" s="149">
        <f>Industrial!$E$96/12*G411</f>
        <v>4080.7453506361662</v>
      </c>
      <c r="J412" s="187">
        <f t="shared" si="92"/>
        <v>6655.6871096066143</v>
      </c>
      <c r="K412" s="72">
        <f t="shared" si="96"/>
        <v>246</v>
      </c>
      <c r="L412" s="180">
        <f t="shared" si="93"/>
        <v>1556021.274684102</v>
      </c>
      <c r="M412" s="181">
        <f t="shared" si="93"/>
        <v>16895.089771747207</v>
      </c>
      <c r="N412" s="180">
        <f t="shared" si="93"/>
        <v>6039.0733737342835</v>
      </c>
      <c r="O412" s="132">
        <f t="shared" si="88"/>
        <v>10856.016398012925</v>
      </c>
    </row>
    <row r="413" spans="1:15" x14ac:dyDescent="0.25">
      <c r="A413" s="72">
        <f t="shared" si="94"/>
        <v>247</v>
      </c>
      <c r="B413" s="183">
        <f t="shared" si="89"/>
        <v>579083.74725499435</v>
      </c>
      <c r="C413" s="184">
        <f>-Industrial!$E$93/12</f>
        <v>6158.6573115044275</v>
      </c>
      <c r="D413" s="183">
        <f>Industrial!$E$91/12*B412</f>
        <v>1944.3269254700958</v>
      </c>
      <c r="E413" s="185">
        <f t="shared" si="90"/>
        <v>4214.3303860343312</v>
      </c>
      <c r="F413" s="72">
        <f t="shared" si="95"/>
        <v>247</v>
      </c>
      <c r="G413" s="180">
        <f t="shared" si="91"/>
        <v>966039.77790384344</v>
      </c>
      <c r="H413" s="186">
        <f>-Industrial!$E$98/12</f>
        <v>10736.432460242781</v>
      </c>
      <c r="I413" s="149">
        <f>Industrial!$E$96/12*G412</f>
        <v>4053.0133210128056</v>
      </c>
      <c r="J413" s="187">
        <f t="shared" si="92"/>
        <v>6683.4191392299745</v>
      </c>
      <c r="K413" s="72">
        <f t="shared" si="96"/>
        <v>247</v>
      </c>
      <c r="L413" s="180">
        <f t="shared" si="93"/>
        <v>1545123.5251588379</v>
      </c>
      <c r="M413" s="181">
        <f t="shared" si="93"/>
        <v>16895.089771747207</v>
      </c>
      <c r="N413" s="180">
        <f t="shared" si="93"/>
        <v>5997.3402464829014</v>
      </c>
      <c r="O413" s="132">
        <f t="shared" si="88"/>
        <v>10897.749525264306</v>
      </c>
    </row>
    <row r="414" spans="1:15" x14ac:dyDescent="0.25">
      <c r="A414" s="72">
        <f t="shared" si="94"/>
        <v>248</v>
      </c>
      <c r="B414" s="183">
        <f t="shared" si="89"/>
        <v>574855.36910100654</v>
      </c>
      <c r="C414" s="184">
        <f>-Industrial!$E$93/12</f>
        <v>6158.6573115044275</v>
      </c>
      <c r="D414" s="183">
        <f>Industrial!$E$91/12*B413</f>
        <v>1930.279157516648</v>
      </c>
      <c r="E414" s="185">
        <f t="shared" si="90"/>
        <v>4228.37815398778</v>
      </c>
      <c r="F414" s="72">
        <f t="shared" si="95"/>
        <v>248</v>
      </c>
      <c r="G414" s="180">
        <f t="shared" si="91"/>
        <v>959328.51118486666</v>
      </c>
      <c r="H414" s="186">
        <f>-Industrial!$E$98/12</f>
        <v>10736.432460242781</v>
      </c>
      <c r="I414" s="149">
        <f>Industrial!$E$96/12*G413</f>
        <v>4025.1657412660143</v>
      </c>
      <c r="J414" s="187">
        <f t="shared" si="92"/>
        <v>6711.2667189767662</v>
      </c>
      <c r="K414" s="72">
        <f t="shared" si="96"/>
        <v>248</v>
      </c>
      <c r="L414" s="180">
        <f t="shared" si="93"/>
        <v>1534183.8802858731</v>
      </c>
      <c r="M414" s="181">
        <f t="shared" si="93"/>
        <v>16895.089771747207</v>
      </c>
      <c r="N414" s="180">
        <f t="shared" si="93"/>
        <v>5955.4448987826618</v>
      </c>
      <c r="O414" s="132">
        <f t="shared" si="88"/>
        <v>10939.644872964545</v>
      </c>
    </row>
    <row r="415" spans="1:15" x14ac:dyDescent="0.25">
      <c r="A415" s="72">
        <f t="shared" si="94"/>
        <v>249</v>
      </c>
      <c r="B415" s="183">
        <f t="shared" si="89"/>
        <v>570612.89635317214</v>
      </c>
      <c r="C415" s="184">
        <f>-Industrial!$E$93/12</f>
        <v>6158.6573115044275</v>
      </c>
      <c r="D415" s="183">
        <f>Industrial!$E$91/12*B414</f>
        <v>1916.1845636700218</v>
      </c>
      <c r="E415" s="185">
        <f t="shared" si="90"/>
        <v>4242.4727478344057</v>
      </c>
      <c r="F415" s="72">
        <f t="shared" si="95"/>
        <v>249</v>
      </c>
      <c r="G415" s="180">
        <f t="shared" si="91"/>
        <v>952589.28085456078</v>
      </c>
      <c r="H415" s="186">
        <f>-Industrial!$E$98/12</f>
        <v>10736.432460242781</v>
      </c>
      <c r="I415" s="149">
        <f>Industrial!$E$96/12*G414</f>
        <v>3997.2021299369444</v>
      </c>
      <c r="J415" s="187">
        <f t="shared" si="92"/>
        <v>6739.2303303058361</v>
      </c>
      <c r="K415" s="72">
        <f t="shared" si="96"/>
        <v>249</v>
      </c>
      <c r="L415" s="180">
        <f t="shared" si="93"/>
        <v>1523202.177207733</v>
      </c>
      <c r="M415" s="181">
        <f t="shared" si="93"/>
        <v>16895.089771747207</v>
      </c>
      <c r="N415" s="180">
        <f t="shared" si="93"/>
        <v>5913.3866936069662</v>
      </c>
      <c r="O415" s="132">
        <f t="shared" si="88"/>
        <v>10981.703078140243</v>
      </c>
    </row>
    <row r="416" spans="1:15" x14ac:dyDescent="0.25">
      <c r="A416" s="72">
        <f t="shared" si="94"/>
        <v>250</v>
      </c>
      <c r="B416" s="183">
        <f t="shared" si="89"/>
        <v>566356.28202951164</v>
      </c>
      <c r="C416" s="184">
        <f>-Industrial!$E$93/12</f>
        <v>6158.6573115044275</v>
      </c>
      <c r="D416" s="183">
        <f>Industrial!$E$91/12*B415</f>
        <v>1902.0429878439072</v>
      </c>
      <c r="E416" s="185">
        <f t="shared" si="90"/>
        <v>4256.6143236605203</v>
      </c>
      <c r="F416" s="72">
        <f t="shared" si="95"/>
        <v>250</v>
      </c>
      <c r="G416" s="180">
        <f t="shared" si="91"/>
        <v>945821.97039787867</v>
      </c>
      <c r="H416" s="186">
        <f>-Industrial!$E$98/12</f>
        <v>10736.432460242781</v>
      </c>
      <c r="I416" s="149">
        <f>Industrial!$E$96/12*G415</f>
        <v>3969.1220035606698</v>
      </c>
      <c r="J416" s="187">
        <f t="shared" si="92"/>
        <v>6767.3104566821112</v>
      </c>
      <c r="K416" s="72">
        <f t="shared" si="96"/>
        <v>250</v>
      </c>
      <c r="L416" s="180">
        <f t="shared" si="93"/>
        <v>1512178.2524273903</v>
      </c>
      <c r="M416" s="181">
        <f t="shared" si="93"/>
        <v>16895.089771747207</v>
      </c>
      <c r="N416" s="180">
        <f t="shared" si="93"/>
        <v>5871.1649914045774</v>
      </c>
      <c r="O416" s="132">
        <f t="shared" si="88"/>
        <v>11023.924780342631</v>
      </c>
    </row>
    <row r="417" spans="1:15" x14ac:dyDescent="0.25">
      <c r="A417" s="72">
        <f t="shared" si="94"/>
        <v>251</v>
      </c>
      <c r="B417" s="183">
        <f t="shared" si="89"/>
        <v>562085.47899143887</v>
      </c>
      <c r="C417" s="184">
        <f>-Industrial!$E$93/12</f>
        <v>6158.6573115044275</v>
      </c>
      <c r="D417" s="183">
        <f>Industrial!$E$91/12*B416</f>
        <v>1887.8542734317057</v>
      </c>
      <c r="E417" s="185">
        <f t="shared" si="90"/>
        <v>4270.8030380727214</v>
      </c>
      <c r="F417" s="72">
        <f t="shared" si="95"/>
        <v>251</v>
      </c>
      <c r="G417" s="180">
        <f t="shared" si="91"/>
        <v>939026.46281429369</v>
      </c>
      <c r="H417" s="186">
        <f>-Industrial!$E$98/12</f>
        <v>10736.432460242781</v>
      </c>
      <c r="I417" s="149">
        <f>Industrial!$E$96/12*G416</f>
        <v>3940.9248766578276</v>
      </c>
      <c r="J417" s="187">
        <f t="shared" si="92"/>
        <v>6795.507583584953</v>
      </c>
      <c r="K417" s="72">
        <f t="shared" si="96"/>
        <v>251</v>
      </c>
      <c r="L417" s="180">
        <f t="shared" si="93"/>
        <v>1501111.9418057324</v>
      </c>
      <c r="M417" s="181">
        <f t="shared" si="93"/>
        <v>16895.089771747207</v>
      </c>
      <c r="N417" s="180">
        <f t="shared" si="93"/>
        <v>5828.7791500895328</v>
      </c>
      <c r="O417" s="132">
        <f t="shared" si="88"/>
        <v>11066.310621657674</v>
      </c>
    </row>
    <row r="418" spans="1:15" x14ac:dyDescent="0.25">
      <c r="A418" s="72">
        <f t="shared" si="94"/>
        <v>252</v>
      </c>
      <c r="B418" s="183">
        <f t="shared" si="89"/>
        <v>557800.43994323921</v>
      </c>
      <c r="C418" s="184">
        <f>-Industrial!$E$93/12</f>
        <v>6158.6573115044275</v>
      </c>
      <c r="D418" s="183">
        <f>Industrial!$E$91/12*B417</f>
        <v>1873.6182633047963</v>
      </c>
      <c r="E418" s="185">
        <f t="shared" si="90"/>
        <v>4285.039048199631</v>
      </c>
      <c r="F418" s="72">
        <f t="shared" si="95"/>
        <v>252</v>
      </c>
      <c r="G418" s="180">
        <f t="shared" si="91"/>
        <v>932202.64061577711</v>
      </c>
      <c r="H418" s="186">
        <f>-Industrial!$E$98/12</f>
        <v>10736.432460242781</v>
      </c>
      <c r="I418" s="149">
        <f>Industrial!$E$96/12*G417</f>
        <v>3912.6102617262236</v>
      </c>
      <c r="J418" s="187">
        <f t="shared" si="92"/>
        <v>6823.8221985165565</v>
      </c>
      <c r="K418" s="72">
        <f t="shared" si="96"/>
        <v>252</v>
      </c>
      <c r="L418" s="180">
        <f t="shared" si="93"/>
        <v>1490003.0805590162</v>
      </c>
      <c r="M418" s="181">
        <f t="shared" si="93"/>
        <v>16895.089771747207</v>
      </c>
      <c r="N418" s="180">
        <f t="shared" si="93"/>
        <v>5786.2285250310197</v>
      </c>
      <c r="O418" s="132">
        <f t="shared" si="88"/>
        <v>11108.861246716187</v>
      </c>
    </row>
    <row r="419" spans="1:15" x14ac:dyDescent="0.25">
      <c r="A419" s="72">
        <f t="shared" si="94"/>
        <v>253</v>
      </c>
      <c r="B419" s="183">
        <f t="shared" si="89"/>
        <v>553501.11743154563</v>
      </c>
      <c r="C419" s="184">
        <f>-Industrial!$E$93/12</f>
        <v>6158.6573115044275</v>
      </c>
      <c r="D419" s="183">
        <f>Industrial!$E$91/12*B418</f>
        <v>1859.3347998107974</v>
      </c>
      <c r="E419" s="185">
        <f t="shared" si="90"/>
        <v>4299.3225116936301</v>
      </c>
      <c r="F419" s="72">
        <f t="shared" si="95"/>
        <v>253</v>
      </c>
      <c r="G419" s="180">
        <f t="shared" si="91"/>
        <v>925350.38582476671</v>
      </c>
      <c r="H419" s="186">
        <f>-Industrial!$E$98/12</f>
        <v>10736.432460242781</v>
      </c>
      <c r="I419" s="149">
        <f>Industrial!$E$96/12*G418</f>
        <v>3884.1776692324047</v>
      </c>
      <c r="J419" s="187">
        <f t="shared" si="92"/>
        <v>6852.2547910103758</v>
      </c>
      <c r="K419" s="72">
        <f t="shared" si="96"/>
        <v>253</v>
      </c>
      <c r="L419" s="180">
        <f t="shared" si="93"/>
        <v>1478851.5032563123</v>
      </c>
      <c r="M419" s="181">
        <f t="shared" si="93"/>
        <v>16895.089771747207</v>
      </c>
      <c r="N419" s="180">
        <f t="shared" si="93"/>
        <v>5743.5124690432021</v>
      </c>
      <c r="O419" s="132">
        <f t="shared" si="88"/>
        <v>11151.577302704005</v>
      </c>
    </row>
    <row r="420" spans="1:15" x14ac:dyDescent="0.25">
      <c r="A420" s="72">
        <f t="shared" si="94"/>
        <v>254</v>
      </c>
      <c r="B420" s="183">
        <f t="shared" si="89"/>
        <v>549187.46384481306</v>
      </c>
      <c r="C420" s="184">
        <f>-Industrial!$E$93/12</f>
        <v>6158.6573115044275</v>
      </c>
      <c r="D420" s="183">
        <f>Industrial!$E$91/12*B419</f>
        <v>1845.003724771819</v>
      </c>
      <c r="E420" s="185">
        <f t="shared" si="90"/>
        <v>4313.6535867326083</v>
      </c>
      <c r="F420" s="72">
        <f t="shared" si="95"/>
        <v>254</v>
      </c>
      <c r="G420" s="180">
        <f t="shared" si="91"/>
        <v>918469.5799721271</v>
      </c>
      <c r="H420" s="186">
        <f>-Industrial!$E$98/12</f>
        <v>10736.432460242781</v>
      </c>
      <c r="I420" s="149">
        <f>Industrial!$E$96/12*G419</f>
        <v>3855.6266076031948</v>
      </c>
      <c r="J420" s="187">
        <f t="shared" si="92"/>
        <v>6880.8058526395853</v>
      </c>
      <c r="K420" s="72">
        <f t="shared" si="96"/>
        <v>254</v>
      </c>
      <c r="L420" s="180">
        <f t="shared" si="93"/>
        <v>1467657.0438169402</v>
      </c>
      <c r="M420" s="181">
        <f t="shared" si="93"/>
        <v>16895.089771747207</v>
      </c>
      <c r="N420" s="180">
        <f t="shared" si="93"/>
        <v>5700.6303323750135</v>
      </c>
      <c r="O420" s="132">
        <f t="shared" si="88"/>
        <v>11194.459439372193</v>
      </c>
    </row>
    <row r="421" spans="1:15" x14ac:dyDescent="0.25">
      <c r="A421" s="72">
        <f t="shared" si="94"/>
        <v>255</v>
      </c>
      <c r="B421" s="183">
        <f t="shared" si="89"/>
        <v>544859.43141279137</v>
      </c>
      <c r="C421" s="184">
        <f>-Industrial!$E$93/12</f>
        <v>6158.6573115044275</v>
      </c>
      <c r="D421" s="183">
        <f>Industrial!$E$91/12*B420</f>
        <v>1830.6248794827104</v>
      </c>
      <c r="E421" s="185">
        <f t="shared" si="90"/>
        <v>4328.0324320217169</v>
      </c>
      <c r="F421" s="72">
        <f t="shared" si="95"/>
        <v>255</v>
      </c>
      <c r="G421" s="180">
        <f t="shared" si="91"/>
        <v>911560.10409510147</v>
      </c>
      <c r="H421" s="186">
        <f>-Industrial!$E$98/12</f>
        <v>10736.432460242781</v>
      </c>
      <c r="I421" s="149">
        <f>Industrial!$E$96/12*G420</f>
        <v>3826.9565832171961</v>
      </c>
      <c r="J421" s="187">
        <f t="shared" si="92"/>
        <v>6909.4758770255849</v>
      </c>
      <c r="K421" s="72">
        <f t="shared" si="96"/>
        <v>255</v>
      </c>
      <c r="L421" s="180">
        <f t="shared" si="93"/>
        <v>1456419.5355078927</v>
      </c>
      <c r="M421" s="181">
        <f t="shared" si="93"/>
        <v>16895.089771747207</v>
      </c>
      <c r="N421" s="180">
        <f t="shared" si="93"/>
        <v>5657.5814626999063</v>
      </c>
      <c r="O421" s="132">
        <f t="shared" si="88"/>
        <v>11237.508309047302</v>
      </c>
    </row>
    <row r="422" spans="1:15" x14ac:dyDescent="0.25">
      <c r="A422" s="72">
        <f t="shared" si="94"/>
        <v>256</v>
      </c>
      <c r="B422" s="183">
        <f t="shared" si="89"/>
        <v>540516.97220599628</v>
      </c>
      <c r="C422" s="184">
        <f>-Industrial!$E$93/12</f>
        <v>6158.6573115044275</v>
      </c>
      <c r="D422" s="183">
        <f>Industrial!$E$91/12*B421</f>
        <v>1816.1981047093047</v>
      </c>
      <c r="E422" s="185">
        <f t="shared" si="90"/>
        <v>4342.4592067951226</v>
      </c>
      <c r="F422" s="72">
        <f t="shared" si="95"/>
        <v>256</v>
      </c>
      <c r="G422" s="180">
        <f t="shared" si="91"/>
        <v>904621.83873525495</v>
      </c>
      <c r="H422" s="186">
        <f>-Industrial!$E$98/12</f>
        <v>10736.432460242781</v>
      </c>
      <c r="I422" s="149">
        <f>Industrial!$E$96/12*G421</f>
        <v>3798.167100396256</v>
      </c>
      <c r="J422" s="187">
        <f t="shared" si="92"/>
        <v>6938.265359846524</v>
      </c>
      <c r="K422" s="72">
        <f t="shared" si="96"/>
        <v>256</v>
      </c>
      <c r="L422" s="180">
        <f t="shared" si="93"/>
        <v>1445138.8109412512</v>
      </c>
      <c r="M422" s="181">
        <f t="shared" si="93"/>
        <v>16895.089771747207</v>
      </c>
      <c r="N422" s="180">
        <f t="shared" si="93"/>
        <v>5614.3652051055606</v>
      </c>
      <c r="O422" s="132">
        <f t="shared" si="93"/>
        <v>11280.724566641646</v>
      </c>
    </row>
    <row r="423" spans="1:15" x14ac:dyDescent="0.25">
      <c r="A423" s="72">
        <f t="shared" si="94"/>
        <v>257</v>
      </c>
      <c r="B423" s="183">
        <f t="shared" ref="B423:B486" si="97">B422-E423</f>
        <v>536160.0381351785</v>
      </c>
      <c r="C423" s="184">
        <f>-Industrial!$E$93/12</f>
        <v>6158.6573115044275</v>
      </c>
      <c r="D423" s="183">
        <f>Industrial!$E$91/12*B422</f>
        <v>1801.7232406866544</v>
      </c>
      <c r="E423" s="185">
        <f t="shared" ref="E423:E486" si="98">C423-D423</f>
        <v>4356.9340708177733</v>
      </c>
      <c r="F423" s="72">
        <f t="shared" si="95"/>
        <v>257</v>
      </c>
      <c r="G423" s="180">
        <f t="shared" ref="G423:G486" si="99">G422-J423</f>
        <v>897654.66393640905</v>
      </c>
      <c r="H423" s="186">
        <f>-Industrial!$E$98/12</f>
        <v>10736.432460242781</v>
      </c>
      <c r="I423" s="149">
        <f>Industrial!$E$96/12*G422</f>
        <v>3769.2576613968954</v>
      </c>
      <c r="J423" s="187">
        <f t="shared" ref="J423:J486" si="100">H423-I423</f>
        <v>6967.1747988458847</v>
      </c>
      <c r="K423" s="72">
        <f t="shared" si="96"/>
        <v>257</v>
      </c>
      <c r="L423" s="180">
        <f t="shared" ref="L423:O486" si="101">G423+B423</f>
        <v>1433814.7020715876</v>
      </c>
      <c r="M423" s="181">
        <f t="shared" si="101"/>
        <v>16895.089771747207</v>
      </c>
      <c r="N423" s="180">
        <f t="shared" si="101"/>
        <v>5570.9809020835501</v>
      </c>
      <c r="O423" s="132">
        <f t="shared" si="101"/>
        <v>11324.108869663658</v>
      </c>
    </row>
    <row r="424" spans="1:15" x14ac:dyDescent="0.25">
      <c r="A424" s="72">
        <f t="shared" ref="A424:A487" si="102">A423+1</f>
        <v>258</v>
      </c>
      <c r="B424" s="183">
        <f t="shared" si="97"/>
        <v>531788.58095079137</v>
      </c>
      <c r="C424" s="184">
        <f>-Industrial!$E$93/12</f>
        <v>6158.6573115044275</v>
      </c>
      <c r="D424" s="183">
        <f>Industrial!$E$91/12*B423</f>
        <v>1787.2001271172619</v>
      </c>
      <c r="E424" s="185">
        <f t="shared" si="98"/>
        <v>4371.4571843871654</v>
      </c>
      <c r="F424" s="72">
        <f t="shared" ref="F424:F487" si="103">F423+1</f>
        <v>258</v>
      </c>
      <c r="G424" s="180">
        <f t="shared" si="99"/>
        <v>890658.459242568</v>
      </c>
      <c r="H424" s="186">
        <f>-Industrial!$E$98/12</f>
        <v>10736.432460242781</v>
      </c>
      <c r="I424" s="149">
        <f>Industrial!$E$96/12*G423</f>
        <v>3740.2277664017042</v>
      </c>
      <c r="J424" s="187">
        <f t="shared" si="100"/>
        <v>6996.2046938410767</v>
      </c>
      <c r="K424" s="72">
        <f t="shared" ref="K424:K487" si="104">K423+1</f>
        <v>258</v>
      </c>
      <c r="L424" s="180">
        <f t="shared" si="101"/>
        <v>1422447.0401933594</v>
      </c>
      <c r="M424" s="181">
        <f t="shared" si="101"/>
        <v>16895.089771747207</v>
      </c>
      <c r="N424" s="180">
        <f t="shared" si="101"/>
        <v>5527.4278935189659</v>
      </c>
      <c r="O424" s="132">
        <f t="shared" si="101"/>
        <v>11367.661878228242</v>
      </c>
    </row>
    <row r="425" spans="1:15" x14ac:dyDescent="0.25">
      <c r="A425" s="72">
        <f t="shared" si="102"/>
        <v>259</v>
      </c>
      <c r="B425" s="183">
        <f t="shared" si="97"/>
        <v>527402.55224245624</v>
      </c>
      <c r="C425" s="184">
        <f>-Industrial!$E$93/12</f>
        <v>6158.6573115044275</v>
      </c>
      <c r="D425" s="183">
        <f>Industrial!$E$91/12*B424</f>
        <v>1772.6286031693046</v>
      </c>
      <c r="E425" s="185">
        <f t="shared" si="98"/>
        <v>4386.0287083351232</v>
      </c>
      <c r="F425" s="72">
        <f t="shared" si="103"/>
        <v>259</v>
      </c>
      <c r="G425" s="180">
        <f t="shared" si="99"/>
        <v>883633.10369583592</v>
      </c>
      <c r="H425" s="186">
        <f>-Industrial!$E$98/12</f>
        <v>10736.432460242781</v>
      </c>
      <c r="I425" s="149">
        <f>Industrial!$E$96/12*G424</f>
        <v>3711.0769135106998</v>
      </c>
      <c r="J425" s="187">
        <f t="shared" si="100"/>
        <v>7025.3555467320803</v>
      </c>
      <c r="K425" s="72">
        <f t="shared" si="104"/>
        <v>259</v>
      </c>
      <c r="L425" s="180">
        <f t="shared" si="101"/>
        <v>1411035.6559382922</v>
      </c>
      <c r="M425" s="181">
        <f t="shared" si="101"/>
        <v>16895.089771747207</v>
      </c>
      <c r="N425" s="180">
        <f t="shared" si="101"/>
        <v>5483.7055166800046</v>
      </c>
      <c r="O425" s="132">
        <f t="shared" si="101"/>
        <v>11411.384255067203</v>
      </c>
    </row>
    <row r="426" spans="1:15" x14ac:dyDescent="0.25">
      <c r="A426" s="72">
        <f t="shared" si="102"/>
        <v>260</v>
      </c>
      <c r="B426" s="183">
        <f t="shared" si="97"/>
        <v>523001.90343842667</v>
      </c>
      <c r="C426" s="184">
        <f>-Industrial!$E$93/12</f>
        <v>6158.6573115044275</v>
      </c>
      <c r="D426" s="183">
        <f>Industrial!$E$91/12*B425</f>
        <v>1758.0085074748542</v>
      </c>
      <c r="E426" s="185">
        <f t="shared" si="98"/>
        <v>4400.6488040295735</v>
      </c>
      <c r="F426" s="72">
        <f t="shared" si="103"/>
        <v>260</v>
      </c>
      <c r="G426" s="180">
        <f t="shared" si="99"/>
        <v>876578.47583432577</v>
      </c>
      <c r="H426" s="186">
        <f>-Industrial!$E$98/12</f>
        <v>10736.432460242781</v>
      </c>
      <c r="I426" s="149">
        <f>Industrial!$E$96/12*G425</f>
        <v>3681.8045987326495</v>
      </c>
      <c r="J426" s="187">
        <f t="shared" si="100"/>
        <v>7054.627861510131</v>
      </c>
      <c r="K426" s="72">
        <f t="shared" si="104"/>
        <v>260</v>
      </c>
      <c r="L426" s="180">
        <f t="shared" si="101"/>
        <v>1399580.3792727524</v>
      </c>
      <c r="M426" s="181">
        <f t="shared" si="101"/>
        <v>16895.089771747207</v>
      </c>
      <c r="N426" s="180">
        <f t="shared" si="101"/>
        <v>5439.8131062075036</v>
      </c>
      <c r="O426" s="132">
        <f t="shared" si="101"/>
        <v>11455.276665539704</v>
      </c>
    </row>
    <row r="427" spans="1:15" x14ac:dyDescent="0.25">
      <c r="A427" s="72">
        <f t="shared" si="102"/>
        <v>261</v>
      </c>
      <c r="B427" s="183">
        <f t="shared" si="97"/>
        <v>518586.58580505033</v>
      </c>
      <c r="C427" s="184">
        <f>-Industrial!$E$93/12</f>
        <v>6158.6573115044275</v>
      </c>
      <c r="D427" s="183">
        <f>Industrial!$E$91/12*B426</f>
        <v>1743.339678128089</v>
      </c>
      <c r="E427" s="185">
        <f t="shared" si="98"/>
        <v>4415.3176333763386</v>
      </c>
      <c r="F427" s="72">
        <f t="shared" si="103"/>
        <v>261</v>
      </c>
      <c r="G427" s="180">
        <f t="shared" si="99"/>
        <v>869494.45369005937</v>
      </c>
      <c r="H427" s="186">
        <f>-Industrial!$E$98/12</f>
        <v>10736.432460242781</v>
      </c>
      <c r="I427" s="149">
        <f>Industrial!$E$96/12*G426</f>
        <v>3652.4103159763572</v>
      </c>
      <c r="J427" s="187">
        <f t="shared" si="100"/>
        <v>7084.0221442664233</v>
      </c>
      <c r="K427" s="72">
        <f t="shared" si="104"/>
        <v>261</v>
      </c>
      <c r="L427" s="180">
        <f t="shared" si="101"/>
        <v>1388081.0394951096</v>
      </c>
      <c r="M427" s="181">
        <f t="shared" si="101"/>
        <v>16895.089771747207</v>
      </c>
      <c r="N427" s="180">
        <f t="shared" si="101"/>
        <v>5395.7499941044462</v>
      </c>
      <c r="O427" s="132">
        <f t="shared" si="101"/>
        <v>11499.339777642763</v>
      </c>
    </row>
    <row r="428" spans="1:15" x14ac:dyDescent="0.25">
      <c r="A428" s="72">
        <f t="shared" si="102"/>
        <v>262</v>
      </c>
      <c r="B428" s="183">
        <f t="shared" si="97"/>
        <v>514156.5504462294</v>
      </c>
      <c r="C428" s="184">
        <f>-Industrial!$E$93/12</f>
        <v>6158.6573115044275</v>
      </c>
      <c r="D428" s="183">
        <f>Industrial!$E$91/12*B427</f>
        <v>1728.6219526835011</v>
      </c>
      <c r="E428" s="185">
        <f t="shared" si="98"/>
        <v>4430.0353588209264</v>
      </c>
      <c r="F428" s="72">
        <f t="shared" si="103"/>
        <v>262</v>
      </c>
      <c r="G428" s="180">
        <f t="shared" si="99"/>
        <v>862380.91478685848</v>
      </c>
      <c r="H428" s="186">
        <f>-Industrial!$E$98/12</f>
        <v>10736.432460242781</v>
      </c>
      <c r="I428" s="149">
        <f>Industrial!$E$96/12*G427</f>
        <v>3622.8935570419139</v>
      </c>
      <c r="J428" s="187">
        <f t="shared" si="100"/>
        <v>7113.5389032008661</v>
      </c>
      <c r="K428" s="72">
        <f t="shared" si="104"/>
        <v>262</v>
      </c>
      <c r="L428" s="180">
        <f t="shared" si="101"/>
        <v>1376537.465233088</v>
      </c>
      <c r="M428" s="181">
        <f t="shared" si="101"/>
        <v>16895.089771747207</v>
      </c>
      <c r="N428" s="180">
        <f t="shared" si="101"/>
        <v>5351.5155097254155</v>
      </c>
      <c r="O428" s="132">
        <f t="shared" si="101"/>
        <v>11543.574262021793</v>
      </c>
    </row>
    <row r="429" spans="1:15" x14ac:dyDescent="0.25">
      <c r="A429" s="72">
        <f t="shared" si="102"/>
        <v>263</v>
      </c>
      <c r="B429" s="183">
        <f t="shared" si="97"/>
        <v>509711.7483028791</v>
      </c>
      <c r="C429" s="184">
        <f>-Industrial!$E$93/12</f>
        <v>6158.6573115044275</v>
      </c>
      <c r="D429" s="183">
        <f>Industrial!$E$91/12*B428</f>
        <v>1713.8551681540982</v>
      </c>
      <c r="E429" s="185">
        <f t="shared" si="98"/>
        <v>4444.8021433503291</v>
      </c>
      <c r="F429" s="72">
        <f t="shared" si="103"/>
        <v>263</v>
      </c>
      <c r="G429" s="180">
        <f t="shared" si="99"/>
        <v>855237.73613822763</v>
      </c>
      <c r="H429" s="186">
        <f>-Industrial!$E$98/12</f>
        <v>10736.432460242781</v>
      </c>
      <c r="I429" s="149">
        <f>Industrial!$E$96/12*G428</f>
        <v>3593.2538116119104</v>
      </c>
      <c r="J429" s="187">
        <f t="shared" si="100"/>
        <v>7143.1786486308702</v>
      </c>
      <c r="K429" s="72">
        <f t="shared" si="104"/>
        <v>263</v>
      </c>
      <c r="L429" s="180">
        <f t="shared" si="101"/>
        <v>1364949.4844411067</v>
      </c>
      <c r="M429" s="181">
        <f t="shared" si="101"/>
        <v>16895.089771747207</v>
      </c>
      <c r="N429" s="180">
        <f t="shared" si="101"/>
        <v>5307.1089797660088</v>
      </c>
      <c r="O429" s="132">
        <f t="shared" si="101"/>
        <v>11587.980791981199</v>
      </c>
    </row>
    <row r="430" spans="1:15" x14ac:dyDescent="0.25">
      <c r="A430" s="72">
        <f t="shared" si="102"/>
        <v>264</v>
      </c>
      <c r="B430" s="183">
        <f t="shared" si="97"/>
        <v>505252.13015238428</v>
      </c>
      <c r="C430" s="184">
        <f>-Industrial!$E$93/12</f>
        <v>6158.6573115044275</v>
      </c>
      <c r="D430" s="183">
        <f>Industrial!$E$91/12*B429</f>
        <v>1699.0391610095971</v>
      </c>
      <c r="E430" s="185">
        <f t="shared" si="98"/>
        <v>4459.6181504948308</v>
      </c>
      <c r="F430" s="72">
        <f t="shared" si="103"/>
        <v>264</v>
      </c>
      <c r="G430" s="180">
        <f t="shared" si="99"/>
        <v>848064.79424522747</v>
      </c>
      <c r="H430" s="186">
        <f>-Industrial!$E$98/12</f>
        <v>10736.432460242781</v>
      </c>
      <c r="I430" s="149">
        <f>Industrial!$E$96/12*G429</f>
        <v>3563.4905672426153</v>
      </c>
      <c r="J430" s="187">
        <f t="shared" si="100"/>
        <v>7172.9418930001648</v>
      </c>
      <c r="K430" s="72">
        <f t="shared" si="104"/>
        <v>264</v>
      </c>
      <c r="L430" s="180">
        <f t="shared" si="101"/>
        <v>1353316.9243976118</v>
      </c>
      <c r="M430" s="181">
        <f t="shared" si="101"/>
        <v>16895.089771747207</v>
      </c>
      <c r="N430" s="180">
        <f t="shared" si="101"/>
        <v>5262.5297282522124</v>
      </c>
      <c r="O430" s="132">
        <f t="shared" si="101"/>
        <v>11632.560043494996</v>
      </c>
    </row>
    <row r="431" spans="1:15" x14ac:dyDescent="0.25">
      <c r="A431" s="72">
        <f t="shared" si="102"/>
        <v>265</v>
      </c>
      <c r="B431" s="183">
        <f t="shared" si="97"/>
        <v>500777.64660805446</v>
      </c>
      <c r="C431" s="184">
        <f>-Industrial!$E$93/12</f>
        <v>6158.6573115044275</v>
      </c>
      <c r="D431" s="183">
        <f>Industrial!$E$91/12*B430</f>
        <v>1684.1737671746143</v>
      </c>
      <c r="E431" s="185">
        <f t="shared" si="98"/>
        <v>4474.4835443298134</v>
      </c>
      <c r="F431" s="72">
        <f t="shared" si="103"/>
        <v>265</v>
      </c>
      <c r="G431" s="180">
        <f t="shared" si="99"/>
        <v>840861.9650943398</v>
      </c>
      <c r="H431" s="186">
        <f>-Industrial!$E$98/12</f>
        <v>10736.432460242781</v>
      </c>
      <c r="I431" s="149">
        <f>Industrial!$E$96/12*G430</f>
        <v>3533.6033093551146</v>
      </c>
      <c r="J431" s="187">
        <f t="shared" si="100"/>
        <v>7202.8291508876664</v>
      </c>
      <c r="K431" s="72">
        <f t="shared" si="104"/>
        <v>265</v>
      </c>
      <c r="L431" s="180">
        <f t="shared" si="101"/>
        <v>1341639.6117023942</v>
      </c>
      <c r="M431" s="181">
        <f t="shared" si="101"/>
        <v>16895.089771747207</v>
      </c>
      <c r="N431" s="180">
        <f t="shared" si="101"/>
        <v>5217.7770765297291</v>
      </c>
      <c r="O431" s="132">
        <f t="shared" si="101"/>
        <v>11677.312695217479</v>
      </c>
    </row>
    <row r="432" spans="1:15" x14ac:dyDescent="0.25">
      <c r="A432" s="72">
        <f t="shared" si="102"/>
        <v>266</v>
      </c>
      <c r="B432" s="183">
        <f t="shared" si="97"/>
        <v>496288.24811857688</v>
      </c>
      <c r="C432" s="184">
        <f>-Industrial!$E$93/12</f>
        <v>6158.6573115044275</v>
      </c>
      <c r="D432" s="183">
        <f>Industrial!$E$91/12*B431</f>
        <v>1669.2588220268483</v>
      </c>
      <c r="E432" s="185">
        <f t="shared" si="98"/>
        <v>4489.3984894775795</v>
      </c>
      <c r="F432" s="72">
        <f t="shared" si="103"/>
        <v>266</v>
      </c>
      <c r="G432" s="180">
        <f t="shared" si="99"/>
        <v>833629.12415532349</v>
      </c>
      <c r="H432" s="186">
        <f>-Industrial!$E$98/12</f>
        <v>10736.432460242781</v>
      </c>
      <c r="I432" s="149">
        <f>Industrial!$E$96/12*G431</f>
        <v>3503.5915212264158</v>
      </c>
      <c r="J432" s="187">
        <f t="shared" si="100"/>
        <v>7232.8409390163652</v>
      </c>
      <c r="K432" s="72">
        <f t="shared" si="104"/>
        <v>266</v>
      </c>
      <c r="L432" s="180">
        <f t="shared" si="101"/>
        <v>1329917.3722739003</v>
      </c>
      <c r="M432" s="181">
        <f t="shared" si="101"/>
        <v>16895.089771747207</v>
      </c>
      <c r="N432" s="180">
        <f t="shared" si="101"/>
        <v>5172.8503432532643</v>
      </c>
      <c r="O432" s="132">
        <f t="shared" si="101"/>
        <v>11722.239428493944</v>
      </c>
    </row>
    <row r="433" spans="1:15" x14ac:dyDescent="0.25">
      <c r="A433" s="72">
        <f t="shared" si="102"/>
        <v>267</v>
      </c>
      <c r="B433" s="183">
        <f t="shared" si="97"/>
        <v>491783.88496746769</v>
      </c>
      <c r="C433" s="184">
        <f>-Industrial!$E$93/12</f>
        <v>6158.6573115044275</v>
      </c>
      <c r="D433" s="183">
        <f>Industrial!$E$91/12*B432</f>
        <v>1654.2941603952563</v>
      </c>
      <c r="E433" s="185">
        <f t="shared" si="98"/>
        <v>4504.3631511091717</v>
      </c>
      <c r="F433" s="72">
        <f t="shared" si="103"/>
        <v>267</v>
      </c>
      <c r="G433" s="180">
        <f t="shared" si="99"/>
        <v>826366.14637906128</v>
      </c>
      <c r="H433" s="186">
        <f>-Industrial!$E$98/12</f>
        <v>10736.432460242781</v>
      </c>
      <c r="I433" s="149">
        <f>Industrial!$E$96/12*G432</f>
        <v>3473.4546839805143</v>
      </c>
      <c r="J433" s="187">
        <f t="shared" si="100"/>
        <v>7262.9777762622662</v>
      </c>
      <c r="K433" s="72">
        <f t="shared" si="104"/>
        <v>267</v>
      </c>
      <c r="L433" s="180">
        <f t="shared" si="101"/>
        <v>1318150.031346529</v>
      </c>
      <c r="M433" s="181">
        <f t="shared" si="101"/>
        <v>16895.089771747207</v>
      </c>
      <c r="N433" s="180">
        <f t="shared" si="101"/>
        <v>5127.7488443757702</v>
      </c>
      <c r="O433" s="132">
        <f t="shared" si="101"/>
        <v>11767.340927371439</v>
      </c>
    </row>
    <row r="434" spans="1:15" x14ac:dyDescent="0.25">
      <c r="A434" s="72">
        <f t="shared" si="102"/>
        <v>268</v>
      </c>
      <c r="B434" s="183">
        <f t="shared" si="97"/>
        <v>487264.5072725215</v>
      </c>
      <c r="C434" s="184">
        <f>-Industrial!$E$93/12</f>
        <v>6158.6573115044275</v>
      </c>
      <c r="D434" s="183">
        <f>Industrial!$E$91/12*B433</f>
        <v>1639.2796165582258</v>
      </c>
      <c r="E434" s="185">
        <f t="shared" si="98"/>
        <v>4519.3776949462017</v>
      </c>
      <c r="F434" s="72">
        <f t="shared" si="103"/>
        <v>268</v>
      </c>
      <c r="G434" s="180">
        <f t="shared" si="99"/>
        <v>819072.90619539795</v>
      </c>
      <c r="H434" s="186">
        <f>-Industrial!$E$98/12</f>
        <v>10736.432460242781</v>
      </c>
      <c r="I434" s="149">
        <f>Industrial!$E$96/12*G433</f>
        <v>3443.192276579422</v>
      </c>
      <c r="J434" s="187">
        <f t="shared" si="100"/>
        <v>7293.240183663358</v>
      </c>
      <c r="K434" s="72">
        <f t="shared" si="104"/>
        <v>268</v>
      </c>
      <c r="L434" s="180">
        <f t="shared" si="101"/>
        <v>1306337.4134679195</v>
      </c>
      <c r="M434" s="181">
        <f t="shared" si="101"/>
        <v>16895.089771747207</v>
      </c>
      <c r="N434" s="180">
        <f t="shared" si="101"/>
        <v>5082.4718931376483</v>
      </c>
      <c r="O434" s="132">
        <f t="shared" si="101"/>
        <v>11812.617878609559</v>
      </c>
    </row>
    <row r="435" spans="1:15" x14ac:dyDescent="0.25">
      <c r="A435" s="72">
        <f t="shared" si="102"/>
        <v>269</v>
      </c>
      <c r="B435" s="183">
        <f t="shared" si="97"/>
        <v>482730.0649852588</v>
      </c>
      <c r="C435" s="184">
        <f>-Industrial!$E$93/12</f>
        <v>6158.6573115044275</v>
      </c>
      <c r="D435" s="183">
        <f>Industrial!$E$91/12*B434</f>
        <v>1624.2150242417385</v>
      </c>
      <c r="E435" s="185">
        <f t="shared" si="98"/>
        <v>4534.4422872626892</v>
      </c>
      <c r="F435" s="72">
        <f t="shared" si="103"/>
        <v>269</v>
      </c>
      <c r="G435" s="180">
        <f t="shared" si="99"/>
        <v>811749.27751096932</v>
      </c>
      <c r="H435" s="186">
        <f>-Industrial!$E$98/12</f>
        <v>10736.432460242781</v>
      </c>
      <c r="I435" s="149">
        <f>Industrial!$E$96/12*G434</f>
        <v>3412.8037758141581</v>
      </c>
      <c r="J435" s="187">
        <f t="shared" si="100"/>
        <v>7323.6286844286224</v>
      </c>
      <c r="K435" s="72">
        <f t="shared" si="104"/>
        <v>269</v>
      </c>
      <c r="L435" s="180">
        <f t="shared" si="101"/>
        <v>1294479.3424962282</v>
      </c>
      <c r="M435" s="181">
        <f t="shared" si="101"/>
        <v>16895.089771747207</v>
      </c>
      <c r="N435" s="180">
        <f t="shared" si="101"/>
        <v>5037.0188000558965</v>
      </c>
      <c r="O435" s="132">
        <f t="shared" si="101"/>
        <v>11858.070971691312</v>
      </c>
    </row>
    <row r="436" spans="1:15" x14ac:dyDescent="0.25">
      <c r="A436" s="72">
        <f t="shared" si="102"/>
        <v>270</v>
      </c>
      <c r="B436" s="183">
        <f t="shared" si="97"/>
        <v>478180.5078903719</v>
      </c>
      <c r="C436" s="184">
        <f>-Industrial!$E$93/12</f>
        <v>6158.6573115044275</v>
      </c>
      <c r="D436" s="183">
        <f>Industrial!$E$91/12*B435</f>
        <v>1609.1002166175294</v>
      </c>
      <c r="E436" s="185">
        <f t="shared" si="98"/>
        <v>4549.5570948868981</v>
      </c>
      <c r="F436" s="72">
        <f t="shared" si="103"/>
        <v>270</v>
      </c>
      <c r="G436" s="180">
        <f t="shared" si="99"/>
        <v>804395.13370702229</v>
      </c>
      <c r="H436" s="186">
        <f>-Industrial!$E$98/12</f>
        <v>10736.432460242781</v>
      </c>
      <c r="I436" s="149">
        <f>Industrial!$E$96/12*G435</f>
        <v>3382.2886562957056</v>
      </c>
      <c r="J436" s="187">
        <f t="shared" si="100"/>
        <v>7354.143803947075</v>
      </c>
      <c r="K436" s="72">
        <f t="shared" si="104"/>
        <v>270</v>
      </c>
      <c r="L436" s="180">
        <f t="shared" si="101"/>
        <v>1282575.6415973941</v>
      </c>
      <c r="M436" s="181">
        <f t="shared" si="101"/>
        <v>16895.089771747207</v>
      </c>
      <c r="N436" s="180">
        <f t="shared" si="101"/>
        <v>4991.388872913235</v>
      </c>
      <c r="O436" s="132">
        <f t="shared" si="101"/>
        <v>11903.700898833973</v>
      </c>
    </row>
    <row r="437" spans="1:15" x14ac:dyDescent="0.25">
      <c r="A437" s="72">
        <f t="shared" si="102"/>
        <v>271</v>
      </c>
      <c r="B437" s="183">
        <f t="shared" si="97"/>
        <v>473615.78560516873</v>
      </c>
      <c r="C437" s="184">
        <f>-Industrial!$E$93/12</f>
        <v>6158.6573115044275</v>
      </c>
      <c r="D437" s="183">
        <f>Industrial!$E$91/12*B436</f>
        <v>1593.9350263012398</v>
      </c>
      <c r="E437" s="185">
        <f t="shared" si="98"/>
        <v>4564.7222852031882</v>
      </c>
      <c r="F437" s="72">
        <f t="shared" si="103"/>
        <v>271</v>
      </c>
      <c r="G437" s="180">
        <f t="shared" si="99"/>
        <v>797010.34763722541</v>
      </c>
      <c r="H437" s="186">
        <f>-Industrial!$E$98/12</f>
        <v>10736.432460242781</v>
      </c>
      <c r="I437" s="149">
        <f>Industrial!$E$96/12*G436</f>
        <v>3351.646390445926</v>
      </c>
      <c r="J437" s="187">
        <f t="shared" si="100"/>
        <v>7384.7860697968545</v>
      </c>
      <c r="K437" s="72">
        <f t="shared" si="104"/>
        <v>271</v>
      </c>
      <c r="L437" s="180">
        <f t="shared" si="101"/>
        <v>1270626.1332423941</v>
      </c>
      <c r="M437" s="181">
        <f t="shared" si="101"/>
        <v>16895.089771747207</v>
      </c>
      <c r="N437" s="180">
        <f t="shared" si="101"/>
        <v>4945.5814167471653</v>
      </c>
      <c r="O437" s="132">
        <f t="shared" si="101"/>
        <v>11949.508355000042</v>
      </c>
    </row>
    <row r="438" spans="1:15" x14ac:dyDescent="0.25">
      <c r="A438" s="72">
        <f t="shared" si="102"/>
        <v>272</v>
      </c>
      <c r="B438" s="183">
        <f t="shared" si="97"/>
        <v>469035.84757901484</v>
      </c>
      <c r="C438" s="184">
        <f>-Industrial!$E$93/12</f>
        <v>6158.6573115044275</v>
      </c>
      <c r="D438" s="183">
        <f>Industrial!$E$91/12*B437</f>
        <v>1578.7192853505626</v>
      </c>
      <c r="E438" s="185">
        <f t="shared" si="98"/>
        <v>4579.9380261538645</v>
      </c>
      <c r="F438" s="72">
        <f t="shared" si="103"/>
        <v>272</v>
      </c>
      <c r="G438" s="180">
        <f t="shared" si="99"/>
        <v>789594.79162547109</v>
      </c>
      <c r="H438" s="186">
        <f>-Industrial!$E$98/12</f>
        <v>10736.432460242781</v>
      </c>
      <c r="I438" s="149">
        <f>Industrial!$E$96/12*G437</f>
        <v>3320.8764484884391</v>
      </c>
      <c r="J438" s="187">
        <f t="shared" si="100"/>
        <v>7415.5560117543409</v>
      </c>
      <c r="K438" s="72">
        <f t="shared" si="104"/>
        <v>272</v>
      </c>
      <c r="L438" s="180">
        <f t="shared" si="101"/>
        <v>1258630.6392044858</v>
      </c>
      <c r="M438" s="181">
        <f t="shared" si="101"/>
        <v>16895.089771747207</v>
      </c>
      <c r="N438" s="180">
        <f t="shared" si="101"/>
        <v>4899.5957338390017</v>
      </c>
      <c r="O438" s="132">
        <f t="shared" si="101"/>
        <v>11995.494037908205</v>
      </c>
    </row>
    <row r="439" spans="1:15" x14ac:dyDescent="0.25">
      <c r="A439" s="72">
        <f t="shared" si="102"/>
        <v>273</v>
      </c>
      <c r="B439" s="183">
        <f t="shared" si="97"/>
        <v>464440.6430927738</v>
      </c>
      <c r="C439" s="184">
        <f>-Industrial!$E$93/12</f>
        <v>6158.6573115044275</v>
      </c>
      <c r="D439" s="183">
        <f>Industrial!$E$91/12*B438</f>
        <v>1563.4528252633829</v>
      </c>
      <c r="E439" s="185">
        <f t="shared" si="98"/>
        <v>4595.2044862410448</v>
      </c>
      <c r="F439" s="72">
        <f t="shared" si="103"/>
        <v>273</v>
      </c>
      <c r="G439" s="180">
        <f t="shared" si="99"/>
        <v>782148.33746366773</v>
      </c>
      <c r="H439" s="186">
        <f>-Industrial!$E$98/12</f>
        <v>10736.432460242781</v>
      </c>
      <c r="I439" s="149">
        <f>Industrial!$E$96/12*G438</f>
        <v>3289.9782984394628</v>
      </c>
      <c r="J439" s="187">
        <f t="shared" si="100"/>
        <v>7446.4541618033181</v>
      </c>
      <c r="K439" s="72">
        <f t="shared" si="104"/>
        <v>273</v>
      </c>
      <c r="L439" s="180">
        <f t="shared" si="101"/>
        <v>1246588.9805564415</v>
      </c>
      <c r="M439" s="181">
        <f t="shared" si="101"/>
        <v>16895.089771747207</v>
      </c>
      <c r="N439" s="180">
        <f t="shared" si="101"/>
        <v>4853.431123702846</v>
      </c>
      <c r="O439" s="132">
        <f t="shared" si="101"/>
        <v>12041.658648044362</v>
      </c>
    </row>
    <row r="440" spans="1:15" x14ac:dyDescent="0.25">
      <c r="A440" s="72">
        <f t="shared" si="102"/>
        <v>274</v>
      </c>
      <c r="B440" s="183">
        <f t="shared" si="97"/>
        <v>459830.12125824526</v>
      </c>
      <c r="C440" s="184">
        <f>-Industrial!$E$93/12</f>
        <v>6158.6573115044275</v>
      </c>
      <c r="D440" s="183">
        <f>Industrial!$E$91/12*B439</f>
        <v>1548.1354769759128</v>
      </c>
      <c r="E440" s="185">
        <f t="shared" si="98"/>
        <v>4610.5218345285148</v>
      </c>
      <c r="F440" s="72">
        <f t="shared" si="103"/>
        <v>274</v>
      </c>
      <c r="G440" s="180">
        <f t="shared" si="99"/>
        <v>774670.85640952352</v>
      </c>
      <c r="H440" s="186">
        <f>-Industrial!$E$98/12</f>
        <v>10736.432460242781</v>
      </c>
      <c r="I440" s="149">
        <f>Industrial!$E$96/12*G439</f>
        <v>3258.9514060986157</v>
      </c>
      <c r="J440" s="187">
        <f t="shared" si="100"/>
        <v>7477.4810541441648</v>
      </c>
      <c r="K440" s="72">
        <f t="shared" si="104"/>
        <v>274</v>
      </c>
      <c r="L440" s="180">
        <f t="shared" si="101"/>
        <v>1234500.9776677687</v>
      </c>
      <c r="M440" s="181">
        <f t="shared" si="101"/>
        <v>16895.089771747207</v>
      </c>
      <c r="N440" s="180">
        <f t="shared" si="101"/>
        <v>4807.0868830745285</v>
      </c>
      <c r="O440" s="132">
        <f t="shared" si="101"/>
        <v>12088.00288867268</v>
      </c>
    </row>
    <row r="441" spans="1:15" x14ac:dyDescent="0.25">
      <c r="A441" s="72">
        <f t="shared" si="102"/>
        <v>275</v>
      </c>
      <c r="B441" s="183">
        <f t="shared" si="97"/>
        <v>455204.23101760168</v>
      </c>
      <c r="C441" s="184">
        <f>-Industrial!$E$93/12</f>
        <v>6158.6573115044275</v>
      </c>
      <c r="D441" s="183">
        <f>Industrial!$E$91/12*B440</f>
        <v>1532.7670708608175</v>
      </c>
      <c r="E441" s="185">
        <f t="shared" si="98"/>
        <v>4625.89024064361</v>
      </c>
      <c r="F441" s="72">
        <f t="shared" si="103"/>
        <v>275</v>
      </c>
      <c r="G441" s="180">
        <f t="shared" si="99"/>
        <v>767162.21918432042</v>
      </c>
      <c r="H441" s="186">
        <f>-Industrial!$E$98/12</f>
        <v>10736.432460242781</v>
      </c>
      <c r="I441" s="149">
        <f>Industrial!$E$96/12*G440</f>
        <v>3227.7952350396813</v>
      </c>
      <c r="J441" s="187">
        <f t="shared" si="100"/>
        <v>7508.6372252030997</v>
      </c>
      <c r="K441" s="72">
        <f t="shared" si="104"/>
        <v>275</v>
      </c>
      <c r="L441" s="180">
        <f t="shared" si="101"/>
        <v>1222366.4502019221</v>
      </c>
      <c r="M441" s="181">
        <f t="shared" si="101"/>
        <v>16895.089771747207</v>
      </c>
      <c r="N441" s="180">
        <f t="shared" si="101"/>
        <v>4760.5623059004993</v>
      </c>
      <c r="O441" s="132">
        <f t="shared" si="101"/>
        <v>12134.52746584671</v>
      </c>
    </row>
    <row r="442" spans="1:15" x14ac:dyDescent="0.25">
      <c r="A442" s="72">
        <f t="shared" si="102"/>
        <v>276</v>
      </c>
      <c r="B442" s="183">
        <f t="shared" si="97"/>
        <v>450562.9211428226</v>
      </c>
      <c r="C442" s="184">
        <f>-Industrial!$E$93/12</f>
        <v>6158.6573115044275</v>
      </c>
      <c r="D442" s="183">
        <f>Industrial!$E$91/12*B441</f>
        <v>1517.3474367253391</v>
      </c>
      <c r="E442" s="185">
        <f t="shared" si="98"/>
        <v>4641.3098747790882</v>
      </c>
      <c r="F442" s="72">
        <f t="shared" si="103"/>
        <v>276</v>
      </c>
      <c r="G442" s="180">
        <f t="shared" si="99"/>
        <v>759622.29597067903</v>
      </c>
      <c r="H442" s="186">
        <f>-Industrial!$E$98/12</f>
        <v>10736.432460242781</v>
      </c>
      <c r="I442" s="149">
        <f>Industrial!$E$96/12*G441</f>
        <v>3196.5092466013352</v>
      </c>
      <c r="J442" s="187">
        <f t="shared" si="100"/>
        <v>7539.9232136414448</v>
      </c>
      <c r="K442" s="72">
        <f t="shared" si="104"/>
        <v>276</v>
      </c>
      <c r="L442" s="180">
        <f t="shared" si="101"/>
        <v>1210185.2171135016</v>
      </c>
      <c r="M442" s="181">
        <f t="shared" si="101"/>
        <v>16895.089771747207</v>
      </c>
      <c r="N442" s="180">
        <f t="shared" si="101"/>
        <v>4713.8566833266741</v>
      </c>
      <c r="O442" s="132">
        <f t="shared" si="101"/>
        <v>12181.233088420533</v>
      </c>
    </row>
    <row r="443" spans="1:15" x14ac:dyDescent="0.25">
      <c r="A443" s="72">
        <f t="shared" si="102"/>
        <v>277</v>
      </c>
      <c r="B443" s="183">
        <f t="shared" si="97"/>
        <v>445906.14023512759</v>
      </c>
      <c r="C443" s="184">
        <f>-Industrial!$E$93/12</f>
        <v>6158.6573115044275</v>
      </c>
      <c r="D443" s="183">
        <f>Industrial!$E$91/12*B442</f>
        <v>1501.8764038094087</v>
      </c>
      <c r="E443" s="185">
        <f t="shared" si="98"/>
        <v>4656.7809076950189</v>
      </c>
      <c r="F443" s="72">
        <f t="shared" si="103"/>
        <v>277</v>
      </c>
      <c r="G443" s="180">
        <f t="shared" si="99"/>
        <v>752050.95641031407</v>
      </c>
      <c r="H443" s="186">
        <f>-Industrial!$E$98/12</f>
        <v>10736.432460242781</v>
      </c>
      <c r="I443" s="149">
        <f>Industrial!$E$96/12*G442</f>
        <v>3165.092899877829</v>
      </c>
      <c r="J443" s="187">
        <f t="shared" si="100"/>
        <v>7571.3395603649515</v>
      </c>
      <c r="K443" s="72">
        <f t="shared" si="104"/>
        <v>277</v>
      </c>
      <c r="L443" s="180">
        <f t="shared" si="101"/>
        <v>1197957.0966454416</v>
      </c>
      <c r="M443" s="181">
        <f t="shared" si="101"/>
        <v>16895.089771747207</v>
      </c>
      <c r="N443" s="180">
        <f t="shared" si="101"/>
        <v>4666.9693036872377</v>
      </c>
      <c r="O443" s="132">
        <f t="shared" si="101"/>
        <v>12228.120468059969</v>
      </c>
    </row>
    <row r="444" spans="1:15" x14ac:dyDescent="0.25">
      <c r="A444" s="72">
        <f t="shared" si="102"/>
        <v>278</v>
      </c>
      <c r="B444" s="183">
        <f t="shared" si="97"/>
        <v>441233.83672440692</v>
      </c>
      <c r="C444" s="184">
        <f>-Industrial!$E$93/12</f>
        <v>6158.6573115044275</v>
      </c>
      <c r="D444" s="183">
        <f>Industrial!$E$91/12*B443</f>
        <v>1486.3538007837587</v>
      </c>
      <c r="E444" s="185">
        <f t="shared" si="98"/>
        <v>4672.3035107206688</v>
      </c>
      <c r="F444" s="72">
        <f t="shared" si="103"/>
        <v>278</v>
      </c>
      <c r="G444" s="180">
        <f t="shared" si="99"/>
        <v>744448.06960178097</v>
      </c>
      <c r="H444" s="186">
        <f>-Industrial!$E$98/12</f>
        <v>10736.432460242781</v>
      </c>
      <c r="I444" s="149">
        <f>Industrial!$E$96/12*G443</f>
        <v>3133.5456517096418</v>
      </c>
      <c r="J444" s="187">
        <f t="shared" si="100"/>
        <v>7602.8868085331387</v>
      </c>
      <c r="K444" s="72">
        <f t="shared" si="104"/>
        <v>278</v>
      </c>
      <c r="L444" s="180">
        <f t="shared" si="101"/>
        <v>1185681.9063261878</v>
      </c>
      <c r="M444" s="181">
        <f t="shared" si="101"/>
        <v>16895.089771747207</v>
      </c>
      <c r="N444" s="180">
        <f t="shared" si="101"/>
        <v>4619.8994524934005</v>
      </c>
      <c r="O444" s="132">
        <f t="shared" si="101"/>
        <v>12275.190319253808</v>
      </c>
    </row>
    <row r="445" spans="1:15" x14ac:dyDescent="0.25">
      <c r="A445" s="72">
        <f t="shared" si="102"/>
        <v>279</v>
      </c>
      <c r="B445" s="183">
        <f t="shared" si="97"/>
        <v>436545.95886865054</v>
      </c>
      <c r="C445" s="184">
        <f>-Industrial!$E$93/12</f>
        <v>6158.6573115044275</v>
      </c>
      <c r="D445" s="183">
        <f>Industrial!$E$91/12*B444</f>
        <v>1470.7794557480231</v>
      </c>
      <c r="E445" s="185">
        <f t="shared" si="98"/>
        <v>4687.8778557564046</v>
      </c>
      <c r="F445" s="72">
        <f t="shared" si="103"/>
        <v>279</v>
      </c>
      <c r="G445" s="180">
        <f t="shared" si="99"/>
        <v>736813.50409821223</v>
      </c>
      <c r="H445" s="186">
        <f>-Industrial!$E$98/12</f>
        <v>10736.432460242781</v>
      </c>
      <c r="I445" s="149">
        <f>Industrial!$E$96/12*G444</f>
        <v>3101.8669566740873</v>
      </c>
      <c r="J445" s="187">
        <f t="shared" si="100"/>
        <v>7634.5655035686932</v>
      </c>
      <c r="K445" s="72">
        <f t="shared" si="104"/>
        <v>279</v>
      </c>
      <c r="L445" s="180">
        <f t="shared" si="101"/>
        <v>1173359.4629668628</v>
      </c>
      <c r="M445" s="181">
        <f t="shared" si="101"/>
        <v>16895.089771747207</v>
      </c>
      <c r="N445" s="180">
        <f t="shared" si="101"/>
        <v>4572.6464124221102</v>
      </c>
      <c r="O445" s="132">
        <f t="shared" si="101"/>
        <v>12322.443359325098</v>
      </c>
    </row>
    <row r="446" spans="1:15" x14ac:dyDescent="0.25">
      <c r="A446" s="72">
        <f t="shared" si="102"/>
        <v>280</v>
      </c>
      <c r="B446" s="183">
        <f t="shared" si="97"/>
        <v>431842.45475337497</v>
      </c>
      <c r="C446" s="184">
        <f>-Industrial!$E$93/12</f>
        <v>6158.6573115044275</v>
      </c>
      <c r="D446" s="183">
        <f>Industrial!$E$91/12*B445</f>
        <v>1455.1531962288352</v>
      </c>
      <c r="E446" s="185">
        <f t="shared" si="98"/>
        <v>4703.5041152755921</v>
      </c>
      <c r="F446" s="72">
        <f t="shared" si="103"/>
        <v>280</v>
      </c>
      <c r="G446" s="180">
        <f t="shared" si="99"/>
        <v>729147.12790504529</v>
      </c>
      <c r="H446" s="186">
        <f>-Industrial!$E$98/12</f>
        <v>10736.432460242781</v>
      </c>
      <c r="I446" s="149">
        <f>Industrial!$E$96/12*G445</f>
        <v>3070.0562670758841</v>
      </c>
      <c r="J446" s="187">
        <f t="shared" si="100"/>
        <v>7666.376193166896</v>
      </c>
      <c r="K446" s="72">
        <f t="shared" si="104"/>
        <v>280</v>
      </c>
      <c r="L446" s="180">
        <f t="shared" si="101"/>
        <v>1160989.5826584203</v>
      </c>
      <c r="M446" s="181">
        <f t="shared" si="101"/>
        <v>16895.089771747207</v>
      </c>
      <c r="N446" s="180">
        <f t="shared" si="101"/>
        <v>4525.2094633047191</v>
      </c>
      <c r="O446" s="132">
        <f t="shared" si="101"/>
        <v>12369.880308442487</v>
      </c>
    </row>
    <row r="447" spans="1:15" x14ac:dyDescent="0.25">
      <c r="A447" s="72">
        <f t="shared" si="102"/>
        <v>281</v>
      </c>
      <c r="B447" s="183">
        <f t="shared" si="97"/>
        <v>427123.27229104849</v>
      </c>
      <c r="C447" s="184">
        <f>-Industrial!$E$93/12</f>
        <v>6158.6573115044275</v>
      </c>
      <c r="D447" s="183">
        <f>Industrial!$E$91/12*B446</f>
        <v>1439.4748491779167</v>
      </c>
      <c r="E447" s="185">
        <f t="shared" si="98"/>
        <v>4719.1824623265111</v>
      </c>
      <c r="F447" s="72">
        <f t="shared" si="103"/>
        <v>281</v>
      </c>
      <c r="G447" s="180">
        <f t="shared" si="99"/>
        <v>721448.80847774015</v>
      </c>
      <c r="H447" s="186">
        <f>-Industrial!$E$98/12</f>
        <v>10736.432460242781</v>
      </c>
      <c r="I447" s="149">
        <f>Industrial!$E$96/12*G446</f>
        <v>3038.1130329376888</v>
      </c>
      <c r="J447" s="187">
        <f t="shared" si="100"/>
        <v>7698.3194273050922</v>
      </c>
      <c r="K447" s="72">
        <f t="shared" si="104"/>
        <v>281</v>
      </c>
      <c r="L447" s="180">
        <f t="shared" si="101"/>
        <v>1148572.0807687887</v>
      </c>
      <c r="M447" s="181">
        <f t="shared" si="101"/>
        <v>16895.089771747207</v>
      </c>
      <c r="N447" s="180">
        <f t="shared" si="101"/>
        <v>4477.5878821156057</v>
      </c>
      <c r="O447" s="132">
        <f t="shared" si="101"/>
        <v>12417.501889631603</v>
      </c>
    </row>
    <row r="448" spans="1:15" x14ac:dyDescent="0.25">
      <c r="A448" s="72">
        <f t="shared" si="102"/>
        <v>282</v>
      </c>
      <c r="B448" s="183">
        <f t="shared" si="97"/>
        <v>422388.35922051425</v>
      </c>
      <c r="C448" s="184">
        <f>-Industrial!$E$93/12</f>
        <v>6158.6573115044275</v>
      </c>
      <c r="D448" s="183">
        <f>Industrial!$E$91/12*B447</f>
        <v>1423.7442409701616</v>
      </c>
      <c r="E448" s="185">
        <f t="shared" si="98"/>
        <v>4734.9130705342659</v>
      </c>
      <c r="F448" s="72">
        <f t="shared" si="103"/>
        <v>282</v>
      </c>
      <c r="G448" s="180">
        <f t="shared" si="99"/>
        <v>713718.41271948791</v>
      </c>
      <c r="H448" s="186">
        <f>-Industrial!$E$98/12</f>
        <v>10736.432460242781</v>
      </c>
      <c r="I448" s="149">
        <f>Industrial!$E$96/12*G447</f>
        <v>3006.0367019905839</v>
      </c>
      <c r="J448" s="187">
        <f t="shared" si="100"/>
        <v>7730.3957582521962</v>
      </c>
      <c r="K448" s="72">
        <f t="shared" si="104"/>
        <v>282</v>
      </c>
      <c r="L448" s="180">
        <f t="shared" si="101"/>
        <v>1136106.7719400022</v>
      </c>
      <c r="M448" s="181">
        <f t="shared" si="101"/>
        <v>16895.089771747207</v>
      </c>
      <c r="N448" s="180">
        <f t="shared" si="101"/>
        <v>4429.780942960746</v>
      </c>
      <c r="O448" s="132">
        <f t="shared" si="101"/>
        <v>12465.308828786463</v>
      </c>
    </row>
    <row r="449" spans="1:15" x14ac:dyDescent="0.25">
      <c r="A449" s="72">
        <f t="shared" si="102"/>
        <v>283</v>
      </c>
      <c r="B449" s="183">
        <f t="shared" si="97"/>
        <v>417637.66310641152</v>
      </c>
      <c r="C449" s="184">
        <f>-Industrial!$E$93/12</f>
        <v>6158.6573115044275</v>
      </c>
      <c r="D449" s="183">
        <f>Industrial!$E$91/12*B448</f>
        <v>1407.9611974017143</v>
      </c>
      <c r="E449" s="185">
        <f t="shared" si="98"/>
        <v>4750.6961141027132</v>
      </c>
      <c r="F449" s="72">
        <f t="shared" si="103"/>
        <v>283</v>
      </c>
      <c r="G449" s="180">
        <f t="shared" si="99"/>
        <v>705955.80697890965</v>
      </c>
      <c r="H449" s="186">
        <f>-Industrial!$E$98/12</f>
        <v>10736.432460242781</v>
      </c>
      <c r="I449" s="149">
        <f>Industrial!$E$96/12*G448</f>
        <v>2973.8267196645329</v>
      </c>
      <c r="J449" s="187">
        <f t="shared" si="100"/>
        <v>7762.6057405782476</v>
      </c>
      <c r="K449" s="72">
        <f t="shared" si="104"/>
        <v>283</v>
      </c>
      <c r="L449" s="180">
        <f t="shared" si="101"/>
        <v>1123593.4700853212</v>
      </c>
      <c r="M449" s="181">
        <f t="shared" si="101"/>
        <v>16895.089771747207</v>
      </c>
      <c r="N449" s="180">
        <f t="shared" si="101"/>
        <v>4381.7879170662472</v>
      </c>
      <c r="O449" s="132">
        <f t="shared" si="101"/>
        <v>12513.301854680962</v>
      </c>
    </row>
    <row r="450" spans="1:15" x14ac:dyDescent="0.25">
      <c r="A450" s="72">
        <f t="shared" si="102"/>
        <v>284</v>
      </c>
      <c r="B450" s="183">
        <f t="shared" si="97"/>
        <v>412871.13133859512</v>
      </c>
      <c r="C450" s="184">
        <f>-Industrial!$E$93/12</f>
        <v>6158.6573115044275</v>
      </c>
      <c r="D450" s="183">
        <f>Industrial!$E$91/12*B449</f>
        <v>1392.1255436880385</v>
      </c>
      <c r="E450" s="185">
        <f t="shared" si="98"/>
        <v>4766.5317678163892</v>
      </c>
      <c r="F450" s="72">
        <f t="shared" si="103"/>
        <v>284</v>
      </c>
      <c r="G450" s="180">
        <f t="shared" si="99"/>
        <v>698160.85704774561</v>
      </c>
      <c r="H450" s="186">
        <f>-Industrial!$E$98/12</f>
        <v>10736.432460242781</v>
      </c>
      <c r="I450" s="149">
        <f>Industrial!$E$96/12*G449</f>
        <v>2941.4825290787903</v>
      </c>
      <c r="J450" s="187">
        <f t="shared" si="100"/>
        <v>7794.9499311639902</v>
      </c>
      <c r="K450" s="72">
        <f t="shared" si="104"/>
        <v>284</v>
      </c>
      <c r="L450" s="180">
        <f t="shared" si="101"/>
        <v>1111031.9883863407</v>
      </c>
      <c r="M450" s="181">
        <f t="shared" si="101"/>
        <v>16895.089771747207</v>
      </c>
      <c r="N450" s="180">
        <f t="shared" si="101"/>
        <v>4333.6080727668286</v>
      </c>
      <c r="O450" s="132">
        <f t="shared" si="101"/>
        <v>12561.48169898038</v>
      </c>
    </row>
    <row r="451" spans="1:15" x14ac:dyDescent="0.25">
      <c r="A451" s="72">
        <f t="shared" si="102"/>
        <v>285</v>
      </c>
      <c r="B451" s="183">
        <f t="shared" si="97"/>
        <v>408088.7111315527</v>
      </c>
      <c r="C451" s="184">
        <f>-Industrial!$E$93/12</f>
        <v>6158.6573115044275</v>
      </c>
      <c r="D451" s="183">
        <f>Industrial!$E$91/12*B450</f>
        <v>1376.2371044619838</v>
      </c>
      <c r="E451" s="185">
        <f t="shared" si="98"/>
        <v>4782.4202070424435</v>
      </c>
      <c r="F451" s="72">
        <f t="shared" si="103"/>
        <v>285</v>
      </c>
      <c r="G451" s="180">
        <f t="shared" si="99"/>
        <v>690333.42815853516</v>
      </c>
      <c r="H451" s="186">
        <f>-Industrial!$E$98/12</f>
        <v>10736.432460242781</v>
      </c>
      <c r="I451" s="149">
        <f>Industrial!$E$96/12*G450</f>
        <v>2909.0035710322732</v>
      </c>
      <c r="J451" s="187">
        <f t="shared" si="100"/>
        <v>7827.4288892105069</v>
      </c>
      <c r="K451" s="72">
        <f t="shared" si="104"/>
        <v>285</v>
      </c>
      <c r="L451" s="180">
        <f t="shared" si="101"/>
        <v>1098422.1392900879</v>
      </c>
      <c r="M451" s="181">
        <f t="shared" si="101"/>
        <v>16895.089771747207</v>
      </c>
      <c r="N451" s="180">
        <f t="shared" si="101"/>
        <v>4285.2406754942567</v>
      </c>
      <c r="O451" s="132">
        <f t="shared" si="101"/>
        <v>12609.84909625295</v>
      </c>
    </row>
    <row r="452" spans="1:15" x14ac:dyDescent="0.25">
      <c r="A452" s="72">
        <f t="shared" si="102"/>
        <v>286</v>
      </c>
      <c r="B452" s="183">
        <f t="shared" si="97"/>
        <v>403290.3495238201</v>
      </c>
      <c r="C452" s="184">
        <f>-Industrial!$E$93/12</f>
        <v>6158.6573115044275</v>
      </c>
      <c r="D452" s="183">
        <f>Industrial!$E$91/12*B451</f>
        <v>1360.2957037718425</v>
      </c>
      <c r="E452" s="185">
        <f t="shared" si="98"/>
        <v>4798.3616077325851</v>
      </c>
      <c r="F452" s="72">
        <f t="shared" si="103"/>
        <v>286</v>
      </c>
      <c r="G452" s="180">
        <f t="shared" si="99"/>
        <v>682473.38498228625</v>
      </c>
      <c r="H452" s="186">
        <f>-Industrial!$E$98/12</f>
        <v>10736.432460242781</v>
      </c>
      <c r="I452" s="149">
        <f>Industrial!$E$96/12*G451</f>
        <v>2876.3892839938962</v>
      </c>
      <c r="J452" s="187">
        <f t="shared" si="100"/>
        <v>7860.0431762488843</v>
      </c>
      <c r="K452" s="72">
        <f t="shared" si="104"/>
        <v>286</v>
      </c>
      <c r="L452" s="180">
        <f t="shared" si="101"/>
        <v>1085763.7345061065</v>
      </c>
      <c r="M452" s="181">
        <f t="shared" si="101"/>
        <v>16895.089771747207</v>
      </c>
      <c r="N452" s="180">
        <f t="shared" si="101"/>
        <v>4236.6849877657387</v>
      </c>
      <c r="O452" s="132">
        <f t="shared" si="101"/>
        <v>12658.40478398147</v>
      </c>
    </row>
    <row r="453" spans="1:15" x14ac:dyDescent="0.25">
      <c r="A453" s="72">
        <f t="shared" si="102"/>
        <v>287</v>
      </c>
      <c r="B453" s="183">
        <f t="shared" si="97"/>
        <v>398475.99337739509</v>
      </c>
      <c r="C453" s="184">
        <f>-Industrial!$E$93/12</f>
        <v>6158.6573115044275</v>
      </c>
      <c r="D453" s="183">
        <f>Industrial!$E$91/12*B452</f>
        <v>1344.3011650794003</v>
      </c>
      <c r="E453" s="185">
        <f t="shared" si="98"/>
        <v>4814.356146425027</v>
      </c>
      <c r="F453" s="72">
        <f t="shared" si="103"/>
        <v>287</v>
      </c>
      <c r="G453" s="180">
        <f t="shared" si="99"/>
        <v>674580.59162613633</v>
      </c>
      <c r="H453" s="186">
        <f>-Industrial!$E$98/12</f>
        <v>10736.432460242781</v>
      </c>
      <c r="I453" s="149">
        <f>Industrial!$E$96/12*G452</f>
        <v>2843.6391040928593</v>
      </c>
      <c r="J453" s="187">
        <f t="shared" si="100"/>
        <v>7892.7933561499212</v>
      </c>
      <c r="K453" s="72">
        <f t="shared" si="104"/>
        <v>287</v>
      </c>
      <c r="L453" s="180">
        <f t="shared" si="101"/>
        <v>1073056.5850035315</v>
      </c>
      <c r="M453" s="181">
        <f t="shared" si="101"/>
        <v>16895.089771747207</v>
      </c>
      <c r="N453" s="180">
        <f t="shared" si="101"/>
        <v>4187.9402691722598</v>
      </c>
      <c r="O453" s="132">
        <f t="shared" si="101"/>
        <v>12707.149502574948</v>
      </c>
    </row>
    <row r="454" spans="1:15" x14ac:dyDescent="0.25">
      <c r="A454" s="72">
        <f t="shared" si="102"/>
        <v>288</v>
      </c>
      <c r="B454" s="183">
        <f t="shared" si="97"/>
        <v>393645.58937714866</v>
      </c>
      <c r="C454" s="184">
        <f>-Industrial!$E$93/12</f>
        <v>6158.6573115044275</v>
      </c>
      <c r="D454" s="183">
        <f>Industrial!$E$91/12*B453</f>
        <v>1328.2533112579838</v>
      </c>
      <c r="E454" s="185">
        <f t="shared" si="98"/>
        <v>4830.4040002464435</v>
      </c>
      <c r="F454" s="72">
        <f t="shared" si="103"/>
        <v>288</v>
      </c>
      <c r="G454" s="180">
        <f t="shared" si="99"/>
        <v>666654.91163100244</v>
      </c>
      <c r="H454" s="186">
        <f>-Industrial!$E$98/12</f>
        <v>10736.432460242781</v>
      </c>
      <c r="I454" s="149">
        <f>Industrial!$E$96/12*G453</f>
        <v>2810.7524651089016</v>
      </c>
      <c r="J454" s="187">
        <f t="shared" si="100"/>
        <v>7925.6799951338789</v>
      </c>
      <c r="K454" s="72">
        <f t="shared" si="104"/>
        <v>288</v>
      </c>
      <c r="L454" s="180">
        <f t="shared" si="101"/>
        <v>1060300.5010081511</v>
      </c>
      <c r="M454" s="181">
        <f t="shared" si="101"/>
        <v>16895.089771747207</v>
      </c>
      <c r="N454" s="180">
        <f t="shared" si="101"/>
        <v>4139.0057763668856</v>
      </c>
      <c r="O454" s="132">
        <f t="shared" si="101"/>
        <v>12756.083995380322</v>
      </c>
    </row>
    <row r="455" spans="1:15" x14ac:dyDescent="0.25">
      <c r="A455" s="72">
        <f t="shared" si="102"/>
        <v>289</v>
      </c>
      <c r="B455" s="183">
        <f t="shared" si="97"/>
        <v>388799.08403023472</v>
      </c>
      <c r="C455" s="184">
        <f>-Industrial!$E$93/12</f>
        <v>6158.6573115044275</v>
      </c>
      <c r="D455" s="183">
        <f>Industrial!$E$91/12*B454</f>
        <v>1312.1519645904957</v>
      </c>
      <c r="E455" s="185">
        <f t="shared" si="98"/>
        <v>4846.505346913932</v>
      </c>
      <c r="F455" s="72">
        <f t="shared" si="103"/>
        <v>289</v>
      </c>
      <c r="G455" s="180">
        <f t="shared" si="99"/>
        <v>658696.20796922222</v>
      </c>
      <c r="H455" s="186">
        <f>-Industrial!$E$98/12</f>
        <v>10736.432460242781</v>
      </c>
      <c r="I455" s="149">
        <f>Industrial!$E$96/12*G454</f>
        <v>2777.72879846251</v>
      </c>
      <c r="J455" s="187">
        <f t="shared" si="100"/>
        <v>7958.7036617802705</v>
      </c>
      <c r="K455" s="72">
        <f t="shared" si="104"/>
        <v>289</v>
      </c>
      <c r="L455" s="180">
        <f t="shared" si="101"/>
        <v>1047495.2919994569</v>
      </c>
      <c r="M455" s="181">
        <f t="shared" si="101"/>
        <v>16895.089771747207</v>
      </c>
      <c r="N455" s="180">
        <f t="shared" si="101"/>
        <v>4089.8807630530055</v>
      </c>
      <c r="O455" s="132">
        <f t="shared" si="101"/>
        <v>12805.209008694203</v>
      </c>
    </row>
    <row r="456" spans="1:15" x14ac:dyDescent="0.25">
      <c r="A456" s="72">
        <f t="shared" si="102"/>
        <v>290</v>
      </c>
      <c r="B456" s="183">
        <f t="shared" si="97"/>
        <v>383936.42366549774</v>
      </c>
      <c r="C456" s="184">
        <f>-Industrial!$E$93/12</f>
        <v>6158.6573115044275</v>
      </c>
      <c r="D456" s="183">
        <f>Industrial!$E$91/12*B455</f>
        <v>1295.9969467674491</v>
      </c>
      <c r="E456" s="185">
        <f t="shared" si="98"/>
        <v>4862.6603647369784</v>
      </c>
      <c r="F456" s="72">
        <f t="shared" si="103"/>
        <v>290</v>
      </c>
      <c r="G456" s="180">
        <f t="shared" si="99"/>
        <v>650704.34304218448</v>
      </c>
      <c r="H456" s="186">
        <f>-Industrial!$E$98/12</f>
        <v>10736.432460242781</v>
      </c>
      <c r="I456" s="149">
        <f>Industrial!$E$96/12*G455</f>
        <v>2744.5675332050923</v>
      </c>
      <c r="J456" s="187">
        <f t="shared" si="100"/>
        <v>7991.8649270376882</v>
      </c>
      <c r="K456" s="72">
        <f t="shared" si="104"/>
        <v>290</v>
      </c>
      <c r="L456" s="180">
        <f t="shared" si="101"/>
        <v>1034640.7667076823</v>
      </c>
      <c r="M456" s="181">
        <f t="shared" si="101"/>
        <v>16895.089771747207</v>
      </c>
      <c r="N456" s="180">
        <f t="shared" si="101"/>
        <v>4040.5644799725414</v>
      </c>
      <c r="O456" s="132">
        <f t="shared" si="101"/>
        <v>12854.525291774666</v>
      </c>
    </row>
    <row r="457" spans="1:15" x14ac:dyDescent="0.25">
      <c r="A457" s="72">
        <f t="shared" si="102"/>
        <v>291</v>
      </c>
      <c r="B457" s="183">
        <f t="shared" si="97"/>
        <v>379057.55443287833</v>
      </c>
      <c r="C457" s="184">
        <f>-Industrial!$E$93/12</f>
        <v>6158.6573115044275</v>
      </c>
      <c r="D457" s="183">
        <f>Industrial!$E$91/12*B456</f>
        <v>1279.7880788849925</v>
      </c>
      <c r="E457" s="185">
        <f t="shared" si="98"/>
        <v>4878.869232619435</v>
      </c>
      <c r="F457" s="72">
        <f t="shared" si="103"/>
        <v>291</v>
      </c>
      <c r="G457" s="180">
        <f t="shared" si="99"/>
        <v>642679.17867795075</v>
      </c>
      <c r="H457" s="186">
        <f>-Industrial!$E$98/12</f>
        <v>10736.432460242781</v>
      </c>
      <c r="I457" s="149">
        <f>Industrial!$E$96/12*G456</f>
        <v>2711.268096009102</v>
      </c>
      <c r="J457" s="187">
        <f t="shared" si="100"/>
        <v>8025.1643642336785</v>
      </c>
      <c r="K457" s="72">
        <f t="shared" si="104"/>
        <v>291</v>
      </c>
      <c r="L457" s="180">
        <f t="shared" si="101"/>
        <v>1021736.733110829</v>
      </c>
      <c r="M457" s="181">
        <f t="shared" si="101"/>
        <v>16895.089771747207</v>
      </c>
      <c r="N457" s="180">
        <f t="shared" si="101"/>
        <v>3991.0561748940945</v>
      </c>
      <c r="O457" s="132">
        <f t="shared" si="101"/>
        <v>12904.033596853114</v>
      </c>
    </row>
    <row r="458" spans="1:15" x14ac:dyDescent="0.25">
      <c r="A458" s="72">
        <f t="shared" si="102"/>
        <v>292</v>
      </c>
      <c r="B458" s="183">
        <f t="shared" si="97"/>
        <v>374162.42230281682</v>
      </c>
      <c r="C458" s="184">
        <f>-Industrial!$E$93/12</f>
        <v>6158.6573115044275</v>
      </c>
      <c r="D458" s="183">
        <f>Industrial!$E$91/12*B457</f>
        <v>1263.5251814429278</v>
      </c>
      <c r="E458" s="185">
        <f t="shared" si="98"/>
        <v>4895.1321300615</v>
      </c>
      <c r="F458" s="72">
        <f t="shared" si="103"/>
        <v>292</v>
      </c>
      <c r="G458" s="180">
        <f t="shared" si="99"/>
        <v>634620.57612886606</v>
      </c>
      <c r="H458" s="186">
        <f>-Industrial!$E$98/12</f>
        <v>10736.432460242781</v>
      </c>
      <c r="I458" s="149">
        <f>Industrial!$E$96/12*G457</f>
        <v>2677.8299111581282</v>
      </c>
      <c r="J458" s="187">
        <f t="shared" si="100"/>
        <v>8058.6025490846523</v>
      </c>
      <c r="K458" s="72">
        <f t="shared" si="104"/>
        <v>292</v>
      </c>
      <c r="L458" s="180">
        <f t="shared" si="101"/>
        <v>1008782.9984316828</v>
      </c>
      <c r="M458" s="181">
        <f t="shared" si="101"/>
        <v>16895.089771747207</v>
      </c>
      <c r="N458" s="180">
        <f t="shared" si="101"/>
        <v>3941.3550926010557</v>
      </c>
      <c r="O458" s="132">
        <f t="shared" si="101"/>
        <v>12953.734679146153</v>
      </c>
    </row>
    <row r="459" spans="1:15" x14ac:dyDescent="0.25">
      <c r="A459" s="72">
        <f t="shared" si="102"/>
        <v>293</v>
      </c>
      <c r="B459" s="183">
        <f t="shared" si="97"/>
        <v>369250.9730656551</v>
      </c>
      <c r="C459" s="184">
        <f>-Industrial!$E$93/12</f>
        <v>6158.6573115044275</v>
      </c>
      <c r="D459" s="183">
        <f>Industrial!$E$91/12*B458</f>
        <v>1247.2080743427227</v>
      </c>
      <c r="E459" s="185">
        <f t="shared" si="98"/>
        <v>4911.4492371617052</v>
      </c>
      <c r="F459" s="72">
        <f t="shared" si="103"/>
        <v>293</v>
      </c>
      <c r="G459" s="180">
        <f t="shared" si="99"/>
        <v>626528.3960691602</v>
      </c>
      <c r="H459" s="186">
        <f>-Industrial!$E$98/12</f>
        <v>10736.432460242781</v>
      </c>
      <c r="I459" s="149">
        <f>Industrial!$E$96/12*G458</f>
        <v>2644.2524005369419</v>
      </c>
      <c r="J459" s="187">
        <f t="shared" si="100"/>
        <v>8092.1800597058391</v>
      </c>
      <c r="K459" s="72">
        <f t="shared" si="104"/>
        <v>293</v>
      </c>
      <c r="L459" s="180">
        <f t="shared" si="101"/>
        <v>995779.36913481529</v>
      </c>
      <c r="M459" s="181">
        <f t="shared" si="101"/>
        <v>16895.089771747207</v>
      </c>
      <c r="N459" s="180">
        <f t="shared" si="101"/>
        <v>3891.4604748796646</v>
      </c>
      <c r="O459" s="132">
        <f t="shared" si="101"/>
        <v>13003.629296867544</v>
      </c>
    </row>
    <row r="460" spans="1:15" x14ac:dyDescent="0.25">
      <c r="A460" s="72">
        <f t="shared" si="102"/>
        <v>294</v>
      </c>
      <c r="B460" s="183">
        <f t="shared" si="97"/>
        <v>364323.15233103617</v>
      </c>
      <c r="C460" s="184">
        <f>-Industrial!$E$93/12</f>
        <v>6158.6573115044275</v>
      </c>
      <c r="D460" s="183">
        <f>Industrial!$E$91/12*B459</f>
        <v>1230.8365768855172</v>
      </c>
      <c r="E460" s="185">
        <f t="shared" si="98"/>
        <v>4927.8207346189101</v>
      </c>
      <c r="F460" s="72">
        <f t="shared" si="103"/>
        <v>294</v>
      </c>
      <c r="G460" s="180">
        <f t="shared" si="99"/>
        <v>618402.49859253888</v>
      </c>
      <c r="H460" s="186">
        <f>-Industrial!$E$98/12</f>
        <v>10736.432460242781</v>
      </c>
      <c r="I460" s="149">
        <f>Industrial!$E$96/12*G459</f>
        <v>2610.5349836215009</v>
      </c>
      <c r="J460" s="187">
        <f t="shared" si="100"/>
        <v>8125.8974766212796</v>
      </c>
      <c r="K460" s="72">
        <f t="shared" si="104"/>
        <v>294</v>
      </c>
      <c r="L460" s="180">
        <f t="shared" si="101"/>
        <v>982725.65092357504</v>
      </c>
      <c r="M460" s="181">
        <f t="shared" si="101"/>
        <v>16895.089771747207</v>
      </c>
      <c r="N460" s="180">
        <f t="shared" si="101"/>
        <v>3841.3715605070183</v>
      </c>
      <c r="O460" s="132">
        <f t="shared" si="101"/>
        <v>13053.71821124019</v>
      </c>
    </row>
    <row r="461" spans="1:15" x14ac:dyDescent="0.25">
      <c r="A461" s="72">
        <f t="shared" si="102"/>
        <v>295</v>
      </c>
      <c r="B461" s="183">
        <f t="shared" si="97"/>
        <v>359378.90552730183</v>
      </c>
      <c r="C461" s="184">
        <f>-Industrial!$E$93/12</f>
        <v>6158.6573115044275</v>
      </c>
      <c r="D461" s="183">
        <f>Industrial!$E$91/12*B460</f>
        <v>1214.4105077701206</v>
      </c>
      <c r="E461" s="185">
        <f t="shared" si="98"/>
        <v>4944.2468037343069</v>
      </c>
      <c r="F461" s="72">
        <f t="shared" si="103"/>
        <v>295</v>
      </c>
      <c r="G461" s="180">
        <f t="shared" si="99"/>
        <v>610242.74320976506</v>
      </c>
      <c r="H461" s="186">
        <f>-Industrial!$E$98/12</f>
        <v>10736.432460242781</v>
      </c>
      <c r="I461" s="149">
        <f>Industrial!$E$96/12*G460</f>
        <v>2576.6770774689121</v>
      </c>
      <c r="J461" s="187">
        <f t="shared" si="100"/>
        <v>8159.7553827738684</v>
      </c>
      <c r="K461" s="72">
        <f t="shared" si="104"/>
        <v>295</v>
      </c>
      <c r="L461" s="180">
        <f t="shared" si="101"/>
        <v>969621.64873706689</v>
      </c>
      <c r="M461" s="181">
        <f t="shared" si="101"/>
        <v>16895.089771747207</v>
      </c>
      <c r="N461" s="180">
        <f t="shared" si="101"/>
        <v>3791.0875852390327</v>
      </c>
      <c r="O461" s="132">
        <f t="shared" si="101"/>
        <v>13104.002186508176</v>
      </c>
    </row>
    <row r="462" spans="1:15" x14ac:dyDescent="0.25">
      <c r="A462" s="72">
        <f t="shared" si="102"/>
        <v>296</v>
      </c>
      <c r="B462" s="183">
        <f t="shared" si="97"/>
        <v>354418.17790088843</v>
      </c>
      <c r="C462" s="184">
        <f>-Industrial!$E$93/12</f>
        <v>6158.6573115044275</v>
      </c>
      <c r="D462" s="183">
        <f>Industrial!$E$91/12*B461</f>
        <v>1197.9296850910061</v>
      </c>
      <c r="E462" s="185">
        <f t="shared" si="98"/>
        <v>4960.7276264134216</v>
      </c>
      <c r="F462" s="72">
        <f t="shared" si="103"/>
        <v>296</v>
      </c>
      <c r="G462" s="180">
        <f t="shared" si="99"/>
        <v>602048.98884622962</v>
      </c>
      <c r="H462" s="186">
        <f>-Industrial!$E$98/12</f>
        <v>10736.432460242781</v>
      </c>
      <c r="I462" s="149">
        <f>Industrial!$E$96/12*G461</f>
        <v>2542.6780967073546</v>
      </c>
      <c r="J462" s="187">
        <f t="shared" si="100"/>
        <v>8193.7543635354268</v>
      </c>
      <c r="K462" s="72">
        <f t="shared" si="104"/>
        <v>296</v>
      </c>
      <c r="L462" s="180">
        <f t="shared" si="101"/>
        <v>956467.16674711811</v>
      </c>
      <c r="M462" s="181">
        <f t="shared" si="101"/>
        <v>16895.089771747207</v>
      </c>
      <c r="N462" s="180">
        <f t="shared" si="101"/>
        <v>3740.6077817983605</v>
      </c>
      <c r="O462" s="132">
        <f t="shared" si="101"/>
        <v>13154.481989948848</v>
      </c>
    </row>
    <row r="463" spans="1:15" x14ac:dyDescent="0.25">
      <c r="A463" s="72">
        <f t="shared" si="102"/>
        <v>297</v>
      </c>
      <c r="B463" s="183">
        <f t="shared" si="97"/>
        <v>349440.91451572027</v>
      </c>
      <c r="C463" s="184">
        <f>-Industrial!$E$93/12</f>
        <v>6158.6573115044275</v>
      </c>
      <c r="D463" s="183">
        <f>Industrial!$E$91/12*B462</f>
        <v>1181.393926336295</v>
      </c>
      <c r="E463" s="185">
        <f t="shared" si="98"/>
        <v>4977.263385168133</v>
      </c>
      <c r="F463" s="72">
        <f t="shared" si="103"/>
        <v>297</v>
      </c>
      <c r="G463" s="180">
        <f t="shared" si="99"/>
        <v>593821.09383951279</v>
      </c>
      <c r="H463" s="186">
        <f>-Industrial!$E$98/12</f>
        <v>10736.432460242781</v>
      </c>
      <c r="I463" s="149">
        <f>Industrial!$E$96/12*G462</f>
        <v>2508.5374535259566</v>
      </c>
      <c r="J463" s="187">
        <f t="shared" si="100"/>
        <v>8227.8950067168244</v>
      </c>
      <c r="K463" s="72">
        <f t="shared" si="104"/>
        <v>297</v>
      </c>
      <c r="L463" s="180">
        <f t="shared" si="101"/>
        <v>943262.00835523312</v>
      </c>
      <c r="M463" s="181">
        <f t="shared" si="101"/>
        <v>16895.089771747207</v>
      </c>
      <c r="N463" s="180">
        <f t="shared" si="101"/>
        <v>3689.9313798622516</v>
      </c>
      <c r="O463" s="132">
        <f t="shared" si="101"/>
        <v>13205.158391884957</v>
      </c>
    </row>
    <row r="464" spans="1:15" x14ac:dyDescent="0.25">
      <c r="A464" s="72">
        <f t="shared" si="102"/>
        <v>298</v>
      </c>
      <c r="B464" s="183">
        <f t="shared" si="97"/>
        <v>344447.06025260157</v>
      </c>
      <c r="C464" s="184">
        <f>-Industrial!$E$93/12</f>
        <v>6158.6573115044275</v>
      </c>
      <c r="D464" s="183">
        <f>Industrial!$E$91/12*B463</f>
        <v>1164.8030483857344</v>
      </c>
      <c r="E464" s="185">
        <f t="shared" si="98"/>
        <v>4993.8542631186929</v>
      </c>
      <c r="F464" s="72">
        <f t="shared" si="103"/>
        <v>298</v>
      </c>
      <c r="G464" s="180">
        <f t="shared" si="99"/>
        <v>585558.91593693465</v>
      </c>
      <c r="H464" s="186">
        <f>-Industrial!$E$98/12</f>
        <v>10736.432460242781</v>
      </c>
      <c r="I464" s="149">
        <f>Industrial!$E$96/12*G463</f>
        <v>2474.2545576646366</v>
      </c>
      <c r="J464" s="187">
        <f t="shared" si="100"/>
        <v>8262.1779025781434</v>
      </c>
      <c r="K464" s="72">
        <f t="shared" si="104"/>
        <v>298</v>
      </c>
      <c r="L464" s="180">
        <f t="shared" si="101"/>
        <v>930005.97618953628</v>
      </c>
      <c r="M464" s="181">
        <f t="shared" si="101"/>
        <v>16895.089771747207</v>
      </c>
      <c r="N464" s="180">
        <f t="shared" si="101"/>
        <v>3639.0576060503709</v>
      </c>
      <c r="O464" s="132">
        <f t="shared" si="101"/>
        <v>13256.032165696837</v>
      </c>
    </row>
    <row r="465" spans="1:15" x14ac:dyDescent="0.25">
      <c r="A465" s="72">
        <f t="shared" si="102"/>
        <v>299</v>
      </c>
      <c r="B465" s="183">
        <f t="shared" si="97"/>
        <v>339436.55980860582</v>
      </c>
      <c r="C465" s="184">
        <f>-Industrial!$E$93/12</f>
        <v>6158.6573115044275</v>
      </c>
      <c r="D465" s="183">
        <f>Industrial!$E$91/12*B464</f>
        <v>1148.1568675086719</v>
      </c>
      <c r="E465" s="185">
        <f t="shared" si="98"/>
        <v>5010.5004439957556</v>
      </c>
      <c r="F465" s="72">
        <f t="shared" si="103"/>
        <v>299</v>
      </c>
      <c r="G465" s="180">
        <f t="shared" si="99"/>
        <v>577262.31229309575</v>
      </c>
      <c r="H465" s="186">
        <f>-Industrial!$E$98/12</f>
        <v>10736.432460242781</v>
      </c>
      <c r="I465" s="149">
        <f>Industrial!$E$96/12*G464</f>
        <v>2439.8288164038945</v>
      </c>
      <c r="J465" s="187">
        <f t="shared" si="100"/>
        <v>8296.6036438388855</v>
      </c>
      <c r="K465" s="72">
        <f t="shared" si="104"/>
        <v>299</v>
      </c>
      <c r="L465" s="180">
        <f t="shared" si="101"/>
        <v>916698.87210170156</v>
      </c>
      <c r="M465" s="181">
        <f t="shared" si="101"/>
        <v>16895.089771747207</v>
      </c>
      <c r="N465" s="180">
        <f t="shared" si="101"/>
        <v>3587.9856839125664</v>
      </c>
      <c r="O465" s="132">
        <f t="shared" si="101"/>
        <v>13307.104087834641</v>
      </c>
    </row>
    <row r="466" spans="1:15" x14ac:dyDescent="0.25">
      <c r="A466" s="72">
        <f t="shared" si="102"/>
        <v>300</v>
      </c>
      <c r="B466" s="183">
        <f t="shared" si="97"/>
        <v>334409.35769646341</v>
      </c>
      <c r="C466" s="184">
        <f>-Industrial!$E$93/12</f>
        <v>6158.6573115044275</v>
      </c>
      <c r="D466" s="183">
        <f>Industrial!$E$91/12*B465</f>
        <v>1131.4551993620194</v>
      </c>
      <c r="E466" s="185">
        <f t="shared" si="98"/>
        <v>5027.2021121424077</v>
      </c>
      <c r="F466" s="72">
        <f t="shared" si="103"/>
        <v>300</v>
      </c>
      <c r="G466" s="180">
        <f t="shared" si="99"/>
        <v>568931.13946740748</v>
      </c>
      <c r="H466" s="186">
        <f>-Industrial!$E$98/12</f>
        <v>10736.432460242781</v>
      </c>
      <c r="I466" s="149">
        <f>Industrial!$E$96/12*G465</f>
        <v>2405.2596345545658</v>
      </c>
      <c r="J466" s="187">
        <f t="shared" si="100"/>
        <v>8331.1728256882143</v>
      </c>
      <c r="K466" s="72">
        <f t="shared" si="104"/>
        <v>300</v>
      </c>
      <c r="L466" s="180">
        <f t="shared" si="101"/>
        <v>903340.49716387084</v>
      </c>
      <c r="M466" s="181">
        <f t="shared" si="101"/>
        <v>16895.089771747207</v>
      </c>
      <c r="N466" s="180">
        <f t="shared" si="101"/>
        <v>3536.7148339165851</v>
      </c>
      <c r="O466" s="132">
        <f t="shared" si="101"/>
        <v>13358.374937830622</v>
      </c>
    </row>
    <row r="467" spans="1:15" x14ac:dyDescent="0.25">
      <c r="A467" s="72">
        <f t="shared" si="102"/>
        <v>301</v>
      </c>
      <c r="B467" s="183">
        <f t="shared" si="97"/>
        <v>329365.39824394719</v>
      </c>
      <c r="C467" s="184">
        <f>-Industrial!$E$93/12</f>
        <v>6158.6573115044275</v>
      </c>
      <c r="D467" s="183">
        <f>Industrial!$E$91/12*B466</f>
        <v>1114.6978589882115</v>
      </c>
      <c r="E467" s="185">
        <f t="shared" si="98"/>
        <v>5043.9594525162156</v>
      </c>
      <c r="F467" s="72">
        <f t="shared" si="103"/>
        <v>301</v>
      </c>
      <c r="G467" s="180">
        <f t="shared" si="99"/>
        <v>560565.2534216122</v>
      </c>
      <c r="H467" s="186">
        <f>-Industrial!$E$98/12</f>
        <v>10736.432460242781</v>
      </c>
      <c r="I467" s="149">
        <f>Industrial!$E$96/12*G466</f>
        <v>2370.5464144475313</v>
      </c>
      <c r="J467" s="187">
        <f t="shared" si="100"/>
        <v>8365.8860457952487</v>
      </c>
      <c r="K467" s="72">
        <f t="shared" si="104"/>
        <v>301</v>
      </c>
      <c r="L467" s="180">
        <f t="shared" si="101"/>
        <v>889930.65166555939</v>
      </c>
      <c r="M467" s="181">
        <f t="shared" si="101"/>
        <v>16895.089771747207</v>
      </c>
      <c r="N467" s="180">
        <f t="shared" si="101"/>
        <v>3485.2442734357428</v>
      </c>
      <c r="O467" s="132">
        <f t="shared" si="101"/>
        <v>13409.845498311464</v>
      </c>
    </row>
    <row r="468" spans="1:15" x14ac:dyDescent="0.25">
      <c r="A468" s="72">
        <f t="shared" si="102"/>
        <v>302</v>
      </c>
      <c r="B468" s="183">
        <f t="shared" si="97"/>
        <v>324304.62559325591</v>
      </c>
      <c r="C468" s="184">
        <f>-Industrial!$E$93/12</f>
        <v>6158.6573115044275</v>
      </c>
      <c r="D468" s="183">
        <f>Industrial!$E$91/12*B467</f>
        <v>1097.8846608131573</v>
      </c>
      <c r="E468" s="185">
        <f t="shared" si="98"/>
        <v>5060.7726506912704</v>
      </c>
      <c r="F468" s="72">
        <f t="shared" si="103"/>
        <v>302</v>
      </c>
      <c r="G468" s="180">
        <f t="shared" si="99"/>
        <v>552164.50951729284</v>
      </c>
      <c r="H468" s="186">
        <f>-Industrial!$E$98/12</f>
        <v>10736.432460242781</v>
      </c>
      <c r="I468" s="149">
        <f>Industrial!$E$96/12*G467</f>
        <v>2335.6885559233842</v>
      </c>
      <c r="J468" s="187">
        <f t="shared" si="100"/>
        <v>8400.7439043193954</v>
      </c>
      <c r="K468" s="72">
        <f t="shared" si="104"/>
        <v>302</v>
      </c>
      <c r="L468" s="180">
        <f t="shared" si="101"/>
        <v>876469.1351105487</v>
      </c>
      <c r="M468" s="181">
        <f t="shared" si="101"/>
        <v>16895.089771747207</v>
      </c>
      <c r="N468" s="180">
        <f t="shared" si="101"/>
        <v>3433.5732167365413</v>
      </c>
      <c r="O468" s="132">
        <f t="shared" si="101"/>
        <v>13461.516555010665</v>
      </c>
    </row>
    <row r="469" spans="1:15" x14ac:dyDescent="0.25">
      <c r="A469" s="72">
        <f t="shared" si="102"/>
        <v>303</v>
      </c>
      <c r="B469" s="183">
        <f t="shared" si="97"/>
        <v>319226.98370039568</v>
      </c>
      <c r="C469" s="184">
        <f>-Industrial!$E$93/12</f>
        <v>6158.6573115044275</v>
      </c>
      <c r="D469" s="183">
        <f>Industrial!$E$91/12*B468</f>
        <v>1081.0154186441864</v>
      </c>
      <c r="E469" s="185">
        <f t="shared" si="98"/>
        <v>5077.6418928602416</v>
      </c>
      <c r="F469" s="72">
        <f t="shared" si="103"/>
        <v>303</v>
      </c>
      <c r="G469" s="180">
        <f t="shared" si="99"/>
        <v>543728.76251337212</v>
      </c>
      <c r="H469" s="186">
        <f>-Industrial!$E$98/12</f>
        <v>10736.432460242781</v>
      </c>
      <c r="I469" s="149">
        <f>Industrial!$E$96/12*G468</f>
        <v>2300.6854563220536</v>
      </c>
      <c r="J469" s="187">
        <f t="shared" si="100"/>
        <v>8435.7470039207274</v>
      </c>
      <c r="K469" s="72">
        <f t="shared" si="104"/>
        <v>303</v>
      </c>
      <c r="L469" s="180">
        <f t="shared" si="101"/>
        <v>862955.74621376779</v>
      </c>
      <c r="M469" s="181">
        <f t="shared" si="101"/>
        <v>16895.089771747207</v>
      </c>
      <c r="N469" s="180">
        <f t="shared" si="101"/>
        <v>3381.70087496624</v>
      </c>
      <c r="O469" s="132">
        <f t="shared" si="101"/>
        <v>13513.388896780969</v>
      </c>
    </row>
    <row r="470" spans="1:15" x14ac:dyDescent="0.25">
      <c r="A470" s="72">
        <f t="shared" si="102"/>
        <v>304</v>
      </c>
      <c r="B470" s="183">
        <f t="shared" si="97"/>
        <v>314132.41633455921</v>
      </c>
      <c r="C470" s="184">
        <f>-Industrial!$E$93/12</f>
        <v>6158.6573115044275</v>
      </c>
      <c r="D470" s="183">
        <f>Industrial!$E$91/12*B469</f>
        <v>1064.0899456679856</v>
      </c>
      <c r="E470" s="185">
        <f t="shared" si="98"/>
        <v>5094.5673658364421</v>
      </c>
      <c r="F470" s="72">
        <f t="shared" si="103"/>
        <v>304</v>
      </c>
      <c r="G470" s="180">
        <f t="shared" si="99"/>
        <v>535257.86656360177</v>
      </c>
      <c r="H470" s="186">
        <f>-Industrial!$E$98/12</f>
        <v>10736.432460242781</v>
      </c>
      <c r="I470" s="149">
        <f>Industrial!$E$96/12*G469</f>
        <v>2265.5365104723837</v>
      </c>
      <c r="J470" s="187">
        <f t="shared" si="100"/>
        <v>8470.8959497703963</v>
      </c>
      <c r="K470" s="72">
        <f t="shared" si="104"/>
        <v>304</v>
      </c>
      <c r="L470" s="180">
        <f t="shared" si="101"/>
        <v>849390.28289816098</v>
      </c>
      <c r="M470" s="181">
        <f t="shared" si="101"/>
        <v>16895.089771747207</v>
      </c>
      <c r="N470" s="180">
        <f t="shared" si="101"/>
        <v>3329.6264561403696</v>
      </c>
      <c r="O470" s="132">
        <f t="shared" si="101"/>
        <v>13565.463315606838</v>
      </c>
    </row>
    <row r="471" spans="1:15" x14ac:dyDescent="0.25">
      <c r="A471" s="72">
        <f t="shared" si="102"/>
        <v>305</v>
      </c>
      <c r="B471" s="183">
        <f t="shared" si="97"/>
        <v>309020.8670775033</v>
      </c>
      <c r="C471" s="184">
        <f>-Industrial!$E$93/12</f>
        <v>6158.6573115044275</v>
      </c>
      <c r="D471" s="183">
        <f>Industrial!$E$91/12*B470</f>
        <v>1047.1080544485308</v>
      </c>
      <c r="E471" s="185">
        <f t="shared" si="98"/>
        <v>5111.5492570558963</v>
      </c>
      <c r="F471" s="72">
        <f t="shared" si="103"/>
        <v>305</v>
      </c>
      <c r="G471" s="180">
        <f t="shared" si="99"/>
        <v>526751.67521404068</v>
      </c>
      <c r="H471" s="186">
        <f>-Industrial!$E$98/12</f>
        <v>10736.432460242781</v>
      </c>
      <c r="I471" s="149">
        <f>Industrial!$E$96/12*G470</f>
        <v>2230.2411106816739</v>
      </c>
      <c r="J471" s="187">
        <f t="shared" si="100"/>
        <v>8506.1913495611061</v>
      </c>
      <c r="K471" s="72">
        <f t="shared" si="104"/>
        <v>305</v>
      </c>
      <c r="L471" s="180">
        <f t="shared" si="101"/>
        <v>835772.54229154391</v>
      </c>
      <c r="M471" s="181">
        <f t="shared" si="101"/>
        <v>16895.089771747207</v>
      </c>
      <c r="N471" s="180">
        <f t="shared" si="101"/>
        <v>3277.3491651302047</v>
      </c>
      <c r="O471" s="132">
        <f t="shared" si="101"/>
        <v>13617.740606617002</v>
      </c>
    </row>
    <row r="472" spans="1:15" x14ac:dyDescent="0.25">
      <c r="A472" s="72">
        <f t="shared" si="102"/>
        <v>306</v>
      </c>
      <c r="B472" s="183">
        <f t="shared" si="97"/>
        <v>303892.27932292386</v>
      </c>
      <c r="C472" s="184">
        <f>-Industrial!$E$93/12</f>
        <v>6158.6573115044275</v>
      </c>
      <c r="D472" s="183">
        <f>Industrial!$E$91/12*B471</f>
        <v>1030.0695569250111</v>
      </c>
      <c r="E472" s="185">
        <f t="shared" si="98"/>
        <v>5128.5877545794165</v>
      </c>
      <c r="F472" s="72">
        <f t="shared" si="103"/>
        <v>306</v>
      </c>
      <c r="G472" s="180">
        <f t="shared" si="99"/>
        <v>518210.04140052304</v>
      </c>
      <c r="H472" s="186">
        <f>-Industrial!$E$98/12</f>
        <v>10736.432460242781</v>
      </c>
      <c r="I472" s="149">
        <f>Industrial!$E$96/12*G471</f>
        <v>2194.7986467251694</v>
      </c>
      <c r="J472" s="187">
        <f t="shared" si="100"/>
        <v>8541.633813517612</v>
      </c>
      <c r="K472" s="72">
        <f t="shared" si="104"/>
        <v>306</v>
      </c>
      <c r="L472" s="180">
        <f t="shared" si="101"/>
        <v>822102.3207234469</v>
      </c>
      <c r="M472" s="181">
        <f t="shared" si="101"/>
        <v>16895.089771747207</v>
      </c>
      <c r="N472" s="180">
        <f t="shared" si="101"/>
        <v>3224.8682036501805</v>
      </c>
      <c r="O472" s="132">
        <f t="shared" si="101"/>
        <v>13670.221568097029</v>
      </c>
    </row>
    <row r="473" spans="1:15" x14ac:dyDescent="0.25">
      <c r="A473" s="72">
        <f t="shared" si="102"/>
        <v>307</v>
      </c>
      <c r="B473" s="183">
        <f t="shared" si="97"/>
        <v>298746.59627582919</v>
      </c>
      <c r="C473" s="184">
        <f>-Industrial!$E$93/12</f>
        <v>6158.6573115044275</v>
      </c>
      <c r="D473" s="183">
        <f>Industrial!$E$91/12*B472</f>
        <v>1012.9742644097463</v>
      </c>
      <c r="E473" s="185">
        <f t="shared" si="98"/>
        <v>5145.6830470946816</v>
      </c>
      <c r="F473" s="72">
        <f t="shared" si="103"/>
        <v>307</v>
      </c>
      <c r="G473" s="180">
        <f t="shared" si="99"/>
        <v>509632.81744611578</v>
      </c>
      <c r="H473" s="186">
        <f>-Industrial!$E$98/12</f>
        <v>10736.432460242781</v>
      </c>
      <c r="I473" s="149">
        <f>Industrial!$E$96/12*G472</f>
        <v>2159.2085058355128</v>
      </c>
      <c r="J473" s="187">
        <f t="shared" si="100"/>
        <v>8577.2239544072672</v>
      </c>
      <c r="K473" s="72">
        <f t="shared" si="104"/>
        <v>307</v>
      </c>
      <c r="L473" s="180">
        <f t="shared" si="101"/>
        <v>808379.4137219449</v>
      </c>
      <c r="M473" s="181">
        <f t="shared" si="101"/>
        <v>16895.089771747207</v>
      </c>
      <c r="N473" s="180">
        <f t="shared" si="101"/>
        <v>3172.1827702452592</v>
      </c>
      <c r="O473" s="132">
        <f t="shared" si="101"/>
        <v>13722.90700150195</v>
      </c>
    </row>
    <row r="474" spans="1:15" x14ac:dyDescent="0.25">
      <c r="A474" s="72">
        <f t="shared" si="102"/>
        <v>308</v>
      </c>
      <c r="B474" s="183">
        <f t="shared" si="97"/>
        <v>293583.76095191087</v>
      </c>
      <c r="C474" s="184">
        <f>-Industrial!$E$93/12</f>
        <v>6158.6573115044275</v>
      </c>
      <c r="D474" s="183">
        <f>Industrial!$E$91/12*B473</f>
        <v>995.82198758609741</v>
      </c>
      <c r="E474" s="185">
        <f t="shared" si="98"/>
        <v>5162.8353239183298</v>
      </c>
      <c r="F474" s="72">
        <f t="shared" si="103"/>
        <v>308</v>
      </c>
      <c r="G474" s="180">
        <f t="shared" si="99"/>
        <v>501019.85505856515</v>
      </c>
      <c r="H474" s="186">
        <f>-Industrial!$E$98/12</f>
        <v>10736.432460242781</v>
      </c>
      <c r="I474" s="149">
        <f>Industrial!$E$96/12*G473</f>
        <v>2123.4700726921492</v>
      </c>
      <c r="J474" s="187">
        <f t="shared" si="100"/>
        <v>8612.9623875506313</v>
      </c>
      <c r="K474" s="72">
        <f t="shared" si="104"/>
        <v>308</v>
      </c>
      <c r="L474" s="180">
        <f t="shared" si="101"/>
        <v>794603.61601047602</v>
      </c>
      <c r="M474" s="181">
        <f t="shared" si="101"/>
        <v>16895.089771747207</v>
      </c>
      <c r="N474" s="180">
        <f t="shared" si="101"/>
        <v>3119.2920602782465</v>
      </c>
      <c r="O474" s="132">
        <f t="shared" si="101"/>
        <v>13775.79771146896</v>
      </c>
    </row>
    <row r="475" spans="1:15" x14ac:dyDescent="0.25">
      <c r="A475" s="72">
        <f t="shared" si="102"/>
        <v>309</v>
      </c>
      <c r="B475" s="183">
        <f t="shared" si="97"/>
        <v>288403.71617691283</v>
      </c>
      <c r="C475" s="184">
        <f>-Industrial!$E$93/12</f>
        <v>6158.6573115044275</v>
      </c>
      <c r="D475" s="183">
        <f>Industrial!$E$91/12*B474</f>
        <v>978.61253650636957</v>
      </c>
      <c r="E475" s="185">
        <f t="shared" si="98"/>
        <v>5180.0447749980576</v>
      </c>
      <c r="F475" s="72">
        <f t="shared" si="103"/>
        <v>309</v>
      </c>
      <c r="G475" s="180">
        <f t="shared" si="99"/>
        <v>492371.00532773306</v>
      </c>
      <c r="H475" s="186">
        <f>-Industrial!$E$98/12</f>
        <v>10736.432460242781</v>
      </c>
      <c r="I475" s="149">
        <f>Industrial!$E$96/12*G474</f>
        <v>2087.582729410688</v>
      </c>
      <c r="J475" s="187">
        <f t="shared" si="100"/>
        <v>8648.849730832093</v>
      </c>
      <c r="K475" s="72">
        <f t="shared" si="104"/>
        <v>309</v>
      </c>
      <c r="L475" s="180">
        <f t="shared" si="101"/>
        <v>780774.72150464589</v>
      </c>
      <c r="M475" s="181">
        <f t="shared" si="101"/>
        <v>16895.089771747207</v>
      </c>
      <c r="N475" s="180">
        <f t="shared" si="101"/>
        <v>3066.1952659170574</v>
      </c>
      <c r="O475" s="132">
        <f t="shared" si="101"/>
        <v>13828.894505830151</v>
      </c>
    </row>
    <row r="476" spans="1:15" x14ac:dyDescent="0.25">
      <c r="A476" s="72">
        <f t="shared" si="102"/>
        <v>310</v>
      </c>
      <c r="B476" s="183">
        <f t="shared" si="97"/>
        <v>283206.4045859981</v>
      </c>
      <c r="C476" s="184">
        <f>-Industrial!$E$93/12</f>
        <v>6158.6573115044275</v>
      </c>
      <c r="D476" s="183">
        <f>Industrial!$E$91/12*B475</f>
        <v>961.34572058970946</v>
      </c>
      <c r="E476" s="185">
        <f t="shared" si="98"/>
        <v>5197.3115909147182</v>
      </c>
      <c r="F476" s="72">
        <f t="shared" si="103"/>
        <v>310</v>
      </c>
      <c r="G476" s="180">
        <f t="shared" si="99"/>
        <v>483686.11872302252</v>
      </c>
      <c r="H476" s="186">
        <f>-Industrial!$E$98/12</f>
        <v>10736.432460242781</v>
      </c>
      <c r="I476" s="149">
        <f>Industrial!$E$96/12*G475</f>
        <v>2051.5458555322211</v>
      </c>
      <c r="J476" s="187">
        <f t="shared" si="100"/>
        <v>8684.8866047105585</v>
      </c>
      <c r="K476" s="72">
        <f t="shared" si="104"/>
        <v>310</v>
      </c>
      <c r="L476" s="180">
        <f t="shared" si="101"/>
        <v>766892.52330902056</v>
      </c>
      <c r="M476" s="181">
        <f t="shared" si="101"/>
        <v>16895.089771747207</v>
      </c>
      <c r="N476" s="180">
        <f t="shared" si="101"/>
        <v>3012.8915761219305</v>
      </c>
      <c r="O476" s="132">
        <f t="shared" si="101"/>
        <v>13882.198195625277</v>
      </c>
    </row>
    <row r="477" spans="1:15" x14ac:dyDescent="0.25">
      <c r="A477" s="72">
        <f t="shared" si="102"/>
        <v>311</v>
      </c>
      <c r="B477" s="183">
        <f t="shared" si="97"/>
        <v>277991.76862311369</v>
      </c>
      <c r="C477" s="184">
        <f>-Industrial!$E$93/12</f>
        <v>6158.6573115044275</v>
      </c>
      <c r="D477" s="183">
        <f>Industrial!$E$91/12*B476</f>
        <v>944.02134861999377</v>
      </c>
      <c r="E477" s="185">
        <f t="shared" si="98"/>
        <v>5214.6359628844339</v>
      </c>
      <c r="F477" s="72">
        <f t="shared" si="103"/>
        <v>311</v>
      </c>
      <c r="G477" s="180">
        <f t="shared" si="99"/>
        <v>474965.04509079235</v>
      </c>
      <c r="H477" s="186">
        <f>-Industrial!$E$98/12</f>
        <v>10736.432460242781</v>
      </c>
      <c r="I477" s="149">
        <f>Industrial!$E$96/12*G476</f>
        <v>2015.3588280125939</v>
      </c>
      <c r="J477" s="187">
        <f t="shared" si="100"/>
        <v>8721.0736322301873</v>
      </c>
      <c r="K477" s="72">
        <f t="shared" si="104"/>
        <v>311</v>
      </c>
      <c r="L477" s="180">
        <f t="shared" si="101"/>
        <v>752956.8137139061</v>
      </c>
      <c r="M477" s="181">
        <f t="shared" si="101"/>
        <v>16895.089771747207</v>
      </c>
      <c r="N477" s="180">
        <f t="shared" si="101"/>
        <v>2959.3801766325878</v>
      </c>
      <c r="O477" s="132">
        <f t="shared" si="101"/>
        <v>13935.709595114622</v>
      </c>
    </row>
    <row r="478" spans="1:15" x14ac:dyDescent="0.25">
      <c r="A478" s="72">
        <f t="shared" si="102"/>
        <v>312</v>
      </c>
      <c r="B478" s="183">
        <f t="shared" si="97"/>
        <v>272759.75054035295</v>
      </c>
      <c r="C478" s="184">
        <f>-Industrial!$E$93/12</f>
        <v>6158.6573115044275</v>
      </c>
      <c r="D478" s="183">
        <f>Industrial!$E$91/12*B477</f>
        <v>926.63922874371235</v>
      </c>
      <c r="E478" s="185">
        <f t="shared" si="98"/>
        <v>5232.0180827607155</v>
      </c>
      <c r="F478" s="72">
        <f t="shared" si="103"/>
        <v>312</v>
      </c>
      <c r="G478" s="180">
        <f t="shared" si="99"/>
        <v>466207.63365176122</v>
      </c>
      <c r="H478" s="186">
        <f>-Industrial!$E$98/12</f>
        <v>10736.432460242781</v>
      </c>
      <c r="I478" s="149">
        <f>Industrial!$E$96/12*G477</f>
        <v>1979.0210212116347</v>
      </c>
      <c r="J478" s="187">
        <f t="shared" si="100"/>
        <v>8757.4114390311461</v>
      </c>
      <c r="K478" s="72">
        <f t="shared" si="104"/>
        <v>312</v>
      </c>
      <c r="L478" s="180">
        <f t="shared" si="101"/>
        <v>738967.38419211423</v>
      </c>
      <c r="M478" s="181">
        <f t="shared" si="101"/>
        <v>16895.089771747207</v>
      </c>
      <c r="N478" s="180">
        <f t="shared" si="101"/>
        <v>2905.6602499553469</v>
      </c>
      <c r="O478" s="132">
        <f t="shared" si="101"/>
        <v>13989.429521791862</v>
      </c>
    </row>
    <row r="479" spans="1:15" x14ac:dyDescent="0.25">
      <c r="A479" s="72">
        <f t="shared" si="102"/>
        <v>313</v>
      </c>
      <c r="B479" s="183">
        <f t="shared" si="97"/>
        <v>267510.29239731637</v>
      </c>
      <c r="C479" s="184">
        <f>-Industrial!$E$93/12</f>
        <v>6158.6573115044275</v>
      </c>
      <c r="D479" s="183">
        <f>Industrial!$E$91/12*B478</f>
        <v>909.19916846784326</v>
      </c>
      <c r="E479" s="185">
        <f t="shared" si="98"/>
        <v>5249.4581430365843</v>
      </c>
      <c r="F479" s="72">
        <f t="shared" si="103"/>
        <v>313</v>
      </c>
      <c r="G479" s="180">
        <f t="shared" si="99"/>
        <v>457413.73299840075</v>
      </c>
      <c r="H479" s="186">
        <f>-Industrial!$E$98/12</f>
        <v>10736.432460242781</v>
      </c>
      <c r="I479" s="149">
        <f>Industrial!$E$96/12*G478</f>
        <v>1942.5318068823383</v>
      </c>
      <c r="J479" s="187">
        <f t="shared" si="100"/>
        <v>8793.9006533604424</v>
      </c>
      <c r="K479" s="72">
        <f t="shared" si="104"/>
        <v>313</v>
      </c>
      <c r="L479" s="180">
        <f t="shared" si="101"/>
        <v>724924.02539571712</v>
      </c>
      <c r="M479" s="181">
        <f t="shared" si="101"/>
        <v>16895.089771747207</v>
      </c>
      <c r="N479" s="180">
        <f t="shared" si="101"/>
        <v>2851.7309753501813</v>
      </c>
      <c r="O479" s="132">
        <f t="shared" si="101"/>
        <v>14043.358796397028</v>
      </c>
    </row>
    <row r="480" spans="1:15" x14ac:dyDescent="0.25">
      <c r="A480" s="72">
        <f t="shared" si="102"/>
        <v>314</v>
      </c>
      <c r="B480" s="183">
        <f t="shared" si="97"/>
        <v>262243.33606046968</v>
      </c>
      <c r="C480" s="184">
        <f>-Industrial!$E$93/12</f>
        <v>6158.6573115044275</v>
      </c>
      <c r="D480" s="183">
        <f>Industrial!$E$91/12*B479</f>
        <v>891.7009746577213</v>
      </c>
      <c r="E480" s="185">
        <f t="shared" si="98"/>
        <v>5266.9563368467061</v>
      </c>
      <c r="F480" s="72">
        <f t="shared" si="103"/>
        <v>314</v>
      </c>
      <c r="G480" s="180">
        <f t="shared" si="99"/>
        <v>448583.19109231798</v>
      </c>
      <c r="H480" s="186">
        <f>-Industrial!$E$98/12</f>
        <v>10736.432460242781</v>
      </c>
      <c r="I480" s="149">
        <f>Industrial!$E$96/12*G479</f>
        <v>1905.8905541600031</v>
      </c>
      <c r="J480" s="187">
        <f t="shared" si="100"/>
        <v>8830.5419060827771</v>
      </c>
      <c r="K480" s="72">
        <f t="shared" si="104"/>
        <v>314</v>
      </c>
      <c r="L480" s="180">
        <f t="shared" si="101"/>
        <v>710826.52715278766</v>
      </c>
      <c r="M480" s="181">
        <f t="shared" si="101"/>
        <v>16895.089771747207</v>
      </c>
      <c r="N480" s="180">
        <f t="shared" si="101"/>
        <v>2797.5915288177243</v>
      </c>
      <c r="O480" s="132">
        <f t="shared" si="101"/>
        <v>14097.498242929483</v>
      </c>
    </row>
    <row r="481" spans="1:15" x14ac:dyDescent="0.25">
      <c r="A481" s="72">
        <f t="shared" si="102"/>
        <v>315</v>
      </c>
      <c r="B481" s="183">
        <f t="shared" si="97"/>
        <v>256958.82320250015</v>
      </c>
      <c r="C481" s="184">
        <f>-Industrial!$E$93/12</f>
        <v>6158.6573115044275</v>
      </c>
      <c r="D481" s="183">
        <f>Industrial!$E$91/12*B480</f>
        <v>874.14445353489896</v>
      </c>
      <c r="E481" s="185">
        <f t="shared" si="98"/>
        <v>5284.5128579695283</v>
      </c>
      <c r="F481" s="72">
        <f t="shared" si="103"/>
        <v>315</v>
      </c>
      <c r="G481" s="180">
        <f t="shared" si="99"/>
        <v>439715.85526162654</v>
      </c>
      <c r="H481" s="186">
        <f>-Industrial!$E$98/12</f>
        <v>10736.432460242781</v>
      </c>
      <c r="I481" s="149">
        <f>Industrial!$E$96/12*G480</f>
        <v>1869.0966295513249</v>
      </c>
      <c r="J481" s="187">
        <f t="shared" si="100"/>
        <v>8867.3358306914561</v>
      </c>
      <c r="K481" s="72">
        <f t="shared" si="104"/>
        <v>315</v>
      </c>
      <c r="L481" s="180">
        <f t="shared" si="101"/>
        <v>696674.67846412666</v>
      </c>
      <c r="M481" s="181">
        <f t="shared" si="101"/>
        <v>16895.089771747207</v>
      </c>
      <c r="N481" s="180">
        <f t="shared" si="101"/>
        <v>2743.2410830862236</v>
      </c>
      <c r="O481" s="132">
        <f t="shared" si="101"/>
        <v>14151.848688660984</v>
      </c>
    </row>
    <row r="482" spans="1:15" x14ac:dyDescent="0.25">
      <c r="A482" s="72">
        <f t="shared" si="102"/>
        <v>316</v>
      </c>
      <c r="B482" s="183">
        <f t="shared" si="97"/>
        <v>251656.69530167073</v>
      </c>
      <c r="C482" s="184">
        <f>-Industrial!$E$93/12</f>
        <v>6158.6573115044275</v>
      </c>
      <c r="D482" s="183">
        <f>Industrial!$E$91/12*B481</f>
        <v>856.52941067500058</v>
      </c>
      <c r="E482" s="185">
        <f t="shared" si="98"/>
        <v>5302.1279008294268</v>
      </c>
      <c r="F482" s="72">
        <f t="shared" si="103"/>
        <v>316</v>
      </c>
      <c r="G482" s="180">
        <f t="shared" si="99"/>
        <v>430811.5721983072</v>
      </c>
      <c r="H482" s="186">
        <f>-Industrial!$E$98/12</f>
        <v>10736.432460242781</v>
      </c>
      <c r="I482" s="149">
        <f>Industrial!$E$96/12*G481</f>
        <v>1832.1493969234439</v>
      </c>
      <c r="J482" s="187">
        <f t="shared" si="100"/>
        <v>8904.2830633193371</v>
      </c>
      <c r="K482" s="72">
        <f t="shared" si="104"/>
        <v>316</v>
      </c>
      <c r="L482" s="180">
        <f t="shared" si="101"/>
        <v>682468.26749997796</v>
      </c>
      <c r="M482" s="181">
        <f t="shared" si="101"/>
        <v>16895.089771747207</v>
      </c>
      <c r="N482" s="180">
        <f t="shared" si="101"/>
        <v>2688.6788075984446</v>
      </c>
      <c r="O482" s="132">
        <f t="shared" si="101"/>
        <v>14206.410964148763</v>
      </c>
    </row>
    <row r="483" spans="1:15" x14ac:dyDescent="0.25">
      <c r="A483" s="72">
        <f t="shared" si="102"/>
        <v>317</v>
      </c>
      <c r="B483" s="183">
        <f t="shared" si="97"/>
        <v>246336.89364117186</v>
      </c>
      <c r="C483" s="184">
        <f>-Industrial!$E$93/12</f>
        <v>6158.6573115044275</v>
      </c>
      <c r="D483" s="183">
        <f>Industrial!$E$91/12*B482</f>
        <v>838.85565100556914</v>
      </c>
      <c r="E483" s="185">
        <f t="shared" si="98"/>
        <v>5319.8016604988588</v>
      </c>
      <c r="F483" s="72">
        <f t="shared" si="103"/>
        <v>317</v>
      </c>
      <c r="G483" s="180">
        <f t="shared" si="99"/>
        <v>421870.18795555737</v>
      </c>
      <c r="H483" s="186">
        <f>-Industrial!$E$98/12</f>
        <v>10736.432460242781</v>
      </c>
      <c r="I483" s="149">
        <f>Industrial!$E$96/12*G482</f>
        <v>1795.0482174929466</v>
      </c>
      <c r="J483" s="187">
        <f t="shared" si="100"/>
        <v>8941.3842427498348</v>
      </c>
      <c r="K483" s="72">
        <f t="shared" si="104"/>
        <v>317</v>
      </c>
      <c r="L483" s="180">
        <f t="shared" si="101"/>
        <v>668207.08159672923</v>
      </c>
      <c r="M483" s="181">
        <f t="shared" si="101"/>
        <v>16895.089771747207</v>
      </c>
      <c r="N483" s="180">
        <f t="shared" si="101"/>
        <v>2633.9038684985157</v>
      </c>
      <c r="O483" s="132">
        <f t="shared" si="101"/>
        <v>14261.185903248694</v>
      </c>
    </row>
    <row r="484" spans="1:15" x14ac:dyDescent="0.25">
      <c r="A484" s="72">
        <f t="shared" si="102"/>
        <v>318</v>
      </c>
      <c r="B484" s="183">
        <f t="shared" si="97"/>
        <v>240999.35930847135</v>
      </c>
      <c r="C484" s="184">
        <f>-Industrial!$E$93/12</f>
        <v>6158.6573115044275</v>
      </c>
      <c r="D484" s="183">
        <f>Industrial!$E$91/12*B483</f>
        <v>821.12297880390622</v>
      </c>
      <c r="E484" s="185">
        <f t="shared" si="98"/>
        <v>5337.5343327005212</v>
      </c>
      <c r="F484" s="72">
        <f t="shared" si="103"/>
        <v>318</v>
      </c>
      <c r="G484" s="180">
        <f t="shared" si="99"/>
        <v>412891.54794512939</v>
      </c>
      <c r="H484" s="186">
        <f>-Industrial!$E$98/12</f>
        <v>10736.432460242781</v>
      </c>
      <c r="I484" s="149">
        <f>Industrial!$E$96/12*G483</f>
        <v>1757.7924498148222</v>
      </c>
      <c r="J484" s="187">
        <f t="shared" si="100"/>
        <v>8978.6400104279583</v>
      </c>
      <c r="K484" s="72">
        <f t="shared" si="104"/>
        <v>318</v>
      </c>
      <c r="L484" s="180">
        <f t="shared" si="101"/>
        <v>653890.90725360077</v>
      </c>
      <c r="M484" s="181">
        <f t="shared" si="101"/>
        <v>16895.089771747207</v>
      </c>
      <c r="N484" s="180">
        <f t="shared" si="101"/>
        <v>2578.9154286187286</v>
      </c>
      <c r="O484" s="132">
        <f t="shared" si="101"/>
        <v>14316.174343128479</v>
      </c>
    </row>
    <row r="485" spans="1:15" x14ac:dyDescent="0.25">
      <c r="A485" s="72">
        <f t="shared" si="102"/>
        <v>319</v>
      </c>
      <c r="B485" s="183">
        <f t="shared" si="97"/>
        <v>235644.03319466184</v>
      </c>
      <c r="C485" s="184">
        <f>-Industrial!$E$93/12</f>
        <v>6158.6573115044275</v>
      </c>
      <c r="D485" s="183">
        <f>Industrial!$E$91/12*B484</f>
        <v>803.33119769490452</v>
      </c>
      <c r="E485" s="185">
        <f t="shared" si="98"/>
        <v>5355.3261138095231</v>
      </c>
      <c r="F485" s="72">
        <f t="shared" si="103"/>
        <v>319</v>
      </c>
      <c r="G485" s="180">
        <f t="shared" si="99"/>
        <v>403875.49693465797</v>
      </c>
      <c r="H485" s="186">
        <f>-Industrial!$E$98/12</f>
        <v>10736.432460242781</v>
      </c>
      <c r="I485" s="149">
        <f>Industrial!$E$96/12*G484</f>
        <v>1720.3814497713724</v>
      </c>
      <c r="J485" s="187">
        <f t="shared" si="100"/>
        <v>9016.0510104714085</v>
      </c>
      <c r="K485" s="72">
        <f t="shared" si="104"/>
        <v>319</v>
      </c>
      <c r="L485" s="180">
        <f t="shared" si="101"/>
        <v>639519.53012931976</v>
      </c>
      <c r="M485" s="181">
        <f t="shared" si="101"/>
        <v>16895.089771747207</v>
      </c>
      <c r="N485" s="180">
        <f t="shared" si="101"/>
        <v>2523.7126474662768</v>
      </c>
      <c r="O485" s="132">
        <f t="shared" si="101"/>
        <v>14371.377124280931</v>
      </c>
    </row>
    <row r="486" spans="1:15" x14ac:dyDescent="0.25">
      <c r="A486" s="72">
        <f t="shared" si="102"/>
        <v>320</v>
      </c>
      <c r="B486" s="183">
        <f t="shared" si="97"/>
        <v>230270.8559938063</v>
      </c>
      <c r="C486" s="184">
        <f>-Industrial!$E$93/12</f>
        <v>6158.6573115044275</v>
      </c>
      <c r="D486" s="183">
        <f>Industrial!$E$91/12*B485</f>
        <v>785.48011064887282</v>
      </c>
      <c r="E486" s="185">
        <f t="shared" si="98"/>
        <v>5373.1772008555545</v>
      </c>
      <c r="F486" s="72">
        <f t="shared" si="103"/>
        <v>320</v>
      </c>
      <c r="G486" s="180">
        <f t="shared" si="99"/>
        <v>394821.87904497626</v>
      </c>
      <c r="H486" s="186">
        <f>-Industrial!$E$98/12</f>
        <v>10736.432460242781</v>
      </c>
      <c r="I486" s="149">
        <f>Industrial!$E$96/12*G485</f>
        <v>1682.8145705610748</v>
      </c>
      <c r="J486" s="187">
        <f t="shared" si="100"/>
        <v>9053.6178896817055</v>
      </c>
      <c r="K486" s="72">
        <f t="shared" si="104"/>
        <v>320</v>
      </c>
      <c r="L486" s="180">
        <f t="shared" si="101"/>
        <v>625092.73503878259</v>
      </c>
      <c r="M486" s="181">
        <f t="shared" si="101"/>
        <v>16895.089771747207</v>
      </c>
      <c r="N486" s="180">
        <f t="shared" si="101"/>
        <v>2468.2946812099476</v>
      </c>
      <c r="O486" s="132">
        <f t="shared" ref="O486:O526" si="105">J486+E486</f>
        <v>14426.79509053726</v>
      </c>
    </row>
    <row r="487" spans="1:15" x14ac:dyDescent="0.25">
      <c r="A487" s="72">
        <f t="shared" si="102"/>
        <v>321</v>
      </c>
      <c r="B487" s="183">
        <f t="shared" ref="B487:B526" si="106">B486-E487</f>
        <v>224879.76820228124</v>
      </c>
      <c r="C487" s="184">
        <f>-Industrial!$E$93/12</f>
        <v>6158.6573115044275</v>
      </c>
      <c r="D487" s="183">
        <f>Industrial!$E$91/12*B486</f>
        <v>767.56951997935437</v>
      </c>
      <c r="E487" s="185">
        <f t="shared" ref="E487:E526" si="107">C487-D487</f>
        <v>5391.087791525073</v>
      </c>
      <c r="F487" s="72">
        <f t="shared" si="103"/>
        <v>321</v>
      </c>
      <c r="G487" s="180">
        <f t="shared" ref="G487:G526" si="108">G486-J487</f>
        <v>385730.53774742089</v>
      </c>
      <c r="H487" s="186">
        <f>-Industrial!$E$98/12</f>
        <v>10736.432460242781</v>
      </c>
      <c r="I487" s="149">
        <f>Industrial!$E$96/12*G486</f>
        <v>1645.091162687401</v>
      </c>
      <c r="J487" s="187">
        <f t="shared" ref="J487:J526" si="109">H487-I487</f>
        <v>9091.3412975553802</v>
      </c>
      <c r="K487" s="72">
        <f t="shared" si="104"/>
        <v>321</v>
      </c>
      <c r="L487" s="180">
        <f t="shared" ref="L487:N526" si="110">G487+B487</f>
        <v>610610.30594970216</v>
      </c>
      <c r="M487" s="181">
        <f t="shared" si="110"/>
        <v>16895.089771747207</v>
      </c>
      <c r="N487" s="180">
        <f t="shared" si="110"/>
        <v>2412.6606826667553</v>
      </c>
      <c r="O487" s="132">
        <f t="shared" si="105"/>
        <v>14482.429089080453</v>
      </c>
    </row>
    <row r="488" spans="1:15" x14ac:dyDescent="0.25">
      <c r="A488" s="72">
        <f t="shared" ref="A488:A526" si="111">A487+1</f>
        <v>322</v>
      </c>
      <c r="B488" s="183">
        <f t="shared" si="106"/>
        <v>219470.71011811774</v>
      </c>
      <c r="C488" s="184">
        <f>-Industrial!$E$93/12</f>
        <v>6158.6573115044275</v>
      </c>
      <c r="D488" s="183">
        <f>Industrial!$E$91/12*B487</f>
        <v>749.59922734093755</v>
      </c>
      <c r="E488" s="185">
        <f t="shared" si="107"/>
        <v>5409.0580841634901</v>
      </c>
      <c r="F488" s="72">
        <f t="shared" ref="F488:F526" si="112">F487+1</f>
        <v>322</v>
      </c>
      <c r="G488" s="180">
        <f t="shared" si="108"/>
        <v>376601.31586112571</v>
      </c>
      <c r="H488" s="186">
        <f>-Industrial!$E$98/12</f>
        <v>10736.432460242781</v>
      </c>
      <c r="I488" s="149">
        <f>Industrial!$E$96/12*G487</f>
        <v>1607.2105739475871</v>
      </c>
      <c r="J488" s="187">
        <f t="shared" si="109"/>
        <v>9129.2218862951941</v>
      </c>
      <c r="K488" s="72">
        <f t="shared" ref="K488:K526" si="113">K487+1</f>
        <v>322</v>
      </c>
      <c r="L488" s="180">
        <f t="shared" si="110"/>
        <v>596072.02597924345</v>
      </c>
      <c r="M488" s="181">
        <f t="shared" si="110"/>
        <v>16895.089771747207</v>
      </c>
      <c r="N488" s="180">
        <f t="shared" si="110"/>
        <v>2356.8098012885248</v>
      </c>
      <c r="O488" s="132">
        <f t="shared" si="105"/>
        <v>14538.279970458683</v>
      </c>
    </row>
    <row r="489" spans="1:15" x14ac:dyDescent="0.25">
      <c r="A489" s="72">
        <f t="shared" si="111"/>
        <v>323</v>
      </c>
      <c r="B489" s="183">
        <f t="shared" si="106"/>
        <v>214043.62184034038</v>
      </c>
      <c r="C489" s="184">
        <f>-Industrial!$E$93/12</f>
        <v>6158.6573115044275</v>
      </c>
      <c r="D489" s="183">
        <f>Industrial!$E$91/12*B488</f>
        <v>731.56903372705915</v>
      </c>
      <c r="E489" s="185">
        <f t="shared" si="107"/>
        <v>5427.0882777773686</v>
      </c>
      <c r="F489" s="72">
        <f t="shared" si="112"/>
        <v>323</v>
      </c>
      <c r="G489" s="180">
        <f t="shared" si="108"/>
        <v>367434.0555503043</v>
      </c>
      <c r="H489" s="186">
        <f>-Industrial!$E$98/12</f>
        <v>10736.432460242781</v>
      </c>
      <c r="I489" s="149">
        <f>Industrial!$E$96/12*G488</f>
        <v>1569.1721494213571</v>
      </c>
      <c r="J489" s="187">
        <f t="shared" si="109"/>
        <v>9167.2603108214244</v>
      </c>
      <c r="K489" s="72">
        <f t="shared" si="113"/>
        <v>323</v>
      </c>
      <c r="L489" s="180">
        <f t="shared" si="110"/>
        <v>581477.67739064468</v>
      </c>
      <c r="M489" s="181">
        <f t="shared" si="110"/>
        <v>16895.089771747207</v>
      </c>
      <c r="N489" s="180">
        <f t="shared" si="110"/>
        <v>2300.741183148416</v>
      </c>
      <c r="O489" s="132">
        <f t="shared" si="105"/>
        <v>14594.348588598794</v>
      </c>
    </row>
    <row r="490" spans="1:15" x14ac:dyDescent="0.25">
      <c r="A490" s="72">
        <f t="shared" si="111"/>
        <v>324</v>
      </c>
      <c r="B490" s="183">
        <f t="shared" si="106"/>
        <v>208598.44326830376</v>
      </c>
      <c r="C490" s="184">
        <f>-Industrial!$E$93/12</f>
        <v>6158.6573115044275</v>
      </c>
      <c r="D490" s="183">
        <f>Industrial!$E$91/12*B489</f>
        <v>713.47873946780135</v>
      </c>
      <c r="E490" s="185">
        <f t="shared" si="107"/>
        <v>5445.1785720366261</v>
      </c>
      <c r="F490" s="72">
        <f t="shared" si="112"/>
        <v>324</v>
      </c>
      <c r="G490" s="180">
        <f t="shared" si="108"/>
        <v>358228.59832152113</v>
      </c>
      <c r="H490" s="186">
        <f>-Industrial!$E$98/12</f>
        <v>10736.432460242781</v>
      </c>
      <c r="I490" s="149">
        <f>Industrial!$E$96/12*G489</f>
        <v>1530.9752314596012</v>
      </c>
      <c r="J490" s="187">
        <f t="shared" si="109"/>
        <v>9205.4572287831797</v>
      </c>
      <c r="K490" s="72">
        <f t="shared" si="113"/>
        <v>324</v>
      </c>
      <c r="L490" s="180">
        <f t="shared" si="110"/>
        <v>566827.04158982495</v>
      </c>
      <c r="M490" s="181">
        <f t="shared" si="110"/>
        <v>16895.089771747207</v>
      </c>
      <c r="N490" s="180">
        <f t="shared" si="110"/>
        <v>2244.4539709274027</v>
      </c>
      <c r="O490" s="132">
        <f t="shared" si="105"/>
        <v>14650.635800819806</v>
      </c>
    </row>
    <row r="491" spans="1:15" x14ac:dyDescent="0.25">
      <c r="A491" s="72">
        <f t="shared" si="111"/>
        <v>325</v>
      </c>
      <c r="B491" s="183">
        <f t="shared" si="106"/>
        <v>203135.11410102702</v>
      </c>
      <c r="C491" s="184">
        <f>-Industrial!$E$93/12</f>
        <v>6158.6573115044275</v>
      </c>
      <c r="D491" s="183">
        <f>Industrial!$E$91/12*B490</f>
        <v>695.32814422767922</v>
      </c>
      <c r="E491" s="185">
        <f t="shared" si="107"/>
        <v>5463.3291672767482</v>
      </c>
      <c r="F491" s="72">
        <f t="shared" si="112"/>
        <v>325</v>
      </c>
      <c r="G491" s="180">
        <f t="shared" si="108"/>
        <v>348984.78502095136</v>
      </c>
      <c r="H491" s="186">
        <f>-Industrial!$E$98/12</f>
        <v>10736.432460242781</v>
      </c>
      <c r="I491" s="149">
        <f>Industrial!$E$96/12*G490</f>
        <v>1492.6191596730048</v>
      </c>
      <c r="J491" s="187">
        <f t="shared" si="109"/>
        <v>9243.8133005697764</v>
      </c>
      <c r="K491" s="72">
        <f t="shared" si="113"/>
        <v>325</v>
      </c>
      <c r="L491" s="180">
        <f t="shared" si="110"/>
        <v>552119.89912197832</v>
      </c>
      <c r="M491" s="181">
        <f t="shared" si="110"/>
        <v>16895.089771747207</v>
      </c>
      <c r="N491" s="180">
        <f t="shared" si="110"/>
        <v>2187.9473039006839</v>
      </c>
      <c r="O491" s="132">
        <f t="shared" si="105"/>
        <v>14707.142467846525</v>
      </c>
    </row>
    <row r="492" spans="1:15" x14ac:dyDescent="0.25">
      <c r="A492" s="72">
        <f t="shared" si="111"/>
        <v>326</v>
      </c>
      <c r="B492" s="183">
        <f t="shared" si="106"/>
        <v>197653.57383652602</v>
      </c>
      <c r="C492" s="184">
        <f>-Industrial!$E$93/12</f>
        <v>6158.6573115044275</v>
      </c>
      <c r="D492" s="183">
        <f>Industrial!$E$91/12*B491</f>
        <v>677.11704700342341</v>
      </c>
      <c r="E492" s="185">
        <f t="shared" si="107"/>
        <v>5481.5402645010045</v>
      </c>
      <c r="F492" s="72">
        <f t="shared" si="112"/>
        <v>326</v>
      </c>
      <c r="G492" s="180">
        <f t="shared" si="108"/>
        <v>339702.45583162922</v>
      </c>
      <c r="H492" s="186">
        <f>-Industrial!$E$98/12</f>
        <v>10736.432460242781</v>
      </c>
      <c r="I492" s="149">
        <f>Industrial!$E$96/12*G491</f>
        <v>1454.1032709206306</v>
      </c>
      <c r="J492" s="187">
        <f t="shared" si="109"/>
        <v>9282.3291893221503</v>
      </c>
      <c r="K492" s="72">
        <f t="shared" si="113"/>
        <v>326</v>
      </c>
      <c r="L492" s="180">
        <f t="shared" si="110"/>
        <v>537356.02966815524</v>
      </c>
      <c r="M492" s="181">
        <f t="shared" si="110"/>
        <v>16895.089771747207</v>
      </c>
      <c r="N492" s="180">
        <f t="shared" si="110"/>
        <v>2131.2203179240541</v>
      </c>
      <c r="O492" s="132">
        <f t="shared" si="105"/>
        <v>14763.869453823154</v>
      </c>
    </row>
    <row r="493" spans="1:15" x14ac:dyDescent="0.25">
      <c r="A493" s="72">
        <f t="shared" si="111"/>
        <v>327</v>
      </c>
      <c r="B493" s="183">
        <f t="shared" si="106"/>
        <v>192153.76177114336</v>
      </c>
      <c r="C493" s="184">
        <f>-Industrial!$E$93/12</f>
        <v>6158.6573115044275</v>
      </c>
      <c r="D493" s="183">
        <f>Industrial!$E$91/12*B492</f>
        <v>658.84524612175346</v>
      </c>
      <c r="E493" s="185">
        <f t="shared" si="107"/>
        <v>5499.8120653826736</v>
      </c>
      <c r="F493" s="72">
        <f t="shared" si="112"/>
        <v>327</v>
      </c>
      <c r="G493" s="180">
        <f t="shared" si="108"/>
        <v>330381.4502706849</v>
      </c>
      <c r="H493" s="186">
        <f>-Industrial!$E$98/12</f>
        <v>10736.432460242781</v>
      </c>
      <c r="I493" s="149">
        <f>Industrial!$E$96/12*G492</f>
        <v>1415.4268992984551</v>
      </c>
      <c r="J493" s="187">
        <f t="shared" si="109"/>
        <v>9321.0055609443261</v>
      </c>
      <c r="K493" s="72">
        <f t="shared" si="113"/>
        <v>327</v>
      </c>
      <c r="L493" s="180">
        <f t="shared" si="110"/>
        <v>522535.21204182826</v>
      </c>
      <c r="M493" s="181">
        <f t="shared" si="110"/>
        <v>16895.089771747207</v>
      </c>
      <c r="N493" s="180">
        <f t="shared" si="110"/>
        <v>2074.2721454202083</v>
      </c>
      <c r="O493" s="132">
        <f t="shared" si="105"/>
        <v>14820.817626327</v>
      </c>
    </row>
    <row r="494" spans="1:15" x14ac:dyDescent="0.25">
      <c r="A494" s="72">
        <f t="shared" si="111"/>
        <v>328</v>
      </c>
      <c r="B494" s="183">
        <f t="shared" si="106"/>
        <v>186635.61699887607</v>
      </c>
      <c r="C494" s="184">
        <f>-Industrial!$E$93/12</f>
        <v>6158.6573115044275</v>
      </c>
      <c r="D494" s="183">
        <f>Industrial!$E$91/12*B493</f>
        <v>640.51253923714455</v>
      </c>
      <c r="E494" s="185">
        <f t="shared" si="107"/>
        <v>5518.1447722672829</v>
      </c>
      <c r="F494" s="72">
        <f t="shared" si="112"/>
        <v>328</v>
      </c>
      <c r="G494" s="180">
        <f t="shared" si="108"/>
        <v>321021.60718656995</v>
      </c>
      <c r="H494" s="186">
        <f>-Industrial!$E$98/12</f>
        <v>10736.432460242781</v>
      </c>
      <c r="I494" s="149">
        <f>Industrial!$E$96/12*G493</f>
        <v>1376.5893761278537</v>
      </c>
      <c r="J494" s="187">
        <f t="shared" si="109"/>
        <v>9359.8430841149275</v>
      </c>
      <c r="K494" s="72">
        <f t="shared" si="113"/>
        <v>328</v>
      </c>
      <c r="L494" s="180">
        <f t="shared" si="110"/>
        <v>507657.22418544604</v>
      </c>
      <c r="M494" s="181">
        <f t="shared" si="110"/>
        <v>16895.089771747207</v>
      </c>
      <c r="N494" s="180">
        <f t="shared" si="110"/>
        <v>2017.1019153649981</v>
      </c>
      <c r="O494" s="132">
        <f t="shared" si="105"/>
        <v>14877.987856382209</v>
      </c>
    </row>
    <row r="495" spans="1:15" x14ac:dyDescent="0.25">
      <c r="A495" s="72">
        <f t="shared" si="111"/>
        <v>329</v>
      </c>
      <c r="B495" s="183">
        <f t="shared" si="106"/>
        <v>181099.07841070122</v>
      </c>
      <c r="C495" s="184">
        <f>-Industrial!$E$93/12</f>
        <v>6158.6573115044275</v>
      </c>
      <c r="D495" s="183">
        <f>Industrial!$E$91/12*B494</f>
        <v>622.11872332958694</v>
      </c>
      <c r="E495" s="185">
        <f t="shared" si="107"/>
        <v>5536.5385881748407</v>
      </c>
      <c r="F495" s="72">
        <f t="shared" si="112"/>
        <v>329</v>
      </c>
      <c r="G495" s="180">
        <f t="shared" si="108"/>
        <v>311622.76475627121</v>
      </c>
      <c r="H495" s="186">
        <f>-Industrial!$E$98/12</f>
        <v>10736.432460242781</v>
      </c>
      <c r="I495" s="149">
        <f>Industrial!$E$96/12*G494</f>
        <v>1337.5900299440414</v>
      </c>
      <c r="J495" s="187">
        <f t="shared" si="109"/>
        <v>9398.8424302987387</v>
      </c>
      <c r="K495" s="72">
        <f t="shared" si="113"/>
        <v>329</v>
      </c>
      <c r="L495" s="180">
        <f t="shared" si="110"/>
        <v>492721.84316697239</v>
      </c>
      <c r="M495" s="181">
        <f t="shared" si="110"/>
        <v>16895.089771747207</v>
      </c>
      <c r="N495" s="180">
        <f t="shared" si="110"/>
        <v>1959.7087532736282</v>
      </c>
      <c r="O495" s="132">
        <f t="shared" si="105"/>
        <v>14935.381018473579</v>
      </c>
    </row>
    <row r="496" spans="1:15" x14ac:dyDescent="0.25">
      <c r="A496" s="72">
        <f t="shared" si="111"/>
        <v>330</v>
      </c>
      <c r="B496" s="183">
        <f t="shared" si="106"/>
        <v>175544.08469389912</v>
      </c>
      <c r="C496" s="184">
        <f>-Industrial!$E$93/12</f>
        <v>6158.6573115044275</v>
      </c>
      <c r="D496" s="183">
        <f>Industrial!$E$91/12*B495</f>
        <v>603.66359470233738</v>
      </c>
      <c r="E496" s="185">
        <f t="shared" si="107"/>
        <v>5554.9937168020897</v>
      </c>
      <c r="F496" s="72">
        <f t="shared" si="112"/>
        <v>330</v>
      </c>
      <c r="G496" s="180">
        <f t="shared" si="108"/>
        <v>302184.76048251288</v>
      </c>
      <c r="H496" s="186">
        <f>-Industrial!$E$98/12</f>
        <v>10736.432460242781</v>
      </c>
      <c r="I496" s="149">
        <f>Industrial!$E$96/12*G495</f>
        <v>1298.4281864844634</v>
      </c>
      <c r="J496" s="187">
        <f t="shared" si="109"/>
        <v>9438.0042737583171</v>
      </c>
      <c r="K496" s="72">
        <f t="shared" si="113"/>
        <v>330</v>
      </c>
      <c r="L496" s="180">
        <f t="shared" si="110"/>
        <v>477728.84517641203</v>
      </c>
      <c r="M496" s="181">
        <f t="shared" si="110"/>
        <v>16895.089771747207</v>
      </c>
      <c r="N496" s="180">
        <f t="shared" si="110"/>
        <v>1902.0917811868007</v>
      </c>
      <c r="O496" s="132">
        <f t="shared" si="105"/>
        <v>14992.997990560407</v>
      </c>
    </row>
    <row r="497" spans="1:15" x14ac:dyDescent="0.25">
      <c r="A497" s="72">
        <f t="shared" si="111"/>
        <v>331</v>
      </c>
      <c r="B497" s="183">
        <f t="shared" si="106"/>
        <v>169970.57433137434</v>
      </c>
      <c r="C497" s="184">
        <f>-Industrial!$E$93/12</f>
        <v>6158.6573115044275</v>
      </c>
      <c r="D497" s="183">
        <f>Industrial!$E$91/12*B496</f>
        <v>585.14694897966376</v>
      </c>
      <c r="E497" s="185">
        <f t="shared" si="107"/>
        <v>5573.5103625247639</v>
      </c>
      <c r="F497" s="72">
        <f t="shared" si="112"/>
        <v>331</v>
      </c>
      <c r="G497" s="180">
        <f t="shared" si="108"/>
        <v>292707.43119094725</v>
      </c>
      <c r="H497" s="186">
        <f>-Industrial!$E$98/12</f>
        <v>10736.432460242781</v>
      </c>
      <c r="I497" s="149">
        <f>Industrial!$E$96/12*G496</f>
        <v>1259.1031686771371</v>
      </c>
      <c r="J497" s="187">
        <f t="shared" si="109"/>
        <v>9477.3292915656439</v>
      </c>
      <c r="K497" s="72">
        <f t="shared" si="113"/>
        <v>331</v>
      </c>
      <c r="L497" s="180">
        <f t="shared" si="110"/>
        <v>462678.00552232156</v>
      </c>
      <c r="M497" s="181">
        <f t="shared" si="110"/>
        <v>16895.089771747207</v>
      </c>
      <c r="N497" s="180">
        <f t="shared" si="110"/>
        <v>1844.2501176568007</v>
      </c>
      <c r="O497" s="132">
        <f t="shared" si="105"/>
        <v>15050.839654090407</v>
      </c>
    </row>
    <row r="498" spans="1:15" x14ac:dyDescent="0.25">
      <c r="A498" s="72">
        <f t="shared" si="111"/>
        <v>332</v>
      </c>
      <c r="B498" s="183">
        <f t="shared" si="106"/>
        <v>164378.4856009745</v>
      </c>
      <c r="C498" s="184">
        <f>-Industrial!$E$93/12</f>
        <v>6158.6573115044275</v>
      </c>
      <c r="D498" s="183">
        <f>Industrial!$E$91/12*B497</f>
        <v>566.5685811045812</v>
      </c>
      <c r="E498" s="185">
        <f t="shared" si="107"/>
        <v>5592.0887303998461</v>
      </c>
      <c r="F498" s="72">
        <f t="shared" si="112"/>
        <v>332</v>
      </c>
      <c r="G498" s="180">
        <f t="shared" si="108"/>
        <v>283190.6130273334</v>
      </c>
      <c r="H498" s="186">
        <f>-Industrial!$E$98/12</f>
        <v>10736.432460242781</v>
      </c>
      <c r="I498" s="149">
        <f>Industrial!$E$96/12*G497</f>
        <v>1219.6142966289469</v>
      </c>
      <c r="J498" s="187">
        <f t="shared" si="109"/>
        <v>9516.8181636138343</v>
      </c>
      <c r="K498" s="72">
        <f t="shared" si="113"/>
        <v>332</v>
      </c>
      <c r="L498" s="180">
        <f t="shared" si="110"/>
        <v>447569.09862830793</v>
      </c>
      <c r="M498" s="181">
        <f t="shared" si="110"/>
        <v>16895.089771747207</v>
      </c>
      <c r="N498" s="180">
        <f t="shared" si="110"/>
        <v>1786.1828777335281</v>
      </c>
      <c r="O498" s="132">
        <f t="shared" si="105"/>
        <v>15108.90689401368</v>
      </c>
    </row>
    <row r="499" spans="1:15" x14ac:dyDescent="0.25">
      <c r="A499" s="72">
        <f t="shared" si="111"/>
        <v>333</v>
      </c>
      <c r="B499" s="183">
        <f t="shared" si="106"/>
        <v>158767.75657480664</v>
      </c>
      <c r="C499" s="184">
        <f>-Industrial!$E$93/12</f>
        <v>6158.6573115044275</v>
      </c>
      <c r="D499" s="183">
        <f>Industrial!$E$91/12*B498</f>
        <v>547.92828533658167</v>
      </c>
      <c r="E499" s="185">
        <f t="shared" si="107"/>
        <v>5610.7290261678463</v>
      </c>
      <c r="F499" s="72">
        <f t="shared" si="112"/>
        <v>333</v>
      </c>
      <c r="G499" s="180">
        <f t="shared" si="108"/>
        <v>273634.14145470451</v>
      </c>
      <c r="H499" s="186">
        <f>-Industrial!$E$98/12</f>
        <v>10736.432460242781</v>
      </c>
      <c r="I499" s="149">
        <f>Industrial!$E$96/12*G498</f>
        <v>1179.9608876138891</v>
      </c>
      <c r="J499" s="187">
        <f t="shared" si="109"/>
        <v>9556.4715726288923</v>
      </c>
      <c r="K499" s="72">
        <f t="shared" si="113"/>
        <v>333</v>
      </c>
      <c r="L499" s="180">
        <f t="shared" si="110"/>
        <v>432401.89802951115</v>
      </c>
      <c r="M499" s="181">
        <f t="shared" si="110"/>
        <v>16895.089771747207</v>
      </c>
      <c r="N499" s="180">
        <f t="shared" si="110"/>
        <v>1727.8891729504708</v>
      </c>
      <c r="O499" s="132">
        <f t="shared" si="105"/>
        <v>15167.200598796739</v>
      </c>
    </row>
    <row r="500" spans="1:15" x14ac:dyDescent="0.25">
      <c r="A500" s="72">
        <f t="shared" si="111"/>
        <v>334</v>
      </c>
      <c r="B500" s="183">
        <f t="shared" si="106"/>
        <v>153138.32511855155</v>
      </c>
      <c r="C500" s="184">
        <f>-Industrial!$E$93/12</f>
        <v>6158.6573115044275</v>
      </c>
      <c r="D500" s="183">
        <f>Industrial!$E$91/12*B499</f>
        <v>529.2258552493555</v>
      </c>
      <c r="E500" s="185">
        <f t="shared" si="107"/>
        <v>5629.4314562550717</v>
      </c>
      <c r="F500" s="72">
        <f t="shared" si="112"/>
        <v>334</v>
      </c>
      <c r="G500" s="180">
        <f t="shared" si="108"/>
        <v>264037.851250523</v>
      </c>
      <c r="H500" s="186">
        <f>-Industrial!$E$98/12</f>
        <v>10736.432460242781</v>
      </c>
      <c r="I500" s="149">
        <f>Industrial!$E$96/12*G499</f>
        <v>1140.1422560612689</v>
      </c>
      <c r="J500" s="187">
        <f t="shared" si="109"/>
        <v>9596.2902041815123</v>
      </c>
      <c r="K500" s="72">
        <f t="shared" si="113"/>
        <v>334</v>
      </c>
      <c r="L500" s="180">
        <f t="shared" si="110"/>
        <v>417176.17636907456</v>
      </c>
      <c r="M500" s="181">
        <f t="shared" si="110"/>
        <v>16895.089771747207</v>
      </c>
      <c r="N500" s="180">
        <f t="shared" si="110"/>
        <v>1669.3681113106245</v>
      </c>
      <c r="O500" s="132">
        <f t="shared" si="105"/>
        <v>15225.721660436584</v>
      </c>
    </row>
    <row r="501" spans="1:15" x14ac:dyDescent="0.25">
      <c r="A501" s="72">
        <f t="shared" si="111"/>
        <v>335</v>
      </c>
      <c r="B501" s="183">
        <f t="shared" si="106"/>
        <v>147490.12889077564</v>
      </c>
      <c r="C501" s="184">
        <f>-Industrial!$E$93/12</f>
        <v>6158.6573115044275</v>
      </c>
      <c r="D501" s="183">
        <f>Industrial!$E$91/12*B500</f>
        <v>510.46108372850523</v>
      </c>
      <c r="E501" s="185">
        <f t="shared" si="107"/>
        <v>5648.1962277759221</v>
      </c>
      <c r="F501" s="72">
        <f t="shared" si="112"/>
        <v>335</v>
      </c>
      <c r="G501" s="180">
        <f t="shared" si="108"/>
        <v>254401.57650382406</v>
      </c>
      <c r="H501" s="186">
        <f>-Industrial!$E$98/12</f>
        <v>10736.432460242781</v>
      </c>
      <c r="I501" s="149">
        <f>Industrial!$E$96/12*G500</f>
        <v>1100.1577135438458</v>
      </c>
      <c r="J501" s="187">
        <f t="shared" si="109"/>
        <v>9636.2747466989349</v>
      </c>
      <c r="K501" s="72">
        <f t="shared" si="113"/>
        <v>335</v>
      </c>
      <c r="L501" s="180">
        <f t="shared" si="110"/>
        <v>401891.7053945997</v>
      </c>
      <c r="M501" s="181">
        <f t="shared" si="110"/>
        <v>16895.089771747207</v>
      </c>
      <c r="N501" s="180">
        <f t="shared" si="110"/>
        <v>1610.618797272351</v>
      </c>
      <c r="O501" s="132">
        <f t="shared" si="105"/>
        <v>15284.470974474858</v>
      </c>
    </row>
    <row r="502" spans="1:15" x14ac:dyDescent="0.25">
      <c r="A502" s="72">
        <f t="shared" si="111"/>
        <v>336</v>
      </c>
      <c r="B502" s="183">
        <f t="shared" si="106"/>
        <v>141823.10534224045</v>
      </c>
      <c r="C502" s="184">
        <f>-Industrial!$E$93/12</f>
        <v>6158.6573115044275</v>
      </c>
      <c r="D502" s="183">
        <f>Industrial!$E$91/12*B501</f>
        <v>491.63376296925219</v>
      </c>
      <c r="E502" s="185">
        <f t="shared" si="107"/>
        <v>5667.023548535175</v>
      </c>
      <c r="F502" s="72">
        <f t="shared" si="112"/>
        <v>336</v>
      </c>
      <c r="G502" s="180">
        <f t="shared" si="108"/>
        <v>244725.15061234721</v>
      </c>
      <c r="H502" s="186">
        <f>-Industrial!$E$98/12</f>
        <v>10736.432460242781</v>
      </c>
      <c r="I502" s="149">
        <f>Industrial!$E$96/12*G501</f>
        <v>1060.0065687659335</v>
      </c>
      <c r="J502" s="187">
        <f t="shared" si="109"/>
        <v>9676.425891476847</v>
      </c>
      <c r="K502" s="72">
        <f t="shared" si="113"/>
        <v>336</v>
      </c>
      <c r="L502" s="180">
        <f t="shared" si="110"/>
        <v>386548.25595458766</v>
      </c>
      <c r="M502" s="181">
        <f t="shared" si="110"/>
        <v>16895.089771747207</v>
      </c>
      <c r="N502" s="180">
        <f t="shared" si="110"/>
        <v>1551.6403317351856</v>
      </c>
      <c r="O502" s="132">
        <f t="shared" si="105"/>
        <v>15343.449440012022</v>
      </c>
    </row>
    <row r="503" spans="1:15" x14ac:dyDescent="0.25">
      <c r="A503" s="72">
        <f t="shared" si="111"/>
        <v>337</v>
      </c>
      <c r="B503" s="183">
        <f t="shared" si="106"/>
        <v>136137.19171521015</v>
      </c>
      <c r="C503" s="184">
        <f>-Industrial!$E$93/12</f>
        <v>6158.6573115044275</v>
      </c>
      <c r="D503" s="183">
        <f>Industrial!$E$91/12*B502</f>
        <v>472.74368447413485</v>
      </c>
      <c r="E503" s="185">
        <f t="shared" si="107"/>
        <v>5685.9136270302924</v>
      </c>
      <c r="F503" s="72">
        <f t="shared" si="112"/>
        <v>337</v>
      </c>
      <c r="G503" s="180">
        <f t="shared" si="108"/>
        <v>235008.40627965587</v>
      </c>
      <c r="H503" s="186">
        <f>-Industrial!$E$98/12</f>
        <v>10736.432460242781</v>
      </c>
      <c r="I503" s="149">
        <f>Industrial!$E$96/12*G502</f>
        <v>1019.6881275514467</v>
      </c>
      <c r="J503" s="187">
        <f t="shared" si="109"/>
        <v>9716.7443326913344</v>
      </c>
      <c r="K503" s="72">
        <f t="shared" si="113"/>
        <v>337</v>
      </c>
      <c r="L503" s="180">
        <f t="shared" si="110"/>
        <v>371145.59799486602</v>
      </c>
      <c r="M503" s="181">
        <f t="shared" si="110"/>
        <v>16895.089771747207</v>
      </c>
      <c r="N503" s="180">
        <f t="shared" si="110"/>
        <v>1492.4318120255816</v>
      </c>
      <c r="O503" s="132">
        <f t="shared" si="105"/>
        <v>15402.657959721626</v>
      </c>
    </row>
    <row r="504" spans="1:15" x14ac:dyDescent="0.25">
      <c r="A504" s="72">
        <f t="shared" si="111"/>
        <v>338</v>
      </c>
      <c r="B504" s="183">
        <f t="shared" si="106"/>
        <v>130432.32504275642</v>
      </c>
      <c r="C504" s="184">
        <f>-Industrial!$E$93/12</f>
        <v>6158.6573115044275</v>
      </c>
      <c r="D504" s="183">
        <f>Industrial!$E$91/12*B503</f>
        <v>453.79063905070052</v>
      </c>
      <c r="E504" s="185">
        <f t="shared" si="107"/>
        <v>5704.866672453727</v>
      </c>
      <c r="F504" s="72">
        <f t="shared" si="112"/>
        <v>338</v>
      </c>
      <c r="G504" s="180">
        <f t="shared" si="108"/>
        <v>225251.17551224498</v>
      </c>
      <c r="H504" s="186">
        <f>-Industrial!$E$98/12</f>
        <v>10736.432460242781</v>
      </c>
      <c r="I504" s="149">
        <f>Industrial!$E$96/12*G503</f>
        <v>979.20169283189944</v>
      </c>
      <c r="J504" s="187">
        <f t="shared" si="109"/>
        <v>9757.2307674108815</v>
      </c>
      <c r="K504" s="72">
        <f t="shared" si="113"/>
        <v>338</v>
      </c>
      <c r="L504" s="180">
        <f t="shared" si="110"/>
        <v>355683.50055500143</v>
      </c>
      <c r="M504" s="181">
        <f t="shared" si="110"/>
        <v>16895.089771747207</v>
      </c>
      <c r="N504" s="180">
        <f t="shared" si="110"/>
        <v>1432.9923318826</v>
      </c>
      <c r="O504" s="132">
        <f t="shared" si="105"/>
        <v>15462.097439864609</v>
      </c>
    </row>
    <row r="505" spans="1:15" x14ac:dyDescent="0.25">
      <c r="A505" s="72">
        <f t="shared" si="111"/>
        <v>339</v>
      </c>
      <c r="B505" s="183">
        <f t="shared" si="106"/>
        <v>124708.44214806118</v>
      </c>
      <c r="C505" s="184">
        <f>-Industrial!$E$93/12</f>
        <v>6158.6573115044275</v>
      </c>
      <c r="D505" s="183">
        <f>Industrial!$E$91/12*B504</f>
        <v>434.7744168091881</v>
      </c>
      <c r="E505" s="185">
        <f t="shared" si="107"/>
        <v>5723.8828946952399</v>
      </c>
      <c r="F505" s="72">
        <f t="shared" si="112"/>
        <v>339</v>
      </c>
      <c r="G505" s="180">
        <f t="shared" si="108"/>
        <v>215453.28961663655</v>
      </c>
      <c r="H505" s="186">
        <f>-Industrial!$E$98/12</f>
        <v>10736.432460242781</v>
      </c>
      <c r="I505" s="149">
        <f>Industrial!$E$96/12*G504</f>
        <v>938.54656463435413</v>
      </c>
      <c r="J505" s="187">
        <f t="shared" si="109"/>
        <v>9797.8858956084259</v>
      </c>
      <c r="K505" s="72">
        <f t="shared" si="113"/>
        <v>339</v>
      </c>
      <c r="L505" s="180">
        <f t="shared" si="110"/>
        <v>340161.7317646977</v>
      </c>
      <c r="M505" s="181">
        <f t="shared" si="110"/>
        <v>16895.089771747207</v>
      </c>
      <c r="N505" s="180">
        <f t="shared" si="110"/>
        <v>1373.3209814435422</v>
      </c>
      <c r="O505" s="132">
        <f t="shared" si="105"/>
        <v>15521.768790303666</v>
      </c>
    </row>
    <row r="506" spans="1:15" x14ac:dyDescent="0.25">
      <c r="A506" s="72">
        <f t="shared" si="111"/>
        <v>340</v>
      </c>
      <c r="B506" s="183">
        <f t="shared" si="106"/>
        <v>118965.47964371696</v>
      </c>
      <c r="C506" s="184">
        <f>-Industrial!$E$93/12</f>
        <v>6158.6573115044275</v>
      </c>
      <c r="D506" s="183">
        <f>Industrial!$E$91/12*B505</f>
        <v>415.69480716020394</v>
      </c>
      <c r="E506" s="185">
        <f t="shared" si="107"/>
        <v>5742.9625043442238</v>
      </c>
      <c r="F506" s="72">
        <f t="shared" si="112"/>
        <v>340</v>
      </c>
      <c r="G506" s="180">
        <f t="shared" si="108"/>
        <v>205614.57919646311</v>
      </c>
      <c r="H506" s="186">
        <f>-Industrial!$E$98/12</f>
        <v>10736.432460242781</v>
      </c>
      <c r="I506" s="149">
        <f>Industrial!$E$96/12*G505</f>
        <v>897.72204006931895</v>
      </c>
      <c r="J506" s="187">
        <f t="shared" si="109"/>
        <v>9838.7104201734619</v>
      </c>
      <c r="K506" s="72">
        <f t="shared" si="113"/>
        <v>340</v>
      </c>
      <c r="L506" s="180">
        <f t="shared" si="110"/>
        <v>324580.05884018005</v>
      </c>
      <c r="M506" s="181">
        <f t="shared" si="110"/>
        <v>16895.089771747207</v>
      </c>
      <c r="N506" s="180">
        <f t="shared" si="110"/>
        <v>1313.4168472295228</v>
      </c>
      <c r="O506" s="132">
        <f t="shared" si="105"/>
        <v>15581.672924517687</v>
      </c>
    </row>
    <row r="507" spans="1:15" x14ac:dyDescent="0.25">
      <c r="A507" s="72">
        <f t="shared" si="111"/>
        <v>341</v>
      </c>
      <c r="B507" s="183">
        <f t="shared" si="106"/>
        <v>113203.37393102492</v>
      </c>
      <c r="C507" s="184">
        <f>-Industrial!$E$93/12</f>
        <v>6158.6573115044275</v>
      </c>
      <c r="D507" s="183">
        <f>Industrial!$E$91/12*B506</f>
        <v>396.5515988123899</v>
      </c>
      <c r="E507" s="185">
        <f t="shared" si="107"/>
        <v>5762.1057126920377</v>
      </c>
      <c r="F507" s="72">
        <f t="shared" si="112"/>
        <v>341</v>
      </c>
      <c r="G507" s="180">
        <f t="shared" si="108"/>
        <v>195734.87414953893</v>
      </c>
      <c r="H507" s="186">
        <f>-Industrial!$E$98/12</f>
        <v>10736.432460242781</v>
      </c>
      <c r="I507" s="149">
        <f>Industrial!$E$96/12*G506</f>
        <v>856.72741331859629</v>
      </c>
      <c r="J507" s="187">
        <f t="shared" si="109"/>
        <v>9879.705046924184</v>
      </c>
      <c r="K507" s="72">
        <f t="shared" si="113"/>
        <v>341</v>
      </c>
      <c r="L507" s="180">
        <f t="shared" si="110"/>
        <v>308938.24808056385</v>
      </c>
      <c r="M507" s="181">
        <f t="shared" si="110"/>
        <v>16895.089771747207</v>
      </c>
      <c r="N507" s="180">
        <f t="shared" si="110"/>
        <v>1253.2790121309863</v>
      </c>
      <c r="O507" s="132">
        <f t="shared" si="105"/>
        <v>15641.810759616223</v>
      </c>
    </row>
    <row r="508" spans="1:15" x14ac:dyDescent="0.25">
      <c r="A508" s="72">
        <f t="shared" si="111"/>
        <v>342</v>
      </c>
      <c r="B508" s="183">
        <f t="shared" si="106"/>
        <v>107422.06119929058</v>
      </c>
      <c r="C508" s="184">
        <f>-Industrial!$E$93/12</f>
        <v>6158.6573115044275</v>
      </c>
      <c r="D508" s="183">
        <f>Industrial!$E$91/12*B507</f>
        <v>377.3445797700831</v>
      </c>
      <c r="E508" s="185">
        <f t="shared" si="107"/>
        <v>5781.3127317343442</v>
      </c>
      <c r="F508" s="72">
        <f t="shared" si="112"/>
        <v>342</v>
      </c>
      <c r="G508" s="180">
        <f t="shared" si="108"/>
        <v>185814.00366491923</v>
      </c>
      <c r="H508" s="186">
        <f>-Industrial!$E$98/12</f>
        <v>10736.432460242781</v>
      </c>
      <c r="I508" s="149">
        <f>Industrial!$E$96/12*G507</f>
        <v>815.56197562307887</v>
      </c>
      <c r="J508" s="187">
        <f t="shared" si="109"/>
        <v>9920.8704846197015</v>
      </c>
      <c r="K508" s="72">
        <f t="shared" si="113"/>
        <v>342</v>
      </c>
      <c r="L508" s="180">
        <f t="shared" si="110"/>
        <v>293236.06486420979</v>
      </c>
      <c r="M508" s="181">
        <f t="shared" si="110"/>
        <v>16895.089771747207</v>
      </c>
      <c r="N508" s="180">
        <f t="shared" si="110"/>
        <v>1192.9065553931619</v>
      </c>
      <c r="O508" s="132">
        <f t="shared" si="105"/>
        <v>15702.183216354046</v>
      </c>
    </row>
    <row r="509" spans="1:15" x14ac:dyDescent="0.25">
      <c r="A509" s="72">
        <f t="shared" si="111"/>
        <v>343</v>
      </c>
      <c r="B509" s="183">
        <f t="shared" si="106"/>
        <v>101621.47742511712</v>
      </c>
      <c r="C509" s="184">
        <f>-Industrial!$E$93/12</f>
        <v>6158.6573115044275</v>
      </c>
      <c r="D509" s="183">
        <f>Industrial!$E$91/12*B508</f>
        <v>358.07353733096863</v>
      </c>
      <c r="E509" s="185">
        <f t="shared" si="107"/>
        <v>5800.5837741734586</v>
      </c>
      <c r="F509" s="72">
        <f t="shared" si="112"/>
        <v>343</v>
      </c>
      <c r="G509" s="180">
        <f t="shared" si="108"/>
        <v>175851.79621994696</v>
      </c>
      <c r="H509" s="186">
        <f>-Industrial!$E$98/12</f>
        <v>10736.432460242781</v>
      </c>
      <c r="I509" s="149">
        <f>Industrial!$E$96/12*G508</f>
        <v>774.22501527049678</v>
      </c>
      <c r="J509" s="187">
        <f t="shared" si="109"/>
        <v>9962.2074449722841</v>
      </c>
      <c r="K509" s="72">
        <f t="shared" si="113"/>
        <v>343</v>
      </c>
      <c r="L509" s="180">
        <f t="shared" si="110"/>
        <v>277473.2736450641</v>
      </c>
      <c r="M509" s="181">
        <f t="shared" si="110"/>
        <v>16895.089771747207</v>
      </c>
      <c r="N509" s="180">
        <f t="shared" si="110"/>
        <v>1132.2985526014654</v>
      </c>
      <c r="O509" s="132">
        <f t="shared" si="105"/>
        <v>15762.791219145744</v>
      </c>
    </row>
    <row r="510" spans="1:15" x14ac:dyDescent="0.25">
      <c r="A510" s="72">
        <f t="shared" si="111"/>
        <v>344</v>
      </c>
      <c r="B510" s="183">
        <f t="shared" si="106"/>
        <v>95801.558371696417</v>
      </c>
      <c r="C510" s="184">
        <f>-Industrial!$E$93/12</f>
        <v>6158.6573115044275</v>
      </c>
      <c r="D510" s="183">
        <f>Industrial!$E$91/12*B509</f>
        <v>338.73825808372374</v>
      </c>
      <c r="E510" s="185">
        <f t="shared" si="107"/>
        <v>5819.9190534207037</v>
      </c>
      <c r="F510" s="72">
        <f t="shared" si="112"/>
        <v>344</v>
      </c>
      <c r="G510" s="180">
        <f t="shared" si="108"/>
        <v>165848.07957728728</v>
      </c>
      <c r="H510" s="186">
        <f>-Industrial!$E$98/12</f>
        <v>10736.432460242781</v>
      </c>
      <c r="I510" s="149">
        <f>Industrial!$E$96/12*G509</f>
        <v>732.71581758311231</v>
      </c>
      <c r="J510" s="187">
        <f t="shared" si="109"/>
        <v>10003.716642659669</v>
      </c>
      <c r="K510" s="72">
        <f t="shared" si="113"/>
        <v>344</v>
      </c>
      <c r="L510" s="180">
        <f t="shared" si="110"/>
        <v>261649.6379489837</v>
      </c>
      <c r="M510" s="181">
        <f t="shared" si="110"/>
        <v>16895.089771747207</v>
      </c>
      <c r="N510" s="180">
        <f t="shared" si="110"/>
        <v>1071.4540756668362</v>
      </c>
      <c r="O510" s="132">
        <f t="shared" si="105"/>
        <v>15823.635696080371</v>
      </c>
    </row>
    <row r="511" spans="1:15" x14ac:dyDescent="0.25">
      <c r="A511" s="72">
        <f t="shared" si="111"/>
        <v>345</v>
      </c>
      <c r="B511" s="183">
        <f t="shared" si="106"/>
        <v>89962.23958809764</v>
      </c>
      <c r="C511" s="184">
        <f>-Industrial!$E$93/12</f>
        <v>6158.6573115044275</v>
      </c>
      <c r="D511" s="183">
        <f>Industrial!$E$91/12*B510</f>
        <v>319.33852790565476</v>
      </c>
      <c r="E511" s="185">
        <f t="shared" si="107"/>
        <v>5839.3187835987728</v>
      </c>
      <c r="F511" s="72">
        <f t="shared" si="112"/>
        <v>345</v>
      </c>
      <c r="G511" s="180">
        <f t="shared" si="108"/>
        <v>155802.68078194986</v>
      </c>
      <c r="H511" s="186">
        <f>-Industrial!$E$98/12</f>
        <v>10736.432460242781</v>
      </c>
      <c r="I511" s="149">
        <f>Industrial!$E$96/12*G510</f>
        <v>691.03366490536371</v>
      </c>
      <c r="J511" s="187">
        <f t="shared" si="109"/>
        <v>10045.398795337416</v>
      </c>
      <c r="K511" s="72">
        <f t="shared" si="113"/>
        <v>345</v>
      </c>
      <c r="L511" s="180">
        <f t="shared" si="110"/>
        <v>245764.9203700475</v>
      </c>
      <c r="M511" s="181">
        <f t="shared" si="110"/>
        <v>16895.089771747207</v>
      </c>
      <c r="N511" s="180">
        <f t="shared" si="110"/>
        <v>1010.3721928110185</v>
      </c>
      <c r="O511" s="132">
        <f t="shared" si="105"/>
        <v>15884.71757893619</v>
      </c>
    </row>
    <row r="512" spans="1:15" x14ac:dyDescent="0.25">
      <c r="A512" s="72">
        <f t="shared" si="111"/>
        <v>346</v>
      </c>
      <c r="B512" s="183">
        <f t="shared" si="106"/>
        <v>84103.456408553538</v>
      </c>
      <c r="C512" s="184">
        <f>-Industrial!$E$93/12</f>
        <v>6158.6573115044275</v>
      </c>
      <c r="D512" s="183">
        <f>Industrial!$E$91/12*B511</f>
        <v>299.87413196032549</v>
      </c>
      <c r="E512" s="185">
        <f t="shared" si="107"/>
        <v>5858.7831795441016</v>
      </c>
      <c r="F512" s="72">
        <f t="shared" si="112"/>
        <v>346</v>
      </c>
      <c r="G512" s="180">
        <f t="shared" si="108"/>
        <v>145715.42615829853</v>
      </c>
      <c r="H512" s="186">
        <f>-Industrial!$E$98/12</f>
        <v>10736.432460242781</v>
      </c>
      <c r="I512" s="149">
        <f>Industrial!$E$96/12*G511</f>
        <v>649.17783659145778</v>
      </c>
      <c r="J512" s="187">
        <f t="shared" si="109"/>
        <v>10087.254623651323</v>
      </c>
      <c r="K512" s="72">
        <f t="shared" si="113"/>
        <v>346</v>
      </c>
      <c r="L512" s="180">
        <f t="shared" si="110"/>
        <v>229818.88256685209</v>
      </c>
      <c r="M512" s="181">
        <f t="shared" si="110"/>
        <v>16895.089771747207</v>
      </c>
      <c r="N512" s="180">
        <f t="shared" si="110"/>
        <v>949.05196855178326</v>
      </c>
      <c r="O512" s="132">
        <f t="shared" si="105"/>
        <v>15946.037803195424</v>
      </c>
    </row>
    <row r="513" spans="1:15" x14ac:dyDescent="0.25">
      <c r="A513" s="72">
        <f t="shared" si="111"/>
        <v>347</v>
      </c>
      <c r="B513" s="183">
        <f t="shared" si="106"/>
        <v>78225.143951744292</v>
      </c>
      <c r="C513" s="184">
        <f>-Industrial!$E$93/12</f>
        <v>6158.6573115044275</v>
      </c>
      <c r="D513" s="183">
        <f>Industrial!$E$91/12*B512</f>
        <v>280.34485469517847</v>
      </c>
      <c r="E513" s="185">
        <f t="shared" si="107"/>
        <v>5878.3124568092489</v>
      </c>
      <c r="F513" s="72">
        <f t="shared" si="112"/>
        <v>347</v>
      </c>
      <c r="G513" s="180">
        <f t="shared" si="108"/>
        <v>135586.14130704867</v>
      </c>
      <c r="H513" s="186">
        <f>-Industrial!$E$98/12</f>
        <v>10736.432460242781</v>
      </c>
      <c r="I513" s="149">
        <f>Industrial!$E$96/12*G512</f>
        <v>607.14760899291059</v>
      </c>
      <c r="J513" s="187">
        <f t="shared" si="109"/>
        <v>10129.284851249869</v>
      </c>
      <c r="K513" s="72">
        <f t="shared" si="113"/>
        <v>347</v>
      </c>
      <c r="L513" s="180">
        <f t="shared" si="110"/>
        <v>213811.28525879298</v>
      </c>
      <c r="M513" s="181">
        <f t="shared" si="110"/>
        <v>16895.089771747207</v>
      </c>
      <c r="N513" s="180">
        <f t="shared" si="110"/>
        <v>887.49246368808906</v>
      </c>
      <c r="O513" s="132">
        <f t="shared" si="105"/>
        <v>16007.597308059117</v>
      </c>
    </row>
    <row r="514" spans="1:15" x14ac:dyDescent="0.25">
      <c r="A514" s="72">
        <f t="shared" si="111"/>
        <v>348</v>
      </c>
      <c r="B514" s="183">
        <f t="shared" si="106"/>
        <v>72327.237120079008</v>
      </c>
      <c r="C514" s="184">
        <f>-Industrial!$E$93/12</f>
        <v>6158.6573115044275</v>
      </c>
      <c r="D514" s="183">
        <f>Industrial!$E$91/12*B513</f>
        <v>260.75047983914766</v>
      </c>
      <c r="E514" s="185">
        <f t="shared" si="107"/>
        <v>5897.9068316652802</v>
      </c>
      <c r="F514" s="72">
        <f t="shared" si="112"/>
        <v>348</v>
      </c>
      <c r="G514" s="180">
        <f t="shared" si="108"/>
        <v>125414.65110225193</v>
      </c>
      <c r="H514" s="186">
        <f>-Industrial!$E$98/12</f>
        <v>10736.432460242781</v>
      </c>
      <c r="I514" s="149">
        <f>Industrial!$E$96/12*G513</f>
        <v>564.94225544603614</v>
      </c>
      <c r="J514" s="187">
        <f t="shared" si="109"/>
        <v>10171.490204796744</v>
      </c>
      <c r="K514" s="72">
        <f t="shared" si="113"/>
        <v>348</v>
      </c>
      <c r="L514" s="180">
        <f t="shared" si="110"/>
        <v>197741.88822233095</v>
      </c>
      <c r="M514" s="181">
        <f t="shared" si="110"/>
        <v>16895.089771747207</v>
      </c>
      <c r="N514" s="180">
        <f t="shared" si="110"/>
        <v>825.69273528518374</v>
      </c>
      <c r="O514" s="132">
        <f t="shared" si="105"/>
        <v>16069.397036462025</v>
      </c>
    </row>
    <row r="515" spans="1:15" x14ac:dyDescent="0.25">
      <c r="A515" s="72">
        <f t="shared" si="111"/>
        <v>349</v>
      </c>
      <c r="B515" s="183">
        <f t="shared" si="106"/>
        <v>66409.670598974844</v>
      </c>
      <c r="C515" s="184">
        <f>-Industrial!$E$93/12</f>
        <v>6158.6573115044275</v>
      </c>
      <c r="D515" s="183">
        <f>Industrial!$E$91/12*B514</f>
        <v>241.09079040026339</v>
      </c>
      <c r="E515" s="185">
        <f t="shared" si="107"/>
        <v>5917.5665211041642</v>
      </c>
      <c r="F515" s="72">
        <f t="shared" si="112"/>
        <v>349</v>
      </c>
      <c r="G515" s="180">
        <f t="shared" si="108"/>
        <v>115200.77968826852</v>
      </c>
      <c r="H515" s="186">
        <f>-Industrial!$E$98/12</f>
        <v>10736.432460242781</v>
      </c>
      <c r="I515" s="149">
        <f>Industrial!$E$96/12*G514</f>
        <v>522.56104625938303</v>
      </c>
      <c r="J515" s="187">
        <f t="shared" si="109"/>
        <v>10213.871413983397</v>
      </c>
      <c r="K515" s="72">
        <f t="shared" si="113"/>
        <v>349</v>
      </c>
      <c r="L515" s="180">
        <f t="shared" si="110"/>
        <v>181610.45028724335</v>
      </c>
      <c r="M515" s="181">
        <f t="shared" si="110"/>
        <v>16895.089771747207</v>
      </c>
      <c r="N515" s="180">
        <f t="shared" si="110"/>
        <v>763.65183665964639</v>
      </c>
      <c r="O515" s="132">
        <f t="shared" si="105"/>
        <v>16131.437935087561</v>
      </c>
    </row>
    <row r="516" spans="1:15" x14ac:dyDescent="0.25">
      <c r="A516" s="72">
        <f t="shared" si="111"/>
        <v>350</v>
      </c>
      <c r="B516" s="183">
        <f t="shared" si="106"/>
        <v>60472.37885613367</v>
      </c>
      <c r="C516" s="184">
        <f>-Industrial!$E$93/12</f>
        <v>6158.6573115044275</v>
      </c>
      <c r="D516" s="183">
        <f>Industrial!$E$91/12*B515</f>
        <v>221.36556866324949</v>
      </c>
      <c r="E516" s="185">
        <f t="shared" si="107"/>
        <v>5937.2917428411783</v>
      </c>
      <c r="F516" s="72">
        <f t="shared" si="112"/>
        <v>350</v>
      </c>
      <c r="G516" s="180">
        <f t="shared" si="108"/>
        <v>104944.35047672686</v>
      </c>
      <c r="H516" s="186">
        <f>-Industrial!$E$98/12</f>
        <v>10736.432460242781</v>
      </c>
      <c r="I516" s="149">
        <f>Industrial!$E$96/12*G515</f>
        <v>480.00324870111882</v>
      </c>
      <c r="J516" s="187">
        <f t="shared" si="109"/>
        <v>10256.429211541661</v>
      </c>
      <c r="K516" s="72">
        <f t="shared" si="113"/>
        <v>350</v>
      </c>
      <c r="L516" s="180">
        <f t="shared" si="110"/>
        <v>165416.72933286053</v>
      </c>
      <c r="M516" s="181">
        <f t="shared" si="110"/>
        <v>16895.089771747207</v>
      </c>
      <c r="N516" s="180">
        <f t="shared" si="110"/>
        <v>701.36881736436828</v>
      </c>
      <c r="O516" s="132">
        <f t="shared" si="105"/>
        <v>16193.720954382839</v>
      </c>
    </row>
    <row r="517" spans="1:15" x14ac:dyDescent="0.25">
      <c r="A517" s="72">
        <f t="shared" si="111"/>
        <v>351</v>
      </c>
      <c r="B517" s="183">
        <f t="shared" si="106"/>
        <v>54515.296140816354</v>
      </c>
      <c r="C517" s="184">
        <f>-Industrial!$E$93/12</f>
        <v>6158.6573115044275</v>
      </c>
      <c r="D517" s="183">
        <f>Industrial!$E$91/12*B516</f>
        <v>201.57459618711223</v>
      </c>
      <c r="E517" s="185">
        <f t="shared" si="107"/>
        <v>5957.082715317315</v>
      </c>
      <c r="F517" s="72">
        <f t="shared" si="112"/>
        <v>351</v>
      </c>
      <c r="G517" s="180">
        <f t="shared" si="108"/>
        <v>94645.186143470448</v>
      </c>
      <c r="H517" s="186">
        <f>-Industrial!$E$98/12</f>
        <v>10736.432460242781</v>
      </c>
      <c r="I517" s="149">
        <f>Industrial!$E$96/12*G516</f>
        <v>437.26812698636189</v>
      </c>
      <c r="J517" s="187">
        <f t="shared" si="109"/>
        <v>10299.164333256418</v>
      </c>
      <c r="K517" s="72">
        <f t="shared" si="113"/>
        <v>351</v>
      </c>
      <c r="L517" s="180">
        <f t="shared" si="110"/>
        <v>149160.48228428682</v>
      </c>
      <c r="M517" s="181">
        <f t="shared" si="110"/>
        <v>16895.089771747207</v>
      </c>
      <c r="N517" s="180">
        <f t="shared" si="110"/>
        <v>638.84272317347416</v>
      </c>
      <c r="O517" s="132">
        <f t="shared" si="105"/>
        <v>16256.247048573732</v>
      </c>
    </row>
    <row r="518" spans="1:15" x14ac:dyDescent="0.25">
      <c r="A518" s="72">
        <f t="shared" si="111"/>
        <v>352</v>
      </c>
      <c r="B518" s="183">
        <f t="shared" si="106"/>
        <v>48538.35648311465</v>
      </c>
      <c r="C518" s="184">
        <f>-Industrial!$E$93/12</f>
        <v>6158.6573115044275</v>
      </c>
      <c r="D518" s="183">
        <f>Industrial!$E$91/12*B517</f>
        <v>181.7176538027212</v>
      </c>
      <c r="E518" s="185">
        <f t="shared" si="107"/>
        <v>5976.939657701706</v>
      </c>
      <c r="F518" s="72">
        <f t="shared" si="112"/>
        <v>352</v>
      </c>
      <c r="G518" s="180">
        <f t="shared" si="108"/>
        <v>84303.108625492125</v>
      </c>
      <c r="H518" s="186">
        <f>-Industrial!$E$98/12</f>
        <v>10736.432460242781</v>
      </c>
      <c r="I518" s="149">
        <f>Industrial!$E$96/12*G517</f>
        <v>394.35494226446019</v>
      </c>
      <c r="J518" s="187">
        <f t="shared" si="109"/>
        <v>10342.07751797832</v>
      </c>
      <c r="K518" s="72">
        <f t="shared" si="113"/>
        <v>352</v>
      </c>
      <c r="L518" s="180">
        <f t="shared" si="110"/>
        <v>132841.46510860679</v>
      </c>
      <c r="M518" s="181">
        <f t="shared" si="110"/>
        <v>16895.089771747207</v>
      </c>
      <c r="N518" s="180">
        <f t="shared" si="110"/>
        <v>576.07259606718139</v>
      </c>
      <c r="O518" s="132">
        <f t="shared" si="105"/>
        <v>16319.017175680026</v>
      </c>
    </row>
    <row r="519" spans="1:15" x14ac:dyDescent="0.25">
      <c r="A519" s="72">
        <f t="shared" si="111"/>
        <v>353</v>
      </c>
      <c r="B519" s="183">
        <f t="shared" si="106"/>
        <v>42541.493693220604</v>
      </c>
      <c r="C519" s="184">
        <f>-Industrial!$E$93/12</f>
        <v>6158.6573115044275</v>
      </c>
      <c r="D519" s="183">
        <f>Industrial!$E$91/12*B518</f>
        <v>161.79452161038219</v>
      </c>
      <c r="E519" s="185">
        <f t="shared" si="107"/>
        <v>5996.8627898940449</v>
      </c>
      <c r="F519" s="72">
        <f t="shared" si="112"/>
        <v>353</v>
      </c>
      <c r="G519" s="180">
        <f t="shared" si="108"/>
        <v>73917.939117855567</v>
      </c>
      <c r="H519" s="186">
        <f>-Industrial!$E$98/12</f>
        <v>10736.432460242781</v>
      </c>
      <c r="I519" s="149">
        <f>Industrial!$E$96/12*G518</f>
        <v>351.2629526062172</v>
      </c>
      <c r="J519" s="187">
        <f t="shared" si="109"/>
        <v>10385.169507636563</v>
      </c>
      <c r="K519" s="72">
        <f t="shared" si="113"/>
        <v>353</v>
      </c>
      <c r="L519" s="180">
        <f t="shared" si="110"/>
        <v>116459.43281107617</v>
      </c>
      <c r="M519" s="181">
        <f t="shared" si="110"/>
        <v>16895.089771747207</v>
      </c>
      <c r="N519" s="180">
        <f t="shared" si="110"/>
        <v>513.05747421659942</v>
      </c>
      <c r="O519" s="132">
        <f t="shared" si="105"/>
        <v>16382.032297530608</v>
      </c>
    </row>
    <row r="520" spans="1:15" x14ac:dyDescent="0.25">
      <c r="A520" s="72">
        <f t="shared" si="111"/>
        <v>354</v>
      </c>
      <c r="B520" s="183">
        <f t="shared" si="106"/>
        <v>36524.641360693582</v>
      </c>
      <c r="C520" s="184">
        <f>-Industrial!$E$93/12</f>
        <v>6158.6573115044275</v>
      </c>
      <c r="D520" s="183">
        <f>Industrial!$E$91/12*B519</f>
        <v>141.80497897740202</v>
      </c>
      <c r="E520" s="185">
        <f t="shared" si="107"/>
        <v>6016.8523325270253</v>
      </c>
      <c r="F520" s="72">
        <f t="shared" si="112"/>
        <v>354</v>
      </c>
      <c r="G520" s="180">
        <f t="shared" si="108"/>
        <v>63489.498070603848</v>
      </c>
      <c r="H520" s="186">
        <f>-Industrial!$E$98/12</f>
        <v>10736.432460242781</v>
      </c>
      <c r="I520" s="149">
        <f>Industrial!$E$96/12*G519</f>
        <v>307.99141299106486</v>
      </c>
      <c r="J520" s="187">
        <f t="shared" si="109"/>
        <v>10428.441047251716</v>
      </c>
      <c r="K520" s="72">
        <f t="shared" si="113"/>
        <v>354</v>
      </c>
      <c r="L520" s="180">
        <f t="shared" si="110"/>
        <v>100014.13943129743</v>
      </c>
      <c r="M520" s="181">
        <f t="shared" si="110"/>
        <v>16895.089771747207</v>
      </c>
      <c r="N520" s="180">
        <f t="shared" si="110"/>
        <v>449.79639196846688</v>
      </c>
      <c r="O520" s="132">
        <f t="shared" si="105"/>
        <v>16445.293379778741</v>
      </c>
    </row>
    <row r="521" spans="1:15" x14ac:dyDescent="0.25">
      <c r="A521" s="72">
        <f t="shared" si="111"/>
        <v>355</v>
      </c>
      <c r="B521" s="183">
        <f t="shared" si="106"/>
        <v>30487.732853724799</v>
      </c>
      <c r="C521" s="184">
        <f>-Industrial!$E$93/12</f>
        <v>6158.6573115044275</v>
      </c>
      <c r="D521" s="183">
        <f>Industrial!$E$91/12*B520</f>
        <v>121.74880453564528</v>
      </c>
      <c r="E521" s="185">
        <f t="shared" si="107"/>
        <v>6036.9085069687826</v>
      </c>
      <c r="F521" s="72">
        <f t="shared" si="112"/>
        <v>355</v>
      </c>
      <c r="G521" s="180">
        <f t="shared" si="108"/>
        <v>53017.605185655251</v>
      </c>
      <c r="H521" s="186">
        <f>-Industrial!$E$98/12</f>
        <v>10736.432460242781</v>
      </c>
      <c r="I521" s="149">
        <f>Industrial!$E$96/12*G520</f>
        <v>264.53957529418267</v>
      </c>
      <c r="J521" s="187">
        <f t="shared" si="109"/>
        <v>10471.892884948598</v>
      </c>
      <c r="K521" s="72">
        <f t="shared" si="113"/>
        <v>355</v>
      </c>
      <c r="L521" s="180">
        <f t="shared" si="110"/>
        <v>83505.338039380047</v>
      </c>
      <c r="M521" s="181">
        <f t="shared" si="110"/>
        <v>16895.089771747207</v>
      </c>
      <c r="N521" s="180">
        <f t="shared" si="110"/>
        <v>386.28837982982793</v>
      </c>
      <c r="O521" s="132">
        <f t="shared" si="105"/>
        <v>16508.801391917383</v>
      </c>
    </row>
    <row r="522" spans="1:15" x14ac:dyDescent="0.25">
      <c r="A522" s="72">
        <f t="shared" si="111"/>
        <v>356</v>
      </c>
      <c r="B522" s="183">
        <f t="shared" si="106"/>
        <v>24430.701318399457</v>
      </c>
      <c r="C522" s="184">
        <f>-Industrial!$E$93/12</f>
        <v>6158.6573115044275</v>
      </c>
      <c r="D522" s="183">
        <f>Industrial!$E$91/12*B521</f>
        <v>101.62577617908268</v>
      </c>
      <c r="E522" s="185">
        <f t="shared" si="107"/>
        <v>6057.0315353253445</v>
      </c>
      <c r="F522" s="72">
        <f t="shared" si="112"/>
        <v>356</v>
      </c>
      <c r="G522" s="180">
        <f t="shared" si="108"/>
        <v>42502.079413686035</v>
      </c>
      <c r="H522" s="186">
        <f>-Industrial!$E$98/12</f>
        <v>10736.432460242781</v>
      </c>
      <c r="I522" s="149">
        <f>Industrial!$E$96/12*G521</f>
        <v>220.90668827356353</v>
      </c>
      <c r="J522" s="187">
        <f t="shared" si="109"/>
        <v>10515.525771969216</v>
      </c>
      <c r="K522" s="72">
        <f t="shared" si="113"/>
        <v>356</v>
      </c>
      <c r="L522" s="180">
        <f t="shared" si="110"/>
        <v>66932.780732085492</v>
      </c>
      <c r="M522" s="181">
        <f t="shared" si="110"/>
        <v>16895.089771747207</v>
      </c>
      <c r="N522" s="180">
        <f t="shared" si="110"/>
        <v>322.5324644526462</v>
      </c>
      <c r="O522" s="132">
        <f t="shared" si="105"/>
        <v>16572.557307294563</v>
      </c>
    </row>
    <row r="523" spans="1:15" x14ac:dyDescent="0.25">
      <c r="A523" s="72">
        <f t="shared" si="111"/>
        <v>357</v>
      </c>
      <c r="B523" s="183">
        <f t="shared" si="106"/>
        <v>18353.479677956362</v>
      </c>
      <c r="C523" s="184">
        <f>-Industrial!$E$93/12</f>
        <v>6158.6573115044275</v>
      </c>
      <c r="D523" s="183">
        <f>Industrial!$E$91/12*B522</f>
        <v>81.435671061331533</v>
      </c>
      <c r="E523" s="185">
        <f t="shared" si="107"/>
        <v>6077.2216404430956</v>
      </c>
      <c r="F523" s="72">
        <f t="shared" si="112"/>
        <v>357</v>
      </c>
      <c r="G523" s="180">
        <f t="shared" si="108"/>
        <v>31942.738951000279</v>
      </c>
      <c r="H523" s="186">
        <f>-Industrial!$E$98/12</f>
        <v>10736.432460242781</v>
      </c>
      <c r="I523" s="149">
        <f>Industrial!$E$96/12*G522</f>
        <v>177.09199755702514</v>
      </c>
      <c r="J523" s="187">
        <f t="shared" si="109"/>
        <v>10559.340462685755</v>
      </c>
      <c r="K523" s="72">
        <f t="shared" si="113"/>
        <v>357</v>
      </c>
      <c r="L523" s="180">
        <f t="shared" si="110"/>
        <v>50296.218628956645</v>
      </c>
      <c r="M523" s="181">
        <f t="shared" si="110"/>
        <v>16895.089771747207</v>
      </c>
      <c r="N523" s="180">
        <f t="shared" si="110"/>
        <v>258.52766861835664</v>
      </c>
      <c r="O523" s="132">
        <f t="shared" si="105"/>
        <v>16636.56210312885</v>
      </c>
    </row>
    <row r="524" spans="1:15" x14ac:dyDescent="0.25">
      <c r="A524" s="72">
        <f t="shared" si="111"/>
        <v>358</v>
      </c>
      <c r="B524" s="183">
        <f t="shared" si="106"/>
        <v>12256.000632045121</v>
      </c>
      <c r="C524" s="184">
        <f>-Industrial!$E$93/12</f>
        <v>6158.6573115044275</v>
      </c>
      <c r="D524" s="183">
        <f>Industrial!$E$91/12*B523</f>
        <v>61.178265593187881</v>
      </c>
      <c r="E524" s="185">
        <f t="shared" si="107"/>
        <v>6097.4790459112401</v>
      </c>
      <c r="F524" s="72">
        <f t="shared" si="112"/>
        <v>358</v>
      </c>
      <c r="G524" s="180">
        <f t="shared" si="108"/>
        <v>21339.401236386664</v>
      </c>
      <c r="H524" s="186">
        <f>-Industrial!$E$98/12</f>
        <v>10736.432460242781</v>
      </c>
      <c r="I524" s="149">
        <f>Industrial!$E$96/12*G523</f>
        <v>133.09474562916782</v>
      </c>
      <c r="J524" s="187">
        <f t="shared" si="109"/>
        <v>10603.337714613614</v>
      </c>
      <c r="K524" s="72">
        <f t="shared" si="113"/>
        <v>358</v>
      </c>
      <c r="L524" s="180">
        <f t="shared" si="110"/>
        <v>33595.401868431785</v>
      </c>
      <c r="M524" s="181">
        <f t="shared" si="110"/>
        <v>16895.089771747207</v>
      </c>
      <c r="N524" s="180">
        <f t="shared" si="110"/>
        <v>194.27301122235571</v>
      </c>
      <c r="O524" s="132">
        <f t="shared" si="105"/>
        <v>16700.816760524853</v>
      </c>
    </row>
    <row r="525" spans="1:15" x14ac:dyDescent="0.25">
      <c r="A525" s="72">
        <f t="shared" si="111"/>
        <v>359</v>
      </c>
      <c r="B525" s="183">
        <f t="shared" si="106"/>
        <v>6138.1966559808443</v>
      </c>
      <c r="C525" s="184">
        <f>-Industrial!$E$93/12</f>
        <v>6158.6573115044275</v>
      </c>
      <c r="D525" s="183">
        <f>Industrial!$E$91/12*B524</f>
        <v>40.85333544015041</v>
      </c>
      <c r="E525" s="185">
        <f t="shared" si="107"/>
        <v>6117.8039760642769</v>
      </c>
      <c r="F525" s="72">
        <f t="shared" si="112"/>
        <v>359</v>
      </c>
      <c r="G525" s="180">
        <f t="shared" si="108"/>
        <v>10691.882947962162</v>
      </c>
      <c r="H525" s="186">
        <f>-Industrial!$E$98/12</f>
        <v>10736.432460242781</v>
      </c>
      <c r="I525" s="149">
        <f>Industrial!$E$96/12*G524</f>
        <v>88.914171818277765</v>
      </c>
      <c r="J525" s="187">
        <f t="shared" si="109"/>
        <v>10647.518288424502</v>
      </c>
      <c r="K525" s="72">
        <f t="shared" si="113"/>
        <v>359</v>
      </c>
      <c r="L525" s="180">
        <f t="shared" si="110"/>
        <v>16830.079603943006</v>
      </c>
      <c r="M525" s="181">
        <f t="shared" si="110"/>
        <v>16895.089771747207</v>
      </c>
      <c r="N525" s="180">
        <f t="shared" si="110"/>
        <v>129.76750725842817</v>
      </c>
      <c r="O525" s="132">
        <f t="shared" si="105"/>
        <v>16765.322264488779</v>
      </c>
    </row>
    <row r="526" spans="1:15" ht="16.5" thickBot="1" x14ac:dyDescent="0.3">
      <c r="A526" s="73">
        <f t="shared" si="111"/>
        <v>360</v>
      </c>
      <c r="B526" s="191">
        <f t="shared" si="106"/>
        <v>-3.6470737541094422E-9</v>
      </c>
      <c r="C526" s="192">
        <f>-Industrial!$E$93/12</f>
        <v>6158.6573115044275</v>
      </c>
      <c r="D526" s="191">
        <f>Industrial!$E$91/12*B525</f>
        <v>20.46065551993615</v>
      </c>
      <c r="E526" s="193">
        <f t="shared" si="107"/>
        <v>6138.1966559844914</v>
      </c>
      <c r="F526" s="73">
        <f t="shared" si="112"/>
        <v>360</v>
      </c>
      <c r="G526" s="188">
        <f t="shared" si="108"/>
        <v>2.5574991013854742E-9</v>
      </c>
      <c r="H526" s="194">
        <f>-Industrial!$E$98/12</f>
        <v>10736.432460242781</v>
      </c>
      <c r="I526" s="195">
        <f>Industrial!$E$96/12*G525</f>
        <v>44.549512283175673</v>
      </c>
      <c r="J526" s="196">
        <f t="shared" si="109"/>
        <v>10691.882947959604</v>
      </c>
      <c r="K526" s="73">
        <f t="shared" si="113"/>
        <v>360</v>
      </c>
      <c r="L526" s="188">
        <f t="shared" si="110"/>
        <v>-1.089574652723968E-9</v>
      </c>
      <c r="M526" s="189">
        <f t="shared" si="110"/>
        <v>16895.089771747207</v>
      </c>
      <c r="N526" s="188">
        <f t="shared" si="110"/>
        <v>65.010167803111827</v>
      </c>
      <c r="O526" s="190">
        <f t="shared" si="105"/>
        <v>16830.079603944097</v>
      </c>
    </row>
  </sheetData>
  <sortState ref="I90:I91">
    <sortCondition ref="I87"/>
  </sortState>
  <pageMargins left="0" right="0" top="0" bottom="0" header="0" footer="0"/>
  <pageSetup scale="55"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Quick Start Guide</vt:lpstr>
      <vt:lpstr>Glossary</vt:lpstr>
      <vt:lpstr>Residential For Sale</vt:lpstr>
      <vt:lpstr>Residential Rental</vt:lpstr>
      <vt:lpstr>Office</vt:lpstr>
      <vt:lpstr>Retail &amp; Restaurant</vt:lpstr>
      <vt:lpstr>Hotel</vt:lpstr>
      <vt:lpstr>Industrial</vt:lpstr>
      <vt:lpstr>Parking</vt:lpstr>
      <vt:lpstr>Mixed-Use Summary</vt:lpstr>
      <vt:lpstr>DV-IDENTITY-0</vt:lpstr>
      <vt:lpstr>Leveraging Tools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cj;MRC@utah.edu</dc:creator>
  <cp:lastModifiedBy>Nelson, Arthur Christian - (acnelson)</cp:lastModifiedBy>
  <cp:lastPrinted>2012-01-23T17:55:11Z</cp:lastPrinted>
  <dcterms:created xsi:type="dcterms:W3CDTF">2004-06-17T20:25:19Z</dcterms:created>
  <dcterms:modified xsi:type="dcterms:W3CDTF">2017-08-18T20:53:23Z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V.DocumentId">
    <vt:lpwstr>GRRf1ROhDzhut8dPZ66geU</vt:lpwstr>
  </property>
  <property fmtid="{D5CDD505-2E9C-101B-9397-08002B2CF9AE}" pid="3" name="DV.VersionId">
    <vt:lpwstr>pvaJXktNgzuwbEI92y45aD</vt:lpwstr>
  </property>
  <property fmtid="{D5CDD505-2E9C-101B-9397-08002B2CF9AE}" pid="4" name="DV.PluginVersion">
    <vt:lpwstr>1.2.3350.0</vt:lpwstr>
  </property>
</Properties>
</file>